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D:\working\waccache\SE1PEPF00001E3E\EXCELCNV\92eddadd-0d93-4b45-a292-a5eb57f90dbd\"/>
    </mc:Choice>
  </mc:AlternateContent>
  <xr:revisionPtr revIDLastSave="693" documentId="8_{D1119D27-C18B-4D58-A0E4-B69F849A53BA}" xr6:coauthVersionLast="47" xr6:coauthVersionMax="47" xr10:uidLastSave="{2B12C73A-572E-45D7-8058-C772446D4DDA}"/>
  <bookViews>
    <workbookView xWindow="-60" yWindow="-60" windowWidth="15480" windowHeight="11640" tabRatio="839" firstSheet="3" xr2:uid="{00000000-000D-0000-FFFF-FFFF00000000}"/>
  </bookViews>
  <sheets>
    <sheet name="OKMD" sheetId="79" r:id="rId1"/>
    <sheet name="แบบ ปร.6" sheetId="19" r:id="rId2"/>
    <sheet name="RKCA1_ปร.5 (ก)" sheetId="20" r:id="rId3"/>
    <sheet name="RC1_Arch" sheetId="5" r:id="rId4"/>
    <sheet name="RKCA1_Interior" sheetId="69" r:id="rId5"/>
    <sheet name="RKCA1_Built-in" sheetId="70" r:id="rId6"/>
    <sheet name="RC1_Structure_RE" sheetId="64" r:id="rId7"/>
    <sheet name="RKCA1_Ele" sheetId="76" r:id="rId8"/>
    <sheet name="RC1_San+FP" sheetId="77" r:id="rId9"/>
    <sheet name="RC1_Air" sheetId="78" r:id="rId10"/>
    <sheet name="HARDSCAPE" sheetId="27" r:id="rId11"/>
    <sheet name="แบบ ปร.5(ข)" sheetId="28" r:id="rId12"/>
    <sheet name="RC1_ครุภัณฑ์อาคาร" sheetId="29" r:id="rId13"/>
    <sheet name="RKCA1_LF" sheetId="71" r:id="rId14"/>
    <sheet name="RKCA1_LE &amp;FB" sheetId="72" r:id="rId15"/>
    <sheet name="RKCA1_AV " sheetId="73" r:id="rId16"/>
    <sheet name="RKCA1_CURTAIN" sheetId="74" r:id="rId17"/>
    <sheet name="RKCA1_SIGNAGE" sheetId="75" r:id="rId18"/>
    <sheet name="SOFTSCAPE" sheetId="35" r:id="rId19"/>
  </sheets>
  <definedNames>
    <definedName name="____str1" localSheetId="9">#REF!</definedName>
    <definedName name="____str1" localSheetId="6">#REF!</definedName>
    <definedName name="____str1" localSheetId="15">#REF!</definedName>
    <definedName name="____str1" localSheetId="5">#REF!</definedName>
    <definedName name="____str1" localSheetId="14">#REF!</definedName>
    <definedName name="____str1" localSheetId="11">#REF!</definedName>
    <definedName name="____str1">#REF!</definedName>
    <definedName name="____str2" localSheetId="9">#REF!</definedName>
    <definedName name="____str2" localSheetId="6">#REF!</definedName>
    <definedName name="____str2" localSheetId="15">#REF!</definedName>
    <definedName name="____str2" localSheetId="14">#REF!</definedName>
    <definedName name="____str2" localSheetId="11">#REF!</definedName>
    <definedName name="____str2">#REF!</definedName>
    <definedName name="____str3" localSheetId="9">#REF!</definedName>
    <definedName name="____str3" localSheetId="6">#REF!</definedName>
    <definedName name="____str3" localSheetId="15">#REF!</definedName>
    <definedName name="____str3" localSheetId="14">#REF!</definedName>
    <definedName name="____str3" localSheetId="11">#REF!</definedName>
    <definedName name="____str3">#REF!</definedName>
    <definedName name="___str1">#REF!</definedName>
    <definedName name="___str2">#REF!</definedName>
    <definedName name="___str3">#REF!</definedName>
    <definedName name="__str1">#REF!</definedName>
    <definedName name="__str2">#REF!</definedName>
    <definedName name="__str3">#REF!</definedName>
    <definedName name="_1Excel_BuiltIn_Print_Area_1_1">#REF!</definedName>
    <definedName name="_xlnm._FilterDatabase" localSheetId="15" hidden="1">'RKCA1_AV '!$A$31:$N$371</definedName>
    <definedName name="_str1" localSheetId="6">#REF!</definedName>
    <definedName name="_str1" localSheetId="15">#REF!</definedName>
    <definedName name="_str1" localSheetId="5">#REF!</definedName>
    <definedName name="_str1" localSheetId="14">#REF!</definedName>
    <definedName name="_str1" localSheetId="11">#REF!</definedName>
    <definedName name="_str1">#REF!</definedName>
    <definedName name="_str2" localSheetId="6">#REF!</definedName>
    <definedName name="_str2" localSheetId="15">#REF!</definedName>
    <definedName name="_str2" localSheetId="14">#REF!</definedName>
    <definedName name="_str2">#REF!</definedName>
    <definedName name="_str3" localSheetId="15">#REF!</definedName>
    <definedName name="_str3">#REF!</definedName>
    <definedName name="A" localSheetId="9">#REF!</definedName>
    <definedName name="A" localSheetId="3">#REF!</definedName>
    <definedName name="A" localSheetId="8">#REF!</definedName>
    <definedName name="A" localSheetId="12">#REF!</definedName>
    <definedName name="A" localSheetId="5">#REF!</definedName>
    <definedName name="A" localSheetId="2">#REF!</definedName>
    <definedName name="A" localSheetId="11">#REF!</definedName>
    <definedName name="A" localSheetId="1">#REF!</definedName>
    <definedName name="A">#REF!</definedName>
    <definedName name="ABL">#REF!</definedName>
    <definedName name="ada" localSheetId="9">#REF!</definedName>
    <definedName name="ada" localSheetId="6">#REF!</definedName>
    <definedName name="ada" localSheetId="15">#REF!</definedName>
    <definedName name="ada" localSheetId="5">#REF!</definedName>
    <definedName name="ada" localSheetId="14">#REF!</definedName>
    <definedName name="ada" localSheetId="11">#REF!</definedName>
    <definedName name="ada">#REF!</definedName>
    <definedName name="ARCH_LAB" localSheetId="9">#REF!</definedName>
    <definedName name="ARCH_LAB" localSheetId="6">#REF!</definedName>
    <definedName name="ARCH_LAB" localSheetId="15">#REF!</definedName>
    <definedName name="ARCH_LAB" localSheetId="14">#REF!</definedName>
    <definedName name="ARCH_LAB" localSheetId="11">#REF!</definedName>
    <definedName name="ARCH_LAB">#REF!</definedName>
    <definedName name="ARCH_MAT" localSheetId="9">#REF!</definedName>
    <definedName name="ARCH_MAT" localSheetId="6">#REF!</definedName>
    <definedName name="ARCH_MAT" localSheetId="15">#REF!</definedName>
    <definedName name="ARCH_MAT" localSheetId="14">#REF!</definedName>
    <definedName name="ARCH_MAT" localSheetId="11">#REF!</definedName>
    <definedName name="ARCH_MAT">#REF!</definedName>
    <definedName name="Cavity_Pump" localSheetId="9">#REF!</definedName>
    <definedName name="Cavity_Pump" localSheetId="6">#REF!</definedName>
    <definedName name="Cavity_Pump" localSheetId="15">#REF!</definedName>
    <definedName name="Cavity_Pump" localSheetId="14">#REF!</definedName>
    <definedName name="Cavity_Pump" localSheetId="11">#REF!</definedName>
    <definedName name="Cavity_Pump">#REF!</definedName>
    <definedName name="Decanter" localSheetId="9">#REF!</definedName>
    <definedName name="Decanter" localSheetId="6">#REF!</definedName>
    <definedName name="Decanter" localSheetId="15">#REF!</definedName>
    <definedName name="Decanter" localSheetId="14">#REF!</definedName>
    <definedName name="Decanter" localSheetId="11">#REF!</definedName>
    <definedName name="Decanter">#REF!</definedName>
    <definedName name="Excel_BuiltIn_Print_Area" localSheetId="9">#REF!</definedName>
    <definedName name="Excel_BuiltIn_Print_Area" localSheetId="6">#REF!</definedName>
    <definedName name="Excel_BuiltIn_Print_Area" localSheetId="15">#REF!</definedName>
    <definedName name="Excel_BuiltIn_Print_Area" localSheetId="5">#REF!</definedName>
    <definedName name="Excel_BuiltIn_Print_Area" localSheetId="14">#REF!</definedName>
    <definedName name="Excel_BuiltIn_Print_Area" localSheetId="11">#REF!</definedName>
    <definedName name="Excel_BuiltIn_Print_Area">#REF!</definedName>
    <definedName name="Excel_BuiltIn_Print_Titles" localSheetId="9">#REF!</definedName>
    <definedName name="Excel_BuiltIn_Print_Titles" localSheetId="6">#REF!</definedName>
    <definedName name="Excel_BuiltIn_Print_Titles" localSheetId="15">#REF!</definedName>
    <definedName name="Excel_BuiltIn_Print_Titles" localSheetId="14">#REF!</definedName>
    <definedName name="Excel_BuiltIn_Print_Titles" localSheetId="11">#REF!</definedName>
    <definedName name="Excel_BuiltIn_Print_Titles">#REF!</definedName>
    <definedName name="EXT_LAB" localSheetId="9">#REF!</definedName>
    <definedName name="EXT_LAB" localSheetId="6">#REF!</definedName>
    <definedName name="EXT_LAB" localSheetId="15">#REF!</definedName>
    <definedName name="EXT_LAB" localSheetId="14">#REF!</definedName>
    <definedName name="EXT_LAB" localSheetId="11">#REF!</definedName>
    <definedName name="EXT_LAB">#REF!</definedName>
    <definedName name="EXT_MAT">#REF!</definedName>
    <definedName name="f">#REF!</definedName>
    <definedName name="FP">#REF!</definedName>
    <definedName name="I" localSheetId="9">#REF!</definedName>
    <definedName name="I" localSheetId="8">#REF!</definedName>
    <definedName name="I" localSheetId="6">#REF!</definedName>
    <definedName name="I" localSheetId="12">#REF!</definedName>
    <definedName name="I" localSheetId="15">#REF!</definedName>
    <definedName name="I" localSheetId="5">#REF!</definedName>
    <definedName name="I" localSheetId="14">#REF!</definedName>
    <definedName name="I" localSheetId="2">#REF!</definedName>
    <definedName name="I" localSheetId="11">#REF!</definedName>
    <definedName name="I" localSheetId="1">#REF!</definedName>
    <definedName name="I">#REF!</definedName>
    <definedName name="IX" localSheetId="9">#REF!</definedName>
    <definedName name="IX" localSheetId="8">#REF!</definedName>
    <definedName name="IX" localSheetId="6">#REF!</definedName>
    <definedName name="IX" localSheetId="12">#REF!</definedName>
    <definedName name="IX" localSheetId="15">#REF!</definedName>
    <definedName name="IX" localSheetId="5">#REF!</definedName>
    <definedName name="IX" localSheetId="14">#REF!</definedName>
    <definedName name="IX" localSheetId="2">#REF!</definedName>
    <definedName name="IX" localSheetId="11">#REF!</definedName>
    <definedName name="IX" localSheetId="1">#REF!</definedName>
    <definedName name="IX">#REF!</definedName>
    <definedName name="IY" localSheetId="6">#REF!</definedName>
    <definedName name="IY" localSheetId="15">#REF!</definedName>
    <definedName name="IY" localSheetId="5">#REF!</definedName>
    <definedName name="IY" localSheetId="14">#REF!</definedName>
    <definedName name="IY" localSheetId="2">#REF!</definedName>
    <definedName name="IY" localSheetId="11">#REF!</definedName>
    <definedName name="IY" localSheetId="1">#REF!</definedName>
    <definedName name="IY">#REF!</definedName>
    <definedName name="L1_" localSheetId="5">#REF!</definedName>
    <definedName name="L1_" localSheetId="2">#REF!</definedName>
    <definedName name="L1_" localSheetId="11">#REF!</definedName>
    <definedName name="L1_" localSheetId="1">#REF!</definedName>
    <definedName name="L1_">#REF!</definedName>
    <definedName name="L2_" localSheetId="5">#REF!</definedName>
    <definedName name="L2_" localSheetId="2">#REF!</definedName>
    <definedName name="L2_" localSheetId="11">#REF!</definedName>
    <definedName name="L2_" localSheetId="1">#REF!</definedName>
    <definedName name="L2_">#REF!</definedName>
    <definedName name="LF">#REF!</definedName>
    <definedName name="MandE_LAB">#REF!</definedName>
    <definedName name="MandE_MAT">#REF!</definedName>
    <definedName name="Nitro">#REF!</definedName>
    <definedName name="OTHER_LAB" localSheetId="9">#REF!</definedName>
    <definedName name="OTHER_LAB" localSheetId="6">#REF!</definedName>
    <definedName name="OTHER_LAB" localSheetId="15">#REF!</definedName>
    <definedName name="OTHER_LAB" localSheetId="5">#REF!</definedName>
    <definedName name="OTHER_LAB" localSheetId="14">#REF!</definedName>
    <definedName name="OTHER_LAB" localSheetId="11">#REF!</definedName>
    <definedName name="OTHER_LAB">#REF!</definedName>
    <definedName name="OTHER_MAT" localSheetId="9">#REF!</definedName>
    <definedName name="OTHER_MAT" localSheetId="6">#REF!</definedName>
    <definedName name="OTHER_MAT" localSheetId="15">#REF!</definedName>
    <definedName name="OTHER_MAT" localSheetId="14">#REF!</definedName>
    <definedName name="OTHER_MAT" localSheetId="11">#REF!</definedName>
    <definedName name="OTHER_MAT">#REF!</definedName>
    <definedName name="PBS" localSheetId="9">#REF!</definedName>
    <definedName name="PBS" localSheetId="6">#REF!</definedName>
    <definedName name="PBS" localSheetId="15">#REF!</definedName>
    <definedName name="PBS" localSheetId="14">#REF!</definedName>
    <definedName name="PBS" localSheetId="11">#REF!</definedName>
    <definedName name="PBS">#REF!</definedName>
    <definedName name="PRE_LAB" localSheetId="9">#REF!</definedName>
    <definedName name="PRE_LAB" localSheetId="6">#REF!</definedName>
    <definedName name="PRE_LAB" localSheetId="15">#REF!</definedName>
    <definedName name="PRE_LAB" localSheetId="5">#REF!</definedName>
    <definedName name="PRE_LAB" localSheetId="14">#REF!</definedName>
    <definedName name="PRE_LAB" localSheetId="11">#REF!</definedName>
    <definedName name="PRE_LAB">#REF!</definedName>
    <definedName name="PRE_MAT" localSheetId="9">#REF!</definedName>
    <definedName name="PRE_MAT" localSheetId="6">#REF!</definedName>
    <definedName name="PRE_MAT" localSheetId="15">#REF!</definedName>
    <definedName name="PRE_MAT" localSheetId="14">#REF!</definedName>
    <definedName name="PRE_MAT" localSheetId="11">#REF!</definedName>
    <definedName name="PRE_MAT">#REF!</definedName>
    <definedName name="_xlnm.Print_Area" localSheetId="10">HARDSCAPE!$A$1:$P$86</definedName>
    <definedName name="_xlnm.Print_Area" localSheetId="8">'RC1_San+FP'!$A$1:$N$438</definedName>
    <definedName name="_xlnm.Print_Area" localSheetId="15">'RKCA1_AV '!$A$1:$N$371</definedName>
    <definedName name="_xlnm.Print_Area" localSheetId="5">'RKCA1_Built-in'!$A$1:$N$685</definedName>
    <definedName name="_xlnm.Print_Area" localSheetId="16">RKCA1_CURTAIN!$A$1:$M$142</definedName>
    <definedName name="_xlnm.Print_Area" localSheetId="7">RKCA1_Ele!$A$1:$N$1331</definedName>
    <definedName name="_xlnm.Print_Area" localSheetId="4">RKCA1_Interior!$A$1:$N$195</definedName>
    <definedName name="_xlnm.Print_Area" localSheetId="14">'RKCA1_LE &amp;FB'!$A$1:$M$86</definedName>
    <definedName name="_xlnm.Print_Area" localSheetId="13">RKCA1_LF!$A$1:$M$226</definedName>
    <definedName name="_xlnm.Print_Area" localSheetId="17">RKCA1_SIGNAGE!$A$1:$N$86</definedName>
    <definedName name="_xlnm.Print_Area" localSheetId="2">'RKCA1_ปร.5 (ก)'!$A$1:$F$34</definedName>
    <definedName name="_xlnm.Print_Area" localSheetId="18">SOFTSCAPE!$A$1:$N$142</definedName>
    <definedName name="_xlnm.Print_Area" localSheetId="11">'แบบ ปร.5(ข)'!$A$1:$F$28</definedName>
    <definedName name="_xlnm.Print_Area" localSheetId="1">'แบบ ปร.6'!$A$1:$E$30</definedName>
    <definedName name="_xlnm.Print_Area">#REF!</definedName>
    <definedName name="PRINT_AREA_MI" localSheetId="9">#REF!</definedName>
    <definedName name="PRINT_AREA_MI" localSheetId="6">#REF!</definedName>
    <definedName name="PRINT_AREA_MI" localSheetId="12">#REF!</definedName>
    <definedName name="PRINT_AREA_MI" localSheetId="15">#REF!</definedName>
    <definedName name="PRINT_AREA_MI" localSheetId="14">#REF!</definedName>
    <definedName name="PRINT_AREA_MI" localSheetId="11">#REF!</definedName>
    <definedName name="PRINT_AREA_MI">#REF!</definedName>
    <definedName name="_xlnm.Print_Titles" localSheetId="10">HARDSCAPE!$5:$6</definedName>
    <definedName name="_xlnm.Print_Titles" localSheetId="8">'RC1_San+FP'!$5:$6</definedName>
    <definedName name="_xlnm.Print_Titles" localSheetId="15">'RKCA1_AV '!$5:$6</definedName>
    <definedName name="_xlnm.Print_Titles" localSheetId="5">'RKCA1_Built-in'!$5:$6</definedName>
    <definedName name="_xlnm.Print_Titles" localSheetId="16">RKCA1_CURTAIN!$5:$6</definedName>
    <definedName name="_xlnm.Print_Titles" localSheetId="7">RKCA1_Ele!$5:$6</definedName>
    <definedName name="_xlnm.Print_Titles" localSheetId="4">RKCA1_Interior!$5:$6</definedName>
    <definedName name="_xlnm.Print_Titles" localSheetId="14">'RKCA1_LE &amp;FB'!$5:$6</definedName>
    <definedName name="_xlnm.Print_Titles" localSheetId="13">RKCA1_LF!$5:$6</definedName>
    <definedName name="_xlnm.Print_Titles" localSheetId="17">RKCA1_SIGNAGE!$5:$6</definedName>
    <definedName name="_xlnm.Print_Titles" localSheetId="18">SOFTSCAPE!$5:$6</definedName>
    <definedName name="_xlnm.Print_Titles" localSheetId="11">'แบบ ปร.5(ข)'!$1:$10</definedName>
    <definedName name="_xlnm.Print_Titles">#REF!</definedName>
    <definedName name="PRINT_TITLES_MI" localSheetId="9">#REF!</definedName>
    <definedName name="PRINT_TITLES_MI" localSheetId="6">#REF!</definedName>
    <definedName name="PRINT_TITLES_MI" localSheetId="12">#REF!</definedName>
    <definedName name="PRINT_TITLES_MI" localSheetId="15">#REF!</definedName>
    <definedName name="PRINT_TITLES_MI" localSheetId="14">#REF!</definedName>
    <definedName name="PRINT_TITLES_MI" localSheetId="11">#REF!</definedName>
    <definedName name="PRINT_TITLES_MI">#REF!</definedName>
    <definedName name="STRUC_LAB" localSheetId="6">#REF!</definedName>
    <definedName name="STRUC_LAB" localSheetId="12">#REF!</definedName>
    <definedName name="STRUC_LAB" localSheetId="15">#REF!</definedName>
    <definedName name="STRUC_LAB" localSheetId="11">#REF!</definedName>
    <definedName name="STRUC_LAB">#REF!</definedName>
    <definedName name="STRUC_MAT">#REF!</definedName>
    <definedName name="SWP">#REF!</definedName>
    <definedName name="te" localSheetId="9">#REF!</definedName>
    <definedName name="te" localSheetId="6">#REF!</definedName>
    <definedName name="te" localSheetId="15">#REF!</definedName>
    <definedName name="te" localSheetId="5">#REF!</definedName>
    <definedName name="te" localSheetId="14">#REF!</definedName>
    <definedName name="te" localSheetId="11">#REF!</definedName>
    <definedName name="te">#REF!</definedName>
    <definedName name="WWT" localSheetId="6">#REF!</definedName>
    <definedName name="WWT" localSheetId="15">#REF!</definedName>
    <definedName name="WWT" localSheetId="5">#REF!</definedName>
    <definedName name="WWT" localSheetId="14">#REF!</definedName>
    <definedName name="WWT" localSheetId="11">#REF!</definedName>
    <definedName name="WWT">#REF!</definedName>
    <definedName name="xAdcad" localSheetId="9">#REF!</definedName>
    <definedName name="xAdcad" localSheetId="6">#REF!</definedName>
    <definedName name="xAdcad" localSheetId="15">#REF!</definedName>
    <definedName name="xAdcad" localSheetId="5">#REF!</definedName>
    <definedName name="xAdcad" localSheetId="14">#REF!</definedName>
    <definedName name="xAdcad" localSheetId="11">#REF!</definedName>
    <definedName name="xAdcad">#REF!</definedName>
    <definedName name="y" localSheetId="9">#REF!</definedName>
    <definedName name="y" localSheetId="3">#REF!</definedName>
    <definedName name="y" localSheetId="8">#REF!</definedName>
    <definedName name="y" localSheetId="6">#REF!</definedName>
    <definedName name="y" localSheetId="12">#REF!</definedName>
    <definedName name="y" localSheetId="15">#REF!</definedName>
    <definedName name="y" localSheetId="5">#REF!</definedName>
    <definedName name="y" localSheetId="7">#REF!</definedName>
    <definedName name="y" localSheetId="14">#REF!</definedName>
    <definedName name="y" localSheetId="2">#REF!</definedName>
    <definedName name="y" localSheetId="11">#REF!</definedName>
    <definedName name="y" localSheetId="1">#REF!</definedName>
    <definedName name="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79" l="1" a="1"/>
  <c r="E12" i="79"/>
  <c r="E30" i="79" a="1"/>
  <c r="E30" i="79"/>
  <c r="E964" i="79" a="1"/>
  <c r="E964" i="79"/>
  <c r="E889" i="79" a="1"/>
  <c r="E889" i="79"/>
  <c r="E1423" i="79" a="1"/>
  <c r="E1423" i="79"/>
  <c r="E1234" i="79" a="1"/>
  <c r="E1234" i="79"/>
  <c r="G1234" i="79"/>
  <c r="H1234" i="79"/>
  <c r="I1234" i="79"/>
  <c r="J1234" i="79"/>
  <c r="K1234" i="79"/>
  <c r="E1235" i="79" a="1"/>
  <c r="E1235" i="79"/>
  <c r="G1235" i="79"/>
  <c r="H1235" i="79"/>
  <c r="I1235" i="79"/>
  <c r="J1235" i="79"/>
  <c r="K1235" i="79"/>
  <c r="E1236" i="79" a="1"/>
  <c r="E1236" i="79"/>
  <c r="G1236" i="79"/>
  <c r="H1236" i="79"/>
  <c r="I1236" i="79"/>
  <c r="J1236" i="79"/>
  <c r="K1236" i="79"/>
  <c r="E1237" i="79" a="1"/>
  <c r="E1237" i="79"/>
  <c r="G1237" i="79"/>
  <c r="H1237" i="79"/>
  <c r="I1237" i="79"/>
  <c r="J1237" i="79"/>
  <c r="K1237" i="79"/>
  <c r="E1238" i="79" a="1"/>
  <c r="E1238" i="79"/>
  <c r="G1238" i="79"/>
  <c r="H1238" i="79"/>
  <c r="I1238" i="79"/>
  <c r="J1238" i="79"/>
  <c r="K1238" i="79"/>
  <c r="E1239" i="79" a="1"/>
  <c r="E1239" i="79"/>
  <c r="G1239" i="79"/>
  <c r="H1239" i="79"/>
  <c r="I1239" i="79"/>
  <c r="J1239" i="79"/>
  <c r="K1239" i="79"/>
  <c r="E1240" i="79" a="1"/>
  <c r="E1240" i="79"/>
  <c r="G1240" i="79"/>
  <c r="H1240" i="79"/>
  <c r="I1240" i="79"/>
  <c r="J1240" i="79"/>
  <c r="K1240" i="79"/>
  <c r="E1241" i="79" a="1"/>
  <c r="E1241" i="79"/>
  <c r="G1241" i="79"/>
  <c r="H1241" i="79"/>
  <c r="I1241" i="79"/>
  <c r="J1241" i="79"/>
  <c r="K1241" i="79"/>
  <c r="E1242" i="79" a="1"/>
  <c r="E1242" i="79"/>
  <c r="G1242" i="79"/>
  <c r="H1242" i="79"/>
  <c r="I1242" i="79"/>
  <c r="J1242" i="79"/>
  <c r="K1242" i="79"/>
  <c r="E1243" i="79" a="1"/>
  <c r="E1243" i="79"/>
  <c r="G1243" i="79"/>
  <c r="H1243" i="79"/>
  <c r="I1243" i="79"/>
  <c r="J1243" i="79"/>
  <c r="K1243" i="79"/>
  <c r="E1244" i="79" a="1"/>
  <c r="E1244" i="79"/>
  <c r="G1244" i="79"/>
  <c r="H1244" i="79"/>
  <c r="I1244" i="79"/>
  <c r="J1244" i="79"/>
  <c r="K1244" i="79"/>
  <c r="E1245" i="79" a="1"/>
  <c r="E1245" i="79"/>
  <c r="G1245" i="79"/>
  <c r="H1245" i="79"/>
  <c r="I1245" i="79"/>
  <c r="J1245" i="79"/>
  <c r="K1245" i="79"/>
  <c r="E1246" i="79" a="1"/>
  <c r="E1246" i="79"/>
  <c r="G1246" i="79"/>
  <c r="H1246" i="79"/>
  <c r="I1246" i="79"/>
  <c r="J1246" i="79"/>
  <c r="K1246" i="79"/>
  <c r="E1247" i="79" a="1"/>
  <c r="E1247" i="79"/>
  <c r="G1247" i="79"/>
  <c r="H1247" i="79"/>
  <c r="I1247" i="79"/>
  <c r="J1247" i="79"/>
  <c r="K1247" i="79"/>
  <c r="E1248" i="79" a="1"/>
  <c r="E1248" i="79"/>
  <c r="G1248" i="79"/>
  <c r="H1248" i="79"/>
  <c r="I1248" i="79"/>
  <c r="J1248" i="79"/>
  <c r="K1248" i="79"/>
  <c r="E1249" i="79" a="1"/>
  <c r="E1249" i="79"/>
  <c r="G1249" i="79"/>
  <c r="H1249" i="79"/>
  <c r="I1249" i="79"/>
  <c r="J1249" i="79"/>
  <c r="K1249" i="79"/>
  <c r="E1250" i="79" a="1"/>
  <c r="E1250" i="79"/>
  <c r="G1250" i="79"/>
  <c r="H1250" i="79"/>
  <c r="I1250" i="79"/>
  <c r="J1250" i="79"/>
  <c r="K1250" i="79"/>
  <c r="E1251" i="79" a="1"/>
  <c r="E1251" i="79"/>
  <c r="G1251" i="79"/>
  <c r="H1251" i="79"/>
  <c r="I1251" i="79"/>
  <c r="J1251" i="79"/>
  <c r="K1251" i="79"/>
  <c r="E1252" i="79" a="1"/>
  <c r="E1252" i="79"/>
  <c r="G1252" i="79"/>
  <c r="H1252" i="79"/>
  <c r="I1252" i="79"/>
  <c r="J1252" i="79"/>
  <c r="K1252" i="79"/>
  <c r="E1253" i="79" a="1"/>
  <c r="E1253" i="79"/>
  <c r="G1253" i="79"/>
  <c r="H1253" i="79"/>
  <c r="I1253" i="79"/>
  <c r="J1253" i="79"/>
  <c r="K1253" i="79"/>
  <c r="E1254" i="79" a="1"/>
  <c r="E1254" i="79"/>
  <c r="G1254" i="79"/>
  <c r="H1254" i="79"/>
  <c r="I1254" i="79"/>
  <c r="J1254" i="79"/>
  <c r="K1254" i="79"/>
  <c r="E1255" i="79" a="1"/>
  <c r="E1255" i="79"/>
  <c r="G1255" i="79"/>
  <c r="H1255" i="79"/>
  <c r="I1255" i="79"/>
  <c r="J1255" i="79"/>
  <c r="K1255" i="79"/>
  <c r="E1256" i="79" a="1"/>
  <c r="E1256" i="79"/>
  <c r="G1256" i="79"/>
  <c r="H1256" i="79"/>
  <c r="I1256" i="79"/>
  <c r="J1256" i="79"/>
  <c r="K1256" i="79"/>
  <c r="E1257" i="79" a="1"/>
  <c r="E1257" i="79"/>
  <c r="G1257" i="79"/>
  <c r="H1257" i="79"/>
  <c r="I1257" i="79"/>
  <c r="J1257" i="79"/>
  <c r="K1257" i="79"/>
  <c r="E1258" i="79" a="1"/>
  <c r="E1258" i="79"/>
  <c r="G1258" i="79"/>
  <c r="H1258" i="79"/>
  <c r="I1258" i="79"/>
  <c r="J1258" i="79"/>
  <c r="K1258" i="79"/>
  <c r="E1259" i="79" a="1"/>
  <c r="E1259" i="79"/>
  <c r="G1259" i="79"/>
  <c r="H1259" i="79"/>
  <c r="I1259" i="79"/>
  <c r="J1259" i="79"/>
  <c r="K1259" i="79"/>
  <c r="E1260" i="79" a="1"/>
  <c r="E1260" i="79"/>
  <c r="G1260" i="79"/>
  <c r="H1260" i="79"/>
  <c r="I1260" i="79"/>
  <c r="J1260" i="79"/>
  <c r="K1260" i="79"/>
  <c r="E1261" i="79" a="1"/>
  <c r="E1261" i="79"/>
  <c r="G1261" i="79"/>
  <c r="H1261" i="79"/>
  <c r="I1261" i="79"/>
  <c r="J1261" i="79"/>
  <c r="K1261" i="79"/>
  <c r="E1262" i="79" a="1"/>
  <c r="E1262" i="79"/>
  <c r="G1262" i="79"/>
  <c r="H1262" i="79"/>
  <c r="I1262" i="79"/>
  <c r="J1262" i="79"/>
  <c r="K1262" i="79"/>
  <c r="E1263" i="79" a="1"/>
  <c r="E1263" i="79"/>
  <c r="G1263" i="79"/>
  <c r="H1263" i="79"/>
  <c r="I1263" i="79"/>
  <c r="J1263" i="79"/>
  <c r="K1263" i="79"/>
  <c r="E1264" i="79" a="1"/>
  <c r="E1264" i="79"/>
  <c r="G1264" i="79"/>
  <c r="H1264" i="79"/>
  <c r="I1264" i="79"/>
  <c r="J1264" i="79"/>
  <c r="K1264" i="79"/>
  <c r="E1269" i="79" a="1"/>
  <c r="E1269" i="79"/>
  <c r="G1269" i="79"/>
  <c r="H1269" i="79"/>
  <c r="I1269" i="79"/>
  <c r="J1269" i="79"/>
  <c r="K1269" i="79"/>
  <c r="E1270" i="79" a="1"/>
  <c r="E1270" i="79"/>
  <c r="G1270" i="79"/>
  <c r="H1270" i="79"/>
  <c r="I1270" i="79"/>
  <c r="J1270" i="79"/>
  <c r="K1270" i="79"/>
  <c r="E1271" i="79" a="1"/>
  <c r="E1271" i="79"/>
  <c r="G1271" i="79"/>
  <c r="H1271" i="79"/>
  <c r="I1271" i="79"/>
  <c r="J1271" i="79"/>
  <c r="K1271" i="79"/>
  <c r="E1272" i="79" a="1"/>
  <c r="E1272" i="79"/>
  <c r="G1272" i="79"/>
  <c r="H1272" i="79"/>
  <c r="I1272" i="79"/>
  <c r="J1272" i="79"/>
  <c r="K1272" i="79"/>
  <c r="E1273" i="79" a="1"/>
  <c r="E1273" i="79"/>
  <c r="G1273" i="79"/>
  <c r="H1273" i="79"/>
  <c r="I1273" i="79"/>
  <c r="J1273" i="79"/>
  <c r="K1273" i="79"/>
  <c r="E1274" i="79" a="1"/>
  <c r="E1274" i="79"/>
  <c r="G1274" i="79"/>
  <c r="H1274" i="79"/>
  <c r="I1274" i="79"/>
  <c r="J1274" i="79"/>
  <c r="K1274" i="79"/>
  <c r="E1275" i="79" a="1"/>
  <c r="E1275" i="79"/>
  <c r="G1275" i="79"/>
  <c r="H1275" i="79"/>
  <c r="I1275" i="79"/>
  <c r="J1275" i="79"/>
  <c r="K1275" i="79"/>
  <c r="E1276" i="79" a="1"/>
  <c r="E1276" i="79"/>
  <c r="G1276" i="79"/>
  <c r="H1276" i="79"/>
  <c r="I1276" i="79"/>
  <c r="J1276" i="79"/>
  <c r="K1276" i="79"/>
  <c r="E1277" i="79" a="1"/>
  <c r="E1277" i="79"/>
  <c r="G1277" i="79"/>
  <c r="H1277" i="79"/>
  <c r="I1277" i="79"/>
  <c r="J1277" i="79"/>
  <c r="K1277" i="79"/>
  <c r="E1278" i="79" a="1"/>
  <c r="E1278" i="79"/>
  <c r="G1278" i="79"/>
  <c r="H1278" i="79"/>
  <c r="I1278" i="79"/>
  <c r="J1278" i="79"/>
  <c r="K1278" i="79"/>
  <c r="E1279" i="79" a="1"/>
  <c r="E1279" i="79"/>
  <c r="G1279" i="79"/>
  <c r="H1279" i="79"/>
  <c r="I1279" i="79"/>
  <c r="J1279" i="79"/>
  <c r="K1279" i="79"/>
  <c r="E1280" i="79" a="1"/>
  <c r="E1280" i="79"/>
  <c r="G1280" i="79"/>
  <c r="H1280" i="79"/>
  <c r="I1280" i="79"/>
  <c r="J1280" i="79"/>
  <c r="K1280" i="79"/>
  <c r="E1281" i="79" a="1"/>
  <c r="E1281" i="79"/>
  <c r="G1281" i="79"/>
  <c r="H1281" i="79"/>
  <c r="I1281" i="79"/>
  <c r="J1281" i="79"/>
  <c r="K1281" i="79"/>
  <c r="E1282" i="79" a="1"/>
  <c r="E1282" i="79"/>
  <c r="G1282" i="79"/>
  <c r="H1282" i="79"/>
  <c r="I1282" i="79"/>
  <c r="J1282" i="79"/>
  <c r="K1282" i="79"/>
  <c r="E1283" i="79" a="1"/>
  <c r="E1283" i="79"/>
  <c r="G1283" i="79"/>
  <c r="H1283" i="79"/>
  <c r="I1283" i="79"/>
  <c r="J1283" i="79"/>
  <c r="K1283" i="79"/>
  <c r="E1284" i="79" a="1"/>
  <c r="E1284" i="79"/>
  <c r="G1284" i="79"/>
  <c r="H1284" i="79"/>
  <c r="I1284" i="79"/>
  <c r="J1284" i="79"/>
  <c r="K1284" i="79"/>
  <c r="E1285" i="79" a="1"/>
  <c r="E1285" i="79"/>
  <c r="G1285" i="79"/>
  <c r="H1285" i="79"/>
  <c r="I1285" i="79"/>
  <c r="J1285" i="79"/>
  <c r="K1285" i="79"/>
  <c r="E1286" i="79" a="1"/>
  <c r="E1286" i="79"/>
  <c r="G1286" i="79"/>
  <c r="H1286" i="79"/>
  <c r="I1286" i="79"/>
  <c r="J1286" i="79"/>
  <c r="K1286" i="79"/>
  <c r="E1287" i="79" a="1"/>
  <c r="E1287" i="79"/>
  <c r="G1287" i="79"/>
  <c r="H1287" i="79"/>
  <c r="I1287" i="79"/>
  <c r="J1287" i="79"/>
  <c r="K1287" i="79"/>
  <c r="E1288" i="79" a="1"/>
  <c r="E1288" i="79"/>
  <c r="G1288" i="79"/>
  <c r="H1288" i="79"/>
  <c r="I1288" i="79"/>
  <c r="J1288" i="79"/>
  <c r="K1288" i="79"/>
  <c r="E1289" i="79" a="1"/>
  <c r="E1289" i="79"/>
  <c r="G1289" i="79"/>
  <c r="H1289" i="79"/>
  <c r="I1289" i="79"/>
  <c r="J1289" i="79"/>
  <c r="K1289" i="79"/>
  <c r="E1290" i="79" a="1"/>
  <c r="E1290" i="79"/>
  <c r="G1290" i="79"/>
  <c r="H1290" i="79"/>
  <c r="I1290" i="79"/>
  <c r="J1290" i="79"/>
  <c r="K1290" i="79"/>
  <c r="E1291" i="79" a="1"/>
  <c r="E1291" i="79"/>
  <c r="G1291" i="79"/>
  <c r="H1291" i="79"/>
  <c r="I1291" i="79"/>
  <c r="J1291" i="79"/>
  <c r="K1291" i="79"/>
  <c r="E1292" i="79" a="1"/>
  <c r="E1292" i="79"/>
  <c r="G1292" i="79"/>
  <c r="H1292" i="79"/>
  <c r="I1292" i="79"/>
  <c r="J1292" i="79"/>
  <c r="K1292" i="79"/>
  <c r="E1293" i="79" a="1"/>
  <c r="E1293" i="79"/>
  <c r="G1293" i="79"/>
  <c r="H1293" i="79"/>
  <c r="I1293" i="79"/>
  <c r="J1293" i="79"/>
  <c r="K1293" i="79"/>
  <c r="E1294" i="79" a="1"/>
  <c r="E1294" i="79"/>
  <c r="G1294" i="79"/>
  <c r="H1294" i="79"/>
  <c r="I1294" i="79"/>
  <c r="J1294" i="79"/>
  <c r="K1294" i="79"/>
  <c r="E1295" i="79" a="1"/>
  <c r="E1295" i="79"/>
  <c r="G1295" i="79"/>
  <c r="H1295" i="79"/>
  <c r="I1295" i="79"/>
  <c r="J1295" i="79"/>
  <c r="K1295" i="79"/>
  <c r="E1296" i="79" a="1"/>
  <c r="E1296" i="79"/>
  <c r="G1296" i="79"/>
  <c r="H1296" i="79"/>
  <c r="I1296" i="79"/>
  <c r="J1296" i="79"/>
  <c r="K1296" i="79"/>
  <c r="E1298" i="79" a="1"/>
  <c r="E1298" i="79"/>
  <c r="G1298" i="79"/>
  <c r="H1298" i="79"/>
  <c r="I1298" i="79"/>
  <c r="J1298" i="79"/>
  <c r="K1298" i="79"/>
  <c r="E1299" i="79" a="1"/>
  <c r="E1299" i="79"/>
  <c r="G1299" i="79"/>
  <c r="H1299" i="79"/>
  <c r="I1299" i="79"/>
  <c r="J1299" i="79"/>
  <c r="K1299" i="79"/>
  <c r="E1300" i="79" a="1"/>
  <c r="E1300" i="79"/>
  <c r="G1300" i="79"/>
  <c r="H1300" i="79"/>
  <c r="I1300" i="79"/>
  <c r="J1300" i="79"/>
  <c r="K1300" i="79"/>
  <c r="E1301" i="79" a="1"/>
  <c r="E1301" i="79"/>
  <c r="G1301" i="79"/>
  <c r="H1301" i="79"/>
  <c r="I1301" i="79"/>
  <c r="J1301" i="79"/>
  <c r="K1301" i="79"/>
  <c r="E1302" i="79" a="1"/>
  <c r="E1302" i="79"/>
  <c r="G1302" i="79"/>
  <c r="H1302" i="79"/>
  <c r="I1302" i="79"/>
  <c r="J1302" i="79"/>
  <c r="K1302" i="79"/>
  <c r="E1303" i="79" a="1"/>
  <c r="E1303" i="79"/>
  <c r="G1303" i="79"/>
  <c r="H1303" i="79"/>
  <c r="I1303" i="79"/>
  <c r="J1303" i="79"/>
  <c r="K1303" i="79"/>
  <c r="E1304" i="79" a="1"/>
  <c r="E1304" i="79"/>
  <c r="G1304" i="79"/>
  <c r="H1304" i="79"/>
  <c r="I1304" i="79"/>
  <c r="J1304" i="79"/>
  <c r="K1304" i="79"/>
  <c r="E1305" i="79" a="1"/>
  <c r="E1305" i="79"/>
  <c r="G1305" i="79"/>
  <c r="H1305" i="79"/>
  <c r="I1305" i="79"/>
  <c r="J1305" i="79"/>
  <c r="K1305" i="79"/>
  <c r="E1306" i="79" a="1"/>
  <c r="E1306" i="79"/>
  <c r="G1306" i="79"/>
  <c r="H1306" i="79"/>
  <c r="I1306" i="79"/>
  <c r="J1306" i="79"/>
  <c r="K1306" i="79"/>
  <c r="E1307" i="79" a="1"/>
  <c r="E1307" i="79"/>
  <c r="G1307" i="79"/>
  <c r="H1307" i="79"/>
  <c r="I1307" i="79"/>
  <c r="J1307" i="79"/>
  <c r="K1307" i="79"/>
  <c r="E1308" i="79" a="1"/>
  <c r="E1308" i="79"/>
  <c r="G1308" i="79"/>
  <c r="H1308" i="79"/>
  <c r="I1308" i="79"/>
  <c r="J1308" i="79"/>
  <c r="K1308" i="79"/>
  <c r="E1309" i="79" a="1"/>
  <c r="E1309" i="79"/>
  <c r="G1309" i="79"/>
  <c r="H1309" i="79"/>
  <c r="I1309" i="79"/>
  <c r="J1309" i="79"/>
  <c r="K1309" i="79"/>
  <c r="E1310" i="79" a="1"/>
  <c r="E1310" i="79"/>
  <c r="G1310" i="79"/>
  <c r="H1310" i="79"/>
  <c r="I1310" i="79"/>
  <c r="J1310" i="79"/>
  <c r="K1310" i="79"/>
  <c r="E1311" i="79" a="1"/>
  <c r="E1311" i="79"/>
  <c r="G1311" i="79"/>
  <c r="H1311" i="79"/>
  <c r="I1311" i="79"/>
  <c r="J1311" i="79"/>
  <c r="K1311" i="79"/>
  <c r="E1312" i="79" a="1"/>
  <c r="E1312" i="79"/>
  <c r="G1312" i="79"/>
  <c r="H1312" i="79"/>
  <c r="I1312" i="79"/>
  <c r="J1312" i="79"/>
  <c r="K1312" i="79"/>
  <c r="E1313" i="79" a="1"/>
  <c r="E1313" i="79"/>
  <c r="G1313" i="79"/>
  <c r="H1313" i="79"/>
  <c r="I1313" i="79"/>
  <c r="J1313" i="79"/>
  <c r="K1313" i="79"/>
  <c r="E1314" i="79" a="1"/>
  <c r="E1314" i="79"/>
  <c r="G1314" i="79"/>
  <c r="H1314" i="79"/>
  <c r="I1314" i="79"/>
  <c r="J1314" i="79"/>
  <c r="K1314" i="79"/>
  <c r="E1315" i="79" a="1"/>
  <c r="E1315" i="79"/>
  <c r="G1315" i="79"/>
  <c r="H1315" i="79"/>
  <c r="I1315" i="79"/>
  <c r="J1315" i="79"/>
  <c r="K1315" i="79"/>
  <c r="E1316" i="79" a="1"/>
  <c r="E1316" i="79"/>
  <c r="G1316" i="79"/>
  <c r="H1316" i="79"/>
  <c r="I1316" i="79"/>
  <c r="J1316" i="79"/>
  <c r="K1316" i="79"/>
  <c r="E1317" i="79" a="1"/>
  <c r="E1317" i="79"/>
  <c r="G1317" i="79"/>
  <c r="H1317" i="79"/>
  <c r="I1317" i="79"/>
  <c r="J1317" i="79"/>
  <c r="K1317" i="79"/>
  <c r="E1318" i="79" a="1"/>
  <c r="E1318" i="79"/>
  <c r="G1318" i="79"/>
  <c r="H1318" i="79"/>
  <c r="I1318" i="79"/>
  <c r="J1318" i="79"/>
  <c r="K1318" i="79"/>
  <c r="E1319" i="79" a="1"/>
  <c r="E1319" i="79"/>
  <c r="G1319" i="79"/>
  <c r="H1319" i="79"/>
  <c r="I1319" i="79"/>
  <c r="J1319" i="79"/>
  <c r="K1319" i="79"/>
  <c r="E1320" i="79" a="1"/>
  <c r="E1320" i="79"/>
  <c r="G1320" i="79"/>
  <c r="H1320" i="79"/>
  <c r="I1320" i="79"/>
  <c r="J1320" i="79"/>
  <c r="K1320" i="79"/>
  <c r="E1321" i="79" a="1"/>
  <c r="E1321" i="79"/>
  <c r="G1321" i="79"/>
  <c r="H1321" i="79"/>
  <c r="I1321" i="79"/>
  <c r="J1321" i="79"/>
  <c r="K1321" i="79"/>
  <c r="E1322" i="79" a="1"/>
  <c r="E1322" i="79"/>
  <c r="G1322" i="79"/>
  <c r="H1322" i="79"/>
  <c r="I1322" i="79"/>
  <c r="J1322" i="79"/>
  <c r="K1322" i="79"/>
  <c r="E1323" i="79" a="1"/>
  <c r="E1323" i="79"/>
  <c r="G1323" i="79"/>
  <c r="H1323" i="79"/>
  <c r="I1323" i="79"/>
  <c r="J1323" i="79"/>
  <c r="K1323" i="79"/>
  <c r="E1324" i="79" a="1"/>
  <c r="E1324" i="79"/>
  <c r="G1324" i="79"/>
  <c r="H1324" i="79"/>
  <c r="I1324" i="79"/>
  <c r="J1324" i="79"/>
  <c r="K1324" i="79"/>
  <c r="E1325" i="79" a="1"/>
  <c r="E1325" i="79"/>
  <c r="G1325" i="79"/>
  <c r="H1325" i="79"/>
  <c r="I1325" i="79"/>
  <c r="J1325" i="79"/>
  <c r="K1325" i="79"/>
  <c r="E1326" i="79" a="1"/>
  <c r="E1326" i="79"/>
  <c r="G1326" i="79"/>
  <c r="H1326" i="79"/>
  <c r="I1326" i="79"/>
  <c r="J1326" i="79"/>
  <c r="K1326" i="79"/>
  <c r="E1327" i="79" a="1"/>
  <c r="E1327" i="79"/>
  <c r="G1327" i="79"/>
  <c r="H1327" i="79"/>
  <c r="I1327" i="79"/>
  <c r="J1327" i="79"/>
  <c r="K1327" i="79"/>
  <c r="E1328" i="79" a="1"/>
  <c r="E1328" i="79"/>
  <c r="G1328" i="79"/>
  <c r="H1328" i="79"/>
  <c r="I1328" i="79"/>
  <c r="J1328" i="79"/>
  <c r="K1328" i="79"/>
  <c r="E1329" i="79" a="1"/>
  <c r="E1329" i="79"/>
  <c r="G1329" i="79"/>
  <c r="H1329" i="79"/>
  <c r="I1329" i="79"/>
  <c r="J1329" i="79"/>
  <c r="K1329" i="79"/>
  <c r="E1330" i="79" a="1"/>
  <c r="E1330" i="79"/>
  <c r="G1330" i="79"/>
  <c r="H1330" i="79"/>
  <c r="I1330" i="79"/>
  <c r="J1330" i="79"/>
  <c r="K1330" i="79"/>
  <c r="E1331" i="79" a="1"/>
  <c r="E1331" i="79"/>
  <c r="G1331" i="79"/>
  <c r="H1331" i="79"/>
  <c r="I1331" i="79"/>
  <c r="J1331" i="79"/>
  <c r="K1331" i="79"/>
  <c r="E1332" i="79" a="1"/>
  <c r="E1332" i="79"/>
  <c r="G1332" i="79"/>
  <c r="H1332" i="79"/>
  <c r="I1332" i="79"/>
  <c r="J1332" i="79"/>
  <c r="K1332" i="79"/>
  <c r="E1333" i="79" a="1"/>
  <c r="E1333" i="79"/>
  <c r="G1333" i="79"/>
  <c r="H1333" i="79"/>
  <c r="I1333" i="79"/>
  <c r="J1333" i="79"/>
  <c r="K1333" i="79"/>
  <c r="E1334" i="79" a="1"/>
  <c r="E1334" i="79"/>
  <c r="G1334" i="79"/>
  <c r="H1334" i="79"/>
  <c r="I1334" i="79"/>
  <c r="J1334" i="79"/>
  <c r="K1334" i="79"/>
  <c r="E1335" i="79" a="1"/>
  <c r="E1335" i="79"/>
  <c r="G1335" i="79"/>
  <c r="H1335" i="79"/>
  <c r="I1335" i="79"/>
  <c r="J1335" i="79"/>
  <c r="K1335" i="79"/>
  <c r="E1336" i="79" a="1"/>
  <c r="E1336" i="79"/>
  <c r="G1336" i="79"/>
  <c r="H1336" i="79"/>
  <c r="I1336" i="79"/>
  <c r="J1336" i="79"/>
  <c r="K1336" i="79"/>
  <c r="E1337" i="79" a="1"/>
  <c r="E1337" i="79"/>
  <c r="G1337" i="79"/>
  <c r="H1337" i="79"/>
  <c r="I1337" i="79"/>
  <c r="J1337" i="79"/>
  <c r="K1337" i="79"/>
  <c r="E1338" i="79" a="1"/>
  <c r="E1338" i="79"/>
  <c r="G1338" i="79"/>
  <c r="H1338" i="79"/>
  <c r="I1338" i="79"/>
  <c r="J1338" i="79"/>
  <c r="K1338" i="79"/>
  <c r="E1339" i="79" a="1"/>
  <c r="E1339" i="79"/>
  <c r="G1339" i="79"/>
  <c r="H1339" i="79"/>
  <c r="I1339" i="79"/>
  <c r="J1339" i="79"/>
  <c r="K1339" i="79"/>
  <c r="E1340" i="79" a="1"/>
  <c r="E1340" i="79"/>
  <c r="G1340" i="79"/>
  <c r="H1340" i="79"/>
  <c r="I1340" i="79"/>
  <c r="J1340" i="79"/>
  <c r="K1340" i="79"/>
  <c r="E1341" i="79" a="1"/>
  <c r="E1341" i="79"/>
  <c r="G1341" i="79"/>
  <c r="H1341" i="79"/>
  <c r="I1341" i="79"/>
  <c r="J1341" i="79"/>
  <c r="K1341" i="79"/>
  <c r="E1342" i="79" a="1"/>
  <c r="E1342" i="79"/>
  <c r="G1342" i="79"/>
  <c r="H1342" i="79"/>
  <c r="I1342" i="79"/>
  <c r="J1342" i="79"/>
  <c r="K1342" i="79"/>
  <c r="E1343" i="79" a="1"/>
  <c r="E1343" i="79"/>
  <c r="G1343" i="79"/>
  <c r="H1343" i="79"/>
  <c r="I1343" i="79"/>
  <c r="J1343" i="79"/>
  <c r="K1343" i="79"/>
  <c r="E1344" i="79" a="1"/>
  <c r="E1344" i="79"/>
  <c r="G1344" i="79"/>
  <c r="H1344" i="79"/>
  <c r="I1344" i="79"/>
  <c r="J1344" i="79"/>
  <c r="K1344" i="79"/>
  <c r="E1345" i="79" a="1"/>
  <c r="E1345" i="79"/>
  <c r="G1345" i="79"/>
  <c r="H1345" i="79"/>
  <c r="I1345" i="79"/>
  <c r="J1345" i="79"/>
  <c r="K1345" i="79"/>
  <c r="E1346" i="79" a="1"/>
  <c r="E1346" i="79"/>
  <c r="G1346" i="79"/>
  <c r="H1346" i="79"/>
  <c r="I1346" i="79"/>
  <c r="J1346" i="79"/>
  <c r="K1346" i="79"/>
  <c r="E1347" i="79" a="1"/>
  <c r="E1347" i="79"/>
  <c r="G1347" i="79"/>
  <c r="H1347" i="79"/>
  <c r="I1347" i="79"/>
  <c r="J1347" i="79"/>
  <c r="K1347" i="79"/>
  <c r="E1348" i="79" a="1"/>
  <c r="E1348" i="79"/>
  <c r="G1348" i="79"/>
  <c r="H1348" i="79"/>
  <c r="I1348" i="79"/>
  <c r="J1348" i="79"/>
  <c r="K1348" i="79"/>
  <c r="E1349" i="79" a="1"/>
  <c r="E1349" i="79"/>
  <c r="G1349" i="79"/>
  <c r="H1349" i="79"/>
  <c r="I1349" i="79"/>
  <c r="J1349" i="79"/>
  <c r="K1349" i="79"/>
  <c r="E1350" i="79" a="1"/>
  <c r="E1350" i="79"/>
  <c r="G1350" i="79"/>
  <c r="H1350" i="79"/>
  <c r="I1350" i="79"/>
  <c r="J1350" i="79"/>
  <c r="K1350" i="79"/>
  <c r="E1351" i="79" a="1"/>
  <c r="E1351" i="79"/>
  <c r="G1351" i="79"/>
  <c r="H1351" i="79"/>
  <c r="I1351" i="79"/>
  <c r="J1351" i="79"/>
  <c r="K1351" i="79"/>
  <c r="E1352" i="79" a="1"/>
  <c r="E1352" i="79"/>
  <c r="G1352" i="79"/>
  <c r="H1352" i="79"/>
  <c r="I1352" i="79"/>
  <c r="J1352" i="79"/>
  <c r="K1352" i="79"/>
  <c r="E1353" i="79" a="1"/>
  <c r="E1353" i="79"/>
  <c r="G1353" i="79"/>
  <c r="H1353" i="79"/>
  <c r="I1353" i="79"/>
  <c r="J1353" i="79"/>
  <c r="K1353" i="79"/>
  <c r="E1354" i="79" a="1"/>
  <c r="E1354" i="79"/>
  <c r="G1354" i="79"/>
  <c r="H1354" i="79"/>
  <c r="I1354" i="79"/>
  <c r="J1354" i="79"/>
  <c r="K1354" i="79"/>
  <c r="E1355" i="79" a="1"/>
  <c r="E1355" i="79"/>
  <c r="G1355" i="79"/>
  <c r="H1355" i="79"/>
  <c r="I1355" i="79"/>
  <c r="J1355" i="79"/>
  <c r="K1355" i="79"/>
  <c r="E1356" i="79" a="1"/>
  <c r="E1356" i="79"/>
  <c r="G1356" i="79"/>
  <c r="H1356" i="79"/>
  <c r="I1356" i="79"/>
  <c r="J1356" i="79"/>
  <c r="K1356" i="79"/>
  <c r="E1357" i="79" a="1"/>
  <c r="E1357" i="79"/>
  <c r="G1357" i="79"/>
  <c r="H1357" i="79"/>
  <c r="I1357" i="79"/>
  <c r="J1357" i="79"/>
  <c r="K1357" i="79"/>
  <c r="E1358" i="79" a="1"/>
  <c r="E1358" i="79"/>
  <c r="G1358" i="79"/>
  <c r="H1358" i="79"/>
  <c r="I1358" i="79"/>
  <c r="J1358" i="79"/>
  <c r="K1358" i="79"/>
  <c r="E1359" i="79" a="1"/>
  <c r="E1359" i="79"/>
  <c r="G1359" i="79"/>
  <c r="H1359" i="79"/>
  <c r="I1359" i="79"/>
  <c r="J1359" i="79"/>
  <c r="K1359" i="79"/>
  <c r="E1360" i="79" a="1"/>
  <c r="E1360" i="79"/>
  <c r="G1360" i="79"/>
  <c r="H1360" i="79"/>
  <c r="I1360" i="79"/>
  <c r="J1360" i="79"/>
  <c r="K1360" i="79"/>
  <c r="E1361" i="79" a="1"/>
  <c r="E1361" i="79"/>
  <c r="G1361" i="79"/>
  <c r="H1361" i="79"/>
  <c r="I1361" i="79"/>
  <c r="J1361" i="79"/>
  <c r="K1361" i="79"/>
  <c r="E1362" i="79" a="1"/>
  <c r="E1362" i="79"/>
  <c r="G1362" i="79"/>
  <c r="H1362" i="79"/>
  <c r="I1362" i="79"/>
  <c r="J1362" i="79"/>
  <c r="K1362" i="79"/>
  <c r="E1363" i="79" a="1"/>
  <c r="E1363" i="79"/>
  <c r="G1363" i="79"/>
  <c r="H1363" i="79"/>
  <c r="I1363" i="79"/>
  <c r="J1363" i="79"/>
  <c r="K1363" i="79"/>
  <c r="E1364" i="79" a="1"/>
  <c r="E1364" i="79"/>
  <c r="G1364" i="79"/>
  <c r="H1364" i="79"/>
  <c r="I1364" i="79"/>
  <c r="J1364" i="79"/>
  <c r="K1364" i="79"/>
  <c r="E1365" i="79" a="1"/>
  <c r="E1365" i="79"/>
  <c r="G1365" i="79"/>
  <c r="H1365" i="79"/>
  <c r="I1365" i="79"/>
  <c r="J1365" i="79"/>
  <c r="K1365" i="79"/>
  <c r="E1366" i="79" a="1"/>
  <c r="E1366" i="79"/>
  <c r="G1366" i="79"/>
  <c r="H1366" i="79"/>
  <c r="I1366" i="79"/>
  <c r="J1366" i="79"/>
  <c r="K1366" i="79"/>
  <c r="E1367" i="79" a="1"/>
  <c r="E1367" i="79"/>
  <c r="G1367" i="79"/>
  <c r="H1367" i="79"/>
  <c r="I1367" i="79"/>
  <c r="J1367" i="79"/>
  <c r="K1367" i="79"/>
  <c r="E1368" i="79" a="1"/>
  <c r="E1368" i="79"/>
  <c r="G1368" i="79"/>
  <c r="H1368" i="79"/>
  <c r="I1368" i="79"/>
  <c r="J1368" i="79"/>
  <c r="K1368" i="79"/>
  <c r="E1369" i="79" a="1"/>
  <c r="E1369" i="79"/>
  <c r="G1369" i="79"/>
  <c r="H1369" i="79"/>
  <c r="I1369" i="79"/>
  <c r="J1369" i="79"/>
  <c r="K1369" i="79"/>
  <c r="E1370" i="79" a="1"/>
  <c r="E1370" i="79"/>
  <c r="G1370" i="79"/>
  <c r="H1370" i="79"/>
  <c r="I1370" i="79"/>
  <c r="J1370" i="79"/>
  <c r="K1370" i="79"/>
  <c r="E1371" i="79" a="1"/>
  <c r="E1371" i="79"/>
  <c r="G1371" i="79"/>
  <c r="H1371" i="79"/>
  <c r="I1371" i="79"/>
  <c r="J1371" i="79"/>
  <c r="K1371" i="79"/>
  <c r="E1372" i="79" a="1"/>
  <c r="E1372" i="79"/>
  <c r="G1372" i="79"/>
  <c r="H1372" i="79"/>
  <c r="I1372" i="79"/>
  <c r="J1372" i="79"/>
  <c r="K1372" i="79"/>
  <c r="E1373" i="79" a="1"/>
  <c r="E1373" i="79"/>
  <c r="G1373" i="79"/>
  <c r="H1373" i="79"/>
  <c r="I1373" i="79"/>
  <c r="J1373" i="79"/>
  <c r="K1373" i="79"/>
  <c r="E1374" i="79" a="1"/>
  <c r="E1374" i="79"/>
  <c r="G1374" i="79"/>
  <c r="H1374" i="79"/>
  <c r="I1374" i="79"/>
  <c r="J1374" i="79"/>
  <c r="K1374" i="79"/>
  <c r="E1375" i="79" a="1"/>
  <c r="E1375" i="79"/>
  <c r="G1375" i="79"/>
  <c r="H1375" i="79"/>
  <c r="I1375" i="79"/>
  <c r="J1375" i="79"/>
  <c r="K1375" i="79"/>
  <c r="E1376" i="79" a="1"/>
  <c r="E1376" i="79"/>
  <c r="G1376" i="79"/>
  <c r="H1376" i="79"/>
  <c r="I1376" i="79"/>
  <c r="J1376" i="79"/>
  <c r="K1376" i="79"/>
  <c r="E1377" i="79" a="1"/>
  <c r="E1377" i="79"/>
  <c r="G1377" i="79"/>
  <c r="H1377" i="79"/>
  <c r="I1377" i="79"/>
  <c r="J1377" i="79"/>
  <c r="K1377" i="79"/>
  <c r="E1378" i="79" a="1"/>
  <c r="E1378" i="79"/>
  <c r="G1378" i="79"/>
  <c r="H1378" i="79"/>
  <c r="I1378" i="79"/>
  <c r="J1378" i="79"/>
  <c r="K1378" i="79"/>
  <c r="E1379" i="79" a="1"/>
  <c r="E1379" i="79"/>
  <c r="G1379" i="79"/>
  <c r="H1379" i="79"/>
  <c r="I1379" i="79"/>
  <c r="J1379" i="79"/>
  <c r="K1379" i="79"/>
  <c r="E1380" i="79" a="1"/>
  <c r="E1380" i="79"/>
  <c r="G1380" i="79"/>
  <c r="H1380" i="79"/>
  <c r="I1380" i="79"/>
  <c r="J1380" i="79"/>
  <c r="K1380" i="79"/>
  <c r="E1381" i="79" a="1"/>
  <c r="E1381" i="79"/>
  <c r="G1381" i="79"/>
  <c r="H1381" i="79"/>
  <c r="I1381" i="79"/>
  <c r="J1381" i="79"/>
  <c r="K1381" i="79"/>
  <c r="E1382" i="79" a="1"/>
  <c r="E1382" i="79"/>
  <c r="G1382" i="79"/>
  <c r="H1382" i="79"/>
  <c r="I1382" i="79"/>
  <c r="J1382" i="79"/>
  <c r="K1382" i="79"/>
  <c r="E1383" i="79" a="1"/>
  <c r="E1383" i="79"/>
  <c r="G1383" i="79"/>
  <c r="H1383" i="79"/>
  <c r="I1383" i="79"/>
  <c r="J1383" i="79"/>
  <c r="K1383" i="79"/>
  <c r="E1384" i="79" a="1"/>
  <c r="E1384" i="79"/>
  <c r="G1384" i="79"/>
  <c r="H1384" i="79"/>
  <c r="I1384" i="79"/>
  <c r="J1384" i="79"/>
  <c r="K1384" i="79"/>
  <c r="E1385" i="79" a="1"/>
  <c r="E1385" i="79"/>
  <c r="G1385" i="79"/>
  <c r="H1385" i="79"/>
  <c r="I1385" i="79"/>
  <c r="J1385" i="79"/>
  <c r="K1385" i="79"/>
  <c r="E1386" i="79" a="1"/>
  <c r="E1386" i="79"/>
  <c r="G1386" i="79"/>
  <c r="H1386" i="79"/>
  <c r="I1386" i="79"/>
  <c r="J1386" i="79"/>
  <c r="K1386" i="79"/>
  <c r="E1387" i="79" a="1"/>
  <c r="E1387" i="79"/>
  <c r="G1387" i="79"/>
  <c r="H1387" i="79"/>
  <c r="I1387" i="79"/>
  <c r="J1387" i="79"/>
  <c r="K1387" i="79"/>
  <c r="E1388" i="79" a="1"/>
  <c r="E1388" i="79"/>
  <c r="G1388" i="79"/>
  <c r="H1388" i="79"/>
  <c r="I1388" i="79"/>
  <c r="J1388" i="79"/>
  <c r="K1388" i="79"/>
  <c r="E1389" i="79" a="1"/>
  <c r="E1389" i="79"/>
  <c r="G1389" i="79"/>
  <c r="H1389" i="79"/>
  <c r="I1389" i="79"/>
  <c r="J1389" i="79"/>
  <c r="K1389" i="79"/>
  <c r="E1390" i="79" a="1"/>
  <c r="E1390" i="79"/>
  <c r="G1390" i="79"/>
  <c r="H1390" i="79"/>
  <c r="I1390" i="79"/>
  <c r="J1390" i="79"/>
  <c r="K1390" i="79"/>
  <c r="E1391" i="79" a="1"/>
  <c r="E1391" i="79"/>
  <c r="G1391" i="79"/>
  <c r="H1391" i="79"/>
  <c r="I1391" i="79"/>
  <c r="J1391" i="79"/>
  <c r="K1391" i="79"/>
  <c r="E1392" i="79" a="1"/>
  <c r="E1392" i="79"/>
  <c r="G1392" i="79"/>
  <c r="H1392" i="79"/>
  <c r="I1392" i="79"/>
  <c r="J1392" i="79"/>
  <c r="K1392" i="79"/>
  <c r="E1393" i="79" a="1"/>
  <c r="E1393" i="79"/>
  <c r="G1393" i="79"/>
  <c r="H1393" i="79"/>
  <c r="I1393" i="79"/>
  <c r="J1393" i="79"/>
  <c r="K1393" i="79"/>
  <c r="E1394" i="79" a="1"/>
  <c r="E1394" i="79"/>
  <c r="G1394" i="79"/>
  <c r="H1394" i="79"/>
  <c r="I1394" i="79"/>
  <c r="J1394" i="79"/>
  <c r="K1394" i="79"/>
  <c r="E1395" i="79" a="1"/>
  <c r="E1395" i="79"/>
  <c r="G1395" i="79"/>
  <c r="H1395" i="79"/>
  <c r="I1395" i="79"/>
  <c r="J1395" i="79"/>
  <c r="K1395" i="79"/>
  <c r="E1396" i="79" a="1"/>
  <c r="E1396" i="79"/>
  <c r="G1396" i="79"/>
  <c r="H1396" i="79"/>
  <c r="I1396" i="79"/>
  <c r="J1396" i="79"/>
  <c r="K1396" i="79"/>
  <c r="E1397" i="79" a="1"/>
  <c r="E1397" i="79"/>
  <c r="G1397" i="79"/>
  <c r="H1397" i="79"/>
  <c r="I1397" i="79"/>
  <c r="J1397" i="79"/>
  <c r="K1397" i="79"/>
  <c r="E1398" i="79" a="1"/>
  <c r="E1398" i="79"/>
  <c r="G1398" i="79"/>
  <c r="H1398" i="79"/>
  <c r="I1398" i="79"/>
  <c r="J1398" i="79"/>
  <c r="K1398" i="79"/>
  <c r="E1399" i="79" a="1"/>
  <c r="E1399" i="79"/>
  <c r="G1399" i="79"/>
  <c r="H1399" i="79"/>
  <c r="I1399" i="79"/>
  <c r="J1399" i="79"/>
  <c r="K1399" i="79"/>
  <c r="E1400" i="79" a="1"/>
  <c r="E1400" i="79"/>
  <c r="G1400" i="79"/>
  <c r="H1400" i="79"/>
  <c r="I1400" i="79"/>
  <c r="J1400" i="79"/>
  <c r="K1400" i="79"/>
  <c r="E1401" i="79" a="1"/>
  <c r="E1401" i="79"/>
  <c r="G1401" i="79"/>
  <c r="H1401" i="79"/>
  <c r="I1401" i="79"/>
  <c r="J1401" i="79"/>
  <c r="K1401" i="79"/>
  <c r="E1402" i="79" a="1"/>
  <c r="E1402" i="79"/>
  <c r="G1402" i="79"/>
  <c r="H1402" i="79"/>
  <c r="I1402" i="79"/>
  <c r="J1402" i="79"/>
  <c r="K1402" i="79"/>
  <c r="E1403" i="79" a="1"/>
  <c r="E1403" i="79"/>
  <c r="G1403" i="79"/>
  <c r="H1403" i="79"/>
  <c r="I1403" i="79"/>
  <c r="J1403" i="79"/>
  <c r="K1403" i="79"/>
  <c r="E1404" i="79" a="1"/>
  <c r="E1404" i="79"/>
  <c r="G1404" i="79"/>
  <c r="H1404" i="79"/>
  <c r="I1404" i="79"/>
  <c r="J1404" i="79"/>
  <c r="K1404" i="79"/>
  <c r="E1405" i="79" a="1"/>
  <c r="E1405" i="79"/>
  <c r="G1405" i="79"/>
  <c r="H1405" i="79"/>
  <c r="I1405" i="79"/>
  <c r="J1405" i="79"/>
  <c r="K1405" i="79"/>
  <c r="E1406" i="79" a="1"/>
  <c r="E1406" i="79"/>
  <c r="G1406" i="79"/>
  <c r="H1406" i="79"/>
  <c r="I1406" i="79"/>
  <c r="J1406" i="79"/>
  <c r="K1406" i="79"/>
  <c r="E1407" i="79" a="1"/>
  <c r="E1407" i="79"/>
  <c r="G1407" i="79"/>
  <c r="H1407" i="79"/>
  <c r="I1407" i="79"/>
  <c r="J1407" i="79"/>
  <c r="K1407" i="79"/>
  <c r="E1408" i="79" a="1"/>
  <c r="E1408" i="79"/>
  <c r="G1408" i="79"/>
  <c r="H1408" i="79"/>
  <c r="I1408" i="79"/>
  <c r="J1408" i="79"/>
  <c r="K1408" i="79"/>
  <c r="E1409" i="79" a="1"/>
  <c r="E1409" i="79"/>
  <c r="G1409" i="79"/>
  <c r="H1409" i="79"/>
  <c r="I1409" i="79"/>
  <c r="J1409" i="79"/>
  <c r="K1409" i="79"/>
  <c r="E1410" i="79" a="1"/>
  <c r="E1410" i="79"/>
  <c r="G1410" i="79"/>
  <c r="H1410" i="79"/>
  <c r="I1410" i="79"/>
  <c r="J1410" i="79"/>
  <c r="K1410" i="79"/>
  <c r="E1411" i="79" a="1"/>
  <c r="E1411" i="79"/>
  <c r="G1411" i="79"/>
  <c r="H1411" i="79"/>
  <c r="I1411" i="79"/>
  <c r="J1411" i="79"/>
  <c r="K1411" i="79"/>
  <c r="E1412" i="79" a="1"/>
  <c r="E1412" i="79"/>
  <c r="G1412" i="79"/>
  <c r="H1412" i="79"/>
  <c r="I1412" i="79"/>
  <c r="J1412" i="79"/>
  <c r="K1412" i="79"/>
  <c r="E1413" i="79" a="1"/>
  <c r="E1413" i="79"/>
  <c r="G1413" i="79"/>
  <c r="H1413" i="79"/>
  <c r="I1413" i="79"/>
  <c r="J1413" i="79"/>
  <c r="K1413" i="79"/>
  <c r="E1414" i="79" a="1"/>
  <c r="E1414" i="79"/>
  <c r="G1414" i="79"/>
  <c r="H1414" i="79"/>
  <c r="I1414" i="79"/>
  <c r="J1414" i="79"/>
  <c r="K1414" i="79"/>
  <c r="E1415" i="79" a="1"/>
  <c r="E1415" i="79"/>
  <c r="G1415" i="79"/>
  <c r="H1415" i="79"/>
  <c r="I1415" i="79"/>
  <c r="J1415" i="79"/>
  <c r="K1415" i="79"/>
  <c r="E1416" i="79" a="1"/>
  <c r="E1416" i="79"/>
  <c r="G1416" i="79"/>
  <c r="H1416" i="79"/>
  <c r="I1416" i="79"/>
  <c r="J1416" i="79"/>
  <c r="K1416" i="79"/>
  <c r="E1417" i="79" a="1"/>
  <c r="E1417" i="79"/>
  <c r="G1417" i="79"/>
  <c r="H1417" i="79"/>
  <c r="I1417" i="79"/>
  <c r="J1417" i="79"/>
  <c r="K1417" i="79"/>
  <c r="E1418" i="79" a="1"/>
  <c r="E1418" i="79"/>
  <c r="G1418" i="79"/>
  <c r="H1418" i="79"/>
  <c r="I1418" i="79"/>
  <c r="J1418" i="79"/>
  <c r="K1418" i="79"/>
  <c r="E1419" i="79" a="1"/>
  <c r="E1419" i="79"/>
  <c r="G1419" i="79"/>
  <c r="H1419" i="79"/>
  <c r="I1419" i="79"/>
  <c r="J1419" i="79"/>
  <c r="K1419" i="79"/>
  <c r="E1420" i="79" a="1"/>
  <c r="E1420" i="79"/>
  <c r="G1420" i="79"/>
  <c r="H1420" i="79"/>
  <c r="I1420" i="79"/>
  <c r="J1420" i="79"/>
  <c r="K1420" i="79"/>
  <c r="E1421" i="79" a="1"/>
  <c r="E1421" i="79"/>
  <c r="G1421" i="79"/>
  <c r="H1421" i="79"/>
  <c r="I1421" i="79"/>
  <c r="J1421" i="79"/>
  <c r="K1421" i="79"/>
  <c r="E1422" i="79" a="1"/>
  <c r="E1422" i="79"/>
  <c r="G1422" i="79"/>
  <c r="H1422" i="79"/>
  <c r="I1422" i="79"/>
  <c r="J1422" i="79"/>
  <c r="K1422" i="79"/>
  <c r="G1423" i="79"/>
  <c r="H1423" i="79"/>
  <c r="I1423" i="79"/>
  <c r="J1423" i="79"/>
  <c r="K1423" i="79"/>
  <c r="E1424" i="79" a="1"/>
  <c r="E1424" i="79"/>
  <c r="G1424" i="79"/>
  <c r="H1424" i="79"/>
  <c r="I1424" i="79"/>
  <c r="J1424" i="79"/>
  <c r="K1424" i="79"/>
  <c r="E1425" i="79" a="1"/>
  <c r="E1425" i="79"/>
  <c r="G1425" i="79"/>
  <c r="H1425" i="79"/>
  <c r="I1425" i="79"/>
  <c r="J1425" i="79"/>
  <c r="K1425" i="79"/>
  <c r="E1426" i="79" a="1"/>
  <c r="E1426" i="79"/>
  <c r="G1426" i="79"/>
  <c r="H1426" i="79"/>
  <c r="I1426" i="79"/>
  <c r="J1426" i="79"/>
  <c r="K1426" i="79"/>
  <c r="E1427" i="79" a="1"/>
  <c r="E1427" i="79"/>
  <c r="G1427" i="79"/>
  <c r="H1427" i="79"/>
  <c r="I1427" i="79"/>
  <c r="J1427" i="79"/>
  <c r="K1427" i="79"/>
  <c r="E1428" i="79" a="1"/>
  <c r="E1428" i="79"/>
  <c r="G1428" i="79"/>
  <c r="H1428" i="79"/>
  <c r="I1428" i="79"/>
  <c r="J1428" i="79"/>
  <c r="K1428" i="79"/>
  <c r="E1429" i="79" a="1"/>
  <c r="E1429" i="79"/>
  <c r="G1429" i="79"/>
  <c r="H1429" i="79"/>
  <c r="I1429" i="79"/>
  <c r="J1429" i="79"/>
  <c r="K1429" i="79"/>
  <c r="E1430" i="79" a="1"/>
  <c r="E1430" i="79"/>
  <c r="G1430" i="79"/>
  <c r="H1430" i="79"/>
  <c r="I1430" i="79"/>
  <c r="J1430" i="79"/>
  <c r="K1430" i="79"/>
  <c r="E1431" i="79" a="1"/>
  <c r="E1431" i="79"/>
  <c r="G1431" i="79"/>
  <c r="H1431" i="79"/>
  <c r="I1431" i="79"/>
  <c r="J1431" i="79"/>
  <c r="K1431" i="79"/>
  <c r="E1432" i="79" a="1"/>
  <c r="E1432" i="79"/>
  <c r="G1432" i="79"/>
  <c r="H1432" i="79"/>
  <c r="I1432" i="79"/>
  <c r="J1432" i="79"/>
  <c r="K1432" i="79"/>
  <c r="E1433" i="79" a="1"/>
  <c r="E1433" i="79"/>
  <c r="G1433" i="79"/>
  <c r="H1433" i="79"/>
  <c r="I1433" i="79"/>
  <c r="J1433" i="79"/>
  <c r="K1433" i="79"/>
  <c r="E1434" i="79" a="1"/>
  <c r="E1434" i="79"/>
  <c r="G1434" i="79"/>
  <c r="H1434" i="79"/>
  <c r="I1434" i="79"/>
  <c r="J1434" i="79"/>
  <c r="K1434" i="79"/>
  <c r="E1435" i="79" a="1"/>
  <c r="E1435" i="79"/>
  <c r="G1435" i="79"/>
  <c r="H1435" i="79"/>
  <c r="I1435" i="79"/>
  <c r="J1435" i="79"/>
  <c r="K1435" i="79"/>
  <c r="E1436" i="79" a="1"/>
  <c r="E1436" i="79"/>
  <c r="G1436" i="79"/>
  <c r="H1436" i="79"/>
  <c r="I1436" i="79"/>
  <c r="J1436" i="79"/>
  <c r="K1436" i="79"/>
  <c r="E1437" i="79" a="1"/>
  <c r="E1437" i="79"/>
  <c r="G1437" i="79"/>
  <c r="H1437" i="79"/>
  <c r="I1437" i="79"/>
  <c r="J1437" i="79"/>
  <c r="K1437" i="79"/>
  <c r="E1438" i="79" a="1"/>
  <c r="E1438" i="79"/>
  <c r="G1438" i="79"/>
  <c r="H1438" i="79"/>
  <c r="I1438" i="79"/>
  <c r="J1438" i="79"/>
  <c r="K1438" i="79"/>
  <c r="E1439" i="79" a="1"/>
  <c r="E1439" i="79"/>
  <c r="G1439" i="79"/>
  <c r="H1439" i="79"/>
  <c r="I1439" i="79"/>
  <c r="J1439" i="79"/>
  <c r="K1439" i="79"/>
  <c r="E1440" i="79" a="1"/>
  <c r="E1440" i="79"/>
  <c r="G1440" i="79"/>
  <c r="H1440" i="79"/>
  <c r="I1440" i="79"/>
  <c r="J1440" i="79"/>
  <c r="K1440" i="79"/>
  <c r="E1441" i="79" a="1"/>
  <c r="E1441" i="79"/>
  <c r="G1441" i="79"/>
  <c r="H1441" i="79"/>
  <c r="I1441" i="79"/>
  <c r="J1441" i="79"/>
  <c r="K1441" i="79"/>
  <c r="E1442" i="79" a="1"/>
  <c r="E1442" i="79"/>
  <c r="G1442" i="79"/>
  <c r="H1442" i="79"/>
  <c r="I1442" i="79"/>
  <c r="J1442" i="79"/>
  <c r="K1442" i="79"/>
  <c r="E1443" i="79" a="1"/>
  <c r="E1443" i="79"/>
  <c r="G1443" i="79"/>
  <c r="H1443" i="79"/>
  <c r="I1443" i="79"/>
  <c r="J1443" i="79"/>
  <c r="K1443" i="79"/>
  <c r="E1444" i="79" a="1"/>
  <c r="E1444" i="79"/>
  <c r="G1444" i="79"/>
  <c r="H1444" i="79"/>
  <c r="I1444" i="79"/>
  <c r="J1444" i="79"/>
  <c r="K1444" i="79"/>
  <c r="E1445" i="79" a="1"/>
  <c r="E1445" i="79"/>
  <c r="G1445" i="79"/>
  <c r="H1445" i="79"/>
  <c r="I1445" i="79"/>
  <c r="J1445" i="79"/>
  <c r="K1445" i="79"/>
  <c r="E1446" i="79" a="1"/>
  <c r="E1446" i="79"/>
  <c r="G1446" i="79"/>
  <c r="H1446" i="79"/>
  <c r="I1446" i="79"/>
  <c r="J1446" i="79"/>
  <c r="K1446" i="79"/>
  <c r="E1447" i="79" a="1"/>
  <c r="E1447" i="79"/>
  <c r="G1447" i="79"/>
  <c r="H1447" i="79"/>
  <c r="I1447" i="79"/>
  <c r="J1447" i="79"/>
  <c r="K1447" i="79"/>
  <c r="E1448" i="79" a="1"/>
  <c r="E1448" i="79"/>
  <c r="G1448" i="79"/>
  <c r="H1448" i="79"/>
  <c r="I1448" i="79"/>
  <c r="J1448" i="79"/>
  <c r="K1448" i="79"/>
  <c r="E1449" i="79" a="1"/>
  <c r="E1449" i="79"/>
  <c r="G1449" i="79"/>
  <c r="H1449" i="79"/>
  <c r="I1449" i="79"/>
  <c r="J1449" i="79"/>
  <c r="K1449" i="79"/>
  <c r="E1450" i="79" a="1"/>
  <c r="E1450" i="79"/>
  <c r="G1450" i="79"/>
  <c r="H1450" i="79"/>
  <c r="I1450" i="79"/>
  <c r="J1450" i="79"/>
  <c r="K1450" i="79"/>
  <c r="E1451" i="79" a="1"/>
  <c r="E1451" i="79"/>
  <c r="G1451" i="79"/>
  <c r="H1451" i="79"/>
  <c r="I1451" i="79"/>
  <c r="J1451" i="79"/>
  <c r="K1451" i="79"/>
  <c r="E1452" i="79" a="1"/>
  <c r="E1452" i="79"/>
  <c r="G1452" i="79"/>
  <c r="H1452" i="79"/>
  <c r="I1452" i="79"/>
  <c r="J1452" i="79"/>
  <c r="K1452" i="79"/>
  <c r="E1453" i="79" a="1"/>
  <c r="E1453" i="79"/>
  <c r="G1453" i="79"/>
  <c r="H1453" i="79"/>
  <c r="I1453" i="79"/>
  <c r="J1453" i="79"/>
  <c r="K1453" i="79"/>
  <c r="E1454" i="79" a="1"/>
  <c r="E1454" i="79"/>
  <c r="G1454" i="79"/>
  <c r="H1454" i="79"/>
  <c r="I1454" i="79"/>
  <c r="J1454" i="79"/>
  <c r="K1454" i="79"/>
  <c r="E1455" i="79" a="1"/>
  <c r="E1455" i="79"/>
  <c r="G1455" i="79"/>
  <c r="H1455" i="79"/>
  <c r="I1455" i="79"/>
  <c r="J1455" i="79"/>
  <c r="K1455" i="79"/>
  <c r="E1456" i="79" a="1"/>
  <c r="E1456" i="79"/>
  <c r="G1456" i="79"/>
  <c r="H1456" i="79"/>
  <c r="I1456" i="79"/>
  <c r="J1456" i="79"/>
  <c r="K1456" i="79"/>
  <c r="E1457" i="79" a="1"/>
  <c r="E1457" i="79"/>
  <c r="G1457" i="79"/>
  <c r="H1457" i="79"/>
  <c r="I1457" i="79"/>
  <c r="J1457" i="79"/>
  <c r="K1457" i="79"/>
  <c r="E1458" i="79" a="1"/>
  <c r="E1458" i="79"/>
  <c r="G1458" i="79"/>
  <c r="H1458" i="79"/>
  <c r="I1458" i="79"/>
  <c r="J1458" i="79"/>
  <c r="K1458" i="79"/>
  <c r="E1459" i="79" a="1"/>
  <c r="E1459" i="79"/>
  <c r="G1459" i="79"/>
  <c r="H1459" i="79"/>
  <c r="I1459" i="79"/>
  <c r="J1459" i="79"/>
  <c r="K1459" i="79"/>
  <c r="E1460" i="79" a="1"/>
  <c r="E1460" i="79"/>
  <c r="G1460" i="79"/>
  <c r="H1460" i="79"/>
  <c r="I1460" i="79"/>
  <c r="J1460" i="79"/>
  <c r="K1460" i="79"/>
  <c r="E1461" i="79" a="1"/>
  <c r="E1461" i="79"/>
  <c r="G1461" i="79"/>
  <c r="H1461" i="79"/>
  <c r="I1461" i="79"/>
  <c r="J1461" i="79"/>
  <c r="K1461" i="79"/>
  <c r="E1462" i="79" a="1"/>
  <c r="E1462" i="79"/>
  <c r="G1462" i="79"/>
  <c r="H1462" i="79"/>
  <c r="I1462" i="79"/>
  <c r="J1462" i="79"/>
  <c r="K1462" i="79"/>
  <c r="E1463" i="79" a="1"/>
  <c r="E1463" i="79"/>
  <c r="G1463" i="79"/>
  <c r="H1463" i="79"/>
  <c r="I1463" i="79"/>
  <c r="J1463" i="79"/>
  <c r="K1463" i="79"/>
  <c r="E1464" i="79" a="1"/>
  <c r="E1464" i="79"/>
  <c r="G1464" i="79"/>
  <c r="H1464" i="79"/>
  <c r="I1464" i="79"/>
  <c r="J1464" i="79"/>
  <c r="K1464" i="79"/>
  <c r="E1465" i="79" a="1"/>
  <c r="E1465" i="79"/>
  <c r="G1465" i="79"/>
  <c r="H1465" i="79"/>
  <c r="I1465" i="79"/>
  <c r="J1465" i="79"/>
  <c r="K1465" i="79"/>
  <c r="E1466" i="79" a="1"/>
  <c r="E1466" i="79"/>
  <c r="G1466" i="79"/>
  <c r="H1466" i="79"/>
  <c r="I1466" i="79"/>
  <c r="J1466" i="79"/>
  <c r="K1466" i="79"/>
  <c r="E1467" i="79" a="1"/>
  <c r="E1467" i="79"/>
  <c r="G1467" i="79"/>
  <c r="H1467" i="79"/>
  <c r="I1467" i="79"/>
  <c r="J1467" i="79"/>
  <c r="K1467" i="79"/>
  <c r="E1468" i="79" a="1"/>
  <c r="E1468" i="79"/>
  <c r="G1468" i="79"/>
  <c r="H1468" i="79"/>
  <c r="I1468" i="79"/>
  <c r="J1468" i="79"/>
  <c r="K1468" i="79"/>
  <c r="E1469" i="79" a="1"/>
  <c r="E1469" i="79"/>
  <c r="G1469" i="79"/>
  <c r="H1469" i="79"/>
  <c r="I1469" i="79"/>
  <c r="J1469" i="79"/>
  <c r="K1469" i="79"/>
  <c r="E1470" i="79" a="1"/>
  <c r="E1470" i="79"/>
  <c r="G1470" i="79"/>
  <c r="H1470" i="79"/>
  <c r="I1470" i="79"/>
  <c r="J1470" i="79"/>
  <c r="K1470" i="79"/>
  <c r="E1471" i="79" a="1"/>
  <c r="E1471" i="79"/>
  <c r="G1471" i="79"/>
  <c r="H1471" i="79"/>
  <c r="I1471" i="79"/>
  <c r="J1471" i="79"/>
  <c r="K1471" i="79"/>
  <c r="E1472" i="79" a="1"/>
  <c r="E1472" i="79"/>
  <c r="G1472" i="79"/>
  <c r="H1472" i="79"/>
  <c r="I1472" i="79"/>
  <c r="J1472" i="79"/>
  <c r="K1472" i="79"/>
  <c r="E1473" i="79" a="1"/>
  <c r="E1473" i="79"/>
  <c r="G1473" i="79"/>
  <c r="H1473" i="79"/>
  <c r="I1473" i="79"/>
  <c r="J1473" i="79"/>
  <c r="K1473" i="79"/>
  <c r="E1474" i="79" a="1"/>
  <c r="E1474" i="79"/>
  <c r="G1474" i="79"/>
  <c r="H1474" i="79"/>
  <c r="I1474" i="79"/>
  <c r="J1474" i="79"/>
  <c r="K1474" i="79"/>
  <c r="E1475" i="79" a="1"/>
  <c r="E1475" i="79"/>
  <c r="G1475" i="79"/>
  <c r="H1475" i="79"/>
  <c r="I1475" i="79"/>
  <c r="J1475" i="79"/>
  <c r="K1475" i="79"/>
  <c r="E1476" i="79" a="1"/>
  <c r="E1476" i="79"/>
  <c r="G1476" i="79"/>
  <c r="H1476" i="79"/>
  <c r="I1476" i="79"/>
  <c r="J1476" i="79"/>
  <c r="K1476" i="79"/>
  <c r="E1477" i="79" a="1"/>
  <c r="E1477" i="79"/>
  <c r="G1477" i="79"/>
  <c r="H1477" i="79"/>
  <c r="I1477" i="79"/>
  <c r="J1477" i="79"/>
  <c r="K1477" i="79"/>
  <c r="E1478" i="79" a="1"/>
  <c r="E1478" i="79"/>
  <c r="G1478" i="79"/>
  <c r="H1478" i="79"/>
  <c r="I1478" i="79"/>
  <c r="J1478" i="79"/>
  <c r="K1478" i="79"/>
  <c r="E1479" i="79" a="1"/>
  <c r="E1479" i="79"/>
  <c r="G1479" i="79"/>
  <c r="H1479" i="79"/>
  <c r="I1479" i="79"/>
  <c r="J1479" i="79"/>
  <c r="K1479" i="79"/>
  <c r="E1480" i="79" a="1"/>
  <c r="E1480" i="79"/>
  <c r="G1480" i="79"/>
  <c r="H1480" i="79"/>
  <c r="I1480" i="79"/>
  <c r="J1480" i="79"/>
  <c r="K1480" i="79"/>
  <c r="E1481" i="79" a="1"/>
  <c r="E1481" i="79"/>
  <c r="G1481" i="79"/>
  <c r="H1481" i="79"/>
  <c r="I1481" i="79"/>
  <c r="J1481" i="79"/>
  <c r="K1481" i="79"/>
  <c r="E1482" i="79" a="1"/>
  <c r="E1482" i="79"/>
  <c r="G1482" i="79"/>
  <c r="H1482" i="79"/>
  <c r="I1482" i="79"/>
  <c r="J1482" i="79"/>
  <c r="K1482" i="79"/>
  <c r="E1483" i="79" a="1"/>
  <c r="E1483" i="79"/>
  <c r="G1483" i="79"/>
  <c r="H1483" i="79"/>
  <c r="I1483" i="79"/>
  <c r="J1483" i="79"/>
  <c r="K1483" i="79"/>
  <c r="E1484" i="79" a="1"/>
  <c r="E1484" i="79"/>
  <c r="G1484" i="79"/>
  <c r="H1484" i="79"/>
  <c r="I1484" i="79"/>
  <c r="J1484" i="79"/>
  <c r="K1484" i="79"/>
  <c r="E1485" i="79" a="1"/>
  <c r="E1485" i="79"/>
  <c r="G1485" i="79"/>
  <c r="H1485" i="79"/>
  <c r="I1485" i="79"/>
  <c r="J1485" i="79"/>
  <c r="K1485" i="79"/>
  <c r="E1486" i="79" a="1"/>
  <c r="E1486" i="79"/>
  <c r="G1486" i="79"/>
  <c r="H1486" i="79"/>
  <c r="I1486" i="79"/>
  <c r="J1486" i="79"/>
  <c r="K1486" i="79"/>
  <c r="E1487" i="79" a="1"/>
  <c r="E1487" i="79"/>
  <c r="G1487" i="79"/>
  <c r="H1487" i="79"/>
  <c r="I1487" i="79"/>
  <c r="J1487" i="79"/>
  <c r="K1487" i="79"/>
  <c r="E1488" i="79" a="1"/>
  <c r="E1488" i="79"/>
  <c r="G1488" i="79"/>
  <c r="H1488" i="79"/>
  <c r="I1488" i="79"/>
  <c r="J1488" i="79"/>
  <c r="K1488" i="79"/>
  <c r="E1489" i="79" a="1"/>
  <c r="E1489" i="79"/>
  <c r="G1489" i="79"/>
  <c r="H1489" i="79"/>
  <c r="I1489" i="79"/>
  <c r="J1489" i="79"/>
  <c r="K1489" i="79"/>
  <c r="E1490" i="79" a="1"/>
  <c r="E1490" i="79"/>
  <c r="G1490" i="79"/>
  <c r="H1490" i="79"/>
  <c r="I1490" i="79"/>
  <c r="J1490" i="79"/>
  <c r="K1490" i="79"/>
  <c r="E1491" i="79" a="1"/>
  <c r="E1491" i="79"/>
  <c r="G1491" i="79"/>
  <c r="H1491" i="79"/>
  <c r="I1491" i="79"/>
  <c r="J1491" i="79"/>
  <c r="K1491" i="79"/>
  <c r="E1492" i="79" a="1"/>
  <c r="E1492" i="79"/>
  <c r="G1492" i="79"/>
  <c r="H1492" i="79"/>
  <c r="I1492" i="79"/>
  <c r="J1492" i="79"/>
  <c r="K1492" i="79"/>
  <c r="E1493" i="79" a="1"/>
  <c r="E1493" i="79"/>
  <c r="G1493" i="79"/>
  <c r="H1493" i="79"/>
  <c r="I1493" i="79"/>
  <c r="J1493" i="79"/>
  <c r="K1493" i="79"/>
  <c r="E1494" i="79" a="1"/>
  <c r="E1494" i="79"/>
  <c r="G1494" i="79"/>
  <c r="H1494" i="79"/>
  <c r="I1494" i="79"/>
  <c r="J1494" i="79"/>
  <c r="K1494" i="79"/>
  <c r="E1495" i="79" a="1"/>
  <c r="E1495" i="79"/>
  <c r="G1495" i="79"/>
  <c r="H1495" i="79"/>
  <c r="I1495" i="79"/>
  <c r="J1495" i="79"/>
  <c r="K1495" i="79"/>
  <c r="E1496" i="79" a="1"/>
  <c r="E1496" i="79"/>
  <c r="G1496" i="79"/>
  <c r="H1496" i="79"/>
  <c r="I1496" i="79"/>
  <c r="J1496" i="79"/>
  <c r="K1496" i="79"/>
  <c r="E1497" i="79" a="1"/>
  <c r="E1497" i="79"/>
  <c r="G1497" i="79"/>
  <c r="H1497" i="79"/>
  <c r="I1497" i="79"/>
  <c r="J1497" i="79"/>
  <c r="K1497" i="79"/>
  <c r="E1498" i="79" a="1"/>
  <c r="E1498" i="79"/>
  <c r="G1498" i="79"/>
  <c r="H1498" i="79"/>
  <c r="I1498" i="79"/>
  <c r="J1498" i="79"/>
  <c r="K1498" i="79"/>
  <c r="E1499" i="79" a="1"/>
  <c r="E1499" i="79"/>
  <c r="G1499" i="79"/>
  <c r="H1499" i="79"/>
  <c r="I1499" i="79"/>
  <c r="J1499" i="79"/>
  <c r="K1499" i="79"/>
  <c r="E1500" i="79" a="1"/>
  <c r="E1500" i="79"/>
  <c r="G1500" i="79"/>
  <c r="H1500" i="79"/>
  <c r="I1500" i="79"/>
  <c r="J1500" i="79"/>
  <c r="K1500" i="79"/>
  <c r="E1501" i="79" a="1"/>
  <c r="E1501" i="79"/>
  <c r="G1501" i="79"/>
  <c r="H1501" i="79"/>
  <c r="I1501" i="79"/>
  <c r="J1501" i="79"/>
  <c r="K1501" i="79"/>
  <c r="E1502" i="79" a="1"/>
  <c r="E1502" i="79"/>
  <c r="G1502" i="79"/>
  <c r="H1502" i="79"/>
  <c r="I1502" i="79"/>
  <c r="J1502" i="79"/>
  <c r="K1502" i="79"/>
  <c r="E1503" i="79" a="1"/>
  <c r="E1503" i="79"/>
  <c r="G1503" i="79"/>
  <c r="H1503" i="79"/>
  <c r="I1503" i="79"/>
  <c r="J1503" i="79"/>
  <c r="K1503" i="79"/>
  <c r="E1504" i="79" a="1"/>
  <c r="E1504" i="79"/>
  <c r="G1504" i="79"/>
  <c r="H1504" i="79"/>
  <c r="I1504" i="79"/>
  <c r="J1504" i="79"/>
  <c r="K1504" i="79"/>
  <c r="E1505" i="79" a="1"/>
  <c r="E1505" i="79"/>
  <c r="G1505" i="79"/>
  <c r="H1505" i="79"/>
  <c r="I1505" i="79"/>
  <c r="J1505" i="79"/>
  <c r="K1505" i="79"/>
  <c r="E1506" i="79" a="1"/>
  <c r="E1506" i="79"/>
  <c r="G1506" i="79"/>
  <c r="H1506" i="79"/>
  <c r="I1506" i="79"/>
  <c r="J1506" i="79"/>
  <c r="K1506" i="79"/>
  <c r="E1507" i="79" a="1"/>
  <c r="E1507" i="79"/>
  <c r="G1507" i="79"/>
  <c r="H1507" i="79"/>
  <c r="I1507" i="79"/>
  <c r="J1507" i="79"/>
  <c r="K1507" i="79"/>
  <c r="E1508" i="79" a="1"/>
  <c r="E1508" i="79"/>
  <c r="G1508" i="79"/>
  <c r="H1508" i="79"/>
  <c r="I1508" i="79"/>
  <c r="J1508" i="79"/>
  <c r="K1508" i="79"/>
  <c r="E1509" i="79" a="1"/>
  <c r="E1509" i="79"/>
  <c r="G1509" i="79"/>
  <c r="H1509" i="79"/>
  <c r="I1509" i="79"/>
  <c r="J1509" i="79"/>
  <c r="K1509" i="79"/>
  <c r="E1510" i="79" a="1"/>
  <c r="E1510" i="79"/>
  <c r="G1510" i="79"/>
  <c r="H1510" i="79"/>
  <c r="I1510" i="79"/>
  <c r="J1510" i="79"/>
  <c r="K1510" i="79"/>
  <c r="E1511" i="79" a="1"/>
  <c r="E1511" i="79"/>
  <c r="G1511" i="79"/>
  <c r="H1511" i="79"/>
  <c r="I1511" i="79"/>
  <c r="J1511" i="79"/>
  <c r="K1511" i="79"/>
  <c r="E1512" i="79" a="1"/>
  <c r="E1512" i="79"/>
  <c r="G1512" i="79"/>
  <c r="H1512" i="79"/>
  <c r="I1512" i="79"/>
  <c r="J1512" i="79"/>
  <c r="K1512" i="79"/>
  <c r="E1513" i="79" a="1"/>
  <c r="E1513" i="79"/>
  <c r="G1513" i="79"/>
  <c r="H1513" i="79"/>
  <c r="I1513" i="79"/>
  <c r="J1513" i="79"/>
  <c r="K1513" i="79"/>
  <c r="E1514" i="79" a="1"/>
  <c r="E1514" i="79"/>
  <c r="G1514" i="79"/>
  <c r="H1514" i="79"/>
  <c r="I1514" i="79"/>
  <c r="J1514" i="79"/>
  <c r="K1514" i="79"/>
  <c r="E1515" i="79" a="1"/>
  <c r="E1515" i="79"/>
  <c r="G1515" i="79"/>
  <c r="H1515" i="79"/>
  <c r="I1515" i="79"/>
  <c r="J1515" i="79"/>
  <c r="K1515" i="79"/>
  <c r="E1516" i="79" a="1"/>
  <c r="E1516" i="79"/>
  <c r="G1516" i="79"/>
  <c r="H1516" i="79"/>
  <c r="I1516" i="79"/>
  <c r="J1516" i="79"/>
  <c r="K1516" i="79"/>
  <c r="E1517" i="79" a="1"/>
  <c r="E1517" i="79"/>
  <c r="G1517" i="79"/>
  <c r="H1517" i="79"/>
  <c r="I1517" i="79"/>
  <c r="J1517" i="79"/>
  <c r="K1517" i="79"/>
  <c r="E1518" i="79" a="1"/>
  <c r="E1518" i="79"/>
  <c r="G1518" i="79"/>
  <c r="H1518" i="79"/>
  <c r="I1518" i="79"/>
  <c r="J1518" i="79"/>
  <c r="K1518" i="79"/>
  <c r="E1519" i="79" a="1"/>
  <c r="E1519" i="79"/>
  <c r="G1519" i="79"/>
  <c r="H1519" i="79"/>
  <c r="I1519" i="79"/>
  <c r="J1519" i="79"/>
  <c r="K1519" i="79"/>
  <c r="E1520" i="79" a="1"/>
  <c r="E1520" i="79"/>
  <c r="G1520" i="79"/>
  <c r="H1520" i="79"/>
  <c r="I1520" i="79"/>
  <c r="J1520" i="79"/>
  <c r="K1520" i="79"/>
  <c r="E1521" i="79" a="1"/>
  <c r="E1521" i="79"/>
  <c r="G1521" i="79"/>
  <c r="H1521" i="79"/>
  <c r="I1521" i="79"/>
  <c r="J1521" i="79"/>
  <c r="K1521" i="79"/>
  <c r="E1522" i="79" a="1"/>
  <c r="E1522" i="79"/>
  <c r="G1522" i="79"/>
  <c r="H1522" i="79"/>
  <c r="I1522" i="79"/>
  <c r="J1522" i="79"/>
  <c r="K1522" i="79"/>
  <c r="E1523" i="79" a="1"/>
  <c r="E1523" i="79"/>
  <c r="G1523" i="79"/>
  <c r="H1523" i="79"/>
  <c r="I1523" i="79"/>
  <c r="J1523" i="79"/>
  <c r="K1523" i="79"/>
  <c r="E1524" i="79" a="1"/>
  <c r="E1524" i="79"/>
  <c r="G1524" i="79"/>
  <c r="H1524" i="79"/>
  <c r="I1524" i="79"/>
  <c r="J1524" i="79"/>
  <c r="K1524" i="79"/>
  <c r="E1525" i="79" a="1"/>
  <c r="E1525" i="79"/>
  <c r="G1525" i="79"/>
  <c r="H1525" i="79"/>
  <c r="I1525" i="79"/>
  <c r="J1525" i="79"/>
  <c r="K1525" i="79"/>
  <c r="E1526" i="79" a="1"/>
  <c r="E1526" i="79"/>
  <c r="G1526" i="79"/>
  <c r="H1526" i="79"/>
  <c r="I1526" i="79"/>
  <c r="J1526" i="79"/>
  <c r="K1526" i="79"/>
  <c r="E1527" i="79" a="1"/>
  <c r="E1527" i="79"/>
  <c r="G1527" i="79"/>
  <c r="H1527" i="79"/>
  <c r="I1527" i="79"/>
  <c r="J1527" i="79"/>
  <c r="K1527" i="79"/>
  <c r="E1528" i="79" a="1"/>
  <c r="E1528" i="79"/>
  <c r="G1528" i="79"/>
  <c r="H1528" i="79"/>
  <c r="I1528" i="79"/>
  <c r="J1528" i="79"/>
  <c r="K1528" i="79"/>
  <c r="E1529" i="79" a="1"/>
  <c r="E1529" i="79"/>
  <c r="G1529" i="79"/>
  <c r="H1529" i="79"/>
  <c r="I1529" i="79"/>
  <c r="J1529" i="79"/>
  <c r="K1529" i="79"/>
  <c r="E1530" i="79" a="1"/>
  <c r="E1530" i="79"/>
  <c r="G1530" i="79"/>
  <c r="H1530" i="79"/>
  <c r="I1530" i="79"/>
  <c r="J1530" i="79"/>
  <c r="K1530" i="79"/>
  <c r="E1531" i="79" a="1"/>
  <c r="E1531" i="79"/>
  <c r="G1531" i="79"/>
  <c r="H1531" i="79"/>
  <c r="I1531" i="79"/>
  <c r="J1531" i="79"/>
  <c r="K1531" i="79"/>
  <c r="E1532" i="79" a="1"/>
  <c r="E1532" i="79"/>
  <c r="G1532" i="79"/>
  <c r="H1532" i="79"/>
  <c r="I1532" i="79"/>
  <c r="J1532" i="79"/>
  <c r="K1532" i="79"/>
  <c r="E1533" i="79" a="1"/>
  <c r="E1533" i="79"/>
  <c r="G1533" i="79"/>
  <c r="H1533" i="79"/>
  <c r="I1533" i="79"/>
  <c r="J1533" i="79"/>
  <c r="K1533" i="79"/>
  <c r="E1534" i="79" a="1"/>
  <c r="E1534" i="79"/>
  <c r="G1534" i="79"/>
  <c r="H1534" i="79"/>
  <c r="I1534" i="79"/>
  <c r="J1534" i="79"/>
  <c r="K1534" i="79"/>
  <c r="E1535" i="79" a="1"/>
  <c r="E1535" i="79"/>
  <c r="G1535" i="79"/>
  <c r="H1535" i="79"/>
  <c r="I1535" i="79"/>
  <c r="J1535" i="79"/>
  <c r="K1535" i="79"/>
  <c r="E1536" i="79" a="1"/>
  <c r="E1536" i="79"/>
  <c r="G1536" i="79"/>
  <c r="H1536" i="79"/>
  <c r="I1536" i="79"/>
  <c r="J1536" i="79"/>
  <c r="K1536" i="79"/>
  <c r="E1537" i="79" a="1"/>
  <c r="E1537" i="79"/>
  <c r="G1537" i="79"/>
  <c r="H1537" i="79"/>
  <c r="I1537" i="79"/>
  <c r="J1537" i="79"/>
  <c r="K1537" i="79"/>
  <c r="E1538" i="79" a="1"/>
  <c r="E1538" i="79"/>
  <c r="G1538" i="79"/>
  <c r="H1538" i="79"/>
  <c r="I1538" i="79"/>
  <c r="J1538" i="79"/>
  <c r="K1538" i="79"/>
  <c r="E1539" i="79" a="1"/>
  <c r="E1539" i="79"/>
  <c r="G1539" i="79"/>
  <c r="H1539" i="79"/>
  <c r="I1539" i="79"/>
  <c r="J1539" i="79"/>
  <c r="K1539" i="79"/>
  <c r="E1540" i="79" a="1"/>
  <c r="E1540" i="79"/>
  <c r="G1540" i="79"/>
  <c r="H1540" i="79"/>
  <c r="I1540" i="79"/>
  <c r="J1540" i="79"/>
  <c r="K1540" i="79"/>
  <c r="E1541" i="79" a="1"/>
  <c r="E1541" i="79"/>
  <c r="G1541" i="79"/>
  <c r="H1541" i="79"/>
  <c r="I1541" i="79"/>
  <c r="J1541" i="79"/>
  <c r="K1541" i="79"/>
  <c r="E1542" i="79" a="1"/>
  <c r="E1542" i="79"/>
  <c r="G1542" i="79"/>
  <c r="H1542" i="79"/>
  <c r="I1542" i="79"/>
  <c r="J1542" i="79"/>
  <c r="K1542" i="79"/>
  <c r="E1543" i="79" a="1"/>
  <c r="E1543" i="79"/>
  <c r="G1543" i="79"/>
  <c r="H1543" i="79"/>
  <c r="I1543" i="79"/>
  <c r="J1543" i="79"/>
  <c r="K1543" i="79"/>
  <c r="E1544" i="79" a="1"/>
  <c r="E1544" i="79"/>
  <c r="G1544" i="79"/>
  <c r="H1544" i="79"/>
  <c r="I1544" i="79"/>
  <c r="J1544" i="79"/>
  <c r="K1544" i="79"/>
  <c r="E1545" i="79" a="1"/>
  <c r="E1545" i="79"/>
  <c r="G1545" i="79"/>
  <c r="H1545" i="79"/>
  <c r="I1545" i="79"/>
  <c r="J1545" i="79"/>
  <c r="K1545" i="79"/>
  <c r="E1546" i="79" a="1"/>
  <c r="E1546" i="79"/>
  <c r="G1546" i="79"/>
  <c r="H1546" i="79"/>
  <c r="I1546" i="79"/>
  <c r="J1546" i="79"/>
  <c r="K1546" i="79"/>
  <c r="E1547" i="79" a="1"/>
  <c r="E1547" i="79"/>
  <c r="G1547" i="79"/>
  <c r="H1547" i="79"/>
  <c r="I1547" i="79"/>
  <c r="J1547" i="79"/>
  <c r="K1547" i="79"/>
  <c r="E1548" i="79" a="1"/>
  <c r="E1548" i="79"/>
  <c r="G1548" i="79"/>
  <c r="H1548" i="79"/>
  <c r="I1548" i="79"/>
  <c r="J1548" i="79"/>
  <c r="K1548" i="79"/>
  <c r="E1549" i="79" a="1"/>
  <c r="E1549" i="79"/>
  <c r="G1549" i="79"/>
  <c r="H1549" i="79"/>
  <c r="I1549" i="79"/>
  <c r="J1549" i="79"/>
  <c r="K1549" i="79"/>
  <c r="E1550" i="79" a="1"/>
  <c r="E1550" i="79"/>
  <c r="G1550" i="79"/>
  <c r="H1550" i="79"/>
  <c r="I1550" i="79"/>
  <c r="J1550" i="79"/>
  <c r="K1550" i="79"/>
  <c r="E1551" i="79" a="1"/>
  <c r="E1551" i="79"/>
  <c r="G1551" i="79"/>
  <c r="H1551" i="79"/>
  <c r="I1551" i="79"/>
  <c r="J1551" i="79"/>
  <c r="K1551" i="79"/>
  <c r="E1552" i="79" a="1"/>
  <c r="E1552" i="79"/>
  <c r="G1552" i="79"/>
  <c r="H1552" i="79"/>
  <c r="I1552" i="79"/>
  <c r="J1552" i="79"/>
  <c r="K1552" i="79"/>
  <c r="E1553" i="79" a="1"/>
  <c r="E1553" i="79"/>
  <c r="G1553" i="79"/>
  <c r="H1553" i="79"/>
  <c r="I1553" i="79"/>
  <c r="J1553" i="79"/>
  <c r="K1553" i="79"/>
  <c r="E1554" i="79" a="1"/>
  <c r="E1554" i="79"/>
  <c r="G1554" i="79"/>
  <c r="H1554" i="79"/>
  <c r="I1554" i="79"/>
  <c r="J1554" i="79"/>
  <c r="K1554" i="79"/>
  <c r="E1555" i="79" a="1"/>
  <c r="E1555" i="79"/>
  <c r="G1555" i="79"/>
  <c r="H1555" i="79"/>
  <c r="I1555" i="79"/>
  <c r="J1555" i="79"/>
  <c r="K1555" i="79"/>
  <c r="E1556" i="79" a="1"/>
  <c r="E1556" i="79"/>
  <c r="G1556" i="79"/>
  <c r="H1556" i="79"/>
  <c r="I1556" i="79"/>
  <c r="J1556" i="79"/>
  <c r="K1556" i="79"/>
  <c r="E1557" i="79" a="1"/>
  <c r="E1557" i="79"/>
  <c r="G1557" i="79"/>
  <c r="H1557" i="79"/>
  <c r="I1557" i="79"/>
  <c r="J1557" i="79"/>
  <c r="K1557" i="79"/>
  <c r="E1558" i="79" a="1"/>
  <c r="E1558" i="79"/>
  <c r="G1558" i="79"/>
  <c r="H1558" i="79"/>
  <c r="I1558" i="79"/>
  <c r="J1558" i="79"/>
  <c r="K1558" i="79"/>
  <c r="E1072" i="79" a="1"/>
  <c r="E1072" i="79"/>
  <c r="G1072" i="79"/>
  <c r="H1072" i="79"/>
  <c r="I1072" i="79"/>
  <c r="J1072" i="79"/>
  <c r="K1072" i="79"/>
  <c r="E1073" i="79" a="1"/>
  <c r="E1073" i="79"/>
  <c r="G1073" i="79"/>
  <c r="H1073" i="79"/>
  <c r="I1073" i="79"/>
  <c r="J1073" i="79"/>
  <c r="K1073" i="79"/>
  <c r="E1074" i="79" a="1"/>
  <c r="E1074" i="79"/>
  <c r="G1074" i="79"/>
  <c r="H1074" i="79"/>
  <c r="I1074" i="79"/>
  <c r="J1074" i="79"/>
  <c r="K1074" i="79"/>
  <c r="E1075" i="79" a="1"/>
  <c r="E1075" i="79"/>
  <c r="G1075" i="79"/>
  <c r="H1075" i="79"/>
  <c r="I1075" i="79"/>
  <c r="J1075" i="79"/>
  <c r="K1075" i="79"/>
  <c r="E1076" i="79" a="1"/>
  <c r="E1076" i="79"/>
  <c r="G1076" i="79"/>
  <c r="H1076" i="79"/>
  <c r="I1076" i="79"/>
  <c r="J1076" i="79"/>
  <c r="K1076" i="79"/>
  <c r="E1077" i="79" a="1"/>
  <c r="E1077" i="79"/>
  <c r="G1077" i="79"/>
  <c r="H1077" i="79"/>
  <c r="I1077" i="79"/>
  <c r="J1077" i="79"/>
  <c r="K1077" i="79"/>
  <c r="E1078" i="79" a="1"/>
  <c r="E1078" i="79"/>
  <c r="G1078" i="79"/>
  <c r="H1078" i="79"/>
  <c r="I1078" i="79"/>
  <c r="J1078" i="79"/>
  <c r="K1078" i="79"/>
  <c r="E1079" i="79" a="1"/>
  <c r="E1079" i="79"/>
  <c r="G1079" i="79"/>
  <c r="H1079" i="79"/>
  <c r="I1079" i="79"/>
  <c r="J1079" i="79"/>
  <c r="K1079" i="79"/>
  <c r="E1080" i="79" a="1"/>
  <c r="E1080" i="79"/>
  <c r="G1080" i="79"/>
  <c r="H1080" i="79"/>
  <c r="I1080" i="79"/>
  <c r="J1080" i="79"/>
  <c r="K1080" i="79"/>
  <c r="E1081" i="79" a="1"/>
  <c r="E1081" i="79"/>
  <c r="G1081" i="79"/>
  <c r="H1081" i="79"/>
  <c r="I1081" i="79"/>
  <c r="J1081" i="79"/>
  <c r="K1081" i="79"/>
  <c r="E1082" i="79" a="1"/>
  <c r="E1082" i="79"/>
  <c r="G1082" i="79"/>
  <c r="H1082" i="79"/>
  <c r="I1082" i="79"/>
  <c r="J1082" i="79"/>
  <c r="K1082" i="79"/>
  <c r="E1083" i="79" a="1"/>
  <c r="E1083" i="79"/>
  <c r="G1083" i="79"/>
  <c r="H1083" i="79"/>
  <c r="I1083" i="79"/>
  <c r="J1083" i="79"/>
  <c r="K1083" i="79"/>
  <c r="E1084" i="79" a="1"/>
  <c r="E1084" i="79"/>
  <c r="G1084" i="79"/>
  <c r="H1084" i="79"/>
  <c r="I1084" i="79"/>
  <c r="J1084" i="79"/>
  <c r="K1084" i="79"/>
  <c r="E1085" i="79" a="1"/>
  <c r="E1085" i="79"/>
  <c r="G1085" i="79"/>
  <c r="H1085" i="79"/>
  <c r="I1085" i="79"/>
  <c r="J1085" i="79"/>
  <c r="K1085" i="79"/>
  <c r="E1086" i="79" a="1"/>
  <c r="E1086" i="79"/>
  <c r="G1086" i="79"/>
  <c r="H1086" i="79"/>
  <c r="I1086" i="79"/>
  <c r="J1086" i="79"/>
  <c r="K1086" i="79"/>
  <c r="E1087" i="79" a="1"/>
  <c r="E1087" i="79"/>
  <c r="G1087" i="79"/>
  <c r="H1087" i="79"/>
  <c r="I1087" i="79"/>
  <c r="J1087" i="79"/>
  <c r="K1087" i="79"/>
  <c r="E1088" i="79" a="1"/>
  <c r="E1088" i="79"/>
  <c r="G1088" i="79"/>
  <c r="H1088" i="79"/>
  <c r="I1088" i="79"/>
  <c r="J1088" i="79"/>
  <c r="K1088" i="79"/>
  <c r="E1089" i="79" a="1"/>
  <c r="E1089" i="79"/>
  <c r="G1089" i="79"/>
  <c r="H1089" i="79"/>
  <c r="I1089" i="79"/>
  <c r="J1089" i="79"/>
  <c r="K1089" i="79"/>
  <c r="E1090" i="79" a="1"/>
  <c r="E1090" i="79"/>
  <c r="G1090" i="79"/>
  <c r="H1090" i="79"/>
  <c r="I1090" i="79"/>
  <c r="J1090" i="79"/>
  <c r="K1090" i="79"/>
  <c r="E1091" i="79" a="1"/>
  <c r="E1091" i="79"/>
  <c r="G1091" i="79"/>
  <c r="H1091" i="79"/>
  <c r="I1091" i="79"/>
  <c r="J1091" i="79"/>
  <c r="K1091" i="79"/>
  <c r="E1092" i="79" a="1"/>
  <c r="E1092" i="79"/>
  <c r="G1092" i="79"/>
  <c r="H1092" i="79"/>
  <c r="I1092" i="79"/>
  <c r="J1092" i="79"/>
  <c r="K1092" i="79"/>
  <c r="E1093" i="79" a="1"/>
  <c r="E1093" i="79"/>
  <c r="G1093" i="79"/>
  <c r="H1093" i="79"/>
  <c r="I1093" i="79"/>
  <c r="J1093" i="79"/>
  <c r="K1093" i="79"/>
  <c r="E1094" i="79" a="1"/>
  <c r="E1094" i="79"/>
  <c r="G1094" i="79"/>
  <c r="H1094" i="79"/>
  <c r="I1094" i="79"/>
  <c r="J1094" i="79"/>
  <c r="K1094" i="79"/>
  <c r="E1095" i="79" a="1"/>
  <c r="E1095" i="79"/>
  <c r="G1095" i="79"/>
  <c r="H1095" i="79"/>
  <c r="I1095" i="79"/>
  <c r="J1095" i="79"/>
  <c r="K1095" i="79"/>
  <c r="E1096" i="79" a="1"/>
  <c r="E1096" i="79"/>
  <c r="G1096" i="79"/>
  <c r="H1096" i="79"/>
  <c r="I1096" i="79"/>
  <c r="J1096" i="79"/>
  <c r="K1096" i="79"/>
  <c r="E1097" i="79" a="1"/>
  <c r="E1097" i="79"/>
  <c r="G1097" i="79"/>
  <c r="H1097" i="79"/>
  <c r="I1097" i="79"/>
  <c r="J1097" i="79"/>
  <c r="K1097" i="79"/>
  <c r="E1098" i="79" a="1"/>
  <c r="E1098" i="79"/>
  <c r="G1098" i="79"/>
  <c r="H1098" i="79"/>
  <c r="I1098" i="79"/>
  <c r="J1098" i="79"/>
  <c r="K1098" i="79"/>
  <c r="E1099" i="79" a="1"/>
  <c r="E1099" i="79"/>
  <c r="G1099" i="79"/>
  <c r="H1099" i="79"/>
  <c r="I1099" i="79"/>
  <c r="J1099" i="79"/>
  <c r="K1099" i="79"/>
  <c r="E1100" i="79" a="1"/>
  <c r="E1100" i="79"/>
  <c r="G1100" i="79"/>
  <c r="H1100" i="79"/>
  <c r="I1100" i="79"/>
  <c r="J1100" i="79"/>
  <c r="K1100" i="79"/>
  <c r="E1101" i="79" a="1"/>
  <c r="E1101" i="79"/>
  <c r="G1101" i="79"/>
  <c r="H1101" i="79"/>
  <c r="I1101" i="79"/>
  <c r="J1101" i="79"/>
  <c r="K1101" i="79"/>
  <c r="E1102" i="79" a="1"/>
  <c r="E1102" i="79"/>
  <c r="G1102" i="79"/>
  <c r="H1102" i="79"/>
  <c r="I1102" i="79"/>
  <c r="J1102" i="79"/>
  <c r="K1102" i="79"/>
  <c r="E1103" i="79" a="1"/>
  <c r="E1103" i="79"/>
  <c r="G1103" i="79"/>
  <c r="H1103" i="79"/>
  <c r="I1103" i="79"/>
  <c r="J1103" i="79"/>
  <c r="K1103" i="79"/>
  <c r="E1104" i="79" a="1"/>
  <c r="E1104" i="79"/>
  <c r="G1104" i="79"/>
  <c r="H1104" i="79"/>
  <c r="I1104" i="79"/>
  <c r="J1104" i="79"/>
  <c r="K1104" i="79"/>
  <c r="E1105" i="79" a="1"/>
  <c r="E1105" i="79"/>
  <c r="G1105" i="79"/>
  <c r="H1105" i="79"/>
  <c r="I1105" i="79"/>
  <c r="J1105" i="79"/>
  <c r="K1105" i="79"/>
  <c r="E1106" i="79" a="1"/>
  <c r="E1106" i="79"/>
  <c r="G1106" i="79"/>
  <c r="H1106" i="79"/>
  <c r="I1106" i="79"/>
  <c r="J1106" i="79"/>
  <c r="K1106" i="79"/>
  <c r="E1107" i="79" a="1"/>
  <c r="E1107" i="79"/>
  <c r="G1107" i="79"/>
  <c r="H1107" i="79"/>
  <c r="I1107" i="79"/>
  <c r="J1107" i="79"/>
  <c r="K1107" i="79"/>
  <c r="E1108" i="79" a="1"/>
  <c r="E1108" i="79"/>
  <c r="G1108" i="79"/>
  <c r="H1108" i="79"/>
  <c r="I1108" i="79"/>
  <c r="J1108" i="79"/>
  <c r="K1108" i="79"/>
  <c r="E1109" i="79" a="1"/>
  <c r="E1109" i="79"/>
  <c r="G1109" i="79"/>
  <c r="H1109" i="79"/>
  <c r="I1109" i="79"/>
  <c r="J1109" i="79"/>
  <c r="K1109" i="79"/>
  <c r="E1110" i="79" a="1"/>
  <c r="E1110" i="79"/>
  <c r="G1110" i="79"/>
  <c r="H1110" i="79"/>
  <c r="I1110" i="79"/>
  <c r="J1110" i="79"/>
  <c r="K1110" i="79"/>
  <c r="E1111" i="79" a="1"/>
  <c r="E1111" i="79"/>
  <c r="G1111" i="79"/>
  <c r="H1111" i="79"/>
  <c r="I1111" i="79"/>
  <c r="J1111" i="79"/>
  <c r="K1111" i="79"/>
  <c r="E1112" i="79" a="1"/>
  <c r="E1112" i="79"/>
  <c r="G1112" i="79"/>
  <c r="H1112" i="79"/>
  <c r="I1112" i="79"/>
  <c r="J1112" i="79"/>
  <c r="K1112" i="79"/>
  <c r="E1113" i="79" a="1"/>
  <c r="E1113" i="79"/>
  <c r="G1113" i="79"/>
  <c r="H1113" i="79"/>
  <c r="I1113" i="79"/>
  <c r="J1113" i="79"/>
  <c r="K1113" i="79"/>
  <c r="E1114" i="79" a="1"/>
  <c r="E1114" i="79"/>
  <c r="G1114" i="79"/>
  <c r="H1114" i="79"/>
  <c r="I1114" i="79"/>
  <c r="J1114" i="79"/>
  <c r="K1114" i="79"/>
  <c r="E1115" i="79" a="1"/>
  <c r="E1115" i="79"/>
  <c r="G1115" i="79"/>
  <c r="H1115" i="79"/>
  <c r="I1115" i="79"/>
  <c r="J1115" i="79"/>
  <c r="K1115" i="79"/>
  <c r="E1116" i="79" a="1"/>
  <c r="E1116" i="79"/>
  <c r="G1116" i="79"/>
  <c r="H1116" i="79"/>
  <c r="I1116" i="79"/>
  <c r="J1116" i="79"/>
  <c r="K1116" i="79"/>
  <c r="E1117" i="79" a="1"/>
  <c r="E1117" i="79"/>
  <c r="G1117" i="79"/>
  <c r="H1117" i="79"/>
  <c r="I1117" i="79"/>
  <c r="J1117" i="79"/>
  <c r="K1117" i="79"/>
  <c r="E1118" i="79" a="1"/>
  <c r="E1118" i="79"/>
  <c r="G1118" i="79"/>
  <c r="H1118" i="79"/>
  <c r="I1118" i="79"/>
  <c r="J1118" i="79"/>
  <c r="K1118" i="79"/>
  <c r="E1119" i="79" a="1"/>
  <c r="E1119" i="79"/>
  <c r="G1119" i="79"/>
  <c r="H1119" i="79"/>
  <c r="I1119" i="79"/>
  <c r="J1119" i="79"/>
  <c r="K1119" i="79"/>
  <c r="E1120" i="79" a="1"/>
  <c r="E1120" i="79"/>
  <c r="G1120" i="79"/>
  <c r="H1120" i="79"/>
  <c r="I1120" i="79"/>
  <c r="J1120" i="79"/>
  <c r="K1120" i="79"/>
  <c r="E1121" i="79" a="1"/>
  <c r="E1121" i="79"/>
  <c r="G1121" i="79"/>
  <c r="H1121" i="79"/>
  <c r="I1121" i="79"/>
  <c r="J1121" i="79"/>
  <c r="K1121" i="79"/>
  <c r="E1122" i="79" a="1"/>
  <c r="E1122" i="79"/>
  <c r="G1122" i="79"/>
  <c r="H1122" i="79"/>
  <c r="I1122" i="79"/>
  <c r="J1122" i="79"/>
  <c r="K1122" i="79"/>
  <c r="E1123" i="79" a="1"/>
  <c r="E1123" i="79"/>
  <c r="G1123" i="79"/>
  <c r="H1123" i="79"/>
  <c r="I1123" i="79"/>
  <c r="J1123" i="79"/>
  <c r="K1123" i="79"/>
  <c r="E1124" i="79" a="1"/>
  <c r="E1124" i="79"/>
  <c r="G1124" i="79"/>
  <c r="H1124" i="79"/>
  <c r="I1124" i="79"/>
  <c r="J1124" i="79"/>
  <c r="K1124" i="79"/>
  <c r="E1125" i="79" a="1"/>
  <c r="E1125" i="79"/>
  <c r="G1125" i="79"/>
  <c r="H1125" i="79"/>
  <c r="I1125" i="79"/>
  <c r="J1125" i="79"/>
  <c r="K1125" i="79"/>
  <c r="E1126" i="79" a="1"/>
  <c r="E1126" i="79"/>
  <c r="G1126" i="79"/>
  <c r="H1126" i="79"/>
  <c r="I1126" i="79"/>
  <c r="J1126" i="79"/>
  <c r="K1126" i="79"/>
  <c r="E1127" i="79" a="1"/>
  <c r="E1127" i="79"/>
  <c r="G1127" i="79"/>
  <c r="H1127" i="79"/>
  <c r="I1127" i="79"/>
  <c r="J1127" i="79"/>
  <c r="K1127" i="79"/>
  <c r="E1128" i="79" a="1"/>
  <c r="E1128" i="79"/>
  <c r="G1128" i="79"/>
  <c r="H1128" i="79"/>
  <c r="I1128" i="79"/>
  <c r="J1128" i="79"/>
  <c r="K1128" i="79"/>
  <c r="E1129" i="79" a="1"/>
  <c r="E1129" i="79"/>
  <c r="G1129" i="79"/>
  <c r="H1129" i="79"/>
  <c r="I1129" i="79"/>
  <c r="J1129" i="79"/>
  <c r="K1129" i="79"/>
  <c r="E1130" i="79" a="1"/>
  <c r="E1130" i="79"/>
  <c r="G1130" i="79"/>
  <c r="H1130" i="79"/>
  <c r="I1130" i="79"/>
  <c r="J1130" i="79"/>
  <c r="K1130" i="79"/>
  <c r="E1131" i="79" a="1"/>
  <c r="E1131" i="79"/>
  <c r="G1131" i="79"/>
  <c r="H1131" i="79"/>
  <c r="I1131" i="79"/>
  <c r="J1131" i="79"/>
  <c r="K1131" i="79"/>
  <c r="E1132" i="79" a="1"/>
  <c r="E1132" i="79"/>
  <c r="G1132" i="79"/>
  <c r="H1132" i="79"/>
  <c r="I1132" i="79"/>
  <c r="J1132" i="79"/>
  <c r="K1132" i="79"/>
  <c r="E1133" i="79" a="1"/>
  <c r="E1133" i="79"/>
  <c r="G1133" i="79"/>
  <c r="H1133" i="79"/>
  <c r="I1133" i="79"/>
  <c r="J1133" i="79"/>
  <c r="K1133" i="79"/>
  <c r="E1134" i="79" a="1"/>
  <c r="E1134" i="79"/>
  <c r="G1134" i="79"/>
  <c r="H1134" i="79"/>
  <c r="I1134" i="79"/>
  <c r="J1134" i="79"/>
  <c r="K1134" i="79"/>
  <c r="E1135" i="79" a="1"/>
  <c r="E1135" i="79"/>
  <c r="G1135" i="79"/>
  <c r="H1135" i="79"/>
  <c r="I1135" i="79"/>
  <c r="J1135" i="79"/>
  <c r="K1135" i="79"/>
  <c r="E1136" i="79" a="1"/>
  <c r="E1136" i="79"/>
  <c r="G1136" i="79"/>
  <c r="H1136" i="79"/>
  <c r="I1136" i="79"/>
  <c r="J1136" i="79"/>
  <c r="K1136" i="79"/>
  <c r="E1137" i="79" a="1"/>
  <c r="E1137" i="79"/>
  <c r="G1137" i="79"/>
  <c r="H1137" i="79"/>
  <c r="I1137" i="79"/>
  <c r="J1137" i="79"/>
  <c r="K1137" i="79"/>
  <c r="E1138" i="79" a="1"/>
  <c r="E1138" i="79"/>
  <c r="G1138" i="79"/>
  <c r="H1138" i="79"/>
  <c r="I1138" i="79"/>
  <c r="J1138" i="79"/>
  <c r="K1138" i="79"/>
  <c r="E1139" i="79" a="1"/>
  <c r="E1139" i="79"/>
  <c r="G1139" i="79"/>
  <c r="H1139" i="79"/>
  <c r="I1139" i="79"/>
  <c r="J1139" i="79"/>
  <c r="K1139" i="79"/>
  <c r="E1140" i="79" a="1"/>
  <c r="E1140" i="79"/>
  <c r="G1140" i="79"/>
  <c r="H1140" i="79"/>
  <c r="I1140" i="79"/>
  <c r="J1140" i="79"/>
  <c r="K1140" i="79"/>
  <c r="E1141" i="79" a="1"/>
  <c r="E1141" i="79"/>
  <c r="G1141" i="79"/>
  <c r="H1141" i="79"/>
  <c r="I1141" i="79"/>
  <c r="J1141" i="79"/>
  <c r="K1141" i="79"/>
  <c r="E1142" i="79" a="1"/>
  <c r="E1142" i="79"/>
  <c r="G1142" i="79"/>
  <c r="H1142" i="79"/>
  <c r="I1142" i="79"/>
  <c r="J1142" i="79"/>
  <c r="K1142" i="79"/>
  <c r="E1143" i="79" a="1"/>
  <c r="E1143" i="79"/>
  <c r="G1143" i="79"/>
  <c r="H1143" i="79"/>
  <c r="I1143" i="79"/>
  <c r="J1143" i="79"/>
  <c r="K1143" i="79"/>
  <c r="E1144" i="79" a="1"/>
  <c r="E1144" i="79"/>
  <c r="G1144" i="79"/>
  <c r="H1144" i="79"/>
  <c r="I1144" i="79"/>
  <c r="J1144" i="79"/>
  <c r="K1144" i="79"/>
  <c r="E1145" i="79" a="1"/>
  <c r="E1145" i="79"/>
  <c r="G1145" i="79"/>
  <c r="H1145" i="79"/>
  <c r="I1145" i="79"/>
  <c r="J1145" i="79"/>
  <c r="K1145" i="79"/>
  <c r="E1146" i="79" a="1"/>
  <c r="E1146" i="79"/>
  <c r="G1146" i="79"/>
  <c r="H1146" i="79"/>
  <c r="I1146" i="79"/>
  <c r="J1146" i="79"/>
  <c r="K1146" i="79"/>
  <c r="E1147" i="79" a="1"/>
  <c r="E1147" i="79"/>
  <c r="G1147" i="79"/>
  <c r="H1147" i="79"/>
  <c r="I1147" i="79"/>
  <c r="J1147" i="79"/>
  <c r="K1147" i="79"/>
  <c r="E1148" i="79" a="1"/>
  <c r="E1148" i="79"/>
  <c r="G1148" i="79"/>
  <c r="H1148" i="79"/>
  <c r="I1148" i="79"/>
  <c r="J1148" i="79"/>
  <c r="K1148" i="79"/>
  <c r="E1149" i="79" a="1"/>
  <c r="E1149" i="79"/>
  <c r="G1149" i="79"/>
  <c r="H1149" i="79"/>
  <c r="I1149" i="79"/>
  <c r="J1149" i="79"/>
  <c r="K1149" i="79"/>
  <c r="E1150" i="79" a="1"/>
  <c r="E1150" i="79"/>
  <c r="G1150" i="79"/>
  <c r="H1150" i="79"/>
  <c r="I1150" i="79"/>
  <c r="J1150" i="79"/>
  <c r="K1150" i="79"/>
  <c r="E1151" i="79" a="1"/>
  <c r="E1151" i="79"/>
  <c r="G1151" i="79"/>
  <c r="H1151" i="79"/>
  <c r="I1151" i="79"/>
  <c r="J1151" i="79"/>
  <c r="K1151" i="79"/>
  <c r="E1152" i="79" a="1"/>
  <c r="E1152" i="79"/>
  <c r="G1152" i="79"/>
  <c r="H1152" i="79"/>
  <c r="I1152" i="79"/>
  <c r="J1152" i="79"/>
  <c r="K1152" i="79"/>
  <c r="E1153" i="79" a="1"/>
  <c r="E1153" i="79"/>
  <c r="G1153" i="79"/>
  <c r="H1153" i="79"/>
  <c r="I1153" i="79"/>
  <c r="J1153" i="79"/>
  <c r="K1153" i="79"/>
  <c r="E1154" i="79" a="1"/>
  <c r="E1154" i="79"/>
  <c r="G1154" i="79"/>
  <c r="H1154" i="79"/>
  <c r="I1154" i="79"/>
  <c r="J1154" i="79"/>
  <c r="K1154" i="79"/>
  <c r="E1155" i="79" a="1"/>
  <c r="E1155" i="79"/>
  <c r="G1155" i="79"/>
  <c r="H1155" i="79"/>
  <c r="I1155" i="79"/>
  <c r="J1155" i="79"/>
  <c r="K1155" i="79"/>
  <c r="E1156" i="79" a="1"/>
  <c r="E1156" i="79"/>
  <c r="G1156" i="79"/>
  <c r="H1156" i="79"/>
  <c r="I1156" i="79"/>
  <c r="J1156" i="79"/>
  <c r="K1156" i="79"/>
  <c r="E1157" i="79" a="1"/>
  <c r="E1157" i="79"/>
  <c r="G1157" i="79"/>
  <c r="H1157" i="79"/>
  <c r="I1157" i="79"/>
  <c r="J1157" i="79"/>
  <c r="K1157" i="79"/>
  <c r="E1158" i="79" a="1"/>
  <c r="E1158" i="79"/>
  <c r="G1158" i="79"/>
  <c r="H1158" i="79"/>
  <c r="I1158" i="79"/>
  <c r="J1158" i="79"/>
  <c r="K1158" i="79"/>
  <c r="E1159" i="79" a="1"/>
  <c r="E1159" i="79"/>
  <c r="G1159" i="79"/>
  <c r="H1159" i="79"/>
  <c r="I1159" i="79"/>
  <c r="J1159" i="79"/>
  <c r="K1159" i="79"/>
  <c r="E1160" i="79" a="1"/>
  <c r="E1160" i="79"/>
  <c r="G1160" i="79"/>
  <c r="H1160" i="79"/>
  <c r="I1160" i="79"/>
  <c r="J1160" i="79"/>
  <c r="K1160" i="79"/>
  <c r="E1161" i="79" a="1"/>
  <c r="E1161" i="79"/>
  <c r="G1161" i="79"/>
  <c r="H1161" i="79"/>
  <c r="I1161" i="79"/>
  <c r="J1161" i="79"/>
  <c r="K1161" i="79"/>
  <c r="E1162" i="79" a="1"/>
  <c r="E1162" i="79"/>
  <c r="G1162" i="79"/>
  <c r="H1162" i="79"/>
  <c r="I1162" i="79"/>
  <c r="J1162" i="79"/>
  <c r="K1162" i="79"/>
  <c r="E1163" i="79" a="1"/>
  <c r="E1163" i="79"/>
  <c r="G1163" i="79"/>
  <c r="H1163" i="79"/>
  <c r="I1163" i="79"/>
  <c r="J1163" i="79"/>
  <c r="K1163" i="79"/>
  <c r="E1184" i="79" a="1"/>
  <c r="E1184" i="79"/>
  <c r="G1184" i="79"/>
  <c r="H1184" i="79"/>
  <c r="I1184" i="79"/>
  <c r="J1184" i="79"/>
  <c r="K1184" i="79"/>
  <c r="E1185" i="79" a="1"/>
  <c r="E1185" i="79"/>
  <c r="G1185" i="79"/>
  <c r="H1185" i="79"/>
  <c r="I1185" i="79"/>
  <c r="J1185" i="79"/>
  <c r="K1185" i="79"/>
  <c r="E1186" i="79" a="1"/>
  <c r="E1186" i="79"/>
  <c r="G1186" i="79"/>
  <c r="H1186" i="79"/>
  <c r="I1186" i="79"/>
  <c r="J1186" i="79"/>
  <c r="K1186" i="79"/>
  <c r="E1187" i="79" a="1"/>
  <c r="E1187" i="79"/>
  <c r="G1187" i="79"/>
  <c r="H1187" i="79"/>
  <c r="I1187" i="79"/>
  <c r="J1187" i="79"/>
  <c r="K1187" i="79"/>
  <c r="E1188" i="79" a="1"/>
  <c r="E1188" i="79"/>
  <c r="G1188" i="79"/>
  <c r="H1188" i="79"/>
  <c r="I1188" i="79"/>
  <c r="J1188" i="79"/>
  <c r="K1188" i="79"/>
  <c r="E1189" i="79" a="1"/>
  <c r="E1189" i="79"/>
  <c r="G1189" i="79"/>
  <c r="H1189" i="79"/>
  <c r="I1189" i="79"/>
  <c r="J1189" i="79"/>
  <c r="K1189" i="79"/>
  <c r="E1190" i="79" a="1"/>
  <c r="E1190" i="79"/>
  <c r="G1190" i="79"/>
  <c r="H1190" i="79"/>
  <c r="I1190" i="79"/>
  <c r="J1190" i="79"/>
  <c r="K1190" i="79"/>
  <c r="E1191" i="79" a="1"/>
  <c r="E1191" i="79"/>
  <c r="G1191" i="79"/>
  <c r="H1191" i="79"/>
  <c r="I1191" i="79"/>
  <c r="J1191" i="79"/>
  <c r="K1191" i="79"/>
  <c r="E1192" i="79" a="1"/>
  <c r="E1192" i="79"/>
  <c r="G1192" i="79"/>
  <c r="H1192" i="79"/>
  <c r="I1192" i="79"/>
  <c r="J1192" i="79"/>
  <c r="K1192" i="79"/>
  <c r="E1193" i="79" a="1"/>
  <c r="E1193" i="79"/>
  <c r="G1193" i="79"/>
  <c r="H1193" i="79"/>
  <c r="I1193" i="79"/>
  <c r="J1193" i="79"/>
  <c r="K1193" i="79"/>
  <c r="E1194" i="79" a="1"/>
  <c r="E1194" i="79"/>
  <c r="G1194" i="79"/>
  <c r="H1194" i="79"/>
  <c r="I1194" i="79"/>
  <c r="J1194" i="79"/>
  <c r="K1194" i="79"/>
  <c r="E1195" i="79" a="1"/>
  <c r="E1195" i="79"/>
  <c r="G1195" i="79"/>
  <c r="H1195" i="79"/>
  <c r="I1195" i="79"/>
  <c r="J1195" i="79"/>
  <c r="K1195" i="79"/>
  <c r="E1196" i="79" a="1"/>
  <c r="E1196" i="79"/>
  <c r="G1196" i="79"/>
  <c r="H1196" i="79"/>
  <c r="I1196" i="79"/>
  <c r="J1196" i="79"/>
  <c r="K1196" i="79"/>
  <c r="E1197" i="79" a="1"/>
  <c r="E1197" i="79"/>
  <c r="G1197" i="79"/>
  <c r="H1197" i="79"/>
  <c r="I1197" i="79"/>
  <c r="J1197" i="79"/>
  <c r="K1197" i="79"/>
  <c r="E1198" i="79" a="1"/>
  <c r="E1198" i="79"/>
  <c r="G1198" i="79"/>
  <c r="H1198" i="79"/>
  <c r="I1198" i="79"/>
  <c r="J1198" i="79"/>
  <c r="K1198" i="79"/>
  <c r="E1199" i="79" a="1"/>
  <c r="E1199" i="79"/>
  <c r="G1199" i="79"/>
  <c r="H1199" i="79"/>
  <c r="I1199" i="79"/>
  <c r="J1199" i="79"/>
  <c r="K1199" i="79"/>
  <c r="E1200" i="79" a="1"/>
  <c r="E1200" i="79"/>
  <c r="G1200" i="79"/>
  <c r="H1200" i="79"/>
  <c r="I1200" i="79"/>
  <c r="J1200" i="79"/>
  <c r="K1200" i="79"/>
  <c r="E1201" i="79" a="1"/>
  <c r="E1201" i="79"/>
  <c r="G1201" i="79"/>
  <c r="H1201" i="79"/>
  <c r="I1201" i="79"/>
  <c r="J1201" i="79"/>
  <c r="K1201" i="79"/>
  <c r="E1202" i="79" a="1"/>
  <c r="E1202" i="79"/>
  <c r="G1202" i="79"/>
  <c r="H1202" i="79"/>
  <c r="I1202" i="79"/>
  <c r="J1202" i="79"/>
  <c r="K1202" i="79"/>
  <c r="E1203" i="79" a="1"/>
  <c r="E1203" i="79"/>
  <c r="G1203" i="79"/>
  <c r="H1203" i="79"/>
  <c r="I1203" i="79"/>
  <c r="J1203" i="79"/>
  <c r="K1203" i="79"/>
  <c r="E1204" i="79" a="1"/>
  <c r="E1204" i="79"/>
  <c r="G1204" i="79"/>
  <c r="H1204" i="79"/>
  <c r="I1204" i="79"/>
  <c r="J1204" i="79"/>
  <c r="K1204" i="79"/>
  <c r="E1205" i="79" a="1"/>
  <c r="E1205" i="79"/>
  <c r="G1205" i="79"/>
  <c r="H1205" i="79"/>
  <c r="I1205" i="79"/>
  <c r="J1205" i="79"/>
  <c r="K1205" i="79"/>
  <c r="E1206" i="79" a="1"/>
  <c r="E1206" i="79"/>
  <c r="G1206" i="79"/>
  <c r="H1206" i="79"/>
  <c r="I1206" i="79"/>
  <c r="J1206" i="79"/>
  <c r="K1206" i="79"/>
  <c r="E1207" i="79" a="1"/>
  <c r="E1207" i="79"/>
  <c r="G1207" i="79"/>
  <c r="H1207" i="79"/>
  <c r="I1207" i="79"/>
  <c r="J1207" i="79"/>
  <c r="K1207" i="79"/>
  <c r="E1208" i="79" a="1"/>
  <c r="E1208" i="79"/>
  <c r="G1208" i="79"/>
  <c r="H1208" i="79"/>
  <c r="I1208" i="79"/>
  <c r="J1208" i="79"/>
  <c r="K1208" i="79"/>
  <c r="E1209" i="79" a="1"/>
  <c r="E1209" i="79"/>
  <c r="G1209" i="79"/>
  <c r="H1209" i="79"/>
  <c r="I1209" i="79"/>
  <c r="J1209" i="79"/>
  <c r="K1209" i="79"/>
  <c r="E1210" i="79" a="1"/>
  <c r="E1210" i="79"/>
  <c r="G1210" i="79"/>
  <c r="H1210" i="79"/>
  <c r="I1210" i="79"/>
  <c r="J1210" i="79"/>
  <c r="K1210" i="79"/>
  <c r="E1211" i="79" a="1"/>
  <c r="E1211" i="79"/>
  <c r="G1211" i="79"/>
  <c r="H1211" i="79"/>
  <c r="I1211" i="79"/>
  <c r="J1211" i="79"/>
  <c r="K1211" i="79"/>
  <c r="E1212" i="79" a="1"/>
  <c r="E1212" i="79"/>
  <c r="G1212" i="79"/>
  <c r="H1212" i="79"/>
  <c r="I1212" i="79"/>
  <c r="J1212" i="79"/>
  <c r="K1212" i="79"/>
  <c r="E1213" i="79" a="1"/>
  <c r="E1213" i="79"/>
  <c r="G1213" i="79"/>
  <c r="H1213" i="79"/>
  <c r="I1213" i="79"/>
  <c r="J1213" i="79"/>
  <c r="K1213" i="79"/>
  <c r="E1214" i="79" a="1"/>
  <c r="E1214" i="79"/>
  <c r="G1214" i="79"/>
  <c r="H1214" i="79"/>
  <c r="I1214" i="79"/>
  <c r="J1214" i="79"/>
  <c r="K1214" i="79"/>
  <c r="E1215" i="79" a="1"/>
  <c r="E1215" i="79"/>
  <c r="G1215" i="79"/>
  <c r="H1215" i="79"/>
  <c r="I1215" i="79"/>
  <c r="J1215" i="79"/>
  <c r="K1215" i="79"/>
  <c r="E1216" i="79" a="1"/>
  <c r="E1216" i="79"/>
  <c r="G1216" i="79"/>
  <c r="H1216" i="79"/>
  <c r="I1216" i="79"/>
  <c r="J1216" i="79"/>
  <c r="K1216" i="79"/>
  <c r="E1217" i="79" a="1"/>
  <c r="E1217" i="79"/>
  <c r="G1217" i="79"/>
  <c r="H1217" i="79"/>
  <c r="I1217" i="79"/>
  <c r="J1217" i="79"/>
  <c r="K1217" i="79"/>
  <c r="E1218" i="79" a="1"/>
  <c r="E1218" i="79"/>
  <c r="G1218" i="79"/>
  <c r="H1218" i="79"/>
  <c r="I1218" i="79"/>
  <c r="J1218" i="79"/>
  <c r="K1218" i="79"/>
  <c r="E1219" i="79" a="1"/>
  <c r="E1219" i="79"/>
  <c r="G1219" i="79"/>
  <c r="H1219" i="79"/>
  <c r="I1219" i="79"/>
  <c r="J1219" i="79"/>
  <c r="K1219" i="79"/>
  <c r="E1220" i="79" a="1"/>
  <c r="E1220" i="79"/>
  <c r="G1220" i="79"/>
  <c r="H1220" i="79"/>
  <c r="I1220" i="79"/>
  <c r="J1220" i="79"/>
  <c r="K1220" i="79"/>
  <c r="E1221" i="79" a="1"/>
  <c r="E1221" i="79"/>
  <c r="G1221" i="79"/>
  <c r="H1221" i="79"/>
  <c r="I1221" i="79"/>
  <c r="J1221" i="79"/>
  <c r="K1221" i="79"/>
  <c r="E1222" i="79" a="1"/>
  <c r="E1222" i="79"/>
  <c r="G1222" i="79"/>
  <c r="H1222" i="79"/>
  <c r="I1222" i="79"/>
  <c r="J1222" i="79"/>
  <c r="K1222" i="79"/>
  <c r="E1223" i="79" a="1"/>
  <c r="E1223" i="79"/>
  <c r="G1223" i="79"/>
  <c r="H1223" i="79"/>
  <c r="I1223" i="79"/>
  <c r="J1223" i="79"/>
  <c r="K1223" i="79"/>
  <c r="E1224" i="79" a="1"/>
  <c r="E1224" i="79"/>
  <c r="G1224" i="79"/>
  <c r="H1224" i="79"/>
  <c r="I1224" i="79"/>
  <c r="J1224" i="79"/>
  <c r="K1224" i="79"/>
  <c r="E1225" i="79" a="1"/>
  <c r="E1225" i="79"/>
  <c r="G1225" i="79"/>
  <c r="H1225" i="79"/>
  <c r="I1225" i="79"/>
  <c r="J1225" i="79"/>
  <c r="K1225" i="79"/>
  <c r="E1226" i="79" a="1"/>
  <c r="E1226" i="79"/>
  <c r="G1226" i="79"/>
  <c r="H1226" i="79"/>
  <c r="I1226" i="79"/>
  <c r="J1226" i="79"/>
  <c r="K1226" i="79"/>
  <c r="E1227" i="79" a="1"/>
  <c r="E1227" i="79"/>
  <c r="G1227" i="79"/>
  <c r="H1227" i="79"/>
  <c r="I1227" i="79"/>
  <c r="J1227" i="79"/>
  <c r="K1227" i="79"/>
  <c r="E1228" i="79" a="1"/>
  <c r="E1228" i="79"/>
  <c r="G1228" i="79"/>
  <c r="H1228" i="79"/>
  <c r="I1228" i="79"/>
  <c r="J1228" i="79"/>
  <c r="K1228" i="79"/>
  <c r="E1229" i="79" a="1"/>
  <c r="E1229" i="79"/>
  <c r="G1229" i="79"/>
  <c r="H1229" i="79"/>
  <c r="I1229" i="79"/>
  <c r="J1229" i="79"/>
  <c r="K1229" i="79"/>
  <c r="E1230" i="79" a="1"/>
  <c r="E1230" i="79"/>
  <c r="G1230" i="79"/>
  <c r="H1230" i="79"/>
  <c r="I1230" i="79"/>
  <c r="J1230" i="79"/>
  <c r="K1230" i="79"/>
  <c r="E1231" i="79" a="1"/>
  <c r="E1231" i="79"/>
  <c r="G1231" i="79"/>
  <c r="H1231" i="79"/>
  <c r="I1231" i="79"/>
  <c r="J1231" i="79"/>
  <c r="K1231" i="79"/>
  <c r="E1232" i="79" a="1"/>
  <c r="E1232" i="79"/>
  <c r="G1232" i="79"/>
  <c r="H1232" i="79"/>
  <c r="I1232" i="79"/>
  <c r="J1232" i="79"/>
  <c r="K1232" i="79"/>
  <c r="E1233" i="79" a="1"/>
  <c r="E1233" i="79"/>
  <c r="G1233" i="79"/>
  <c r="H1233" i="79"/>
  <c r="I1233" i="79"/>
  <c r="J1233" i="79"/>
  <c r="K1233" i="79"/>
  <c r="E979" i="79" a="1"/>
  <c r="E979" i="79"/>
  <c r="G979" i="79"/>
  <c r="H979" i="79"/>
  <c r="I979" i="79"/>
  <c r="J979" i="79"/>
  <c r="K979" i="79"/>
  <c r="E980" i="79" a="1"/>
  <c r="E980" i="79"/>
  <c r="G980" i="79"/>
  <c r="H980" i="79"/>
  <c r="I980" i="79"/>
  <c r="J980" i="79"/>
  <c r="K980" i="79"/>
  <c r="E981" i="79" a="1"/>
  <c r="E981" i="79"/>
  <c r="G981" i="79"/>
  <c r="H981" i="79"/>
  <c r="I981" i="79"/>
  <c r="J981" i="79"/>
  <c r="K981" i="79"/>
  <c r="E982" i="79" a="1"/>
  <c r="E982" i="79"/>
  <c r="G982" i="79"/>
  <c r="H982" i="79"/>
  <c r="I982" i="79"/>
  <c r="J982" i="79"/>
  <c r="K982" i="79"/>
  <c r="E983" i="79" a="1"/>
  <c r="E983" i="79"/>
  <c r="G983" i="79"/>
  <c r="H983" i="79"/>
  <c r="I983" i="79"/>
  <c r="J983" i="79"/>
  <c r="K983" i="79"/>
  <c r="E984" i="79" a="1"/>
  <c r="E984" i="79"/>
  <c r="G984" i="79"/>
  <c r="H984" i="79"/>
  <c r="I984" i="79"/>
  <c r="J984" i="79"/>
  <c r="K984" i="79"/>
  <c r="E985" i="79" a="1"/>
  <c r="E985" i="79"/>
  <c r="G985" i="79"/>
  <c r="H985" i="79"/>
  <c r="I985" i="79"/>
  <c r="J985" i="79"/>
  <c r="K985" i="79"/>
  <c r="E986" i="79" a="1"/>
  <c r="E986" i="79"/>
  <c r="G986" i="79"/>
  <c r="H986" i="79"/>
  <c r="I986" i="79"/>
  <c r="J986" i="79"/>
  <c r="K986" i="79"/>
  <c r="E987" i="79" a="1"/>
  <c r="E987" i="79"/>
  <c r="G987" i="79"/>
  <c r="H987" i="79"/>
  <c r="I987" i="79"/>
  <c r="J987" i="79"/>
  <c r="K987" i="79"/>
  <c r="E988" i="79" a="1"/>
  <c r="E988" i="79"/>
  <c r="G988" i="79"/>
  <c r="H988" i="79"/>
  <c r="I988" i="79"/>
  <c r="J988" i="79"/>
  <c r="K988" i="79"/>
  <c r="E989" i="79" a="1"/>
  <c r="E989" i="79"/>
  <c r="G989" i="79"/>
  <c r="H989" i="79"/>
  <c r="I989" i="79"/>
  <c r="J989" i="79"/>
  <c r="K989" i="79"/>
  <c r="E990" i="79" a="1"/>
  <c r="E990" i="79"/>
  <c r="G990" i="79"/>
  <c r="H990" i="79"/>
  <c r="I990" i="79"/>
  <c r="J990" i="79"/>
  <c r="K990" i="79"/>
  <c r="E991" i="79" a="1"/>
  <c r="E991" i="79"/>
  <c r="G991" i="79"/>
  <c r="H991" i="79"/>
  <c r="I991" i="79"/>
  <c r="J991" i="79"/>
  <c r="K991" i="79"/>
  <c r="E992" i="79" a="1"/>
  <c r="E992" i="79"/>
  <c r="G992" i="79"/>
  <c r="H992" i="79"/>
  <c r="I992" i="79"/>
  <c r="J992" i="79"/>
  <c r="K992" i="79"/>
  <c r="E993" i="79" a="1"/>
  <c r="E993" i="79"/>
  <c r="G993" i="79"/>
  <c r="H993" i="79"/>
  <c r="I993" i="79"/>
  <c r="J993" i="79"/>
  <c r="K993" i="79"/>
  <c r="E994" i="79" a="1"/>
  <c r="E994" i="79"/>
  <c r="G994" i="79"/>
  <c r="H994" i="79"/>
  <c r="I994" i="79"/>
  <c r="J994" i="79"/>
  <c r="K994" i="79"/>
  <c r="E995" i="79" a="1"/>
  <c r="E995" i="79"/>
  <c r="G995" i="79"/>
  <c r="H995" i="79"/>
  <c r="I995" i="79"/>
  <c r="J995" i="79"/>
  <c r="K995" i="79"/>
  <c r="E996" i="79" a="1"/>
  <c r="E996" i="79"/>
  <c r="G996" i="79"/>
  <c r="H996" i="79"/>
  <c r="I996" i="79"/>
  <c r="J996" i="79"/>
  <c r="K996" i="79"/>
  <c r="E1016" i="79" a="1"/>
  <c r="E1016" i="79"/>
  <c r="G1016" i="79"/>
  <c r="H1016" i="79"/>
  <c r="I1016" i="79"/>
  <c r="J1016" i="79"/>
  <c r="K1016" i="79"/>
  <c r="E1018" i="79" a="1"/>
  <c r="E1018" i="79"/>
  <c r="G1018" i="79"/>
  <c r="H1018" i="79"/>
  <c r="I1018" i="79"/>
  <c r="J1018" i="79"/>
  <c r="K1018" i="79"/>
  <c r="E1019" i="79" a="1"/>
  <c r="E1019" i="79"/>
  <c r="G1019" i="79"/>
  <c r="H1019" i="79"/>
  <c r="I1019" i="79"/>
  <c r="J1019" i="79"/>
  <c r="K1019" i="79"/>
  <c r="E1020" i="79" a="1"/>
  <c r="E1020" i="79"/>
  <c r="G1020" i="79"/>
  <c r="H1020" i="79"/>
  <c r="I1020" i="79"/>
  <c r="J1020" i="79"/>
  <c r="K1020" i="79"/>
  <c r="E1021" i="79" a="1"/>
  <c r="E1021" i="79"/>
  <c r="G1021" i="79"/>
  <c r="H1021" i="79"/>
  <c r="I1021" i="79"/>
  <c r="J1021" i="79"/>
  <c r="K1021" i="79"/>
  <c r="E1022" i="79" a="1"/>
  <c r="E1022" i="79"/>
  <c r="G1022" i="79"/>
  <c r="H1022" i="79"/>
  <c r="I1022" i="79"/>
  <c r="J1022" i="79"/>
  <c r="K1022" i="79"/>
  <c r="E1023" i="79" a="1"/>
  <c r="E1023" i="79"/>
  <c r="G1023" i="79"/>
  <c r="H1023" i="79"/>
  <c r="I1023" i="79"/>
  <c r="J1023" i="79"/>
  <c r="K1023" i="79"/>
  <c r="E1024" i="79" a="1"/>
  <c r="E1024" i="79"/>
  <c r="G1024" i="79"/>
  <c r="H1024" i="79"/>
  <c r="I1024" i="79"/>
  <c r="J1024" i="79"/>
  <c r="K1024" i="79"/>
  <c r="E1025" i="79" a="1"/>
  <c r="E1025" i="79"/>
  <c r="G1025" i="79"/>
  <c r="H1025" i="79"/>
  <c r="I1025" i="79"/>
  <c r="J1025" i="79"/>
  <c r="K1025" i="79"/>
  <c r="E1026" i="79" a="1"/>
  <c r="E1026" i="79"/>
  <c r="G1026" i="79"/>
  <c r="H1026" i="79"/>
  <c r="I1026" i="79"/>
  <c r="J1026" i="79"/>
  <c r="K1026" i="79"/>
  <c r="E1027" i="79" a="1"/>
  <c r="E1027" i="79"/>
  <c r="G1027" i="79"/>
  <c r="H1027" i="79"/>
  <c r="I1027" i="79"/>
  <c r="J1027" i="79"/>
  <c r="K1027" i="79"/>
  <c r="E1028" i="79" a="1"/>
  <c r="E1028" i="79"/>
  <c r="G1028" i="79"/>
  <c r="H1028" i="79"/>
  <c r="I1028" i="79"/>
  <c r="J1028" i="79"/>
  <c r="K1028" i="79"/>
  <c r="E1029" i="79" a="1"/>
  <c r="E1029" i="79"/>
  <c r="G1029" i="79"/>
  <c r="H1029" i="79"/>
  <c r="I1029" i="79"/>
  <c r="J1029" i="79"/>
  <c r="K1029" i="79"/>
  <c r="E1030" i="79" a="1"/>
  <c r="E1030" i="79"/>
  <c r="G1030" i="79"/>
  <c r="H1030" i="79"/>
  <c r="I1030" i="79"/>
  <c r="J1030" i="79"/>
  <c r="K1030" i="79"/>
  <c r="E1031" i="79" a="1"/>
  <c r="E1031" i="79"/>
  <c r="G1031" i="79"/>
  <c r="H1031" i="79"/>
  <c r="I1031" i="79"/>
  <c r="J1031" i="79"/>
  <c r="K1031" i="79"/>
  <c r="E1032" i="79" a="1"/>
  <c r="E1032" i="79"/>
  <c r="G1032" i="79"/>
  <c r="H1032" i="79"/>
  <c r="I1032" i="79"/>
  <c r="J1032" i="79"/>
  <c r="K1032" i="79"/>
  <c r="E1033" i="79" a="1"/>
  <c r="E1033" i="79"/>
  <c r="G1033" i="79"/>
  <c r="H1033" i="79"/>
  <c r="I1033" i="79"/>
  <c r="J1033" i="79"/>
  <c r="K1033" i="79"/>
  <c r="E1034" i="79" a="1"/>
  <c r="E1034" i="79"/>
  <c r="G1034" i="79"/>
  <c r="H1034" i="79"/>
  <c r="I1034" i="79"/>
  <c r="J1034" i="79"/>
  <c r="K1034" i="79"/>
  <c r="E1035" i="79" a="1"/>
  <c r="E1035" i="79"/>
  <c r="G1035" i="79"/>
  <c r="H1035" i="79"/>
  <c r="I1035" i="79"/>
  <c r="J1035" i="79"/>
  <c r="K1035" i="79"/>
  <c r="E1036" i="79" a="1"/>
  <c r="E1036" i="79"/>
  <c r="G1036" i="79"/>
  <c r="H1036" i="79"/>
  <c r="I1036" i="79"/>
  <c r="J1036" i="79"/>
  <c r="K1036" i="79"/>
  <c r="E1037" i="79" a="1"/>
  <c r="E1037" i="79"/>
  <c r="G1037" i="79"/>
  <c r="H1037" i="79"/>
  <c r="I1037" i="79"/>
  <c r="J1037" i="79"/>
  <c r="K1037" i="79"/>
  <c r="E1038" i="79" a="1"/>
  <c r="E1038" i="79"/>
  <c r="G1038" i="79"/>
  <c r="H1038" i="79"/>
  <c r="I1038" i="79"/>
  <c r="J1038" i="79"/>
  <c r="K1038" i="79"/>
  <c r="E1039" i="79" a="1"/>
  <c r="E1039" i="79"/>
  <c r="G1039" i="79"/>
  <c r="H1039" i="79"/>
  <c r="I1039" i="79"/>
  <c r="J1039" i="79"/>
  <c r="K1039" i="79"/>
  <c r="E1040" i="79" a="1"/>
  <c r="E1040" i="79"/>
  <c r="G1040" i="79"/>
  <c r="H1040" i="79"/>
  <c r="I1040" i="79"/>
  <c r="J1040" i="79"/>
  <c r="K1040" i="79"/>
  <c r="E1041" i="79" a="1"/>
  <c r="E1041" i="79"/>
  <c r="G1041" i="79"/>
  <c r="H1041" i="79"/>
  <c r="I1041" i="79"/>
  <c r="J1041" i="79"/>
  <c r="K1041" i="79"/>
  <c r="E1042" i="79" a="1"/>
  <c r="E1042" i="79"/>
  <c r="G1042" i="79"/>
  <c r="H1042" i="79"/>
  <c r="I1042" i="79"/>
  <c r="J1042" i="79"/>
  <c r="K1042" i="79"/>
  <c r="E1043" i="79" a="1"/>
  <c r="E1043" i="79"/>
  <c r="G1043" i="79"/>
  <c r="H1043" i="79"/>
  <c r="I1043" i="79"/>
  <c r="J1043" i="79"/>
  <c r="K1043" i="79"/>
  <c r="E1044" i="79" a="1"/>
  <c r="E1044" i="79"/>
  <c r="G1044" i="79"/>
  <c r="H1044" i="79"/>
  <c r="I1044" i="79"/>
  <c r="J1044" i="79"/>
  <c r="K1044" i="79"/>
  <c r="E1045" i="79" a="1"/>
  <c r="E1045" i="79"/>
  <c r="G1045" i="79"/>
  <c r="H1045" i="79"/>
  <c r="I1045" i="79"/>
  <c r="J1045" i="79"/>
  <c r="K1045" i="79"/>
  <c r="E1046" i="79" a="1"/>
  <c r="E1046" i="79"/>
  <c r="G1046" i="79"/>
  <c r="H1046" i="79"/>
  <c r="I1046" i="79"/>
  <c r="J1046" i="79"/>
  <c r="K1046" i="79"/>
  <c r="E1047" i="79" a="1"/>
  <c r="E1047" i="79"/>
  <c r="G1047" i="79"/>
  <c r="H1047" i="79"/>
  <c r="I1047" i="79"/>
  <c r="J1047" i="79"/>
  <c r="K1047" i="79"/>
  <c r="E1048" i="79" a="1"/>
  <c r="E1048" i="79"/>
  <c r="G1048" i="79"/>
  <c r="H1048" i="79"/>
  <c r="I1048" i="79"/>
  <c r="J1048" i="79"/>
  <c r="K1048" i="79"/>
  <c r="E1049" i="79" a="1"/>
  <c r="E1049" i="79"/>
  <c r="G1049" i="79"/>
  <c r="H1049" i="79"/>
  <c r="I1049" i="79"/>
  <c r="J1049" i="79"/>
  <c r="K1049" i="79"/>
  <c r="E1050" i="79" a="1"/>
  <c r="E1050" i="79"/>
  <c r="G1050" i="79"/>
  <c r="H1050" i="79"/>
  <c r="I1050" i="79"/>
  <c r="J1050" i="79"/>
  <c r="K1050" i="79"/>
  <c r="E1051" i="79" a="1"/>
  <c r="E1051" i="79"/>
  <c r="G1051" i="79"/>
  <c r="H1051" i="79"/>
  <c r="I1051" i="79"/>
  <c r="J1051" i="79"/>
  <c r="K1051" i="79"/>
  <c r="E1052" i="79" a="1"/>
  <c r="E1052" i="79"/>
  <c r="G1052" i="79"/>
  <c r="H1052" i="79"/>
  <c r="I1052" i="79"/>
  <c r="J1052" i="79"/>
  <c r="K1052" i="79"/>
  <c r="E1053" i="79" a="1"/>
  <c r="E1053" i="79"/>
  <c r="G1053" i="79"/>
  <c r="H1053" i="79"/>
  <c r="I1053" i="79"/>
  <c r="J1053" i="79"/>
  <c r="K1053" i="79"/>
  <c r="E1054" i="79" a="1"/>
  <c r="E1054" i="79"/>
  <c r="G1054" i="79"/>
  <c r="H1054" i="79"/>
  <c r="I1054" i="79"/>
  <c r="J1054" i="79"/>
  <c r="K1054" i="79"/>
  <c r="E1055" i="79" a="1"/>
  <c r="E1055" i="79"/>
  <c r="G1055" i="79"/>
  <c r="H1055" i="79"/>
  <c r="I1055" i="79"/>
  <c r="J1055" i="79"/>
  <c r="K1055" i="79"/>
  <c r="E1056" i="79" a="1"/>
  <c r="E1056" i="79"/>
  <c r="G1056" i="79"/>
  <c r="H1056" i="79"/>
  <c r="I1056" i="79"/>
  <c r="J1056" i="79"/>
  <c r="K1056" i="79"/>
  <c r="E911" i="79" a="1"/>
  <c r="E911" i="79"/>
  <c r="G911" i="79"/>
  <c r="H911" i="79"/>
  <c r="I911" i="79"/>
  <c r="J911" i="79"/>
  <c r="K911" i="79"/>
  <c r="E912" i="79" a="1"/>
  <c r="E912" i="79"/>
  <c r="G912" i="79"/>
  <c r="H912" i="79"/>
  <c r="I912" i="79"/>
  <c r="J912" i="79"/>
  <c r="K912" i="79"/>
  <c r="E913" i="79" a="1"/>
  <c r="E913" i="79"/>
  <c r="G913" i="79"/>
  <c r="H913" i="79"/>
  <c r="I913" i="79"/>
  <c r="J913" i="79"/>
  <c r="K913" i="79"/>
  <c r="E914" i="79" a="1"/>
  <c r="E914" i="79"/>
  <c r="G914" i="79"/>
  <c r="H914" i="79"/>
  <c r="I914" i="79"/>
  <c r="J914" i="79"/>
  <c r="K914" i="79"/>
  <c r="E915" i="79" a="1"/>
  <c r="E915" i="79"/>
  <c r="G915" i="79"/>
  <c r="H915" i="79"/>
  <c r="I915" i="79"/>
  <c r="J915" i="79"/>
  <c r="K915" i="79"/>
  <c r="E916" i="79" a="1"/>
  <c r="E916" i="79"/>
  <c r="G916" i="79"/>
  <c r="H916" i="79"/>
  <c r="I916" i="79"/>
  <c r="J916" i="79"/>
  <c r="K916" i="79"/>
  <c r="E917" i="79" a="1"/>
  <c r="E917" i="79"/>
  <c r="G917" i="79"/>
  <c r="H917" i="79"/>
  <c r="I917" i="79"/>
  <c r="J917" i="79"/>
  <c r="K917" i="79"/>
  <c r="E918" i="79" a="1"/>
  <c r="E918" i="79"/>
  <c r="G918" i="79"/>
  <c r="H918" i="79"/>
  <c r="I918" i="79"/>
  <c r="J918" i="79"/>
  <c r="K918" i="79"/>
  <c r="E919" i="79" a="1"/>
  <c r="E919" i="79"/>
  <c r="G919" i="79"/>
  <c r="H919" i="79"/>
  <c r="I919" i="79"/>
  <c r="J919" i="79"/>
  <c r="K919" i="79"/>
  <c r="E920" i="79" a="1"/>
  <c r="E920" i="79"/>
  <c r="G920" i="79"/>
  <c r="H920" i="79"/>
  <c r="I920" i="79"/>
  <c r="J920" i="79"/>
  <c r="K920" i="79"/>
  <c r="E921" i="79" a="1"/>
  <c r="E921" i="79"/>
  <c r="G921" i="79"/>
  <c r="H921" i="79"/>
  <c r="I921" i="79"/>
  <c r="J921" i="79"/>
  <c r="K921" i="79"/>
  <c r="E922" i="79" a="1"/>
  <c r="E922" i="79"/>
  <c r="G922" i="79"/>
  <c r="H922" i="79"/>
  <c r="I922" i="79"/>
  <c r="J922" i="79"/>
  <c r="K922" i="79"/>
  <c r="E923" i="79" a="1"/>
  <c r="E923" i="79"/>
  <c r="G923" i="79"/>
  <c r="H923" i="79"/>
  <c r="I923" i="79"/>
  <c r="J923" i="79"/>
  <c r="K923" i="79"/>
  <c r="E924" i="79" a="1"/>
  <c r="E924" i="79"/>
  <c r="G924" i="79"/>
  <c r="H924" i="79"/>
  <c r="I924" i="79"/>
  <c r="J924" i="79"/>
  <c r="K924" i="79"/>
  <c r="E925" i="79" a="1"/>
  <c r="E925" i="79"/>
  <c r="G925" i="79"/>
  <c r="H925" i="79"/>
  <c r="I925" i="79"/>
  <c r="J925" i="79"/>
  <c r="K925" i="79"/>
  <c r="E926" i="79" a="1"/>
  <c r="E926" i="79"/>
  <c r="G926" i="79"/>
  <c r="H926" i="79"/>
  <c r="I926" i="79"/>
  <c r="J926" i="79"/>
  <c r="K926" i="79"/>
  <c r="E927" i="79" a="1"/>
  <c r="E927" i="79"/>
  <c r="G927" i="79"/>
  <c r="H927" i="79"/>
  <c r="I927" i="79"/>
  <c r="J927" i="79"/>
  <c r="K927" i="79"/>
  <c r="E928" i="79" a="1"/>
  <c r="E928" i="79"/>
  <c r="G928" i="79"/>
  <c r="H928" i="79"/>
  <c r="I928" i="79"/>
  <c r="J928" i="79"/>
  <c r="K928" i="79"/>
  <c r="E929" i="79" a="1"/>
  <c r="E929" i="79"/>
  <c r="G929" i="79"/>
  <c r="H929" i="79"/>
  <c r="I929" i="79"/>
  <c r="J929" i="79"/>
  <c r="K929" i="79"/>
  <c r="E939" i="79" a="1"/>
  <c r="E939" i="79"/>
  <c r="G939" i="79"/>
  <c r="H939" i="79"/>
  <c r="I939" i="79"/>
  <c r="J939" i="79"/>
  <c r="K939" i="79"/>
  <c r="E940" i="79" a="1"/>
  <c r="E940" i="79"/>
  <c r="G940" i="79"/>
  <c r="H940" i="79"/>
  <c r="I940" i="79"/>
  <c r="J940" i="79"/>
  <c r="K940" i="79"/>
  <c r="E941" i="79" a="1"/>
  <c r="E941" i="79"/>
  <c r="G941" i="79"/>
  <c r="H941" i="79"/>
  <c r="I941" i="79"/>
  <c r="J941" i="79"/>
  <c r="K941" i="79"/>
  <c r="E942" i="79" a="1"/>
  <c r="E942" i="79"/>
  <c r="G942" i="79"/>
  <c r="H942" i="79"/>
  <c r="I942" i="79"/>
  <c r="J942" i="79"/>
  <c r="K942" i="79"/>
  <c r="E943" i="79" a="1"/>
  <c r="E943" i="79"/>
  <c r="G943" i="79"/>
  <c r="H943" i="79"/>
  <c r="I943" i="79"/>
  <c r="J943" i="79"/>
  <c r="K943" i="79"/>
  <c r="E944" i="79" a="1"/>
  <c r="E944" i="79"/>
  <c r="G944" i="79"/>
  <c r="H944" i="79"/>
  <c r="I944" i="79"/>
  <c r="J944" i="79"/>
  <c r="K944" i="79"/>
  <c r="E945" i="79" a="1"/>
  <c r="E945" i="79"/>
  <c r="G945" i="79"/>
  <c r="H945" i="79"/>
  <c r="I945" i="79"/>
  <c r="J945" i="79"/>
  <c r="K945" i="79"/>
  <c r="E946" i="79" a="1"/>
  <c r="E946" i="79"/>
  <c r="G946" i="79"/>
  <c r="H946" i="79"/>
  <c r="I946" i="79"/>
  <c r="J946" i="79"/>
  <c r="K946" i="79"/>
  <c r="E947" i="79" a="1"/>
  <c r="E947" i="79"/>
  <c r="G947" i="79"/>
  <c r="H947" i="79"/>
  <c r="I947" i="79"/>
  <c r="J947" i="79"/>
  <c r="K947" i="79"/>
  <c r="E948" i="79" a="1"/>
  <c r="E948" i="79"/>
  <c r="G948" i="79"/>
  <c r="H948" i="79"/>
  <c r="I948" i="79"/>
  <c r="J948" i="79"/>
  <c r="K948" i="79"/>
  <c r="E949" i="79" a="1"/>
  <c r="E949" i="79"/>
  <c r="G949" i="79"/>
  <c r="H949" i="79"/>
  <c r="I949" i="79"/>
  <c r="J949" i="79"/>
  <c r="K949" i="79"/>
  <c r="E950" i="79" a="1"/>
  <c r="E950" i="79"/>
  <c r="G950" i="79"/>
  <c r="H950" i="79"/>
  <c r="I950" i="79"/>
  <c r="J950" i="79"/>
  <c r="K950" i="79"/>
  <c r="E951" i="79" a="1"/>
  <c r="E951" i="79"/>
  <c r="G951" i="79"/>
  <c r="H951" i="79"/>
  <c r="I951" i="79"/>
  <c r="J951" i="79"/>
  <c r="K951" i="79"/>
  <c r="E952" i="79" a="1"/>
  <c r="E952" i="79"/>
  <c r="G952" i="79"/>
  <c r="H952" i="79"/>
  <c r="I952" i="79"/>
  <c r="J952" i="79"/>
  <c r="K952" i="79"/>
  <c r="E953" i="79" a="1"/>
  <c r="E953" i="79"/>
  <c r="G953" i="79"/>
  <c r="H953" i="79"/>
  <c r="I953" i="79"/>
  <c r="J953" i="79"/>
  <c r="K953" i="79"/>
  <c r="E954" i="79" a="1"/>
  <c r="E954" i="79"/>
  <c r="G954" i="79"/>
  <c r="H954" i="79"/>
  <c r="I954" i="79"/>
  <c r="J954" i="79"/>
  <c r="K954" i="79"/>
  <c r="E955" i="79" a="1"/>
  <c r="E955" i="79"/>
  <c r="G955" i="79"/>
  <c r="H955" i="79"/>
  <c r="I955" i="79"/>
  <c r="J955" i="79"/>
  <c r="K955" i="79"/>
  <c r="E956" i="79" a="1"/>
  <c r="E956" i="79"/>
  <c r="G956" i="79"/>
  <c r="H956" i="79"/>
  <c r="I956" i="79"/>
  <c r="J956" i="79"/>
  <c r="K956" i="79"/>
  <c r="E957" i="79" a="1"/>
  <c r="E957" i="79"/>
  <c r="G957" i="79"/>
  <c r="H957" i="79"/>
  <c r="I957" i="79"/>
  <c r="J957" i="79"/>
  <c r="K957" i="79"/>
  <c r="E958" i="79" a="1"/>
  <c r="E958" i="79"/>
  <c r="G958" i="79"/>
  <c r="H958" i="79"/>
  <c r="I958" i="79"/>
  <c r="J958" i="79"/>
  <c r="K958" i="79"/>
  <c r="E959" i="79" a="1"/>
  <c r="E959" i="79"/>
  <c r="G959" i="79"/>
  <c r="H959" i="79"/>
  <c r="I959" i="79"/>
  <c r="J959" i="79"/>
  <c r="K959" i="79"/>
  <c r="E960" i="79" a="1"/>
  <c r="E960" i="79"/>
  <c r="G960" i="79"/>
  <c r="H960" i="79"/>
  <c r="I960" i="79"/>
  <c r="J960" i="79"/>
  <c r="K960" i="79"/>
  <c r="E961" i="79" a="1"/>
  <c r="E961" i="79"/>
  <c r="G961" i="79"/>
  <c r="H961" i="79"/>
  <c r="I961" i="79"/>
  <c r="J961" i="79"/>
  <c r="K961" i="79"/>
  <c r="E962" i="79" a="1"/>
  <c r="E962" i="79"/>
  <c r="G962" i="79"/>
  <c r="H962" i="79"/>
  <c r="I962" i="79"/>
  <c r="J962" i="79"/>
  <c r="K962" i="79"/>
  <c r="E963" i="79" a="1"/>
  <c r="E963" i="79"/>
  <c r="G963" i="79"/>
  <c r="H963" i="79"/>
  <c r="I963" i="79"/>
  <c r="J963" i="79"/>
  <c r="K963" i="79"/>
  <c r="G964" i="79"/>
  <c r="H964" i="79"/>
  <c r="I964" i="79"/>
  <c r="J964" i="79"/>
  <c r="K964" i="79"/>
  <c r="E965" i="79" a="1"/>
  <c r="E965" i="79"/>
  <c r="G965" i="79"/>
  <c r="H965" i="79"/>
  <c r="I965" i="79"/>
  <c r="J965" i="79"/>
  <c r="K965" i="79"/>
  <c r="E966" i="79" a="1"/>
  <c r="E966" i="79"/>
  <c r="G966" i="79"/>
  <c r="H966" i="79"/>
  <c r="I966" i="79"/>
  <c r="J966" i="79"/>
  <c r="K966" i="79"/>
  <c r="E967" i="79" a="1"/>
  <c r="E967" i="79"/>
  <c r="G967" i="79"/>
  <c r="H967" i="79"/>
  <c r="I967" i="79"/>
  <c r="J967" i="79"/>
  <c r="K967" i="79"/>
  <c r="E968" i="79" a="1"/>
  <c r="E968" i="79"/>
  <c r="G968" i="79"/>
  <c r="H968" i="79"/>
  <c r="I968" i="79"/>
  <c r="J968" i="79"/>
  <c r="K968" i="79"/>
  <c r="E969" i="79" a="1"/>
  <c r="E969" i="79"/>
  <c r="G969" i="79"/>
  <c r="H969" i="79"/>
  <c r="I969" i="79"/>
  <c r="J969" i="79"/>
  <c r="K969" i="79"/>
  <c r="E970" i="79" a="1"/>
  <c r="E970" i="79"/>
  <c r="G970" i="79"/>
  <c r="H970" i="79"/>
  <c r="I970" i="79"/>
  <c r="J970" i="79"/>
  <c r="K970" i="79"/>
  <c r="E971" i="79" a="1"/>
  <c r="E971" i="79"/>
  <c r="G971" i="79"/>
  <c r="H971" i="79"/>
  <c r="I971" i="79"/>
  <c r="J971" i="79"/>
  <c r="K971" i="79"/>
  <c r="E972" i="79" a="1"/>
  <c r="E972" i="79"/>
  <c r="G972" i="79"/>
  <c r="H972" i="79"/>
  <c r="I972" i="79"/>
  <c r="J972" i="79"/>
  <c r="K972" i="79"/>
  <c r="E973" i="79" a="1"/>
  <c r="E973" i="79"/>
  <c r="G973" i="79"/>
  <c r="H973" i="79"/>
  <c r="I973" i="79"/>
  <c r="J973" i="79"/>
  <c r="K973" i="79"/>
  <c r="E974" i="79" a="1"/>
  <c r="E974" i="79"/>
  <c r="G974" i="79"/>
  <c r="H974" i="79"/>
  <c r="I974" i="79"/>
  <c r="J974" i="79"/>
  <c r="K974" i="79"/>
  <c r="E975" i="79" a="1"/>
  <c r="E975" i="79"/>
  <c r="G975" i="79"/>
  <c r="H975" i="79"/>
  <c r="I975" i="79"/>
  <c r="J975" i="79"/>
  <c r="K975" i="79"/>
  <c r="E976" i="79" a="1"/>
  <c r="E976" i="79"/>
  <c r="G976" i="79"/>
  <c r="H976" i="79"/>
  <c r="I976" i="79"/>
  <c r="J976" i="79"/>
  <c r="K976" i="79"/>
  <c r="E977" i="79" a="1"/>
  <c r="E977" i="79"/>
  <c r="G977" i="79"/>
  <c r="H977" i="79"/>
  <c r="I977" i="79"/>
  <c r="J977" i="79"/>
  <c r="K977" i="79"/>
  <c r="E978" i="79" a="1"/>
  <c r="E978" i="79"/>
  <c r="G978" i="79"/>
  <c r="H978" i="79"/>
  <c r="I978" i="79"/>
  <c r="J978" i="79"/>
  <c r="K978" i="79"/>
  <c r="E895" i="79" a="1"/>
  <c r="E895" i="79"/>
  <c r="G895" i="79"/>
  <c r="H895" i="79"/>
  <c r="I895" i="79"/>
  <c r="J895" i="79"/>
  <c r="K895" i="79"/>
  <c r="E896" i="79" a="1"/>
  <c r="E896" i="79"/>
  <c r="G896" i="79"/>
  <c r="H896" i="79"/>
  <c r="I896" i="79"/>
  <c r="J896" i="79"/>
  <c r="K896" i="79"/>
  <c r="E897" i="79" a="1"/>
  <c r="E897" i="79"/>
  <c r="G897" i="79"/>
  <c r="H897" i="79"/>
  <c r="I897" i="79"/>
  <c r="J897" i="79"/>
  <c r="K897" i="79"/>
  <c r="E898" i="79" a="1"/>
  <c r="E898" i="79"/>
  <c r="G898" i="79"/>
  <c r="H898" i="79"/>
  <c r="I898" i="79"/>
  <c r="J898" i="79"/>
  <c r="K898" i="79"/>
  <c r="E899" i="79" a="1"/>
  <c r="E899" i="79"/>
  <c r="G899" i="79"/>
  <c r="H899" i="79"/>
  <c r="I899" i="79"/>
  <c r="J899" i="79"/>
  <c r="K899" i="79"/>
  <c r="E900" i="79" a="1"/>
  <c r="E900" i="79"/>
  <c r="G900" i="79"/>
  <c r="H900" i="79"/>
  <c r="I900" i="79"/>
  <c r="J900" i="79"/>
  <c r="K900" i="79"/>
  <c r="E901" i="79" a="1"/>
  <c r="E901" i="79"/>
  <c r="G901" i="79"/>
  <c r="H901" i="79"/>
  <c r="I901" i="79"/>
  <c r="J901" i="79"/>
  <c r="K901" i="79"/>
  <c r="E902" i="79" a="1"/>
  <c r="E902" i="79"/>
  <c r="G902" i="79"/>
  <c r="H902" i="79"/>
  <c r="I902" i="79"/>
  <c r="J902" i="79"/>
  <c r="K902" i="79"/>
  <c r="E903" i="79" a="1"/>
  <c r="E903" i="79"/>
  <c r="G903" i="79"/>
  <c r="H903" i="79"/>
  <c r="I903" i="79"/>
  <c r="J903" i="79"/>
  <c r="K903" i="79"/>
  <c r="E904" i="79" a="1"/>
  <c r="E904" i="79"/>
  <c r="G904" i="79"/>
  <c r="H904" i="79"/>
  <c r="I904" i="79"/>
  <c r="J904" i="79"/>
  <c r="K904" i="79"/>
  <c r="E905" i="79" a="1"/>
  <c r="E905" i="79"/>
  <c r="G905" i="79"/>
  <c r="H905" i="79"/>
  <c r="I905" i="79"/>
  <c r="J905" i="79"/>
  <c r="K905" i="79"/>
  <c r="E906" i="79" a="1"/>
  <c r="E906" i="79"/>
  <c r="G906" i="79"/>
  <c r="H906" i="79"/>
  <c r="I906" i="79"/>
  <c r="J906" i="79"/>
  <c r="K906" i="79"/>
  <c r="E907" i="79" a="1"/>
  <c r="E907" i="79"/>
  <c r="G907" i="79"/>
  <c r="H907" i="79"/>
  <c r="I907" i="79"/>
  <c r="J907" i="79"/>
  <c r="K907" i="79"/>
  <c r="E908" i="79" a="1"/>
  <c r="E908" i="79"/>
  <c r="G908" i="79"/>
  <c r="H908" i="79"/>
  <c r="I908" i="79"/>
  <c r="J908" i="79"/>
  <c r="K908" i="79"/>
  <c r="E909" i="79" a="1"/>
  <c r="E909" i="79"/>
  <c r="G909" i="79"/>
  <c r="H909" i="79"/>
  <c r="I909" i="79"/>
  <c r="J909" i="79"/>
  <c r="K909" i="79"/>
  <c r="E910" i="79" a="1"/>
  <c r="E910" i="79"/>
  <c r="G910" i="79"/>
  <c r="H910" i="79"/>
  <c r="I910" i="79"/>
  <c r="J910" i="79"/>
  <c r="K910" i="79"/>
  <c r="E888" i="79" a="1"/>
  <c r="E888" i="79"/>
  <c r="G888" i="79"/>
  <c r="H888" i="79"/>
  <c r="I888" i="79"/>
  <c r="J888" i="79"/>
  <c r="K888" i="79"/>
  <c r="G889" i="79"/>
  <c r="H889" i="79"/>
  <c r="I889" i="79"/>
  <c r="J889" i="79"/>
  <c r="K889" i="79"/>
  <c r="E890" i="79" a="1"/>
  <c r="E890" i="79"/>
  <c r="G890" i="79"/>
  <c r="H890" i="79"/>
  <c r="I890" i="79"/>
  <c r="J890" i="79"/>
  <c r="K890" i="79"/>
  <c r="E891" i="79" a="1"/>
  <c r="E891" i="79"/>
  <c r="G891" i="79"/>
  <c r="H891" i="79"/>
  <c r="I891" i="79"/>
  <c r="J891" i="79"/>
  <c r="K891" i="79"/>
  <c r="E892" i="79" a="1"/>
  <c r="E892" i="79"/>
  <c r="G892" i="79"/>
  <c r="H892" i="79"/>
  <c r="I892" i="79"/>
  <c r="J892" i="79"/>
  <c r="K892" i="79"/>
  <c r="E893" i="79" a="1"/>
  <c r="E893" i="79"/>
  <c r="G893" i="79"/>
  <c r="H893" i="79"/>
  <c r="I893" i="79"/>
  <c r="J893" i="79"/>
  <c r="K893" i="79"/>
  <c r="E894" i="79" a="1"/>
  <c r="E894" i="79"/>
  <c r="G894" i="79"/>
  <c r="H894" i="79"/>
  <c r="I894" i="79"/>
  <c r="J894" i="79"/>
  <c r="K894" i="79"/>
  <c r="K887" i="79"/>
  <c r="J887" i="79"/>
  <c r="I887" i="79"/>
  <c r="H887" i="79"/>
  <c r="G887" i="79"/>
  <c r="E887" i="79" a="1"/>
  <c r="E887" i="79"/>
  <c r="K886" i="79"/>
  <c r="J886" i="79"/>
  <c r="I886" i="79"/>
  <c r="H886" i="79"/>
  <c r="G886" i="79"/>
  <c r="K885" i="79"/>
  <c r="J885" i="79"/>
  <c r="I885" i="79"/>
  <c r="H885" i="79"/>
  <c r="G885" i="79"/>
  <c r="K884" i="79"/>
  <c r="J884" i="79"/>
  <c r="I884" i="79"/>
  <c r="H884" i="79"/>
  <c r="G884" i="79"/>
  <c r="K883" i="79"/>
  <c r="J883" i="79"/>
  <c r="I883" i="79"/>
  <c r="H883" i="79"/>
  <c r="G883" i="79"/>
  <c r="K882" i="79"/>
  <c r="J882" i="79"/>
  <c r="I882" i="79"/>
  <c r="H882" i="79"/>
  <c r="G882" i="79"/>
  <c r="K881" i="79"/>
  <c r="J881" i="79"/>
  <c r="I881" i="79"/>
  <c r="H881" i="79"/>
  <c r="G881" i="79"/>
  <c r="K880" i="79"/>
  <c r="J880" i="79"/>
  <c r="I880" i="79"/>
  <c r="H880" i="79"/>
  <c r="G880" i="79"/>
  <c r="K879" i="79"/>
  <c r="J879" i="79"/>
  <c r="I879" i="79"/>
  <c r="H879" i="79"/>
  <c r="G879" i="79"/>
  <c r="K878" i="79"/>
  <c r="J878" i="79"/>
  <c r="I878" i="79"/>
  <c r="H878" i="79"/>
  <c r="G878" i="79"/>
  <c r="K877" i="79"/>
  <c r="J877" i="79"/>
  <c r="I877" i="79"/>
  <c r="H877" i="79"/>
  <c r="G877" i="79"/>
  <c r="K876" i="79"/>
  <c r="J876" i="79"/>
  <c r="I876" i="79"/>
  <c r="H876" i="79"/>
  <c r="G876" i="79"/>
  <c r="K872" i="79"/>
  <c r="J872" i="79"/>
  <c r="I872" i="79"/>
  <c r="H872" i="79"/>
  <c r="G872" i="79"/>
  <c r="K871" i="79"/>
  <c r="J871" i="79"/>
  <c r="I871" i="79"/>
  <c r="H871" i="79"/>
  <c r="G871" i="79"/>
  <c r="K870" i="79"/>
  <c r="J870" i="79"/>
  <c r="I870" i="79"/>
  <c r="H870" i="79"/>
  <c r="G870" i="79"/>
  <c r="K869" i="79"/>
  <c r="J869" i="79"/>
  <c r="I869" i="79"/>
  <c r="H869" i="79"/>
  <c r="G869" i="79"/>
  <c r="K868" i="79"/>
  <c r="J868" i="79"/>
  <c r="I868" i="79"/>
  <c r="H868" i="79"/>
  <c r="G868" i="79"/>
  <c r="K867" i="79"/>
  <c r="J867" i="79"/>
  <c r="I867" i="79"/>
  <c r="H867" i="79"/>
  <c r="G867" i="79"/>
  <c r="K866" i="79"/>
  <c r="J866" i="79"/>
  <c r="I866" i="79"/>
  <c r="H866" i="79"/>
  <c r="G866" i="79"/>
  <c r="K865" i="79"/>
  <c r="J865" i="79"/>
  <c r="I865" i="79"/>
  <c r="H865" i="79"/>
  <c r="G865" i="79"/>
  <c r="K864" i="79"/>
  <c r="J864" i="79"/>
  <c r="I864" i="79"/>
  <c r="H864" i="79"/>
  <c r="G864" i="79"/>
  <c r="K863" i="79"/>
  <c r="J863" i="79"/>
  <c r="I863" i="79"/>
  <c r="H863" i="79"/>
  <c r="G863" i="79"/>
  <c r="K862" i="79"/>
  <c r="J862" i="79"/>
  <c r="I862" i="79"/>
  <c r="H862" i="79"/>
  <c r="G862" i="79"/>
  <c r="K861" i="79"/>
  <c r="J861" i="79"/>
  <c r="I861" i="79"/>
  <c r="H861" i="79"/>
  <c r="G861" i="79"/>
  <c r="K860" i="79"/>
  <c r="J860" i="79"/>
  <c r="I860" i="79"/>
  <c r="H860" i="79"/>
  <c r="G860" i="79"/>
  <c r="K859" i="79"/>
  <c r="J859" i="79"/>
  <c r="I859" i="79"/>
  <c r="H859" i="79"/>
  <c r="G859" i="79"/>
  <c r="K858" i="79"/>
  <c r="J858" i="79"/>
  <c r="I858" i="79"/>
  <c r="H858" i="79"/>
  <c r="G858" i="79"/>
  <c r="K857" i="79"/>
  <c r="J857" i="79"/>
  <c r="I857" i="79"/>
  <c r="H857" i="79"/>
  <c r="G857" i="79"/>
  <c r="K856" i="79"/>
  <c r="J856" i="79"/>
  <c r="I856" i="79"/>
  <c r="H856" i="79"/>
  <c r="G856" i="79"/>
  <c r="K855" i="79"/>
  <c r="J855" i="79"/>
  <c r="I855" i="79"/>
  <c r="H855" i="79"/>
  <c r="G855" i="79"/>
  <c r="K854" i="79"/>
  <c r="J854" i="79"/>
  <c r="I854" i="79"/>
  <c r="H854" i="79"/>
  <c r="G854" i="79"/>
  <c r="K853" i="79"/>
  <c r="J853" i="79"/>
  <c r="I853" i="79"/>
  <c r="H853" i="79"/>
  <c r="G853" i="79"/>
  <c r="K852" i="79"/>
  <c r="J852" i="79"/>
  <c r="I852" i="79"/>
  <c r="H852" i="79"/>
  <c r="G852" i="79"/>
  <c r="K851" i="79"/>
  <c r="J851" i="79"/>
  <c r="I851" i="79"/>
  <c r="H851" i="79"/>
  <c r="G851" i="79"/>
  <c r="K850" i="79"/>
  <c r="J850" i="79"/>
  <c r="I850" i="79"/>
  <c r="H850" i="79"/>
  <c r="G850" i="79"/>
  <c r="K849" i="79"/>
  <c r="J849" i="79"/>
  <c r="I849" i="79"/>
  <c r="H849" i="79"/>
  <c r="G849" i="79"/>
  <c r="K848" i="79"/>
  <c r="J848" i="79"/>
  <c r="I848" i="79"/>
  <c r="H848" i="79"/>
  <c r="G848" i="79"/>
  <c r="K847" i="79"/>
  <c r="J847" i="79"/>
  <c r="I847" i="79"/>
  <c r="H847" i="79"/>
  <c r="G847" i="79"/>
  <c r="K846" i="79"/>
  <c r="J846" i="79"/>
  <c r="I846" i="79"/>
  <c r="H846" i="79"/>
  <c r="G846" i="79"/>
  <c r="K845" i="79"/>
  <c r="J845" i="79"/>
  <c r="I845" i="79"/>
  <c r="H845" i="79"/>
  <c r="G845" i="79"/>
  <c r="K844" i="79"/>
  <c r="J844" i="79"/>
  <c r="I844" i="79"/>
  <c r="H844" i="79"/>
  <c r="G844" i="79"/>
  <c r="K843" i="79"/>
  <c r="J843" i="79"/>
  <c r="I843" i="79"/>
  <c r="H843" i="79"/>
  <c r="G843" i="79"/>
  <c r="K842" i="79"/>
  <c r="J842" i="79"/>
  <c r="I842" i="79"/>
  <c r="H842" i="79"/>
  <c r="G842" i="79"/>
  <c r="K841" i="79"/>
  <c r="J841" i="79"/>
  <c r="I841" i="79"/>
  <c r="H841" i="79"/>
  <c r="G841" i="79"/>
  <c r="K840" i="79"/>
  <c r="J840" i="79"/>
  <c r="I840" i="79"/>
  <c r="H840" i="79"/>
  <c r="G840" i="79"/>
  <c r="K839" i="79"/>
  <c r="J839" i="79"/>
  <c r="I839" i="79"/>
  <c r="H839" i="79"/>
  <c r="G839" i="79"/>
  <c r="K838" i="79"/>
  <c r="J838" i="79"/>
  <c r="I838" i="79"/>
  <c r="H838" i="79"/>
  <c r="G838" i="79"/>
  <c r="K837" i="79"/>
  <c r="J837" i="79"/>
  <c r="I837" i="79"/>
  <c r="H837" i="79"/>
  <c r="G837" i="79"/>
  <c r="K836" i="79"/>
  <c r="J836" i="79"/>
  <c r="I836" i="79"/>
  <c r="H836" i="79"/>
  <c r="G836" i="79"/>
  <c r="K835" i="79"/>
  <c r="J835" i="79"/>
  <c r="I835" i="79"/>
  <c r="H835" i="79"/>
  <c r="G835" i="79"/>
  <c r="K834" i="79"/>
  <c r="J834" i="79"/>
  <c r="I834" i="79"/>
  <c r="H834" i="79"/>
  <c r="G834" i="79"/>
  <c r="K833" i="79"/>
  <c r="J833" i="79"/>
  <c r="I833" i="79"/>
  <c r="H833" i="79"/>
  <c r="G833" i="79"/>
  <c r="K832" i="79"/>
  <c r="J832" i="79"/>
  <c r="I832" i="79"/>
  <c r="H832" i="79"/>
  <c r="G832" i="79"/>
  <c r="K831" i="79"/>
  <c r="J831" i="79"/>
  <c r="I831" i="79"/>
  <c r="H831" i="79"/>
  <c r="G831" i="79"/>
  <c r="K830" i="79"/>
  <c r="J830" i="79"/>
  <c r="I830" i="79"/>
  <c r="H830" i="79"/>
  <c r="G830" i="79"/>
  <c r="K829" i="79"/>
  <c r="J829" i="79"/>
  <c r="I829" i="79"/>
  <c r="H829" i="79"/>
  <c r="G829" i="79"/>
  <c r="K828" i="79"/>
  <c r="J828" i="79"/>
  <c r="I828" i="79"/>
  <c r="H828" i="79"/>
  <c r="G828" i="79"/>
  <c r="K827" i="79"/>
  <c r="J827" i="79"/>
  <c r="I827" i="79"/>
  <c r="H827" i="79"/>
  <c r="G827" i="79"/>
  <c r="K826" i="79"/>
  <c r="J826" i="79"/>
  <c r="I826" i="79"/>
  <c r="H826" i="79"/>
  <c r="G826" i="79"/>
  <c r="K825" i="79"/>
  <c r="J825" i="79"/>
  <c r="I825" i="79"/>
  <c r="H825" i="79"/>
  <c r="G825" i="79"/>
  <c r="K824" i="79"/>
  <c r="J824" i="79"/>
  <c r="I824" i="79"/>
  <c r="H824" i="79"/>
  <c r="G824" i="79"/>
  <c r="K823" i="79"/>
  <c r="J823" i="79"/>
  <c r="I823" i="79"/>
  <c r="H823" i="79"/>
  <c r="G823" i="79"/>
  <c r="K822" i="79"/>
  <c r="J822" i="79"/>
  <c r="I822" i="79"/>
  <c r="H822" i="79"/>
  <c r="G822" i="79"/>
  <c r="K821" i="79"/>
  <c r="J821" i="79"/>
  <c r="I821" i="79"/>
  <c r="H821" i="79"/>
  <c r="G821" i="79"/>
  <c r="K820" i="79"/>
  <c r="J820" i="79"/>
  <c r="I820" i="79"/>
  <c r="H820" i="79"/>
  <c r="G820" i="79"/>
  <c r="K819" i="79"/>
  <c r="J819" i="79"/>
  <c r="I819" i="79"/>
  <c r="H819" i="79"/>
  <c r="G819" i="79"/>
  <c r="K818" i="79"/>
  <c r="J818" i="79"/>
  <c r="I818" i="79"/>
  <c r="H818" i="79"/>
  <c r="G818" i="79"/>
  <c r="K817" i="79"/>
  <c r="J817" i="79"/>
  <c r="I817" i="79"/>
  <c r="H817" i="79"/>
  <c r="G817" i="79"/>
  <c r="K816" i="79"/>
  <c r="J816" i="79"/>
  <c r="I816" i="79"/>
  <c r="H816" i="79"/>
  <c r="G816" i="79"/>
  <c r="K815" i="79"/>
  <c r="J815" i="79"/>
  <c r="I815" i="79"/>
  <c r="H815" i="79"/>
  <c r="G815" i="79"/>
  <c r="K814" i="79"/>
  <c r="J814" i="79"/>
  <c r="I814" i="79"/>
  <c r="H814" i="79"/>
  <c r="G814" i="79"/>
  <c r="K813" i="79"/>
  <c r="J813" i="79"/>
  <c r="I813" i="79"/>
  <c r="H813" i="79"/>
  <c r="G813" i="79"/>
  <c r="K812" i="79"/>
  <c r="J812" i="79"/>
  <c r="I812" i="79"/>
  <c r="H812" i="79"/>
  <c r="G812" i="79"/>
  <c r="K811" i="79"/>
  <c r="J811" i="79"/>
  <c r="I811" i="79"/>
  <c r="H811" i="79"/>
  <c r="G811" i="79"/>
  <c r="K810" i="79"/>
  <c r="J810" i="79"/>
  <c r="I810" i="79"/>
  <c r="H810" i="79"/>
  <c r="G810" i="79"/>
  <c r="K809" i="79"/>
  <c r="J809" i="79"/>
  <c r="I809" i="79"/>
  <c r="H809" i="79"/>
  <c r="G809" i="79"/>
  <c r="K808" i="79"/>
  <c r="J808" i="79"/>
  <c r="I808" i="79"/>
  <c r="H808" i="79"/>
  <c r="G808" i="79"/>
  <c r="K807" i="79"/>
  <c r="J807" i="79"/>
  <c r="I807" i="79"/>
  <c r="H807" i="79"/>
  <c r="G807" i="79"/>
  <c r="K806" i="79"/>
  <c r="J806" i="79"/>
  <c r="I806" i="79"/>
  <c r="H806" i="79"/>
  <c r="G806" i="79"/>
  <c r="K802" i="79"/>
  <c r="J802" i="79"/>
  <c r="I802" i="79"/>
  <c r="H802" i="79"/>
  <c r="G802" i="79"/>
  <c r="K801" i="79"/>
  <c r="J801" i="79"/>
  <c r="I801" i="79"/>
  <c r="H801" i="79"/>
  <c r="G801" i="79"/>
  <c r="K800" i="79"/>
  <c r="J800" i="79"/>
  <c r="I800" i="79"/>
  <c r="H800" i="79"/>
  <c r="G800" i="79"/>
  <c r="K799" i="79"/>
  <c r="J799" i="79"/>
  <c r="I799" i="79"/>
  <c r="H799" i="79"/>
  <c r="G799" i="79"/>
  <c r="K798" i="79"/>
  <c r="J798" i="79"/>
  <c r="I798" i="79"/>
  <c r="H798" i="79"/>
  <c r="G798" i="79"/>
  <c r="K797" i="79"/>
  <c r="J797" i="79"/>
  <c r="I797" i="79"/>
  <c r="H797" i="79"/>
  <c r="G797" i="79"/>
  <c r="K796" i="79"/>
  <c r="J796" i="79"/>
  <c r="I796" i="79"/>
  <c r="H796" i="79"/>
  <c r="G796" i="79"/>
  <c r="K795" i="79"/>
  <c r="J795" i="79"/>
  <c r="I795" i="79"/>
  <c r="H795" i="79"/>
  <c r="G795" i="79"/>
  <c r="K794" i="79"/>
  <c r="J794" i="79"/>
  <c r="I794" i="79"/>
  <c r="H794" i="79"/>
  <c r="G794" i="79"/>
  <c r="K793" i="79"/>
  <c r="J793" i="79"/>
  <c r="I793" i="79"/>
  <c r="H793" i="79"/>
  <c r="G793" i="79"/>
  <c r="K792" i="79"/>
  <c r="J792" i="79"/>
  <c r="I792" i="79"/>
  <c r="H792" i="79"/>
  <c r="G792" i="79"/>
  <c r="K791" i="79"/>
  <c r="J791" i="79"/>
  <c r="I791" i="79"/>
  <c r="H791" i="79"/>
  <c r="G791" i="79"/>
  <c r="K790" i="79"/>
  <c r="J790" i="79"/>
  <c r="I790" i="79"/>
  <c r="H790" i="79"/>
  <c r="G790" i="79"/>
  <c r="K789" i="79"/>
  <c r="J789" i="79"/>
  <c r="I789" i="79"/>
  <c r="H789" i="79"/>
  <c r="G789" i="79"/>
  <c r="K788" i="79"/>
  <c r="J788" i="79"/>
  <c r="I788" i="79"/>
  <c r="H788" i="79"/>
  <c r="G788" i="79"/>
  <c r="K787" i="79"/>
  <c r="J787" i="79"/>
  <c r="I787" i="79"/>
  <c r="H787" i="79"/>
  <c r="G787" i="79"/>
  <c r="K786" i="79"/>
  <c r="J786" i="79"/>
  <c r="I786" i="79"/>
  <c r="H786" i="79"/>
  <c r="G786" i="79"/>
  <c r="K785" i="79"/>
  <c r="J785" i="79"/>
  <c r="I785" i="79"/>
  <c r="H785" i="79"/>
  <c r="G785" i="79"/>
  <c r="K784" i="79"/>
  <c r="J784" i="79"/>
  <c r="I784" i="79"/>
  <c r="H784" i="79"/>
  <c r="G784" i="79"/>
  <c r="K783" i="79"/>
  <c r="J783" i="79"/>
  <c r="I783" i="79"/>
  <c r="H783" i="79"/>
  <c r="G783" i="79"/>
  <c r="K782" i="79"/>
  <c r="J782" i="79"/>
  <c r="I782" i="79"/>
  <c r="H782" i="79"/>
  <c r="G782" i="79"/>
  <c r="K781" i="79"/>
  <c r="J781" i="79"/>
  <c r="I781" i="79"/>
  <c r="H781" i="79"/>
  <c r="G781" i="79"/>
  <c r="K780" i="79"/>
  <c r="J780" i="79"/>
  <c r="I780" i="79"/>
  <c r="H780" i="79"/>
  <c r="G780" i="79"/>
  <c r="K779" i="79"/>
  <c r="J779" i="79"/>
  <c r="I779" i="79"/>
  <c r="H779" i="79"/>
  <c r="G779" i="79"/>
  <c r="K778" i="79"/>
  <c r="J778" i="79"/>
  <c r="I778" i="79"/>
  <c r="H778" i="79"/>
  <c r="G778" i="79"/>
  <c r="K777" i="79"/>
  <c r="J777" i="79"/>
  <c r="I777" i="79"/>
  <c r="H777" i="79"/>
  <c r="G777" i="79"/>
  <c r="K776" i="79"/>
  <c r="J776" i="79"/>
  <c r="I776" i="79"/>
  <c r="H776" i="79"/>
  <c r="G776" i="79"/>
  <c r="K775" i="79"/>
  <c r="J775" i="79"/>
  <c r="I775" i="79"/>
  <c r="H775" i="79"/>
  <c r="G775" i="79"/>
  <c r="K774" i="79"/>
  <c r="J774" i="79"/>
  <c r="I774" i="79"/>
  <c r="H774" i="79"/>
  <c r="G774" i="79"/>
  <c r="K773" i="79"/>
  <c r="J773" i="79"/>
  <c r="I773" i="79"/>
  <c r="H773" i="79"/>
  <c r="G773" i="79"/>
  <c r="K772" i="79"/>
  <c r="J772" i="79"/>
  <c r="I772" i="79"/>
  <c r="H772" i="79"/>
  <c r="G772" i="79"/>
  <c r="K771" i="79"/>
  <c r="J771" i="79"/>
  <c r="I771" i="79"/>
  <c r="H771" i="79"/>
  <c r="G771" i="79"/>
  <c r="K770" i="79"/>
  <c r="J770" i="79"/>
  <c r="I770" i="79"/>
  <c r="H770" i="79"/>
  <c r="G770" i="79"/>
  <c r="K769" i="79"/>
  <c r="J769" i="79"/>
  <c r="I769" i="79"/>
  <c r="H769" i="79"/>
  <c r="G769" i="79"/>
  <c r="K768" i="79"/>
  <c r="J768" i="79"/>
  <c r="I768" i="79"/>
  <c r="H768" i="79"/>
  <c r="G768" i="79"/>
  <c r="K767" i="79"/>
  <c r="J767" i="79"/>
  <c r="I767" i="79"/>
  <c r="H767" i="79"/>
  <c r="G767" i="79"/>
  <c r="K766" i="79"/>
  <c r="J766" i="79"/>
  <c r="I766" i="79"/>
  <c r="H766" i="79"/>
  <c r="G766" i="79"/>
  <c r="K765" i="79"/>
  <c r="J765" i="79"/>
  <c r="I765" i="79"/>
  <c r="H765" i="79"/>
  <c r="G765" i="79"/>
  <c r="K764" i="79"/>
  <c r="J764" i="79"/>
  <c r="I764" i="79"/>
  <c r="H764" i="79"/>
  <c r="G764" i="79"/>
  <c r="K763" i="79"/>
  <c r="J763" i="79"/>
  <c r="I763" i="79"/>
  <c r="H763" i="79"/>
  <c r="G763" i="79"/>
  <c r="K762" i="79"/>
  <c r="J762" i="79"/>
  <c r="I762" i="79"/>
  <c r="H762" i="79"/>
  <c r="G762" i="79"/>
  <c r="K761" i="79"/>
  <c r="J761" i="79"/>
  <c r="I761" i="79"/>
  <c r="H761" i="79"/>
  <c r="G761" i="79"/>
  <c r="K760" i="79"/>
  <c r="J760" i="79"/>
  <c r="I760" i="79"/>
  <c r="H760" i="79"/>
  <c r="G760" i="79"/>
  <c r="K759" i="79"/>
  <c r="J759" i="79"/>
  <c r="I759" i="79"/>
  <c r="H759" i="79"/>
  <c r="G759" i="79"/>
  <c r="K758" i="79"/>
  <c r="J758" i="79"/>
  <c r="I758" i="79"/>
  <c r="H758" i="79"/>
  <c r="G758" i="79"/>
  <c r="K757" i="79"/>
  <c r="J757" i="79"/>
  <c r="I757" i="79"/>
  <c r="H757" i="79"/>
  <c r="G757" i="79"/>
  <c r="K756" i="79"/>
  <c r="J756" i="79"/>
  <c r="I756" i="79"/>
  <c r="H756" i="79"/>
  <c r="G756" i="79"/>
  <c r="K755" i="79"/>
  <c r="J755" i="79"/>
  <c r="I755" i="79"/>
  <c r="H755" i="79"/>
  <c r="G755" i="79"/>
  <c r="K754" i="79"/>
  <c r="J754" i="79"/>
  <c r="I754" i="79"/>
  <c r="H754" i="79"/>
  <c r="G754" i="79"/>
  <c r="K753" i="79"/>
  <c r="J753" i="79"/>
  <c r="I753" i="79"/>
  <c r="H753" i="79"/>
  <c r="G753" i="79"/>
  <c r="K752" i="79"/>
  <c r="J752" i="79"/>
  <c r="I752" i="79"/>
  <c r="H752" i="79"/>
  <c r="G752" i="79"/>
  <c r="K751" i="79"/>
  <c r="J751" i="79"/>
  <c r="I751" i="79"/>
  <c r="H751" i="79"/>
  <c r="G751" i="79"/>
  <c r="K750" i="79"/>
  <c r="J750" i="79"/>
  <c r="I750" i="79"/>
  <c r="H750" i="79"/>
  <c r="G750" i="79"/>
  <c r="K749" i="79"/>
  <c r="J749" i="79"/>
  <c r="I749" i="79"/>
  <c r="H749" i="79"/>
  <c r="G749" i="79"/>
  <c r="K748" i="79"/>
  <c r="J748" i="79"/>
  <c r="I748" i="79"/>
  <c r="H748" i="79"/>
  <c r="G748" i="79"/>
  <c r="K747" i="79"/>
  <c r="J747" i="79"/>
  <c r="I747" i="79"/>
  <c r="H747" i="79"/>
  <c r="G747" i="79"/>
  <c r="K746" i="79"/>
  <c r="J746" i="79"/>
  <c r="I746" i="79"/>
  <c r="H746" i="79"/>
  <c r="G746" i="79"/>
  <c r="K745" i="79"/>
  <c r="J745" i="79"/>
  <c r="I745" i="79"/>
  <c r="H745" i="79"/>
  <c r="G745" i="79"/>
  <c r="K744" i="79"/>
  <c r="J744" i="79"/>
  <c r="I744" i="79"/>
  <c r="H744" i="79"/>
  <c r="G744" i="79"/>
  <c r="K743" i="79"/>
  <c r="J743" i="79"/>
  <c r="I743" i="79"/>
  <c r="H743" i="79"/>
  <c r="G743" i="79"/>
  <c r="K742" i="79"/>
  <c r="J742" i="79"/>
  <c r="I742" i="79"/>
  <c r="H742" i="79"/>
  <c r="G742" i="79"/>
  <c r="K741" i="79"/>
  <c r="J741" i="79"/>
  <c r="I741" i="79"/>
  <c r="H741" i="79"/>
  <c r="G741" i="79"/>
  <c r="K740" i="79"/>
  <c r="J740" i="79"/>
  <c r="I740" i="79"/>
  <c r="H740" i="79"/>
  <c r="G740" i="79"/>
  <c r="K739" i="79"/>
  <c r="J739" i="79"/>
  <c r="I739" i="79"/>
  <c r="H739" i="79"/>
  <c r="G739" i="79"/>
  <c r="K738" i="79"/>
  <c r="J738" i="79"/>
  <c r="I738" i="79"/>
  <c r="H738" i="79"/>
  <c r="G738" i="79"/>
  <c r="K737" i="79"/>
  <c r="J737" i="79"/>
  <c r="I737" i="79"/>
  <c r="H737" i="79"/>
  <c r="G737" i="79"/>
  <c r="K736" i="79"/>
  <c r="J736" i="79"/>
  <c r="I736" i="79"/>
  <c r="H736" i="79"/>
  <c r="G736" i="79"/>
  <c r="K735" i="79"/>
  <c r="J735" i="79"/>
  <c r="I735" i="79"/>
  <c r="H735" i="79"/>
  <c r="G735" i="79"/>
  <c r="K734" i="79"/>
  <c r="J734" i="79"/>
  <c r="I734" i="79"/>
  <c r="H734" i="79"/>
  <c r="G734" i="79"/>
  <c r="K733" i="79"/>
  <c r="J733" i="79"/>
  <c r="I733" i="79"/>
  <c r="H733" i="79"/>
  <c r="G733" i="79"/>
  <c r="K732" i="79"/>
  <c r="J732" i="79"/>
  <c r="I732" i="79"/>
  <c r="H732" i="79"/>
  <c r="G732" i="79"/>
  <c r="K731" i="79"/>
  <c r="J731" i="79"/>
  <c r="I731" i="79"/>
  <c r="H731" i="79"/>
  <c r="G731" i="79"/>
  <c r="K730" i="79"/>
  <c r="J730" i="79"/>
  <c r="I730" i="79"/>
  <c r="H730" i="79"/>
  <c r="G730" i="79"/>
  <c r="K729" i="79"/>
  <c r="J729" i="79"/>
  <c r="I729" i="79"/>
  <c r="H729" i="79"/>
  <c r="G729" i="79"/>
  <c r="K728" i="79"/>
  <c r="J728" i="79"/>
  <c r="I728" i="79"/>
  <c r="H728" i="79"/>
  <c r="G728" i="79"/>
  <c r="K727" i="79"/>
  <c r="J727" i="79"/>
  <c r="I727" i="79"/>
  <c r="H727" i="79"/>
  <c r="G727" i="79"/>
  <c r="K726" i="79"/>
  <c r="J726" i="79"/>
  <c r="I726" i="79"/>
  <c r="H726" i="79"/>
  <c r="G726" i="79"/>
  <c r="K725" i="79"/>
  <c r="J725" i="79"/>
  <c r="I725" i="79"/>
  <c r="H725" i="79"/>
  <c r="G725" i="79"/>
  <c r="K724" i="79"/>
  <c r="J724" i="79"/>
  <c r="I724" i="79"/>
  <c r="H724" i="79"/>
  <c r="G724" i="79"/>
  <c r="K723" i="79"/>
  <c r="J723" i="79"/>
  <c r="I723" i="79"/>
  <c r="H723" i="79"/>
  <c r="G723" i="79"/>
  <c r="K722" i="79"/>
  <c r="J722" i="79"/>
  <c r="I722" i="79"/>
  <c r="H722" i="79"/>
  <c r="G722" i="79"/>
  <c r="K721" i="79"/>
  <c r="J721" i="79"/>
  <c r="I721" i="79"/>
  <c r="H721" i="79"/>
  <c r="G721" i="79"/>
  <c r="K720" i="79"/>
  <c r="J720" i="79"/>
  <c r="I720" i="79"/>
  <c r="H720" i="79"/>
  <c r="G720" i="79"/>
  <c r="K719" i="79"/>
  <c r="J719" i="79"/>
  <c r="I719" i="79"/>
  <c r="H719" i="79"/>
  <c r="G719" i="79"/>
  <c r="K718" i="79"/>
  <c r="J718" i="79"/>
  <c r="I718" i="79"/>
  <c r="H718" i="79"/>
  <c r="G718" i="79"/>
  <c r="K717" i="79"/>
  <c r="J717" i="79"/>
  <c r="I717" i="79"/>
  <c r="H717" i="79"/>
  <c r="G717" i="79"/>
  <c r="K716" i="79"/>
  <c r="J716" i="79"/>
  <c r="I716" i="79"/>
  <c r="H716" i="79"/>
  <c r="G716" i="79"/>
  <c r="K715" i="79"/>
  <c r="J715" i="79"/>
  <c r="I715" i="79"/>
  <c r="H715" i="79"/>
  <c r="G715" i="79"/>
  <c r="K714" i="79"/>
  <c r="J714" i="79"/>
  <c r="I714" i="79"/>
  <c r="H714" i="79"/>
  <c r="G714" i="79"/>
  <c r="K713" i="79"/>
  <c r="J713" i="79"/>
  <c r="I713" i="79"/>
  <c r="H713" i="79"/>
  <c r="G713" i="79"/>
  <c r="K712" i="79"/>
  <c r="J712" i="79"/>
  <c r="I712" i="79"/>
  <c r="H712" i="79"/>
  <c r="G712" i="79"/>
  <c r="K711" i="79"/>
  <c r="J711" i="79"/>
  <c r="I711" i="79"/>
  <c r="H711" i="79"/>
  <c r="G711" i="79"/>
  <c r="K710" i="79"/>
  <c r="J710" i="79"/>
  <c r="I710" i="79"/>
  <c r="H710" i="79"/>
  <c r="G710" i="79"/>
  <c r="K709" i="79"/>
  <c r="J709" i="79"/>
  <c r="I709" i="79"/>
  <c r="H709" i="79"/>
  <c r="G709" i="79"/>
  <c r="K708" i="79"/>
  <c r="J708" i="79"/>
  <c r="I708" i="79"/>
  <c r="H708" i="79"/>
  <c r="G708" i="79"/>
  <c r="K707" i="79"/>
  <c r="J707" i="79"/>
  <c r="I707" i="79"/>
  <c r="H707" i="79"/>
  <c r="G707" i="79"/>
  <c r="K706" i="79"/>
  <c r="J706" i="79"/>
  <c r="I706" i="79"/>
  <c r="H706" i="79"/>
  <c r="G706" i="79"/>
  <c r="K705" i="79"/>
  <c r="J705" i="79"/>
  <c r="I705" i="79"/>
  <c r="H705" i="79"/>
  <c r="G705" i="79"/>
  <c r="K704" i="79"/>
  <c r="J704" i="79"/>
  <c r="I704" i="79"/>
  <c r="H704" i="79"/>
  <c r="G704" i="79"/>
  <c r="K703" i="79"/>
  <c r="J703" i="79"/>
  <c r="I703" i="79"/>
  <c r="H703" i="79"/>
  <c r="G703" i="79"/>
  <c r="K702" i="79"/>
  <c r="J702" i="79"/>
  <c r="I702" i="79"/>
  <c r="H702" i="79"/>
  <c r="G702" i="79"/>
  <c r="K701" i="79"/>
  <c r="J701" i="79"/>
  <c r="I701" i="79"/>
  <c r="H701" i="79"/>
  <c r="G701" i="79"/>
  <c r="K700" i="79"/>
  <c r="J700" i="79"/>
  <c r="I700" i="79"/>
  <c r="H700" i="79"/>
  <c r="G700" i="79"/>
  <c r="K699" i="79"/>
  <c r="J699" i="79"/>
  <c r="I699" i="79"/>
  <c r="H699" i="79"/>
  <c r="G699" i="79"/>
  <c r="K698" i="79"/>
  <c r="J698" i="79"/>
  <c r="I698" i="79"/>
  <c r="H698" i="79"/>
  <c r="G698" i="79"/>
  <c r="K697" i="79"/>
  <c r="J697" i="79"/>
  <c r="I697" i="79"/>
  <c r="H697" i="79"/>
  <c r="G697" i="79"/>
  <c r="K696" i="79"/>
  <c r="J696" i="79"/>
  <c r="I696" i="79"/>
  <c r="H696" i="79"/>
  <c r="G696" i="79"/>
  <c r="K695" i="79"/>
  <c r="J695" i="79"/>
  <c r="I695" i="79"/>
  <c r="H695" i="79"/>
  <c r="G695" i="79"/>
  <c r="K694" i="79"/>
  <c r="J694" i="79"/>
  <c r="I694" i="79"/>
  <c r="H694" i="79"/>
  <c r="G694" i="79"/>
  <c r="K693" i="79"/>
  <c r="J693" i="79"/>
  <c r="I693" i="79"/>
  <c r="H693" i="79"/>
  <c r="G693" i="79"/>
  <c r="K692" i="79"/>
  <c r="J692" i="79"/>
  <c r="I692" i="79"/>
  <c r="H692" i="79"/>
  <c r="G692" i="79"/>
  <c r="K691" i="79"/>
  <c r="J691" i="79"/>
  <c r="I691" i="79"/>
  <c r="H691" i="79"/>
  <c r="G691" i="79"/>
  <c r="K690" i="79"/>
  <c r="J690" i="79"/>
  <c r="I690" i="79"/>
  <c r="H690" i="79"/>
  <c r="G690" i="79"/>
  <c r="K689" i="79"/>
  <c r="J689" i="79"/>
  <c r="I689" i="79"/>
  <c r="H689" i="79"/>
  <c r="G689" i="79"/>
  <c r="K688" i="79"/>
  <c r="J688" i="79"/>
  <c r="I688" i="79"/>
  <c r="H688" i="79"/>
  <c r="G688" i="79"/>
  <c r="K687" i="79"/>
  <c r="J687" i="79"/>
  <c r="I687" i="79"/>
  <c r="H687" i="79"/>
  <c r="G687" i="79"/>
  <c r="K684" i="79"/>
  <c r="J684" i="79"/>
  <c r="I684" i="79"/>
  <c r="H684" i="79"/>
  <c r="G684" i="79"/>
  <c r="K683" i="79"/>
  <c r="J683" i="79"/>
  <c r="I683" i="79"/>
  <c r="H683" i="79"/>
  <c r="G683" i="79"/>
  <c r="K682" i="79"/>
  <c r="J682" i="79"/>
  <c r="I682" i="79"/>
  <c r="H682" i="79"/>
  <c r="G682" i="79"/>
  <c r="K681" i="79"/>
  <c r="J681" i="79"/>
  <c r="I681" i="79"/>
  <c r="H681" i="79"/>
  <c r="G681" i="79"/>
  <c r="K680" i="79"/>
  <c r="J680" i="79"/>
  <c r="I680" i="79"/>
  <c r="H680" i="79"/>
  <c r="G680" i="79"/>
  <c r="K679" i="79"/>
  <c r="J679" i="79"/>
  <c r="I679" i="79"/>
  <c r="H679" i="79"/>
  <c r="G679" i="79"/>
  <c r="K678" i="79"/>
  <c r="J678" i="79"/>
  <c r="I678" i="79"/>
  <c r="H678" i="79"/>
  <c r="G678" i="79"/>
  <c r="K677" i="79"/>
  <c r="J677" i="79"/>
  <c r="I677" i="79"/>
  <c r="H677" i="79"/>
  <c r="G677" i="79"/>
  <c r="K676" i="79"/>
  <c r="J676" i="79"/>
  <c r="I676" i="79"/>
  <c r="H676" i="79"/>
  <c r="G676" i="79"/>
  <c r="K675" i="79"/>
  <c r="J675" i="79"/>
  <c r="I675" i="79"/>
  <c r="H675" i="79"/>
  <c r="G675" i="79"/>
  <c r="K674" i="79"/>
  <c r="J674" i="79"/>
  <c r="I674" i="79"/>
  <c r="H674" i="79"/>
  <c r="G674" i="79"/>
  <c r="K673" i="79"/>
  <c r="J673" i="79"/>
  <c r="I673" i="79"/>
  <c r="H673" i="79"/>
  <c r="G673" i="79"/>
  <c r="K672" i="79"/>
  <c r="J672" i="79"/>
  <c r="I672" i="79"/>
  <c r="H672" i="79"/>
  <c r="G672" i="79"/>
  <c r="K671" i="79"/>
  <c r="J671" i="79"/>
  <c r="I671" i="79"/>
  <c r="H671" i="79"/>
  <c r="G671" i="79"/>
  <c r="K670" i="79"/>
  <c r="J670" i="79"/>
  <c r="I670" i="79"/>
  <c r="H670" i="79"/>
  <c r="G670" i="79"/>
  <c r="K669" i="79"/>
  <c r="J669" i="79"/>
  <c r="I669" i="79"/>
  <c r="H669" i="79"/>
  <c r="G669" i="79"/>
  <c r="K668" i="79"/>
  <c r="J668" i="79"/>
  <c r="I668" i="79"/>
  <c r="H668" i="79"/>
  <c r="G668" i="79"/>
  <c r="K667" i="79"/>
  <c r="J667" i="79"/>
  <c r="I667" i="79"/>
  <c r="H667" i="79"/>
  <c r="G667" i="79"/>
  <c r="K666" i="79"/>
  <c r="J666" i="79"/>
  <c r="I666" i="79"/>
  <c r="H666" i="79"/>
  <c r="G666" i="79"/>
  <c r="K665" i="79"/>
  <c r="J665" i="79"/>
  <c r="I665" i="79"/>
  <c r="H665" i="79"/>
  <c r="G665" i="79"/>
  <c r="K664" i="79"/>
  <c r="J664" i="79"/>
  <c r="I664" i="79"/>
  <c r="H664" i="79"/>
  <c r="G664" i="79"/>
  <c r="K663" i="79"/>
  <c r="J663" i="79"/>
  <c r="I663" i="79"/>
  <c r="H663" i="79"/>
  <c r="G663" i="79"/>
  <c r="K662" i="79"/>
  <c r="J662" i="79"/>
  <c r="I662" i="79"/>
  <c r="H662" i="79"/>
  <c r="G662" i="79"/>
  <c r="K661" i="79"/>
  <c r="J661" i="79"/>
  <c r="I661" i="79"/>
  <c r="H661" i="79"/>
  <c r="G661" i="79"/>
  <c r="K660" i="79"/>
  <c r="J660" i="79"/>
  <c r="I660" i="79"/>
  <c r="H660" i="79"/>
  <c r="G660" i="79"/>
  <c r="K659" i="79"/>
  <c r="J659" i="79"/>
  <c r="I659" i="79"/>
  <c r="H659" i="79"/>
  <c r="G659" i="79"/>
  <c r="K658" i="79"/>
  <c r="J658" i="79"/>
  <c r="I658" i="79"/>
  <c r="H658" i="79"/>
  <c r="G658" i="79"/>
  <c r="K657" i="79"/>
  <c r="J657" i="79"/>
  <c r="I657" i="79"/>
  <c r="H657" i="79"/>
  <c r="G657" i="79"/>
  <c r="K656" i="79"/>
  <c r="J656" i="79"/>
  <c r="I656" i="79"/>
  <c r="H656" i="79"/>
  <c r="G656" i="79"/>
  <c r="K655" i="79"/>
  <c r="J655" i="79"/>
  <c r="I655" i="79"/>
  <c r="H655" i="79"/>
  <c r="G655" i="79"/>
  <c r="K654" i="79"/>
  <c r="J654" i="79"/>
  <c r="I654" i="79"/>
  <c r="H654" i="79"/>
  <c r="G654" i="79"/>
  <c r="K653" i="79"/>
  <c r="J653" i="79"/>
  <c r="I653" i="79"/>
  <c r="H653" i="79"/>
  <c r="G653" i="79"/>
  <c r="K652" i="79"/>
  <c r="J652" i="79"/>
  <c r="I652" i="79"/>
  <c r="H652" i="79"/>
  <c r="G652" i="79"/>
  <c r="K651" i="79"/>
  <c r="J651" i="79"/>
  <c r="I651" i="79"/>
  <c r="H651" i="79"/>
  <c r="G651" i="79"/>
  <c r="K650" i="79"/>
  <c r="J650" i="79"/>
  <c r="I650" i="79"/>
  <c r="H650" i="79"/>
  <c r="G650" i="79"/>
  <c r="K649" i="79"/>
  <c r="J649" i="79"/>
  <c r="I649" i="79"/>
  <c r="H649" i="79"/>
  <c r="G649" i="79"/>
  <c r="K648" i="79"/>
  <c r="J648" i="79"/>
  <c r="I648" i="79"/>
  <c r="H648" i="79"/>
  <c r="G648" i="79"/>
  <c r="K647" i="79"/>
  <c r="J647" i="79"/>
  <c r="I647" i="79"/>
  <c r="H647" i="79"/>
  <c r="G647" i="79"/>
  <c r="K646" i="79"/>
  <c r="J646" i="79"/>
  <c r="I646" i="79"/>
  <c r="H646" i="79"/>
  <c r="G646" i="79"/>
  <c r="K645" i="79"/>
  <c r="J645" i="79"/>
  <c r="I645" i="79"/>
  <c r="H645" i="79"/>
  <c r="G645" i="79"/>
  <c r="K644" i="79"/>
  <c r="J644" i="79"/>
  <c r="I644" i="79"/>
  <c r="H644" i="79"/>
  <c r="G644" i="79"/>
  <c r="K643" i="79"/>
  <c r="J643" i="79"/>
  <c r="I643" i="79"/>
  <c r="H643" i="79"/>
  <c r="G643" i="79"/>
  <c r="K642" i="79"/>
  <c r="J642" i="79"/>
  <c r="I642" i="79"/>
  <c r="H642" i="79"/>
  <c r="G642" i="79"/>
  <c r="K641" i="79"/>
  <c r="J641" i="79"/>
  <c r="I641" i="79"/>
  <c r="H641" i="79"/>
  <c r="G641" i="79"/>
  <c r="K640" i="79"/>
  <c r="J640" i="79"/>
  <c r="I640" i="79"/>
  <c r="H640" i="79"/>
  <c r="G640" i="79"/>
  <c r="K639" i="79"/>
  <c r="J639" i="79"/>
  <c r="I639" i="79"/>
  <c r="H639" i="79"/>
  <c r="G639" i="79"/>
  <c r="K638" i="79"/>
  <c r="J638" i="79"/>
  <c r="I638" i="79"/>
  <c r="H638" i="79"/>
  <c r="G638" i="79"/>
  <c r="K637" i="79"/>
  <c r="J637" i="79"/>
  <c r="I637" i="79"/>
  <c r="H637" i="79"/>
  <c r="G637" i="79"/>
  <c r="K636" i="79"/>
  <c r="J636" i="79"/>
  <c r="I636" i="79"/>
  <c r="H636" i="79"/>
  <c r="G636" i="79"/>
  <c r="K635" i="79"/>
  <c r="J635" i="79"/>
  <c r="I635" i="79"/>
  <c r="H635" i="79"/>
  <c r="G635" i="79"/>
  <c r="K634" i="79"/>
  <c r="J634" i="79"/>
  <c r="I634" i="79"/>
  <c r="H634" i="79"/>
  <c r="G634" i="79"/>
  <c r="K633" i="79"/>
  <c r="J633" i="79"/>
  <c r="I633" i="79"/>
  <c r="H633" i="79"/>
  <c r="G633" i="79"/>
  <c r="K632" i="79"/>
  <c r="J632" i="79"/>
  <c r="I632" i="79"/>
  <c r="H632" i="79"/>
  <c r="G632" i="79"/>
  <c r="K631" i="79"/>
  <c r="J631" i="79"/>
  <c r="I631" i="79"/>
  <c r="H631" i="79"/>
  <c r="G631" i="79"/>
  <c r="K630" i="79"/>
  <c r="J630" i="79"/>
  <c r="I630" i="79"/>
  <c r="H630" i="79"/>
  <c r="G630" i="79"/>
  <c r="K629" i="79"/>
  <c r="J629" i="79"/>
  <c r="I629" i="79"/>
  <c r="H629" i="79"/>
  <c r="G629" i="79"/>
  <c r="K628" i="79"/>
  <c r="J628" i="79"/>
  <c r="I628" i="79"/>
  <c r="H628" i="79"/>
  <c r="G628" i="79"/>
  <c r="K627" i="79"/>
  <c r="J627" i="79"/>
  <c r="I627" i="79"/>
  <c r="H627" i="79"/>
  <c r="G627" i="79"/>
  <c r="K626" i="79"/>
  <c r="J626" i="79"/>
  <c r="I626" i="79"/>
  <c r="H626" i="79"/>
  <c r="G626" i="79"/>
  <c r="K625" i="79"/>
  <c r="J625" i="79"/>
  <c r="I625" i="79"/>
  <c r="H625" i="79"/>
  <c r="G625" i="79"/>
  <c r="K624" i="79"/>
  <c r="J624" i="79"/>
  <c r="I624" i="79"/>
  <c r="H624" i="79"/>
  <c r="G624" i="79"/>
  <c r="K623" i="79"/>
  <c r="J623" i="79"/>
  <c r="I623" i="79"/>
  <c r="H623" i="79"/>
  <c r="G623" i="79"/>
  <c r="K622" i="79"/>
  <c r="J622" i="79"/>
  <c r="I622" i="79"/>
  <c r="H622" i="79"/>
  <c r="G622" i="79"/>
  <c r="K621" i="79"/>
  <c r="J621" i="79"/>
  <c r="I621" i="79"/>
  <c r="H621" i="79"/>
  <c r="G621" i="79"/>
  <c r="K617" i="79"/>
  <c r="J617" i="79"/>
  <c r="I617" i="79"/>
  <c r="H617" i="79"/>
  <c r="G617" i="79"/>
  <c r="K616" i="79"/>
  <c r="J616" i="79"/>
  <c r="I616" i="79"/>
  <c r="H616" i="79"/>
  <c r="G616" i="79"/>
  <c r="K615" i="79"/>
  <c r="J615" i="79"/>
  <c r="I615" i="79"/>
  <c r="H615" i="79"/>
  <c r="G615" i="79"/>
  <c r="K614" i="79"/>
  <c r="J614" i="79"/>
  <c r="I614" i="79"/>
  <c r="H614" i="79"/>
  <c r="G614" i="79"/>
  <c r="K613" i="79"/>
  <c r="J613" i="79"/>
  <c r="I613" i="79"/>
  <c r="H613" i="79"/>
  <c r="G613" i="79"/>
  <c r="K612" i="79"/>
  <c r="J612" i="79"/>
  <c r="I612" i="79"/>
  <c r="H612" i="79"/>
  <c r="G612" i="79"/>
  <c r="K611" i="79"/>
  <c r="J611" i="79"/>
  <c r="I611" i="79"/>
  <c r="H611" i="79"/>
  <c r="G611" i="79"/>
  <c r="K610" i="79"/>
  <c r="J610" i="79"/>
  <c r="I610" i="79"/>
  <c r="H610" i="79"/>
  <c r="G610" i="79"/>
  <c r="K609" i="79"/>
  <c r="J609" i="79"/>
  <c r="I609" i="79"/>
  <c r="H609" i="79"/>
  <c r="G609" i="79"/>
  <c r="K608" i="79"/>
  <c r="J608" i="79"/>
  <c r="I608" i="79"/>
  <c r="H608" i="79"/>
  <c r="G608" i="79"/>
  <c r="K607" i="79"/>
  <c r="J607" i="79"/>
  <c r="I607" i="79"/>
  <c r="H607" i="79"/>
  <c r="G607" i="79"/>
  <c r="K606" i="79"/>
  <c r="J606" i="79"/>
  <c r="I606" i="79"/>
  <c r="H606" i="79"/>
  <c r="G606" i="79"/>
  <c r="K605" i="79"/>
  <c r="J605" i="79"/>
  <c r="I605" i="79"/>
  <c r="H605" i="79"/>
  <c r="G605" i="79"/>
  <c r="K604" i="79"/>
  <c r="J604" i="79"/>
  <c r="I604" i="79"/>
  <c r="H604" i="79"/>
  <c r="G604" i="79"/>
  <c r="K603" i="79"/>
  <c r="J603" i="79"/>
  <c r="I603" i="79"/>
  <c r="H603" i="79"/>
  <c r="G603" i="79"/>
  <c r="K602" i="79"/>
  <c r="J602" i="79"/>
  <c r="I602" i="79"/>
  <c r="H602" i="79"/>
  <c r="G602" i="79"/>
  <c r="K601" i="79"/>
  <c r="J601" i="79"/>
  <c r="I601" i="79"/>
  <c r="H601" i="79"/>
  <c r="G601" i="79"/>
  <c r="K600" i="79"/>
  <c r="J600" i="79"/>
  <c r="I600" i="79"/>
  <c r="H600" i="79"/>
  <c r="G600" i="79"/>
  <c r="K599" i="79"/>
  <c r="J599" i="79"/>
  <c r="I599" i="79"/>
  <c r="H599" i="79"/>
  <c r="G599" i="79"/>
  <c r="K598" i="79"/>
  <c r="J598" i="79"/>
  <c r="I598" i="79"/>
  <c r="H598" i="79"/>
  <c r="G598" i="79"/>
  <c r="K597" i="79"/>
  <c r="J597" i="79"/>
  <c r="I597" i="79"/>
  <c r="H597" i="79"/>
  <c r="G597" i="79"/>
  <c r="K596" i="79"/>
  <c r="J596" i="79"/>
  <c r="I596" i="79"/>
  <c r="H596" i="79"/>
  <c r="G596" i="79"/>
  <c r="K595" i="79"/>
  <c r="J595" i="79"/>
  <c r="I595" i="79"/>
  <c r="H595" i="79"/>
  <c r="G595" i="79"/>
  <c r="K594" i="79"/>
  <c r="J594" i="79"/>
  <c r="I594" i="79"/>
  <c r="H594" i="79"/>
  <c r="G594" i="79"/>
  <c r="K593" i="79"/>
  <c r="J593" i="79"/>
  <c r="I593" i="79"/>
  <c r="H593" i="79"/>
  <c r="G593" i="79"/>
  <c r="K592" i="79"/>
  <c r="J592" i="79"/>
  <c r="I592" i="79"/>
  <c r="H592" i="79"/>
  <c r="G592" i="79"/>
  <c r="K591" i="79"/>
  <c r="J591" i="79"/>
  <c r="I591" i="79"/>
  <c r="H591" i="79"/>
  <c r="G591" i="79"/>
  <c r="K590" i="79"/>
  <c r="J590" i="79"/>
  <c r="I590" i="79"/>
  <c r="H590" i="79"/>
  <c r="G590" i="79"/>
  <c r="K589" i="79"/>
  <c r="J589" i="79"/>
  <c r="I589" i="79"/>
  <c r="H589" i="79"/>
  <c r="G589" i="79"/>
  <c r="K588" i="79"/>
  <c r="J588" i="79"/>
  <c r="I588" i="79"/>
  <c r="H588" i="79"/>
  <c r="G588" i="79"/>
  <c r="K587" i="79"/>
  <c r="J587" i="79"/>
  <c r="I587" i="79"/>
  <c r="H587" i="79"/>
  <c r="G587" i="79"/>
  <c r="K586" i="79"/>
  <c r="J586" i="79"/>
  <c r="I586" i="79"/>
  <c r="H586" i="79"/>
  <c r="G586" i="79"/>
  <c r="K585" i="79"/>
  <c r="J585" i="79"/>
  <c r="I585" i="79"/>
  <c r="H585" i="79"/>
  <c r="G585" i="79"/>
  <c r="K584" i="79"/>
  <c r="J584" i="79"/>
  <c r="I584" i="79"/>
  <c r="H584" i="79"/>
  <c r="G584" i="79"/>
  <c r="K583" i="79"/>
  <c r="J583" i="79"/>
  <c r="I583" i="79"/>
  <c r="H583" i="79"/>
  <c r="G583" i="79"/>
  <c r="K582" i="79"/>
  <c r="J582" i="79"/>
  <c r="I582" i="79"/>
  <c r="H582" i="79"/>
  <c r="G582" i="79"/>
  <c r="K581" i="79"/>
  <c r="J581" i="79"/>
  <c r="I581" i="79"/>
  <c r="H581" i="79"/>
  <c r="G581" i="79"/>
  <c r="K580" i="79"/>
  <c r="J580" i="79"/>
  <c r="I580" i="79"/>
  <c r="H580" i="79"/>
  <c r="G580" i="79"/>
  <c r="K579" i="79"/>
  <c r="J579" i="79"/>
  <c r="I579" i="79"/>
  <c r="H579" i="79"/>
  <c r="G579" i="79"/>
  <c r="K578" i="79"/>
  <c r="J578" i="79"/>
  <c r="I578" i="79"/>
  <c r="H578" i="79"/>
  <c r="G578" i="79"/>
  <c r="K577" i="79"/>
  <c r="J577" i="79"/>
  <c r="I577" i="79"/>
  <c r="H577" i="79"/>
  <c r="G577" i="79"/>
  <c r="K574" i="79"/>
  <c r="J574" i="79"/>
  <c r="I574" i="79"/>
  <c r="H574" i="79"/>
  <c r="G574" i="79"/>
  <c r="K573" i="79"/>
  <c r="J573" i="79"/>
  <c r="I573" i="79"/>
  <c r="H573" i="79"/>
  <c r="G573" i="79"/>
  <c r="K572" i="79"/>
  <c r="J572" i="79"/>
  <c r="I572" i="79"/>
  <c r="H572" i="79"/>
  <c r="G572" i="79"/>
  <c r="K571" i="79"/>
  <c r="J571" i="79"/>
  <c r="I571" i="79"/>
  <c r="H571" i="79"/>
  <c r="G571" i="79"/>
  <c r="K570" i="79"/>
  <c r="J570" i="79"/>
  <c r="I570" i="79"/>
  <c r="H570" i="79"/>
  <c r="G570" i="79"/>
  <c r="K569" i="79"/>
  <c r="J569" i="79"/>
  <c r="I569" i="79"/>
  <c r="H569" i="79"/>
  <c r="G569" i="79"/>
  <c r="K568" i="79"/>
  <c r="J568" i="79"/>
  <c r="I568" i="79"/>
  <c r="H568" i="79"/>
  <c r="G568" i="79"/>
  <c r="K567" i="79"/>
  <c r="J567" i="79"/>
  <c r="I567" i="79"/>
  <c r="H567" i="79"/>
  <c r="G567" i="79"/>
  <c r="K566" i="79"/>
  <c r="J566" i="79"/>
  <c r="I566" i="79"/>
  <c r="H566" i="79"/>
  <c r="G566" i="79"/>
  <c r="K565" i="79"/>
  <c r="J565" i="79"/>
  <c r="I565" i="79"/>
  <c r="H565" i="79"/>
  <c r="G565" i="79"/>
  <c r="K564" i="79"/>
  <c r="J564" i="79"/>
  <c r="I564" i="79"/>
  <c r="H564" i="79"/>
  <c r="G564" i="79"/>
  <c r="K563" i="79"/>
  <c r="J563" i="79"/>
  <c r="I563" i="79"/>
  <c r="H563" i="79"/>
  <c r="G563" i="79"/>
  <c r="K562" i="79"/>
  <c r="J562" i="79"/>
  <c r="I562" i="79"/>
  <c r="H562" i="79"/>
  <c r="G562" i="79"/>
  <c r="K561" i="79"/>
  <c r="J561" i="79"/>
  <c r="I561" i="79"/>
  <c r="H561" i="79"/>
  <c r="G561" i="79"/>
  <c r="K560" i="79"/>
  <c r="J560" i="79"/>
  <c r="I560" i="79"/>
  <c r="H560" i="79"/>
  <c r="G560" i="79"/>
  <c r="K559" i="79"/>
  <c r="J559" i="79"/>
  <c r="I559" i="79"/>
  <c r="H559" i="79"/>
  <c r="G559" i="79"/>
  <c r="K558" i="79"/>
  <c r="J558" i="79"/>
  <c r="I558" i="79"/>
  <c r="H558" i="79"/>
  <c r="G558" i="79"/>
  <c r="K557" i="79"/>
  <c r="J557" i="79"/>
  <c r="I557" i="79"/>
  <c r="H557" i="79"/>
  <c r="G557" i="79"/>
  <c r="K556" i="79"/>
  <c r="J556" i="79"/>
  <c r="I556" i="79"/>
  <c r="H556" i="79"/>
  <c r="G556" i="79"/>
  <c r="K555" i="79"/>
  <c r="J555" i="79"/>
  <c r="I555" i="79"/>
  <c r="H555" i="79"/>
  <c r="G555" i="79"/>
  <c r="K554" i="79"/>
  <c r="J554" i="79"/>
  <c r="I554" i="79"/>
  <c r="H554" i="79"/>
  <c r="G554" i="79"/>
  <c r="K553" i="79"/>
  <c r="J553" i="79"/>
  <c r="I553" i="79"/>
  <c r="H553" i="79"/>
  <c r="G553" i="79"/>
  <c r="K552" i="79"/>
  <c r="J552" i="79"/>
  <c r="I552" i="79"/>
  <c r="H552" i="79"/>
  <c r="G552" i="79"/>
  <c r="K551" i="79"/>
  <c r="J551" i="79"/>
  <c r="I551" i="79"/>
  <c r="H551" i="79"/>
  <c r="G551" i="79"/>
  <c r="K550" i="79"/>
  <c r="J550" i="79"/>
  <c r="I550" i="79"/>
  <c r="H550" i="79"/>
  <c r="G550" i="79"/>
  <c r="K549" i="79"/>
  <c r="J549" i="79"/>
  <c r="I549" i="79"/>
  <c r="H549" i="79"/>
  <c r="G549" i="79"/>
  <c r="K548" i="79"/>
  <c r="J548" i="79"/>
  <c r="I548" i="79"/>
  <c r="H548" i="79"/>
  <c r="G548" i="79"/>
  <c r="K547" i="79"/>
  <c r="J547" i="79"/>
  <c r="I547" i="79"/>
  <c r="H547" i="79"/>
  <c r="G547" i="79"/>
  <c r="K546" i="79"/>
  <c r="J546" i="79"/>
  <c r="I546" i="79"/>
  <c r="H546" i="79"/>
  <c r="G546" i="79"/>
  <c r="K545" i="79"/>
  <c r="J545" i="79"/>
  <c r="I545" i="79"/>
  <c r="H545" i="79"/>
  <c r="G545" i="79"/>
  <c r="K544" i="79"/>
  <c r="J544" i="79"/>
  <c r="I544" i="79"/>
  <c r="H544" i="79"/>
  <c r="G544" i="79"/>
  <c r="K543" i="79"/>
  <c r="J543" i="79"/>
  <c r="I543" i="79"/>
  <c r="H543" i="79"/>
  <c r="G543" i="79"/>
  <c r="K542" i="79"/>
  <c r="J542" i="79"/>
  <c r="I542" i="79"/>
  <c r="H542" i="79"/>
  <c r="G542" i="79"/>
  <c r="K541" i="79"/>
  <c r="J541" i="79"/>
  <c r="I541" i="79"/>
  <c r="H541" i="79"/>
  <c r="G541" i="79"/>
  <c r="K540" i="79"/>
  <c r="J540" i="79"/>
  <c r="I540" i="79"/>
  <c r="H540" i="79"/>
  <c r="G540" i="79"/>
  <c r="K539" i="79"/>
  <c r="J539" i="79"/>
  <c r="I539" i="79"/>
  <c r="H539" i="79"/>
  <c r="G539" i="79"/>
  <c r="K538" i="79"/>
  <c r="J538" i="79"/>
  <c r="I538" i="79"/>
  <c r="H538" i="79"/>
  <c r="G538" i="79"/>
  <c r="K537" i="79"/>
  <c r="J537" i="79"/>
  <c r="I537" i="79"/>
  <c r="H537" i="79"/>
  <c r="G537" i="79"/>
  <c r="K536" i="79"/>
  <c r="J536" i="79"/>
  <c r="I536" i="79"/>
  <c r="H536" i="79"/>
  <c r="G536" i="79"/>
  <c r="K535" i="79"/>
  <c r="J535" i="79"/>
  <c r="I535" i="79"/>
  <c r="H535" i="79"/>
  <c r="G535" i="79"/>
  <c r="K534" i="79"/>
  <c r="J534" i="79"/>
  <c r="I534" i="79"/>
  <c r="H534" i="79"/>
  <c r="G534" i="79"/>
  <c r="K533" i="79"/>
  <c r="J533" i="79"/>
  <c r="I533" i="79"/>
  <c r="H533" i="79"/>
  <c r="G533" i="79"/>
  <c r="K532" i="79"/>
  <c r="J532" i="79"/>
  <c r="I532" i="79"/>
  <c r="H532" i="79"/>
  <c r="G532" i="79"/>
  <c r="K531" i="79"/>
  <c r="J531" i="79"/>
  <c r="I531" i="79"/>
  <c r="H531" i="79"/>
  <c r="G531" i="79"/>
  <c r="K530" i="79"/>
  <c r="J530" i="79"/>
  <c r="I530" i="79"/>
  <c r="H530" i="79"/>
  <c r="G530" i="79"/>
  <c r="K529" i="79"/>
  <c r="J529" i="79"/>
  <c r="I529" i="79"/>
  <c r="H529" i="79"/>
  <c r="G529" i="79"/>
  <c r="K528" i="79"/>
  <c r="J528" i="79"/>
  <c r="I528" i="79"/>
  <c r="H528" i="79"/>
  <c r="G528" i="79"/>
  <c r="K527" i="79"/>
  <c r="J527" i="79"/>
  <c r="I527" i="79"/>
  <c r="H527" i="79"/>
  <c r="G527" i="79"/>
  <c r="K526" i="79"/>
  <c r="J526" i="79"/>
  <c r="I526" i="79"/>
  <c r="H526" i="79"/>
  <c r="G526" i="79"/>
  <c r="K525" i="79"/>
  <c r="J525" i="79"/>
  <c r="I525" i="79"/>
  <c r="H525" i="79"/>
  <c r="G525" i="79"/>
  <c r="K524" i="79"/>
  <c r="J524" i="79"/>
  <c r="I524" i="79"/>
  <c r="H524" i="79"/>
  <c r="G524" i="79"/>
  <c r="K523" i="79"/>
  <c r="J523" i="79"/>
  <c r="I523" i="79"/>
  <c r="H523" i="79"/>
  <c r="G523" i="79"/>
  <c r="K522" i="79"/>
  <c r="J522" i="79"/>
  <c r="I522" i="79"/>
  <c r="H522" i="79"/>
  <c r="G522" i="79"/>
  <c r="K521" i="79"/>
  <c r="J521" i="79"/>
  <c r="I521" i="79"/>
  <c r="H521" i="79"/>
  <c r="G521" i="79"/>
  <c r="K520" i="79"/>
  <c r="J520" i="79"/>
  <c r="I520" i="79"/>
  <c r="H520" i="79"/>
  <c r="G520" i="79"/>
  <c r="K519" i="79"/>
  <c r="J519" i="79"/>
  <c r="I519" i="79"/>
  <c r="H519" i="79"/>
  <c r="G519" i="79"/>
  <c r="K518" i="79"/>
  <c r="J518" i="79"/>
  <c r="I518" i="79"/>
  <c r="H518" i="79"/>
  <c r="G518" i="79"/>
  <c r="K517" i="79"/>
  <c r="J517" i="79"/>
  <c r="I517" i="79"/>
  <c r="H517" i="79"/>
  <c r="G517" i="79"/>
  <c r="K516" i="79"/>
  <c r="J516" i="79"/>
  <c r="I516" i="79"/>
  <c r="H516" i="79"/>
  <c r="G516" i="79"/>
  <c r="K515" i="79"/>
  <c r="J515" i="79"/>
  <c r="I515" i="79"/>
  <c r="H515" i="79"/>
  <c r="G515" i="79"/>
  <c r="K514" i="79"/>
  <c r="J514" i="79"/>
  <c r="I514" i="79"/>
  <c r="H514" i="79"/>
  <c r="G514" i="79"/>
  <c r="K513" i="79"/>
  <c r="J513" i="79"/>
  <c r="I513" i="79"/>
  <c r="H513" i="79"/>
  <c r="G513" i="79"/>
  <c r="K512" i="79"/>
  <c r="J512" i="79"/>
  <c r="I512" i="79"/>
  <c r="H512" i="79"/>
  <c r="G512" i="79"/>
  <c r="K511" i="79"/>
  <c r="J511" i="79"/>
  <c r="I511" i="79"/>
  <c r="H511" i="79"/>
  <c r="G511" i="79"/>
  <c r="K510" i="79"/>
  <c r="J510" i="79"/>
  <c r="I510" i="79"/>
  <c r="H510" i="79"/>
  <c r="G510" i="79"/>
  <c r="K491" i="79"/>
  <c r="J491" i="79"/>
  <c r="I491" i="79"/>
  <c r="H491" i="79"/>
  <c r="G491" i="79"/>
  <c r="K490" i="79"/>
  <c r="J490" i="79"/>
  <c r="I490" i="79"/>
  <c r="H490" i="79"/>
  <c r="G490" i="79"/>
  <c r="K489" i="79"/>
  <c r="J489" i="79"/>
  <c r="I489" i="79"/>
  <c r="H489" i="79"/>
  <c r="G489" i="79"/>
  <c r="K488" i="79"/>
  <c r="J488" i="79"/>
  <c r="I488" i="79"/>
  <c r="H488" i="79"/>
  <c r="G488" i="79"/>
  <c r="K487" i="79"/>
  <c r="J487" i="79"/>
  <c r="I487" i="79"/>
  <c r="H487" i="79"/>
  <c r="G487" i="79"/>
  <c r="K486" i="79"/>
  <c r="J486" i="79"/>
  <c r="I486" i="79"/>
  <c r="H486" i="79"/>
  <c r="G486" i="79"/>
  <c r="K485" i="79"/>
  <c r="J485" i="79"/>
  <c r="I485" i="79"/>
  <c r="H485" i="79"/>
  <c r="G485" i="79"/>
  <c r="K484" i="79"/>
  <c r="J484" i="79"/>
  <c r="I484" i="79"/>
  <c r="H484" i="79"/>
  <c r="G484" i="79"/>
  <c r="K483" i="79"/>
  <c r="J483" i="79"/>
  <c r="I483" i="79"/>
  <c r="H483" i="79"/>
  <c r="G483" i="79"/>
  <c r="K482" i="79"/>
  <c r="J482" i="79"/>
  <c r="I482" i="79"/>
  <c r="H482" i="79"/>
  <c r="G482" i="79"/>
  <c r="K481" i="79"/>
  <c r="J481" i="79"/>
  <c r="I481" i="79"/>
  <c r="H481" i="79"/>
  <c r="G481" i="79"/>
  <c r="K480" i="79"/>
  <c r="J480" i="79"/>
  <c r="I480" i="79"/>
  <c r="H480" i="79"/>
  <c r="G480" i="79"/>
  <c r="K479" i="79"/>
  <c r="J479" i="79"/>
  <c r="I479" i="79"/>
  <c r="H479" i="79"/>
  <c r="G479" i="79"/>
  <c r="K478" i="79"/>
  <c r="J478" i="79"/>
  <c r="I478" i="79"/>
  <c r="H478" i="79"/>
  <c r="G478" i="79"/>
  <c r="K477" i="79"/>
  <c r="J477" i="79"/>
  <c r="I477" i="79"/>
  <c r="H477" i="79"/>
  <c r="G477" i="79"/>
  <c r="K476" i="79"/>
  <c r="J476" i="79"/>
  <c r="I476" i="79"/>
  <c r="H476" i="79"/>
  <c r="G476" i="79"/>
  <c r="K475" i="79"/>
  <c r="J475" i="79"/>
  <c r="I475" i="79"/>
  <c r="H475" i="79"/>
  <c r="G475" i="79"/>
  <c r="K474" i="79"/>
  <c r="J474" i="79"/>
  <c r="I474" i="79"/>
  <c r="H474" i="79"/>
  <c r="G474" i="79"/>
  <c r="K473" i="79"/>
  <c r="J473" i="79"/>
  <c r="I473" i="79"/>
  <c r="H473" i="79"/>
  <c r="G473" i="79"/>
  <c r="K472" i="79"/>
  <c r="J472" i="79"/>
  <c r="I472" i="79"/>
  <c r="H472" i="79"/>
  <c r="G472" i="79"/>
  <c r="K471" i="79"/>
  <c r="J471" i="79"/>
  <c r="I471" i="79"/>
  <c r="H471" i="79"/>
  <c r="G471" i="79"/>
  <c r="K470" i="79"/>
  <c r="J470" i="79"/>
  <c r="I470" i="79"/>
  <c r="H470" i="79"/>
  <c r="G470" i="79"/>
  <c r="K469" i="79"/>
  <c r="J469" i="79"/>
  <c r="I469" i="79"/>
  <c r="H469" i="79"/>
  <c r="G469" i="79"/>
  <c r="K468" i="79"/>
  <c r="J468" i="79"/>
  <c r="I468" i="79"/>
  <c r="H468" i="79"/>
  <c r="G468" i="79"/>
  <c r="K467" i="79"/>
  <c r="J467" i="79"/>
  <c r="I467" i="79"/>
  <c r="H467" i="79"/>
  <c r="G467" i="79"/>
  <c r="K466" i="79"/>
  <c r="J466" i="79"/>
  <c r="I466" i="79"/>
  <c r="H466" i="79"/>
  <c r="G466" i="79"/>
  <c r="K465" i="79"/>
  <c r="J465" i="79"/>
  <c r="I465" i="79"/>
  <c r="H465" i="79"/>
  <c r="G465" i="79"/>
  <c r="K464" i="79"/>
  <c r="J464" i="79"/>
  <c r="I464" i="79"/>
  <c r="H464" i="79"/>
  <c r="G464" i="79"/>
  <c r="K463" i="79"/>
  <c r="J463" i="79"/>
  <c r="I463" i="79"/>
  <c r="H463" i="79"/>
  <c r="G463" i="79"/>
  <c r="K462" i="79"/>
  <c r="J462" i="79"/>
  <c r="I462" i="79"/>
  <c r="H462" i="79"/>
  <c r="G462" i="79"/>
  <c r="K461" i="79"/>
  <c r="J461" i="79"/>
  <c r="I461" i="79"/>
  <c r="H461" i="79"/>
  <c r="G461" i="79"/>
  <c r="K460" i="79"/>
  <c r="J460" i="79"/>
  <c r="I460" i="79"/>
  <c r="H460" i="79"/>
  <c r="G460" i="79"/>
  <c r="K459" i="79"/>
  <c r="J459" i="79"/>
  <c r="I459" i="79"/>
  <c r="H459" i="79"/>
  <c r="G459" i="79"/>
  <c r="K458" i="79"/>
  <c r="J458" i="79"/>
  <c r="I458" i="79"/>
  <c r="H458" i="79"/>
  <c r="G458" i="79"/>
  <c r="K457" i="79"/>
  <c r="J457" i="79"/>
  <c r="I457" i="79"/>
  <c r="H457" i="79"/>
  <c r="G457" i="79"/>
  <c r="K456" i="79"/>
  <c r="J456" i="79"/>
  <c r="I456" i="79"/>
  <c r="H456" i="79"/>
  <c r="G456" i="79"/>
  <c r="K455" i="79"/>
  <c r="J455" i="79"/>
  <c r="I455" i="79"/>
  <c r="H455" i="79"/>
  <c r="G455" i="79"/>
  <c r="K454" i="79"/>
  <c r="J454" i="79"/>
  <c r="I454" i="79"/>
  <c r="H454" i="79"/>
  <c r="G454" i="79"/>
  <c r="K453" i="79"/>
  <c r="J453" i="79"/>
  <c r="I453" i="79"/>
  <c r="H453" i="79"/>
  <c r="G453" i="79"/>
  <c r="K452" i="79"/>
  <c r="J452" i="79"/>
  <c r="I452" i="79"/>
  <c r="H452" i="79"/>
  <c r="G452" i="79"/>
  <c r="K451" i="79"/>
  <c r="J451" i="79"/>
  <c r="I451" i="79"/>
  <c r="H451" i="79"/>
  <c r="G451" i="79"/>
  <c r="K450" i="79"/>
  <c r="J450" i="79"/>
  <c r="I450" i="79"/>
  <c r="H450" i="79"/>
  <c r="G450" i="79"/>
  <c r="K449" i="79"/>
  <c r="J449" i="79"/>
  <c r="I449" i="79"/>
  <c r="H449" i="79"/>
  <c r="G449" i="79"/>
  <c r="K448" i="79"/>
  <c r="J448" i="79"/>
  <c r="I448" i="79"/>
  <c r="H448" i="79"/>
  <c r="G448" i="79"/>
  <c r="K447" i="79"/>
  <c r="J447" i="79"/>
  <c r="I447" i="79"/>
  <c r="H447" i="79"/>
  <c r="G447" i="79"/>
  <c r="K446" i="79"/>
  <c r="J446" i="79"/>
  <c r="I446" i="79"/>
  <c r="H446" i="79"/>
  <c r="G446" i="79"/>
  <c r="K445" i="79"/>
  <c r="J445" i="79"/>
  <c r="I445" i="79"/>
  <c r="H445" i="79"/>
  <c r="G445" i="79"/>
  <c r="K444" i="79"/>
  <c r="J444" i="79"/>
  <c r="I444" i="79"/>
  <c r="H444" i="79"/>
  <c r="G444" i="79"/>
  <c r="K443" i="79"/>
  <c r="J443" i="79"/>
  <c r="I443" i="79"/>
  <c r="H443" i="79"/>
  <c r="G443" i="79"/>
  <c r="K442" i="79"/>
  <c r="J442" i="79"/>
  <c r="I442" i="79"/>
  <c r="H442" i="79"/>
  <c r="G442" i="79"/>
  <c r="K441" i="79"/>
  <c r="J441" i="79"/>
  <c r="I441" i="79"/>
  <c r="H441" i="79"/>
  <c r="G441" i="79"/>
  <c r="K440" i="79"/>
  <c r="J440" i="79"/>
  <c r="I440" i="79"/>
  <c r="H440" i="79"/>
  <c r="G440" i="79"/>
  <c r="K439" i="79"/>
  <c r="J439" i="79"/>
  <c r="I439" i="79"/>
  <c r="H439" i="79"/>
  <c r="G439" i="79"/>
  <c r="K438" i="79"/>
  <c r="J438" i="79"/>
  <c r="I438" i="79"/>
  <c r="H438" i="79"/>
  <c r="G438" i="79"/>
  <c r="K437" i="79"/>
  <c r="J437" i="79"/>
  <c r="I437" i="79"/>
  <c r="H437" i="79"/>
  <c r="G437" i="79"/>
  <c r="K436" i="79"/>
  <c r="J436" i="79"/>
  <c r="I436" i="79"/>
  <c r="H436" i="79"/>
  <c r="G436" i="79"/>
  <c r="K435" i="79"/>
  <c r="J435" i="79"/>
  <c r="I435" i="79"/>
  <c r="H435" i="79"/>
  <c r="G435" i="79"/>
  <c r="K434" i="79"/>
  <c r="J434" i="79"/>
  <c r="I434" i="79"/>
  <c r="H434" i="79"/>
  <c r="G434" i="79"/>
  <c r="K433" i="79"/>
  <c r="J433" i="79"/>
  <c r="I433" i="79"/>
  <c r="H433" i="79"/>
  <c r="G433" i="79"/>
  <c r="K432" i="79"/>
  <c r="J432" i="79"/>
  <c r="I432" i="79"/>
  <c r="H432" i="79"/>
  <c r="G432" i="79"/>
  <c r="K431" i="79"/>
  <c r="J431" i="79"/>
  <c r="I431" i="79"/>
  <c r="H431" i="79"/>
  <c r="G431" i="79"/>
  <c r="K430" i="79"/>
  <c r="J430" i="79"/>
  <c r="I430" i="79"/>
  <c r="H430" i="79"/>
  <c r="G430" i="79"/>
  <c r="K429" i="79"/>
  <c r="J429" i="79"/>
  <c r="I429" i="79"/>
  <c r="H429" i="79"/>
  <c r="G429" i="79"/>
  <c r="K428" i="79"/>
  <c r="J428" i="79"/>
  <c r="I428" i="79"/>
  <c r="H428" i="79"/>
  <c r="G428" i="79"/>
  <c r="K427" i="79"/>
  <c r="J427" i="79"/>
  <c r="I427" i="79"/>
  <c r="H427" i="79"/>
  <c r="G427" i="79"/>
  <c r="K426" i="79"/>
  <c r="J426" i="79"/>
  <c r="I426" i="79"/>
  <c r="H426" i="79"/>
  <c r="G426" i="79"/>
  <c r="K425" i="79"/>
  <c r="J425" i="79"/>
  <c r="I425" i="79"/>
  <c r="H425" i="79"/>
  <c r="G425" i="79"/>
  <c r="K424" i="79"/>
  <c r="J424" i="79"/>
  <c r="I424" i="79"/>
  <c r="H424" i="79"/>
  <c r="G424" i="79"/>
  <c r="K423" i="79"/>
  <c r="J423" i="79"/>
  <c r="I423" i="79"/>
  <c r="H423" i="79"/>
  <c r="G423" i="79"/>
  <c r="K422" i="79"/>
  <c r="J422" i="79"/>
  <c r="I422" i="79"/>
  <c r="H422" i="79"/>
  <c r="G422" i="79"/>
  <c r="K421" i="79"/>
  <c r="J421" i="79"/>
  <c r="I421" i="79"/>
  <c r="H421" i="79"/>
  <c r="G421" i="79"/>
  <c r="K420" i="79"/>
  <c r="J420" i="79"/>
  <c r="I420" i="79"/>
  <c r="H420" i="79"/>
  <c r="G420" i="79"/>
  <c r="K399" i="79"/>
  <c r="J399" i="79"/>
  <c r="I399" i="79"/>
  <c r="H399" i="79"/>
  <c r="G399" i="79"/>
  <c r="K398" i="79"/>
  <c r="J398" i="79"/>
  <c r="I398" i="79"/>
  <c r="H398" i="79"/>
  <c r="G398" i="79"/>
  <c r="K397" i="79"/>
  <c r="J397" i="79"/>
  <c r="I397" i="79"/>
  <c r="H397" i="79"/>
  <c r="G397" i="79"/>
  <c r="K396" i="79"/>
  <c r="J396" i="79"/>
  <c r="I396" i="79"/>
  <c r="H396" i="79"/>
  <c r="G396" i="79"/>
  <c r="K395" i="79"/>
  <c r="J395" i="79"/>
  <c r="I395" i="79"/>
  <c r="H395" i="79"/>
  <c r="G395" i="79"/>
  <c r="K394" i="79"/>
  <c r="J394" i="79"/>
  <c r="I394" i="79"/>
  <c r="H394" i="79"/>
  <c r="G394" i="79"/>
  <c r="K393" i="79"/>
  <c r="J393" i="79"/>
  <c r="I393" i="79"/>
  <c r="H393" i="79"/>
  <c r="G393" i="79"/>
  <c r="K392" i="79"/>
  <c r="J392" i="79"/>
  <c r="I392" i="79"/>
  <c r="H392" i="79"/>
  <c r="G392" i="79"/>
  <c r="K391" i="79"/>
  <c r="J391" i="79"/>
  <c r="I391" i="79"/>
  <c r="H391" i="79"/>
  <c r="G391" i="79"/>
  <c r="K390" i="79"/>
  <c r="J390" i="79"/>
  <c r="I390" i="79"/>
  <c r="H390" i="79"/>
  <c r="G390" i="79"/>
  <c r="K389" i="79"/>
  <c r="J389" i="79"/>
  <c r="I389" i="79"/>
  <c r="H389" i="79"/>
  <c r="G389" i="79"/>
  <c r="K388" i="79"/>
  <c r="J388" i="79"/>
  <c r="I388" i="79"/>
  <c r="H388" i="79"/>
  <c r="G388" i="79"/>
  <c r="K387" i="79"/>
  <c r="J387" i="79"/>
  <c r="I387" i="79"/>
  <c r="H387" i="79"/>
  <c r="G387" i="79"/>
  <c r="K386" i="79"/>
  <c r="J386" i="79"/>
  <c r="I386" i="79"/>
  <c r="H386" i="79"/>
  <c r="G386" i="79"/>
  <c r="K385" i="79"/>
  <c r="J385" i="79"/>
  <c r="I385" i="79"/>
  <c r="H385" i="79"/>
  <c r="G385" i="79"/>
  <c r="K384" i="79"/>
  <c r="J384" i="79"/>
  <c r="I384" i="79"/>
  <c r="H384" i="79"/>
  <c r="G384" i="79"/>
  <c r="K383" i="79"/>
  <c r="J383" i="79"/>
  <c r="I383" i="79"/>
  <c r="H383" i="79"/>
  <c r="G383" i="79"/>
  <c r="K382" i="79"/>
  <c r="J382" i="79"/>
  <c r="I382" i="79"/>
  <c r="H382" i="79"/>
  <c r="G382" i="79"/>
  <c r="K381" i="79"/>
  <c r="J381" i="79"/>
  <c r="I381" i="79"/>
  <c r="H381" i="79"/>
  <c r="G381" i="79"/>
  <c r="K380" i="79"/>
  <c r="J380" i="79"/>
  <c r="I380" i="79"/>
  <c r="H380" i="79"/>
  <c r="G380" i="79"/>
  <c r="K379" i="79"/>
  <c r="J379" i="79"/>
  <c r="I379" i="79"/>
  <c r="H379" i="79"/>
  <c r="G379" i="79"/>
  <c r="K378" i="79"/>
  <c r="J378" i="79"/>
  <c r="I378" i="79"/>
  <c r="H378" i="79"/>
  <c r="G378" i="79"/>
  <c r="K377" i="79"/>
  <c r="J377" i="79"/>
  <c r="I377" i="79"/>
  <c r="H377" i="79"/>
  <c r="G377" i="79"/>
  <c r="K376" i="79"/>
  <c r="J376" i="79"/>
  <c r="I376" i="79"/>
  <c r="H376" i="79"/>
  <c r="G376" i="79"/>
  <c r="K375" i="79"/>
  <c r="J375" i="79"/>
  <c r="I375" i="79"/>
  <c r="H375" i="79"/>
  <c r="G375" i="79"/>
  <c r="K374" i="79"/>
  <c r="J374" i="79"/>
  <c r="I374" i="79"/>
  <c r="H374" i="79"/>
  <c r="G374" i="79"/>
  <c r="K373" i="79"/>
  <c r="J373" i="79"/>
  <c r="I373" i="79"/>
  <c r="H373" i="79"/>
  <c r="G373" i="79"/>
  <c r="K372" i="79"/>
  <c r="J372" i="79"/>
  <c r="I372" i="79"/>
  <c r="H372" i="79"/>
  <c r="G372" i="79"/>
  <c r="K371" i="79"/>
  <c r="J371" i="79"/>
  <c r="I371" i="79"/>
  <c r="H371" i="79"/>
  <c r="G371" i="79"/>
  <c r="K370" i="79"/>
  <c r="J370" i="79"/>
  <c r="I370" i="79"/>
  <c r="H370" i="79"/>
  <c r="G370" i="79"/>
  <c r="K369" i="79"/>
  <c r="J369" i="79"/>
  <c r="I369" i="79"/>
  <c r="H369" i="79"/>
  <c r="G369" i="79"/>
  <c r="K368" i="79"/>
  <c r="J368" i="79"/>
  <c r="I368" i="79"/>
  <c r="H368" i="79"/>
  <c r="G368" i="79"/>
  <c r="K367" i="79"/>
  <c r="J367" i="79"/>
  <c r="I367" i="79"/>
  <c r="H367" i="79"/>
  <c r="G367" i="79"/>
  <c r="K366" i="79"/>
  <c r="J366" i="79"/>
  <c r="I366" i="79"/>
  <c r="H366" i="79"/>
  <c r="G366" i="79"/>
  <c r="K365" i="79"/>
  <c r="J365" i="79"/>
  <c r="I365" i="79"/>
  <c r="H365" i="79"/>
  <c r="G365" i="79"/>
  <c r="K364" i="79"/>
  <c r="J364" i="79"/>
  <c r="I364" i="79"/>
  <c r="H364" i="79"/>
  <c r="G364" i="79"/>
  <c r="K363" i="79"/>
  <c r="J363" i="79"/>
  <c r="I363" i="79"/>
  <c r="H363" i="79"/>
  <c r="G363" i="79"/>
  <c r="K362" i="79"/>
  <c r="J362" i="79"/>
  <c r="I362" i="79"/>
  <c r="H362" i="79"/>
  <c r="G362" i="79"/>
  <c r="K361" i="79"/>
  <c r="J361" i="79"/>
  <c r="I361" i="79"/>
  <c r="H361" i="79"/>
  <c r="G361" i="79"/>
  <c r="K360" i="79"/>
  <c r="J360" i="79"/>
  <c r="I360" i="79"/>
  <c r="H360" i="79"/>
  <c r="G360" i="79"/>
  <c r="K359" i="79"/>
  <c r="J359" i="79"/>
  <c r="I359" i="79"/>
  <c r="H359" i="79"/>
  <c r="G359" i="79"/>
  <c r="K358" i="79"/>
  <c r="J358" i="79"/>
  <c r="I358" i="79"/>
  <c r="H358" i="79"/>
  <c r="G358" i="79"/>
  <c r="K357" i="79"/>
  <c r="J357" i="79"/>
  <c r="I357" i="79"/>
  <c r="H357" i="79"/>
  <c r="G357" i="79"/>
  <c r="K356" i="79"/>
  <c r="J356" i="79"/>
  <c r="I356" i="79"/>
  <c r="H356" i="79"/>
  <c r="G356" i="79"/>
  <c r="K355" i="79"/>
  <c r="J355" i="79"/>
  <c r="I355" i="79"/>
  <c r="H355" i="79"/>
  <c r="G355" i="79"/>
  <c r="K354" i="79"/>
  <c r="J354" i="79"/>
  <c r="I354" i="79"/>
  <c r="H354" i="79"/>
  <c r="G354" i="79"/>
  <c r="K353" i="79"/>
  <c r="J353" i="79"/>
  <c r="I353" i="79"/>
  <c r="H353" i="79"/>
  <c r="G353" i="79"/>
  <c r="K352" i="79"/>
  <c r="J352" i="79"/>
  <c r="I352" i="79"/>
  <c r="H352" i="79"/>
  <c r="G352" i="79"/>
  <c r="K351" i="79"/>
  <c r="J351" i="79"/>
  <c r="I351" i="79"/>
  <c r="H351" i="79"/>
  <c r="G351" i="79"/>
  <c r="K350" i="79"/>
  <c r="J350" i="79"/>
  <c r="I350" i="79"/>
  <c r="H350" i="79"/>
  <c r="G350" i="79"/>
  <c r="K349" i="79"/>
  <c r="J349" i="79"/>
  <c r="I349" i="79"/>
  <c r="H349" i="79"/>
  <c r="G349" i="79"/>
  <c r="K348" i="79"/>
  <c r="J348" i="79"/>
  <c r="I348" i="79"/>
  <c r="H348" i="79"/>
  <c r="G348" i="79"/>
  <c r="K347" i="79"/>
  <c r="J347" i="79"/>
  <c r="I347" i="79"/>
  <c r="H347" i="79"/>
  <c r="G347" i="79"/>
  <c r="K346" i="79"/>
  <c r="J346" i="79"/>
  <c r="I346" i="79"/>
  <c r="H346" i="79"/>
  <c r="G346" i="79"/>
  <c r="K345" i="79"/>
  <c r="J345" i="79"/>
  <c r="I345" i="79"/>
  <c r="H345" i="79"/>
  <c r="G345" i="79"/>
  <c r="K344" i="79"/>
  <c r="J344" i="79"/>
  <c r="I344" i="79"/>
  <c r="H344" i="79"/>
  <c r="G344" i="79"/>
  <c r="K343" i="79"/>
  <c r="J343" i="79"/>
  <c r="I343" i="79"/>
  <c r="H343" i="79"/>
  <c r="G343" i="79"/>
  <c r="K342" i="79"/>
  <c r="J342" i="79"/>
  <c r="I342" i="79"/>
  <c r="H342" i="79"/>
  <c r="G342" i="79"/>
  <c r="K341" i="79"/>
  <c r="J341" i="79"/>
  <c r="I341" i="79"/>
  <c r="H341" i="79"/>
  <c r="G341" i="79"/>
  <c r="K340" i="79"/>
  <c r="J340" i="79"/>
  <c r="I340" i="79"/>
  <c r="H340" i="79"/>
  <c r="G340" i="79"/>
  <c r="K339" i="79"/>
  <c r="J339" i="79"/>
  <c r="I339" i="79"/>
  <c r="H339" i="79"/>
  <c r="G339" i="79"/>
  <c r="K338" i="79"/>
  <c r="J338" i="79"/>
  <c r="I338" i="79"/>
  <c r="H338" i="79"/>
  <c r="G338" i="79"/>
  <c r="K337" i="79"/>
  <c r="J337" i="79"/>
  <c r="I337" i="79"/>
  <c r="H337" i="79"/>
  <c r="G337" i="79"/>
  <c r="K336" i="79"/>
  <c r="J336" i="79"/>
  <c r="I336" i="79"/>
  <c r="H336" i="79"/>
  <c r="G336" i="79"/>
  <c r="K335" i="79"/>
  <c r="J335" i="79"/>
  <c r="I335" i="79"/>
  <c r="H335" i="79"/>
  <c r="G335" i="79"/>
  <c r="K334" i="79"/>
  <c r="J334" i="79"/>
  <c r="I334" i="79"/>
  <c r="H334" i="79"/>
  <c r="G334" i="79"/>
  <c r="K333" i="79"/>
  <c r="J333" i="79"/>
  <c r="I333" i="79"/>
  <c r="H333" i="79"/>
  <c r="G333" i="79"/>
  <c r="K332" i="79"/>
  <c r="J332" i="79"/>
  <c r="I332" i="79"/>
  <c r="H332" i="79"/>
  <c r="G332" i="79"/>
  <c r="K331" i="79"/>
  <c r="J331" i="79"/>
  <c r="I331" i="79"/>
  <c r="H331" i="79"/>
  <c r="G331" i="79"/>
  <c r="K330" i="79"/>
  <c r="J330" i="79"/>
  <c r="I330" i="79"/>
  <c r="H330" i="79"/>
  <c r="G330" i="79"/>
  <c r="K316" i="79"/>
  <c r="J316" i="79"/>
  <c r="I316" i="79"/>
  <c r="H316" i="79"/>
  <c r="G316" i="79"/>
  <c r="K315" i="79"/>
  <c r="J315" i="79"/>
  <c r="I315" i="79"/>
  <c r="H315" i="79"/>
  <c r="G315" i="79"/>
  <c r="K314" i="79"/>
  <c r="J314" i="79"/>
  <c r="I314" i="79"/>
  <c r="H314" i="79"/>
  <c r="G314" i="79"/>
  <c r="K313" i="79"/>
  <c r="J313" i="79"/>
  <c r="I313" i="79"/>
  <c r="H313" i="79"/>
  <c r="G313" i="79"/>
  <c r="K312" i="79"/>
  <c r="J312" i="79"/>
  <c r="I312" i="79"/>
  <c r="H312" i="79"/>
  <c r="G312" i="79"/>
  <c r="K311" i="79"/>
  <c r="J311" i="79"/>
  <c r="I311" i="79"/>
  <c r="H311" i="79"/>
  <c r="G311" i="79"/>
  <c r="K310" i="79"/>
  <c r="J310" i="79"/>
  <c r="I310" i="79"/>
  <c r="H310" i="79"/>
  <c r="G310" i="79"/>
  <c r="K309" i="79"/>
  <c r="J309" i="79"/>
  <c r="I309" i="79"/>
  <c r="H309" i="79"/>
  <c r="G309" i="79"/>
  <c r="K308" i="79"/>
  <c r="J308" i="79"/>
  <c r="I308" i="79"/>
  <c r="H308" i="79"/>
  <c r="G308" i="79"/>
  <c r="K307" i="79"/>
  <c r="J307" i="79"/>
  <c r="I307" i="79"/>
  <c r="H307" i="79"/>
  <c r="G307" i="79"/>
  <c r="K306" i="79"/>
  <c r="J306" i="79"/>
  <c r="I306" i="79"/>
  <c r="H306" i="79"/>
  <c r="G306" i="79"/>
  <c r="K305" i="79"/>
  <c r="J305" i="79"/>
  <c r="I305" i="79"/>
  <c r="H305" i="79"/>
  <c r="G305" i="79"/>
  <c r="K304" i="79"/>
  <c r="J304" i="79"/>
  <c r="I304" i="79"/>
  <c r="H304" i="79"/>
  <c r="G304" i="79"/>
  <c r="K303" i="79"/>
  <c r="J303" i="79"/>
  <c r="I303" i="79"/>
  <c r="H303" i="79"/>
  <c r="G303" i="79"/>
  <c r="K302" i="79"/>
  <c r="J302" i="79"/>
  <c r="I302" i="79"/>
  <c r="H302" i="79"/>
  <c r="G302" i="79"/>
  <c r="K301" i="79"/>
  <c r="J301" i="79"/>
  <c r="I301" i="79"/>
  <c r="H301" i="79"/>
  <c r="G301" i="79"/>
  <c r="K300" i="79"/>
  <c r="J300" i="79"/>
  <c r="I300" i="79"/>
  <c r="H300" i="79"/>
  <c r="G300" i="79"/>
  <c r="K299" i="79"/>
  <c r="J299" i="79"/>
  <c r="I299" i="79"/>
  <c r="H299" i="79"/>
  <c r="G299" i="79"/>
  <c r="K298" i="79"/>
  <c r="J298" i="79"/>
  <c r="I298" i="79"/>
  <c r="H298" i="79"/>
  <c r="G298" i="79"/>
  <c r="K297" i="79"/>
  <c r="J297" i="79"/>
  <c r="I297" i="79"/>
  <c r="H297" i="79"/>
  <c r="G297" i="79"/>
  <c r="K296" i="79"/>
  <c r="J296" i="79"/>
  <c r="I296" i="79"/>
  <c r="H296" i="79"/>
  <c r="G296" i="79"/>
  <c r="K295" i="79"/>
  <c r="J295" i="79"/>
  <c r="I295" i="79"/>
  <c r="H295" i="79"/>
  <c r="G295" i="79"/>
  <c r="K294" i="79"/>
  <c r="J294" i="79"/>
  <c r="I294" i="79"/>
  <c r="H294" i="79"/>
  <c r="G294" i="79"/>
  <c r="K293" i="79"/>
  <c r="J293" i="79"/>
  <c r="I293" i="79"/>
  <c r="H293" i="79"/>
  <c r="G293" i="79"/>
  <c r="K292" i="79"/>
  <c r="J292" i="79"/>
  <c r="I292" i="79"/>
  <c r="H292" i="79"/>
  <c r="G292" i="79"/>
  <c r="K291" i="79"/>
  <c r="J291" i="79"/>
  <c r="I291" i="79"/>
  <c r="H291" i="79"/>
  <c r="G291" i="79"/>
  <c r="K290" i="79"/>
  <c r="J290" i="79"/>
  <c r="I290" i="79"/>
  <c r="H290" i="79"/>
  <c r="G290" i="79"/>
  <c r="K289" i="79"/>
  <c r="J289" i="79"/>
  <c r="I289" i="79"/>
  <c r="H289" i="79"/>
  <c r="G289" i="79"/>
  <c r="K288" i="79"/>
  <c r="J288" i="79"/>
  <c r="I288" i="79"/>
  <c r="H288" i="79"/>
  <c r="G288" i="79"/>
  <c r="K287" i="79"/>
  <c r="J287" i="79"/>
  <c r="I287" i="79"/>
  <c r="H287" i="79"/>
  <c r="G287" i="79"/>
  <c r="K286" i="79"/>
  <c r="J286" i="79"/>
  <c r="I286" i="79"/>
  <c r="H286" i="79"/>
  <c r="G286" i="79"/>
  <c r="K285" i="79"/>
  <c r="J285" i="79"/>
  <c r="I285" i="79"/>
  <c r="H285" i="79"/>
  <c r="G285" i="79"/>
  <c r="K284" i="79"/>
  <c r="J284" i="79"/>
  <c r="I284" i="79"/>
  <c r="H284" i="79"/>
  <c r="G284" i="79"/>
  <c r="K283" i="79"/>
  <c r="J283" i="79"/>
  <c r="I283" i="79"/>
  <c r="H283" i="79"/>
  <c r="G283" i="79"/>
  <c r="K282" i="79"/>
  <c r="J282" i="79"/>
  <c r="I282" i="79"/>
  <c r="H282" i="79"/>
  <c r="G282" i="79"/>
  <c r="K281" i="79"/>
  <c r="J281" i="79"/>
  <c r="I281" i="79"/>
  <c r="H281" i="79"/>
  <c r="G281" i="79"/>
  <c r="K280" i="79"/>
  <c r="J280" i="79"/>
  <c r="I280" i="79"/>
  <c r="H280" i="79"/>
  <c r="G280" i="79"/>
  <c r="K279" i="79"/>
  <c r="J279" i="79"/>
  <c r="I279" i="79"/>
  <c r="H279" i="79"/>
  <c r="G279" i="79"/>
  <c r="K278" i="79"/>
  <c r="J278" i="79"/>
  <c r="I278" i="79"/>
  <c r="H278" i="79"/>
  <c r="G278" i="79"/>
  <c r="K277" i="79"/>
  <c r="J277" i="79"/>
  <c r="I277" i="79"/>
  <c r="H277" i="79"/>
  <c r="G277" i="79"/>
  <c r="K276" i="79"/>
  <c r="J276" i="79"/>
  <c r="I276" i="79"/>
  <c r="H276" i="79"/>
  <c r="G276" i="79"/>
  <c r="K275" i="79"/>
  <c r="J275" i="79"/>
  <c r="I275" i="79"/>
  <c r="H275" i="79"/>
  <c r="G275" i="79"/>
  <c r="K274" i="79"/>
  <c r="J274" i="79"/>
  <c r="I274" i="79"/>
  <c r="H274" i="79"/>
  <c r="G274" i="79"/>
  <c r="K273" i="79"/>
  <c r="J273" i="79"/>
  <c r="I273" i="79"/>
  <c r="H273" i="79"/>
  <c r="G273" i="79"/>
  <c r="K272" i="79"/>
  <c r="J272" i="79"/>
  <c r="I272" i="79"/>
  <c r="H272" i="79"/>
  <c r="G272" i="79"/>
  <c r="K271" i="79"/>
  <c r="J271" i="79"/>
  <c r="I271" i="79"/>
  <c r="H271" i="79"/>
  <c r="G271" i="79"/>
  <c r="K270" i="79"/>
  <c r="J270" i="79"/>
  <c r="I270" i="79"/>
  <c r="H270" i="79"/>
  <c r="G270" i="79"/>
  <c r="K269" i="79"/>
  <c r="J269" i="79"/>
  <c r="I269" i="79"/>
  <c r="H269" i="79"/>
  <c r="G269" i="79"/>
  <c r="K268" i="79"/>
  <c r="J268" i="79"/>
  <c r="I268" i="79"/>
  <c r="H268" i="79"/>
  <c r="G268" i="79"/>
  <c r="K267" i="79"/>
  <c r="J267" i="79"/>
  <c r="I267" i="79"/>
  <c r="H267" i="79"/>
  <c r="G267" i="79"/>
  <c r="K266" i="79"/>
  <c r="J266" i="79"/>
  <c r="I266" i="79"/>
  <c r="H266" i="79"/>
  <c r="G266" i="79"/>
  <c r="K265" i="79"/>
  <c r="J265" i="79"/>
  <c r="I265" i="79"/>
  <c r="H265" i="79"/>
  <c r="G265" i="79"/>
  <c r="K264" i="79"/>
  <c r="J264" i="79"/>
  <c r="I264" i="79"/>
  <c r="H264" i="79"/>
  <c r="G264" i="79"/>
  <c r="K263" i="79"/>
  <c r="J263" i="79"/>
  <c r="I263" i="79"/>
  <c r="H263" i="79"/>
  <c r="G263" i="79"/>
  <c r="K262" i="79"/>
  <c r="J262" i="79"/>
  <c r="I262" i="79"/>
  <c r="H262" i="79"/>
  <c r="G262" i="79"/>
  <c r="K261" i="79"/>
  <c r="J261" i="79"/>
  <c r="I261" i="79"/>
  <c r="H261" i="79"/>
  <c r="G261" i="79"/>
  <c r="K260" i="79"/>
  <c r="J260" i="79"/>
  <c r="I260" i="79"/>
  <c r="H260" i="79"/>
  <c r="G260" i="79"/>
  <c r="K259" i="79"/>
  <c r="J259" i="79"/>
  <c r="I259" i="79"/>
  <c r="H259" i="79"/>
  <c r="G259" i="79"/>
  <c r="K258" i="79"/>
  <c r="J258" i="79"/>
  <c r="I258" i="79"/>
  <c r="H258" i="79"/>
  <c r="G258" i="79"/>
  <c r="K257" i="79"/>
  <c r="J257" i="79"/>
  <c r="I257" i="79"/>
  <c r="H257" i="79"/>
  <c r="G257" i="79"/>
  <c r="K256" i="79"/>
  <c r="J256" i="79"/>
  <c r="I256" i="79"/>
  <c r="H256" i="79"/>
  <c r="G256" i="79"/>
  <c r="K255" i="79"/>
  <c r="J255" i="79"/>
  <c r="I255" i="79"/>
  <c r="H255" i="79"/>
  <c r="G255" i="79"/>
  <c r="K254" i="79"/>
  <c r="J254" i="79"/>
  <c r="I254" i="79"/>
  <c r="H254" i="79"/>
  <c r="G254" i="79"/>
  <c r="K253" i="79"/>
  <c r="J253" i="79"/>
  <c r="I253" i="79"/>
  <c r="H253" i="79"/>
  <c r="G253" i="79"/>
  <c r="K252" i="79"/>
  <c r="J252" i="79"/>
  <c r="I252" i="79"/>
  <c r="H252" i="79"/>
  <c r="G252" i="79"/>
  <c r="K251" i="79"/>
  <c r="J251" i="79"/>
  <c r="I251" i="79"/>
  <c r="H251" i="79"/>
  <c r="G251" i="79"/>
  <c r="K250" i="79"/>
  <c r="J250" i="79"/>
  <c r="I250" i="79"/>
  <c r="H250" i="79"/>
  <c r="G250" i="79"/>
  <c r="K249" i="79"/>
  <c r="J249" i="79"/>
  <c r="I249" i="79"/>
  <c r="H249" i="79"/>
  <c r="G249" i="79"/>
  <c r="K248" i="79"/>
  <c r="J248" i="79"/>
  <c r="I248" i="79"/>
  <c r="H248" i="79"/>
  <c r="G248" i="79"/>
  <c r="K247" i="79"/>
  <c r="J247" i="79"/>
  <c r="I247" i="79"/>
  <c r="H247" i="79"/>
  <c r="G247" i="79"/>
  <c r="K246" i="79"/>
  <c r="J246" i="79"/>
  <c r="I246" i="79"/>
  <c r="H246" i="79"/>
  <c r="G246" i="79"/>
  <c r="K245" i="79"/>
  <c r="J245" i="79"/>
  <c r="I245" i="79"/>
  <c r="H245" i="79"/>
  <c r="G245" i="79"/>
  <c r="K244" i="79"/>
  <c r="J244" i="79"/>
  <c r="I244" i="79"/>
  <c r="H244" i="79"/>
  <c r="G244" i="79"/>
  <c r="K243" i="79"/>
  <c r="J243" i="79"/>
  <c r="I243" i="79"/>
  <c r="H243" i="79"/>
  <c r="G243" i="79"/>
  <c r="K242" i="79"/>
  <c r="J242" i="79"/>
  <c r="I242" i="79"/>
  <c r="H242" i="79"/>
  <c r="G242" i="79"/>
  <c r="K241" i="79"/>
  <c r="J241" i="79"/>
  <c r="I241" i="79"/>
  <c r="H241" i="79"/>
  <c r="G241" i="79"/>
  <c r="K240" i="79"/>
  <c r="J240" i="79"/>
  <c r="I240" i="79"/>
  <c r="H240" i="79"/>
  <c r="G240" i="79"/>
  <c r="K239" i="79"/>
  <c r="J239" i="79"/>
  <c r="I239" i="79"/>
  <c r="H239" i="79"/>
  <c r="G239" i="79"/>
  <c r="K238" i="79"/>
  <c r="J238" i="79"/>
  <c r="I238" i="79"/>
  <c r="H238" i="79"/>
  <c r="G238" i="79"/>
  <c r="K237" i="79"/>
  <c r="J237" i="79"/>
  <c r="I237" i="79"/>
  <c r="H237" i="79"/>
  <c r="G237" i="79"/>
  <c r="K236" i="79"/>
  <c r="J236" i="79"/>
  <c r="I236" i="79"/>
  <c r="H236" i="79"/>
  <c r="G236" i="79"/>
  <c r="K235" i="79"/>
  <c r="J235" i="79"/>
  <c r="I235" i="79"/>
  <c r="H235" i="79"/>
  <c r="G235" i="79"/>
  <c r="K234" i="79"/>
  <c r="J234" i="79"/>
  <c r="I234" i="79"/>
  <c r="H234" i="79"/>
  <c r="G234" i="79"/>
  <c r="K233" i="79"/>
  <c r="J233" i="79"/>
  <c r="I233" i="79"/>
  <c r="H233" i="79"/>
  <c r="G233" i="79"/>
  <c r="K232" i="79"/>
  <c r="J232" i="79"/>
  <c r="I232" i="79"/>
  <c r="H232" i="79"/>
  <c r="G232" i="79"/>
  <c r="K231" i="79"/>
  <c r="J231" i="79"/>
  <c r="I231" i="79"/>
  <c r="H231" i="79"/>
  <c r="G231" i="79"/>
  <c r="K230" i="79"/>
  <c r="J230" i="79"/>
  <c r="I230" i="79"/>
  <c r="H230" i="79"/>
  <c r="G230" i="79"/>
  <c r="K229" i="79"/>
  <c r="J229" i="79"/>
  <c r="I229" i="79"/>
  <c r="H229" i="79"/>
  <c r="G229" i="79"/>
  <c r="K228" i="79"/>
  <c r="J228" i="79"/>
  <c r="I228" i="79"/>
  <c r="H228" i="79"/>
  <c r="G228" i="79"/>
  <c r="K227" i="79"/>
  <c r="J227" i="79"/>
  <c r="I227" i="79"/>
  <c r="H227" i="79"/>
  <c r="G227" i="79"/>
  <c r="K226" i="79"/>
  <c r="J226" i="79"/>
  <c r="I226" i="79"/>
  <c r="H226" i="79"/>
  <c r="G226" i="79"/>
  <c r="K225" i="79"/>
  <c r="J225" i="79"/>
  <c r="I225" i="79"/>
  <c r="H225" i="79"/>
  <c r="G225" i="79"/>
  <c r="K224" i="79"/>
  <c r="J224" i="79"/>
  <c r="I224" i="79"/>
  <c r="H224" i="79"/>
  <c r="G224" i="79"/>
  <c r="K223" i="79"/>
  <c r="J223" i="79"/>
  <c r="I223" i="79"/>
  <c r="H223" i="79"/>
  <c r="G223" i="79"/>
  <c r="K222" i="79"/>
  <c r="J222" i="79"/>
  <c r="I222" i="79"/>
  <c r="H222" i="79"/>
  <c r="G222" i="79"/>
  <c r="K221" i="79"/>
  <c r="J221" i="79"/>
  <c r="I221" i="79"/>
  <c r="H221" i="79"/>
  <c r="G221" i="79"/>
  <c r="K220" i="79"/>
  <c r="J220" i="79"/>
  <c r="I220" i="79"/>
  <c r="H220" i="79"/>
  <c r="G220" i="79"/>
  <c r="K219" i="79"/>
  <c r="J219" i="79"/>
  <c r="I219" i="79"/>
  <c r="H219" i="79"/>
  <c r="G219" i="79"/>
  <c r="K218" i="79"/>
  <c r="J218" i="79"/>
  <c r="I218" i="79"/>
  <c r="H218" i="79"/>
  <c r="G218" i="79"/>
  <c r="K217" i="79"/>
  <c r="J217" i="79"/>
  <c r="I217" i="79"/>
  <c r="H217" i="79"/>
  <c r="G217" i="79"/>
  <c r="K199" i="79"/>
  <c r="J199" i="79"/>
  <c r="I199" i="79"/>
  <c r="H199" i="79"/>
  <c r="G199" i="79"/>
  <c r="K198" i="79"/>
  <c r="J198" i="79"/>
  <c r="I198" i="79"/>
  <c r="H198" i="79"/>
  <c r="G198" i="79"/>
  <c r="K197" i="79"/>
  <c r="J197" i="79"/>
  <c r="I197" i="79"/>
  <c r="H197" i="79"/>
  <c r="G197" i="79"/>
  <c r="K196" i="79"/>
  <c r="J196" i="79"/>
  <c r="I196" i="79"/>
  <c r="H196" i="79"/>
  <c r="G196" i="79"/>
  <c r="K195" i="79"/>
  <c r="J195" i="79"/>
  <c r="I195" i="79"/>
  <c r="H195" i="79"/>
  <c r="G195" i="79"/>
  <c r="K194" i="79"/>
  <c r="J194" i="79"/>
  <c r="I194" i="79"/>
  <c r="H194" i="79"/>
  <c r="G194" i="79"/>
  <c r="K193" i="79"/>
  <c r="J193" i="79"/>
  <c r="I193" i="79"/>
  <c r="H193" i="79"/>
  <c r="G193" i="79"/>
  <c r="K192" i="79"/>
  <c r="J192" i="79"/>
  <c r="I192" i="79"/>
  <c r="H192" i="79"/>
  <c r="G192" i="79"/>
  <c r="K191" i="79"/>
  <c r="J191" i="79"/>
  <c r="I191" i="79"/>
  <c r="H191" i="79"/>
  <c r="G191" i="79"/>
  <c r="K190" i="79"/>
  <c r="J190" i="79"/>
  <c r="I190" i="79"/>
  <c r="H190" i="79"/>
  <c r="G190" i="79"/>
  <c r="K189" i="79"/>
  <c r="J189" i="79"/>
  <c r="I189" i="79"/>
  <c r="H189" i="79"/>
  <c r="G189" i="79"/>
  <c r="K188" i="79"/>
  <c r="J188" i="79"/>
  <c r="I188" i="79"/>
  <c r="H188" i="79"/>
  <c r="G188" i="79"/>
  <c r="K187" i="79"/>
  <c r="J187" i="79"/>
  <c r="I187" i="79"/>
  <c r="H187" i="79"/>
  <c r="G187" i="79"/>
  <c r="K186" i="79"/>
  <c r="J186" i="79"/>
  <c r="I186" i="79"/>
  <c r="H186" i="79"/>
  <c r="G186" i="79"/>
  <c r="K185" i="79"/>
  <c r="J185" i="79"/>
  <c r="I185" i="79"/>
  <c r="H185" i="79"/>
  <c r="G185" i="79"/>
  <c r="K184" i="79"/>
  <c r="J184" i="79"/>
  <c r="I184" i="79"/>
  <c r="H184" i="79"/>
  <c r="G184" i="79"/>
  <c r="K183" i="79"/>
  <c r="J183" i="79"/>
  <c r="I183" i="79"/>
  <c r="H183" i="79"/>
  <c r="G183" i="79"/>
  <c r="K182" i="79"/>
  <c r="J182" i="79"/>
  <c r="I182" i="79"/>
  <c r="H182" i="79"/>
  <c r="G182" i="79"/>
  <c r="K181" i="79"/>
  <c r="J181" i="79"/>
  <c r="I181" i="79"/>
  <c r="H181" i="79"/>
  <c r="G181" i="79"/>
  <c r="K180" i="79"/>
  <c r="J180" i="79"/>
  <c r="I180" i="79"/>
  <c r="H180" i="79"/>
  <c r="G180" i="79"/>
  <c r="K179" i="79"/>
  <c r="J179" i="79"/>
  <c r="I179" i="79"/>
  <c r="H179" i="79"/>
  <c r="G179" i="79"/>
  <c r="K178" i="79"/>
  <c r="J178" i="79"/>
  <c r="I178" i="79"/>
  <c r="H178" i="79"/>
  <c r="G178" i="79"/>
  <c r="K177" i="79"/>
  <c r="J177" i="79"/>
  <c r="I177" i="79"/>
  <c r="H177" i="79"/>
  <c r="G177" i="79"/>
  <c r="K176" i="79"/>
  <c r="J176" i="79"/>
  <c r="I176" i="79"/>
  <c r="H176" i="79"/>
  <c r="G176" i="79"/>
  <c r="K175" i="79"/>
  <c r="J175" i="79"/>
  <c r="I175" i="79"/>
  <c r="H175" i="79"/>
  <c r="G175" i="79"/>
  <c r="K174" i="79"/>
  <c r="J174" i="79"/>
  <c r="I174" i="79"/>
  <c r="H174" i="79"/>
  <c r="G174" i="79"/>
  <c r="K173" i="79"/>
  <c r="J173" i="79"/>
  <c r="I173" i="79"/>
  <c r="H173" i="79"/>
  <c r="G173" i="79"/>
  <c r="K172" i="79"/>
  <c r="J172" i="79"/>
  <c r="I172" i="79"/>
  <c r="H172" i="79"/>
  <c r="G172" i="79"/>
  <c r="K171" i="79"/>
  <c r="J171" i="79"/>
  <c r="I171" i="79"/>
  <c r="H171" i="79"/>
  <c r="G171" i="79"/>
  <c r="K170" i="79"/>
  <c r="J170" i="79"/>
  <c r="I170" i="79"/>
  <c r="H170" i="79"/>
  <c r="G170" i="79"/>
  <c r="K169" i="79"/>
  <c r="J169" i="79"/>
  <c r="I169" i="79"/>
  <c r="H169" i="79"/>
  <c r="G169" i="79"/>
  <c r="K168" i="79"/>
  <c r="J168" i="79"/>
  <c r="I168" i="79"/>
  <c r="H168" i="79"/>
  <c r="G168" i="79"/>
  <c r="K167" i="79"/>
  <c r="J167" i="79"/>
  <c r="I167" i="79"/>
  <c r="H167" i="79"/>
  <c r="G167" i="79"/>
  <c r="K166" i="79"/>
  <c r="J166" i="79"/>
  <c r="I166" i="79"/>
  <c r="H166" i="79"/>
  <c r="G166" i="79"/>
  <c r="K165" i="79"/>
  <c r="J165" i="79"/>
  <c r="I165" i="79"/>
  <c r="H165" i="79"/>
  <c r="G165" i="79"/>
  <c r="K164" i="79"/>
  <c r="J164" i="79"/>
  <c r="I164" i="79"/>
  <c r="H164" i="79"/>
  <c r="G164" i="79"/>
  <c r="K163" i="79"/>
  <c r="J163" i="79"/>
  <c r="I163" i="79"/>
  <c r="H163" i="79"/>
  <c r="G163" i="79"/>
  <c r="K162" i="79"/>
  <c r="J162" i="79"/>
  <c r="I162" i="79"/>
  <c r="H162" i="79"/>
  <c r="G162" i="79"/>
  <c r="K161" i="79"/>
  <c r="J161" i="79"/>
  <c r="I161" i="79"/>
  <c r="H161" i="79"/>
  <c r="G161" i="79"/>
  <c r="K160" i="79"/>
  <c r="J160" i="79"/>
  <c r="I160" i="79"/>
  <c r="H160" i="79"/>
  <c r="G160" i="79"/>
  <c r="K159" i="79"/>
  <c r="J159" i="79"/>
  <c r="I159" i="79"/>
  <c r="H159" i="79"/>
  <c r="G159" i="79"/>
  <c r="K158" i="79"/>
  <c r="J158" i="79"/>
  <c r="I158" i="79"/>
  <c r="H158" i="79"/>
  <c r="G158" i="79"/>
  <c r="K157" i="79"/>
  <c r="J157" i="79"/>
  <c r="I157" i="79"/>
  <c r="H157" i="79"/>
  <c r="G157" i="79"/>
  <c r="K156" i="79"/>
  <c r="J156" i="79"/>
  <c r="I156" i="79"/>
  <c r="H156" i="79"/>
  <c r="G156" i="79"/>
  <c r="K155" i="79"/>
  <c r="J155" i="79"/>
  <c r="I155" i="79"/>
  <c r="H155" i="79"/>
  <c r="G155" i="79"/>
  <c r="K154" i="79"/>
  <c r="J154" i="79"/>
  <c r="I154" i="79"/>
  <c r="H154" i="79"/>
  <c r="G154" i="79"/>
  <c r="K153" i="79"/>
  <c r="J153" i="79"/>
  <c r="I153" i="79"/>
  <c r="H153" i="79"/>
  <c r="G153" i="79"/>
  <c r="K152" i="79"/>
  <c r="J152" i="79"/>
  <c r="I152" i="79"/>
  <c r="H152" i="79"/>
  <c r="G152" i="79"/>
  <c r="K151" i="79"/>
  <c r="J151" i="79"/>
  <c r="I151" i="79"/>
  <c r="H151" i="79"/>
  <c r="G151" i="79"/>
  <c r="K150" i="79"/>
  <c r="J150" i="79"/>
  <c r="I150" i="79"/>
  <c r="H150" i="79"/>
  <c r="G150" i="79"/>
  <c r="K149" i="79"/>
  <c r="J149" i="79"/>
  <c r="I149" i="79"/>
  <c r="H149" i="79"/>
  <c r="G149" i="79"/>
  <c r="K148" i="79"/>
  <c r="J148" i="79"/>
  <c r="I148" i="79"/>
  <c r="H148" i="79"/>
  <c r="G148" i="79"/>
  <c r="K147" i="79"/>
  <c r="J147" i="79"/>
  <c r="I147" i="79"/>
  <c r="H147" i="79"/>
  <c r="G147" i="79"/>
  <c r="K146" i="79"/>
  <c r="J146" i="79"/>
  <c r="I146" i="79"/>
  <c r="H146" i="79"/>
  <c r="G146" i="79"/>
  <c r="K145" i="79"/>
  <c r="J145" i="79"/>
  <c r="I145" i="79"/>
  <c r="H145" i="79"/>
  <c r="G145" i="79"/>
  <c r="K144" i="79"/>
  <c r="J144" i="79"/>
  <c r="I144" i="79"/>
  <c r="H144" i="79"/>
  <c r="G144" i="79"/>
  <c r="K143" i="79"/>
  <c r="J143" i="79"/>
  <c r="I143" i="79"/>
  <c r="H143" i="79"/>
  <c r="G143" i="79"/>
  <c r="K142" i="79"/>
  <c r="J142" i="79"/>
  <c r="I142" i="79"/>
  <c r="H142" i="79"/>
  <c r="G142" i="79"/>
  <c r="K141" i="79"/>
  <c r="J141" i="79"/>
  <c r="I141" i="79"/>
  <c r="H141" i="79"/>
  <c r="G141" i="79"/>
  <c r="K140" i="79"/>
  <c r="J140" i="79"/>
  <c r="I140" i="79"/>
  <c r="H140" i="79"/>
  <c r="G140" i="79"/>
  <c r="K139" i="79"/>
  <c r="J139" i="79"/>
  <c r="I139" i="79"/>
  <c r="H139" i="79"/>
  <c r="G139" i="79"/>
  <c r="K138" i="79"/>
  <c r="J138" i="79"/>
  <c r="I138" i="79"/>
  <c r="H138" i="79"/>
  <c r="G138" i="79"/>
  <c r="K137" i="79"/>
  <c r="J137" i="79"/>
  <c r="I137" i="79"/>
  <c r="H137" i="79"/>
  <c r="G137" i="79"/>
  <c r="K136" i="79"/>
  <c r="J136" i="79"/>
  <c r="I136" i="79"/>
  <c r="H136" i="79"/>
  <c r="G136" i="79"/>
  <c r="K135" i="79"/>
  <c r="J135" i="79"/>
  <c r="I135" i="79"/>
  <c r="H135" i="79"/>
  <c r="G135" i="79"/>
  <c r="K134" i="79"/>
  <c r="J134" i="79"/>
  <c r="I134" i="79"/>
  <c r="H134" i="79"/>
  <c r="G134" i="79"/>
  <c r="K133" i="79"/>
  <c r="J133" i="79"/>
  <c r="I133" i="79"/>
  <c r="H133" i="79"/>
  <c r="G133" i="79"/>
  <c r="K132" i="79"/>
  <c r="J132" i="79"/>
  <c r="I132" i="79"/>
  <c r="H132" i="79"/>
  <c r="G132" i="79"/>
  <c r="K131" i="79"/>
  <c r="J131" i="79"/>
  <c r="I131" i="79"/>
  <c r="H131" i="79"/>
  <c r="G131" i="79"/>
  <c r="K130" i="79"/>
  <c r="J130" i="79"/>
  <c r="I130" i="79"/>
  <c r="H130" i="79"/>
  <c r="G130" i="79"/>
  <c r="K129" i="79"/>
  <c r="J129" i="79"/>
  <c r="I129" i="79"/>
  <c r="H129" i="79"/>
  <c r="G129" i="79"/>
  <c r="K128" i="79"/>
  <c r="J128" i="79"/>
  <c r="I128" i="79"/>
  <c r="H128" i="79"/>
  <c r="G128" i="79"/>
  <c r="K127" i="79"/>
  <c r="J127" i="79"/>
  <c r="I127" i="79"/>
  <c r="H127" i="79"/>
  <c r="G127" i="79"/>
  <c r="K126" i="79"/>
  <c r="J126" i="79"/>
  <c r="I126" i="79"/>
  <c r="H126" i="79"/>
  <c r="G126" i="79"/>
  <c r="K125" i="79"/>
  <c r="J125" i="79"/>
  <c r="I125" i="79"/>
  <c r="H125" i="79"/>
  <c r="G125" i="79"/>
  <c r="K124" i="79"/>
  <c r="J124" i="79"/>
  <c r="I124" i="79"/>
  <c r="H124" i="79"/>
  <c r="G124" i="79"/>
  <c r="K123" i="79"/>
  <c r="J123" i="79"/>
  <c r="I123" i="79"/>
  <c r="H123" i="79"/>
  <c r="G123" i="79"/>
  <c r="K122" i="79"/>
  <c r="J122" i="79"/>
  <c r="I122" i="79"/>
  <c r="H122" i="79"/>
  <c r="G122" i="79"/>
  <c r="K121" i="79"/>
  <c r="J121" i="79"/>
  <c r="I121" i="79"/>
  <c r="H121" i="79"/>
  <c r="G121" i="79"/>
  <c r="K120" i="79"/>
  <c r="J120" i="79"/>
  <c r="I120" i="79"/>
  <c r="H120" i="79"/>
  <c r="G120" i="79"/>
  <c r="K119" i="79"/>
  <c r="J119" i="79"/>
  <c r="I119" i="79"/>
  <c r="H119" i="79"/>
  <c r="G119" i="79"/>
  <c r="K118" i="79"/>
  <c r="J118" i="79"/>
  <c r="I118" i="79"/>
  <c r="H118" i="79"/>
  <c r="G118" i="79"/>
  <c r="K117" i="79"/>
  <c r="J117" i="79"/>
  <c r="I117" i="79"/>
  <c r="H117" i="79"/>
  <c r="G117" i="79"/>
  <c r="K116" i="79"/>
  <c r="J116" i="79"/>
  <c r="I116" i="79"/>
  <c r="H116" i="79"/>
  <c r="G116" i="79"/>
  <c r="K115" i="79"/>
  <c r="J115" i="79"/>
  <c r="I115" i="79"/>
  <c r="H115" i="79"/>
  <c r="G115" i="79"/>
  <c r="K114" i="79"/>
  <c r="J114" i="79"/>
  <c r="I114" i="79"/>
  <c r="H114" i="79"/>
  <c r="G114" i="79"/>
  <c r="K113" i="79"/>
  <c r="J113" i="79"/>
  <c r="I113" i="79"/>
  <c r="H113" i="79"/>
  <c r="G113" i="79"/>
  <c r="K112" i="79"/>
  <c r="J112" i="79"/>
  <c r="I112" i="79"/>
  <c r="H112" i="79"/>
  <c r="G112" i="79"/>
  <c r="K111" i="79"/>
  <c r="J111" i="79"/>
  <c r="I111" i="79"/>
  <c r="H111" i="79"/>
  <c r="G111" i="79"/>
  <c r="K110" i="79"/>
  <c r="J110" i="79"/>
  <c r="I110" i="79"/>
  <c r="H110" i="79"/>
  <c r="G110" i="79"/>
  <c r="K109" i="79"/>
  <c r="J109" i="79"/>
  <c r="I109" i="79"/>
  <c r="H109" i="79"/>
  <c r="G109" i="79"/>
  <c r="K108" i="79"/>
  <c r="J108" i="79"/>
  <c r="I108" i="79"/>
  <c r="H108" i="79"/>
  <c r="G108" i="79"/>
  <c r="K107" i="79"/>
  <c r="J107" i="79"/>
  <c r="I107" i="79"/>
  <c r="H107" i="79"/>
  <c r="G107" i="79"/>
  <c r="K106" i="79"/>
  <c r="J106" i="79"/>
  <c r="I106" i="79"/>
  <c r="H106" i="79"/>
  <c r="G106" i="79"/>
  <c r="K105" i="79"/>
  <c r="J105" i="79"/>
  <c r="I105" i="79"/>
  <c r="H105" i="79"/>
  <c r="G105" i="79"/>
  <c r="K104" i="79"/>
  <c r="J104" i="79"/>
  <c r="I104" i="79"/>
  <c r="H104" i="79"/>
  <c r="G104" i="79"/>
  <c r="K103" i="79"/>
  <c r="J103" i="79"/>
  <c r="I103" i="79"/>
  <c r="H103" i="79"/>
  <c r="G103" i="79"/>
  <c r="K102" i="79"/>
  <c r="J102" i="79"/>
  <c r="I102" i="79"/>
  <c r="H102" i="79"/>
  <c r="G102" i="79"/>
  <c r="K101" i="79"/>
  <c r="J101" i="79"/>
  <c r="I101" i="79"/>
  <c r="H101" i="79"/>
  <c r="G101" i="79"/>
  <c r="K100" i="79"/>
  <c r="J100" i="79"/>
  <c r="I100" i="79"/>
  <c r="H100" i="79"/>
  <c r="G100" i="79"/>
  <c r="K99" i="79"/>
  <c r="J99" i="79"/>
  <c r="I99" i="79"/>
  <c r="H99" i="79"/>
  <c r="G99" i="79"/>
  <c r="K98" i="79"/>
  <c r="J98" i="79"/>
  <c r="I98" i="79"/>
  <c r="H98" i="79"/>
  <c r="G98" i="79"/>
  <c r="K97" i="79"/>
  <c r="J97" i="79"/>
  <c r="I97" i="79"/>
  <c r="H97" i="79"/>
  <c r="G97" i="79"/>
  <c r="K96" i="79"/>
  <c r="J96" i="79"/>
  <c r="I96" i="79"/>
  <c r="H96" i="79"/>
  <c r="G96" i="79"/>
  <c r="K95" i="79"/>
  <c r="J95" i="79"/>
  <c r="I95" i="79"/>
  <c r="H95" i="79"/>
  <c r="G95" i="79"/>
  <c r="K94" i="79"/>
  <c r="J94" i="79"/>
  <c r="I94" i="79"/>
  <c r="H94" i="79"/>
  <c r="G94" i="79"/>
  <c r="K93" i="79"/>
  <c r="J93" i="79"/>
  <c r="I93" i="79"/>
  <c r="H93" i="79"/>
  <c r="G93" i="79"/>
  <c r="K92" i="79"/>
  <c r="J92" i="79"/>
  <c r="I92" i="79"/>
  <c r="H92" i="79"/>
  <c r="G92" i="79"/>
  <c r="K91" i="79"/>
  <c r="J91" i="79"/>
  <c r="I91" i="79"/>
  <c r="H91" i="79"/>
  <c r="G91" i="79"/>
  <c r="K90" i="79"/>
  <c r="J90" i="79"/>
  <c r="I90" i="79"/>
  <c r="H90" i="79"/>
  <c r="G90" i="79"/>
  <c r="K89" i="79"/>
  <c r="J89" i="79"/>
  <c r="I89" i="79"/>
  <c r="H89" i="79"/>
  <c r="G89" i="79"/>
  <c r="K88" i="79"/>
  <c r="J88" i="79"/>
  <c r="I88" i="79"/>
  <c r="H88" i="79"/>
  <c r="G88" i="79"/>
  <c r="K87" i="79"/>
  <c r="J87" i="79"/>
  <c r="I87" i="79"/>
  <c r="H87" i="79"/>
  <c r="G87" i="79"/>
  <c r="K86" i="79"/>
  <c r="J86" i="79"/>
  <c r="I86" i="79"/>
  <c r="H86" i="79"/>
  <c r="G86" i="79"/>
  <c r="K85" i="79"/>
  <c r="J85" i="79"/>
  <c r="I85" i="79"/>
  <c r="H85" i="79"/>
  <c r="G85" i="79"/>
  <c r="K84" i="79"/>
  <c r="J84" i="79"/>
  <c r="I84" i="79"/>
  <c r="H84" i="79"/>
  <c r="G84" i="79"/>
  <c r="K83" i="79"/>
  <c r="J83" i="79"/>
  <c r="I83" i="79"/>
  <c r="H83" i="79"/>
  <c r="G83" i="79"/>
  <c r="K82" i="79"/>
  <c r="J82" i="79"/>
  <c r="I82" i="79"/>
  <c r="H82" i="79"/>
  <c r="G82" i="79"/>
  <c r="K81" i="79"/>
  <c r="J81" i="79"/>
  <c r="I81" i="79"/>
  <c r="H81" i="79"/>
  <c r="G81" i="79"/>
  <c r="K80" i="79"/>
  <c r="J80" i="79"/>
  <c r="I80" i="79"/>
  <c r="H80" i="79"/>
  <c r="G80" i="79"/>
  <c r="K79" i="79"/>
  <c r="J79" i="79"/>
  <c r="I79" i="79"/>
  <c r="H79" i="79"/>
  <c r="G79" i="79"/>
  <c r="K78" i="79"/>
  <c r="J78" i="79"/>
  <c r="I78" i="79"/>
  <c r="H78" i="79"/>
  <c r="G78" i="79"/>
  <c r="K77" i="79"/>
  <c r="J77" i="79"/>
  <c r="I77" i="79"/>
  <c r="H77" i="79"/>
  <c r="G77" i="79"/>
  <c r="K76" i="79"/>
  <c r="J76" i="79"/>
  <c r="I76" i="79"/>
  <c r="H76" i="79"/>
  <c r="G76" i="79"/>
  <c r="K75" i="79"/>
  <c r="J75" i="79"/>
  <c r="I75" i="79"/>
  <c r="H75" i="79"/>
  <c r="G75" i="79"/>
  <c r="K74" i="79"/>
  <c r="J74" i="79"/>
  <c r="I74" i="79"/>
  <c r="H74" i="79"/>
  <c r="G74" i="79"/>
  <c r="K73" i="79"/>
  <c r="J73" i="79"/>
  <c r="I73" i="79"/>
  <c r="H73" i="79"/>
  <c r="G73" i="79"/>
  <c r="K72" i="79"/>
  <c r="J72" i="79"/>
  <c r="I72" i="79"/>
  <c r="H72" i="79"/>
  <c r="G72" i="79"/>
  <c r="K71" i="79"/>
  <c r="J71" i="79"/>
  <c r="I71" i="79"/>
  <c r="H71" i="79"/>
  <c r="G71" i="79"/>
  <c r="K70" i="79"/>
  <c r="J70" i="79"/>
  <c r="I70" i="79"/>
  <c r="H70" i="79"/>
  <c r="G70" i="79"/>
  <c r="K69" i="79"/>
  <c r="J69" i="79"/>
  <c r="I69" i="79"/>
  <c r="H69" i="79"/>
  <c r="G69" i="79"/>
  <c r="K68" i="79"/>
  <c r="J68" i="79"/>
  <c r="I68" i="79"/>
  <c r="H68" i="79"/>
  <c r="G68" i="79"/>
  <c r="K67" i="79"/>
  <c r="J67" i="79"/>
  <c r="I67" i="79"/>
  <c r="H67" i="79"/>
  <c r="G67" i="79"/>
  <c r="K66" i="79"/>
  <c r="J66" i="79"/>
  <c r="I66" i="79"/>
  <c r="H66" i="79"/>
  <c r="G66" i="79"/>
  <c r="K65" i="79"/>
  <c r="J65" i="79"/>
  <c r="I65" i="79"/>
  <c r="H65" i="79"/>
  <c r="G65" i="79"/>
  <c r="K64" i="79"/>
  <c r="J64" i="79"/>
  <c r="I64" i="79"/>
  <c r="H64" i="79"/>
  <c r="G64" i="79"/>
  <c r="K63" i="79"/>
  <c r="J63" i="79"/>
  <c r="I63" i="79"/>
  <c r="H63" i="79"/>
  <c r="G63" i="79"/>
  <c r="K62" i="79"/>
  <c r="J62" i="79"/>
  <c r="I62" i="79"/>
  <c r="H62" i="79"/>
  <c r="G62" i="79"/>
  <c r="K61" i="79"/>
  <c r="J61" i="79"/>
  <c r="I61" i="79"/>
  <c r="H61" i="79"/>
  <c r="G61" i="79"/>
  <c r="K60" i="79"/>
  <c r="J60" i="79"/>
  <c r="I60" i="79"/>
  <c r="H60" i="79"/>
  <c r="G60" i="79"/>
  <c r="K59" i="79"/>
  <c r="J59" i="79"/>
  <c r="I59" i="79"/>
  <c r="H59" i="79"/>
  <c r="G59" i="79"/>
  <c r="K58" i="79"/>
  <c r="J58" i="79"/>
  <c r="I58" i="79"/>
  <c r="H58" i="79"/>
  <c r="G58" i="79"/>
  <c r="K57" i="79"/>
  <c r="J57" i="79"/>
  <c r="I57" i="79"/>
  <c r="H57" i="79"/>
  <c r="G57" i="79"/>
  <c r="K56" i="79"/>
  <c r="J56" i="79"/>
  <c r="I56" i="79"/>
  <c r="H56" i="79"/>
  <c r="G56" i="79"/>
  <c r="K55" i="79"/>
  <c r="J55" i="79"/>
  <c r="I55" i="79"/>
  <c r="H55" i="79"/>
  <c r="G55" i="79"/>
  <c r="K54" i="79"/>
  <c r="J54" i="79"/>
  <c r="I54" i="79"/>
  <c r="H54" i="79"/>
  <c r="G54" i="79"/>
  <c r="K53" i="79"/>
  <c r="J53" i="79"/>
  <c r="I53" i="79"/>
  <c r="H53" i="79"/>
  <c r="G53" i="79"/>
  <c r="K52" i="79"/>
  <c r="J52" i="79"/>
  <c r="I52" i="79"/>
  <c r="H52" i="79"/>
  <c r="G52" i="79"/>
  <c r="K51" i="79"/>
  <c r="J51" i="79"/>
  <c r="I51" i="79"/>
  <c r="H51" i="79"/>
  <c r="G51" i="79"/>
  <c r="K50" i="79"/>
  <c r="J50" i="79"/>
  <c r="I50" i="79"/>
  <c r="H50" i="79"/>
  <c r="G50" i="79"/>
  <c r="K49" i="79"/>
  <c r="J49" i="79"/>
  <c r="I49" i="79"/>
  <c r="H49" i="79"/>
  <c r="G49" i="79"/>
  <c r="K48" i="79"/>
  <c r="J48" i="79"/>
  <c r="I48" i="79"/>
  <c r="H48" i="79"/>
  <c r="G48" i="79"/>
  <c r="K47" i="79"/>
  <c r="J47" i="79"/>
  <c r="I47" i="79"/>
  <c r="H47" i="79"/>
  <c r="G47" i="79"/>
  <c r="K46" i="79"/>
  <c r="J46" i="79"/>
  <c r="I46" i="79"/>
  <c r="H46" i="79"/>
  <c r="G46" i="79"/>
  <c r="K45" i="79"/>
  <c r="J45" i="79"/>
  <c r="I45" i="79"/>
  <c r="H45" i="79"/>
  <c r="G45" i="79"/>
  <c r="K44" i="79"/>
  <c r="J44" i="79"/>
  <c r="I44" i="79"/>
  <c r="H44" i="79"/>
  <c r="G44" i="79"/>
  <c r="K43" i="79"/>
  <c r="J43" i="79"/>
  <c r="I43" i="79"/>
  <c r="H43" i="79"/>
  <c r="G43" i="79"/>
  <c r="K42" i="79"/>
  <c r="J42" i="79"/>
  <c r="I42" i="79"/>
  <c r="H42" i="79"/>
  <c r="G42" i="79"/>
  <c r="K41" i="79"/>
  <c r="J41" i="79"/>
  <c r="I41" i="79"/>
  <c r="H41" i="79"/>
  <c r="G41" i="79"/>
  <c r="K40" i="79"/>
  <c r="J40" i="79"/>
  <c r="I40" i="79"/>
  <c r="H40" i="79"/>
  <c r="G40" i="79"/>
  <c r="K39" i="79"/>
  <c r="J39" i="79"/>
  <c r="I39" i="79"/>
  <c r="H39" i="79"/>
  <c r="G39" i="79"/>
  <c r="K38" i="79"/>
  <c r="J38" i="79"/>
  <c r="I38" i="79"/>
  <c r="H38" i="79"/>
  <c r="G38" i="79"/>
  <c r="K37" i="79"/>
  <c r="J37" i="79"/>
  <c r="I37" i="79"/>
  <c r="H37" i="79"/>
  <c r="G37" i="79"/>
  <c r="K36" i="79"/>
  <c r="J36" i="79"/>
  <c r="I36" i="79"/>
  <c r="H36" i="79"/>
  <c r="G36" i="79"/>
  <c r="K35" i="79"/>
  <c r="J35" i="79"/>
  <c r="I35" i="79"/>
  <c r="H35" i="79"/>
  <c r="G35" i="79"/>
  <c r="K34" i="79"/>
  <c r="J34" i="79"/>
  <c r="I34" i="79"/>
  <c r="H34" i="79"/>
  <c r="G34" i="79"/>
  <c r="K33" i="79"/>
  <c r="J33" i="79"/>
  <c r="I33" i="79"/>
  <c r="H33" i="79"/>
  <c r="G33" i="79"/>
  <c r="K32" i="79"/>
  <c r="J32" i="79"/>
  <c r="I32" i="79"/>
  <c r="H32" i="79"/>
  <c r="G32" i="79"/>
  <c r="K31" i="79"/>
  <c r="J31" i="79"/>
  <c r="I31" i="79"/>
  <c r="H31" i="79"/>
  <c r="G31" i="79"/>
  <c r="K30" i="79"/>
  <c r="J30" i="79"/>
  <c r="I30" i="79"/>
  <c r="H30" i="79"/>
  <c r="G30" i="79"/>
  <c r="K12" i="79"/>
  <c r="J12" i="79"/>
  <c r="I12" i="79"/>
  <c r="H12" i="79"/>
  <c r="G12" i="79"/>
  <c r="K11" i="79"/>
  <c r="J11" i="79"/>
  <c r="I11" i="79"/>
  <c r="H11" i="79"/>
  <c r="G11" i="79"/>
  <c r="K10" i="79"/>
  <c r="J10" i="79"/>
  <c r="I10" i="79"/>
  <c r="H10" i="79"/>
  <c r="G10" i="79"/>
  <c r="K9" i="79"/>
  <c r="J9" i="79"/>
  <c r="I9" i="79"/>
  <c r="H9" i="79"/>
  <c r="G9" i="79"/>
  <c r="K8" i="79"/>
  <c r="J8" i="79"/>
  <c r="I8" i="79"/>
  <c r="H8" i="79"/>
  <c r="G8" i="79"/>
  <c r="K7" i="79"/>
  <c r="J7" i="79"/>
  <c r="I7" i="79"/>
  <c r="H7" i="79"/>
  <c r="G7" i="79"/>
  <c r="K6" i="79"/>
  <c r="J6" i="79"/>
  <c r="I6" i="79"/>
  <c r="H6" i="79"/>
  <c r="G6" i="79"/>
  <c r="K5" i="79"/>
  <c r="J5" i="79"/>
  <c r="I5" i="79"/>
  <c r="H5" i="79"/>
  <c r="G5" i="79"/>
  <c r="E2" i="79" a="1"/>
  <c r="E2" i="79" s="1"/>
  <c r="K4" i="79"/>
  <c r="J4" i="79"/>
  <c r="I4" i="79"/>
  <c r="H4" i="79"/>
  <c r="G4" i="79"/>
  <c r="E37" i="79" a="1"/>
  <c r="E37" i="79"/>
  <c r="E38" i="79" a="1"/>
  <c r="E38" i="79"/>
  <c r="E39" i="79" a="1"/>
  <c r="E39" i="79"/>
  <c r="E40" i="79" a="1"/>
  <c r="E40" i="79"/>
  <c r="E41" i="79" a="1"/>
  <c r="E41" i="79"/>
  <c r="E42" i="79" a="1"/>
  <c r="E42" i="79"/>
  <c r="E43" i="79" a="1"/>
  <c r="E43" i="79"/>
  <c r="E44" i="79" a="1"/>
  <c r="E44" i="79"/>
  <c r="E45" i="79" a="1"/>
  <c r="E45" i="79"/>
  <c r="E46" i="79" a="1"/>
  <c r="E46" i="79"/>
  <c r="E47" i="79" a="1"/>
  <c r="E47" i="79"/>
  <c r="E48" i="79" a="1"/>
  <c r="E48" i="79"/>
  <c r="E49" i="79" a="1"/>
  <c r="E49" i="79"/>
  <c r="E50" i="79" a="1"/>
  <c r="E50" i="79"/>
  <c r="E51" i="79" a="1"/>
  <c r="E51" i="79"/>
  <c r="E52" i="79" a="1"/>
  <c r="E52" i="79"/>
  <c r="E53" i="79" a="1"/>
  <c r="E53" i="79"/>
  <c r="E54" i="79" a="1"/>
  <c r="E54" i="79"/>
  <c r="E55" i="79" a="1"/>
  <c r="E55" i="79"/>
  <c r="E56" i="79" a="1"/>
  <c r="E56" i="79"/>
  <c r="E57" i="79" a="1"/>
  <c r="E57" i="79"/>
  <c r="E58" i="79" a="1"/>
  <c r="E58" i="79"/>
  <c r="E59" i="79" a="1"/>
  <c r="E59" i="79"/>
  <c r="E60" i="79" a="1"/>
  <c r="E60" i="79"/>
  <c r="E61" i="79" a="1"/>
  <c r="E61" i="79"/>
  <c r="E62" i="79" a="1"/>
  <c r="E62" i="79"/>
  <c r="E63" i="79" a="1"/>
  <c r="E63" i="79"/>
  <c r="E64" i="79" a="1"/>
  <c r="E64" i="79"/>
  <c r="E65" i="79" a="1"/>
  <c r="E65" i="79"/>
  <c r="E66" i="79" a="1"/>
  <c r="E66" i="79"/>
  <c r="E67" i="79" a="1"/>
  <c r="E67" i="79"/>
  <c r="E68" i="79" a="1"/>
  <c r="E68" i="79"/>
  <c r="E69" i="79" a="1"/>
  <c r="E69" i="79"/>
  <c r="E70" i="79" a="1"/>
  <c r="E70" i="79"/>
  <c r="E71" i="79" a="1"/>
  <c r="E71" i="79"/>
  <c r="E72" i="79" a="1"/>
  <c r="E72" i="79"/>
  <c r="E73" i="79" a="1"/>
  <c r="E73" i="79"/>
  <c r="E74" i="79" a="1"/>
  <c r="E74" i="79"/>
  <c r="E75" i="79" a="1"/>
  <c r="E75" i="79"/>
  <c r="E76" i="79" a="1"/>
  <c r="E76" i="79"/>
  <c r="E77" i="79" a="1"/>
  <c r="E77" i="79"/>
  <c r="E78" i="79" a="1"/>
  <c r="E78" i="79"/>
  <c r="E79" i="79" a="1"/>
  <c r="E79" i="79"/>
  <c r="E80" i="79" a="1"/>
  <c r="E80" i="79"/>
  <c r="E81" i="79" a="1"/>
  <c r="E81" i="79"/>
  <c r="E82" i="79" a="1"/>
  <c r="E82" i="79"/>
  <c r="E83" i="79" a="1"/>
  <c r="E83" i="79"/>
  <c r="E84" i="79" a="1"/>
  <c r="E84" i="79"/>
  <c r="E85" i="79" a="1"/>
  <c r="E85" i="79"/>
  <c r="E86" i="79" a="1"/>
  <c r="E86" i="79"/>
  <c r="E87" i="79" a="1"/>
  <c r="E87" i="79"/>
  <c r="E88" i="79" a="1"/>
  <c r="E88" i="79"/>
  <c r="E89" i="79" a="1"/>
  <c r="E89" i="79"/>
  <c r="E90" i="79" a="1"/>
  <c r="E90" i="79"/>
  <c r="E91" i="79" a="1"/>
  <c r="E91" i="79"/>
  <c r="E92" i="79" a="1"/>
  <c r="E92" i="79"/>
  <c r="E93" i="79" a="1"/>
  <c r="E93" i="79"/>
  <c r="E94" i="79" a="1"/>
  <c r="E94" i="79"/>
  <c r="E95" i="79" a="1"/>
  <c r="E95" i="79"/>
  <c r="E96" i="79" a="1"/>
  <c r="E96" i="79"/>
  <c r="E97" i="79" a="1"/>
  <c r="E97" i="79"/>
  <c r="E98" i="79" a="1"/>
  <c r="E98" i="79"/>
  <c r="E99" i="79" a="1"/>
  <c r="E99" i="79"/>
  <c r="E100" i="79" a="1"/>
  <c r="E100" i="79"/>
  <c r="E101" i="79" a="1"/>
  <c r="E101" i="79"/>
  <c r="E102" i="79" a="1"/>
  <c r="E102" i="79"/>
  <c r="E103" i="79" a="1"/>
  <c r="E103" i="79"/>
  <c r="E104" i="79" a="1"/>
  <c r="E104" i="79"/>
  <c r="E105" i="79" a="1"/>
  <c r="E105" i="79"/>
  <c r="E106" i="79" a="1"/>
  <c r="E106" i="79"/>
  <c r="E107" i="79" a="1"/>
  <c r="E107" i="79"/>
  <c r="E108" i="79" a="1"/>
  <c r="E108" i="79"/>
  <c r="E109" i="79" a="1"/>
  <c r="E109" i="79"/>
  <c r="E110" i="79" a="1"/>
  <c r="E110" i="79"/>
  <c r="E111" i="79" a="1"/>
  <c r="E111" i="79"/>
  <c r="E112" i="79" a="1"/>
  <c r="E112" i="79"/>
  <c r="E113" i="79" a="1"/>
  <c r="E113" i="79"/>
  <c r="E114" i="79" a="1"/>
  <c r="E114" i="79"/>
  <c r="E115" i="79" a="1"/>
  <c r="E115" i="79"/>
  <c r="E116" i="79" a="1"/>
  <c r="E116" i="79"/>
  <c r="E117" i="79" a="1"/>
  <c r="E117" i="79"/>
  <c r="E118" i="79" a="1"/>
  <c r="E118" i="79"/>
  <c r="E119" i="79" a="1"/>
  <c r="E119" i="79"/>
  <c r="E120" i="79" a="1"/>
  <c r="E120" i="79"/>
  <c r="E121" i="79" a="1"/>
  <c r="E121" i="79"/>
  <c r="E122" i="79" a="1"/>
  <c r="E122" i="79"/>
  <c r="E123" i="79" a="1"/>
  <c r="E123" i="79"/>
  <c r="E124" i="79" a="1"/>
  <c r="E124" i="79"/>
  <c r="E125" i="79" a="1"/>
  <c r="E125" i="79"/>
  <c r="E126" i="79" a="1"/>
  <c r="E126" i="79"/>
  <c r="E127" i="79" a="1"/>
  <c r="E127" i="79"/>
  <c r="E128" i="79" a="1"/>
  <c r="E128" i="79"/>
  <c r="E129" i="79" a="1"/>
  <c r="E129" i="79"/>
  <c r="E130" i="79" a="1"/>
  <c r="E130" i="79"/>
  <c r="E131" i="79" a="1"/>
  <c r="E131" i="79"/>
  <c r="E132" i="79" a="1"/>
  <c r="E132" i="79"/>
  <c r="E133" i="79" a="1"/>
  <c r="E133" i="79"/>
  <c r="E134" i="79" a="1"/>
  <c r="E134" i="79"/>
  <c r="E135" i="79" a="1"/>
  <c r="E135" i="79"/>
  <c r="E136" i="79" a="1"/>
  <c r="E136" i="79"/>
  <c r="E137" i="79" a="1"/>
  <c r="E137" i="79"/>
  <c r="E138" i="79" a="1"/>
  <c r="E138" i="79"/>
  <c r="E139" i="79" a="1"/>
  <c r="E139" i="79"/>
  <c r="E140" i="79" a="1"/>
  <c r="E140" i="79"/>
  <c r="E141" i="79" a="1"/>
  <c r="E141" i="79"/>
  <c r="E142" i="79" a="1"/>
  <c r="E142" i="79"/>
  <c r="E143" i="79" a="1"/>
  <c r="E143" i="79"/>
  <c r="E144" i="79" a="1"/>
  <c r="E144" i="79"/>
  <c r="E145" i="79" a="1"/>
  <c r="E145" i="79"/>
  <c r="E146" i="79" a="1"/>
  <c r="E146" i="79"/>
  <c r="E147" i="79" a="1"/>
  <c r="E147" i="79"/>
  <c r="E148" i="79" a="1"/>
  <c r="E148" i="79"/>
  <c r="E149" i="79" a="1"/>
  <c r="E149" i="79"/>
  <c r="E150" i="79" a="1"/>
  <c r="E150" i="79"/>
  <c r="E151" i="79" a="1"/>
  <c r="E151" i="79"/>
  <c r="E152" i="79" a="1"/>
  <c r="E152" i="79"/>
  <c r="E153" i="79" a="1"/>
  <c r="E153" i="79"/>
  <c r="E154" i="79" a="1"/>
  <c r="E154" i="79"/>
  <c r="E155" i="79" a="1"/>
  <c r="E155" i="79"/>
  <c r="E156" i="79" a="1"/>
  <c r="E156" i="79"/>
  <c r="E157" i="79" a="1"/>
  <c r="E157" i="79"/>
  <c r="E158" i="79" a="1"/>
  <c r="E158" i="79"/>
  <c r="E159" i="79" a="1"/>
  <c r="E159" i="79"/>
  <c r="E160" i="79" a="1"/>
  <c r="E160" i="79"/>
  <c r="E161" i="79" a="1"/>
  <c r="E161" i="79"/>
  <c r="E162" i="79" a="1"/>
  <c r="E162" i="79"/>
  <c r="E163" i="79" a="1"/>
  <c r="E163" i="79"/>
  <c r="E164" i="79" a="1"/>
  <c r="E164" i="79"/>
  <c r="E165" i="79" a="1"/>
  <c r="E165" i="79"/>
  <c r="E166" i="79" a="1"/>
  <c r="E166" i="79"/>
  <c r="E167" i="79" a="1"/>
  <c r="E167" i="79"/>
  <c r="E168" i="79" a="1"/>
  <c r="E168" i="79"/>
  <c r="E169" i="79" a="1"/>
  <c r="E169" i="79"/>
  <c r="E170" i="79" a="1"/>
  <c r="E170" i="79"/>
  <c r="E171" i="79" a="1"/>
  <c r="E171" i="79"/>
  <c r="E172" i="79" a="1"/>
  <c r="E172" i="79"/>
  <c r="E173" i="79" a="1"/>
  <c r="E173" i="79"/>
  <c r="E174" i="79" a="1"/>
  <c r="E174" i="79"/>
  <c r="E175" i="79" a="1"/>
  <c r="E175" i="79"/>
  <c r="E176" i="79" a="1"/>
  <c r="E176" i="79"/>
  <c r="E177" i="79" a="1"/>
  <c r="E177" i="79"/>
  <c r="E178" i="79" a="1"/>
  <c r="E178" i="79"/>
  <c r="E179" i="79" a="1"/>
  <c r="E179" i="79"/>
  <c r="E180" i="79" a="1"/>
  <c r="E180" i="79"/>
  <c r="E181" i="79" a="1"/>
  <c r="E181" i="79"/>
  <c r="E182" i="79" a="1"/>
  <c r="E182" i="79"/>
  <c r="E183" i="79" a="1"/>
  <c r="E183" i="79"/>
  <c r="E184" i="79" a="1"/>
  <c r="E184" i="79"/>
  <c r="E185" i="79" a="1"/>
  <c r="E185" i="79"/>
  <c r="E186" i="79" a="1"/>
  <c r="E186" i="79"/>
  <c r="E187" i="79" a="1"/>
  <c r="E187" i="79"/>
  <c r="E188" i="79" a="1"/>
  <c r="E188" i="79"/>
  <c r="E189" i="79" a="1"/>
  <c r="E189" i="79"/>
  <c r="E190" i="79" a="1"/>
  <c r="E190" i="79"/>
  <c r="E191" i="79" a="1"/>
  <c r="E191" i="79"/>
  <c r="E192" i="79" a="1"/>
  <c r="E192" i="79"/>
  <c r="E193" i="79" a="1"/>
  <c r="E193" i="79"/>
  <c r="E194" i="79" a="1"/>
  <c r="E194" i="79"/>
  <c r="E195" i="79" a="1"/>
  <c r="E195" i="79"/>
  <c r="E196" i="79" a="1"/>
  <c r="E196" i="79"/>
  <c r="E197" i="79" a="1"/>
  <c r="E197" i="79"/>
  <c r="E198" i="79" a="1"/>
  <c r="E198" i="79"/>
  <c r="E199" i="79" a="1"/>
  <c r="E199" i="79"/>
  <c r="E216" i="79" a="1"/>
  <c r="E216" i="79"/>
  <c r="E217" i="79" a="1"/>
  <c r="E217" i="79"/>
  <c r="E218" i="79" a="1"/>
  <c r="E218" i="79"/>
  <c r="E219" i="79" a="1"/>
  <c r="E219" i="79"/>
  <c r="E220" i="79" a="1"/>
  <c r="E220" i="79"/>
  <c r="E221" i="79" a="1"/>
  <c r="E221" i="79"/>
  <c r="E222" i="79" a="1"/>
  <c r="E222" i="79"/>
  <c r="E223" i="79" a="1"/>
  <c r="E223" i="79"/>
  <c r="E224" i="79" a="1"/>
  <c r="E224" i="79"/>
  <c r="E225" i="79" a="1"/>
  <c r="E225" i="79"/>
  <c r="E226" i="79" a="1"/>
  <c r="E226" i="79"/>
  <c r="E227" i="79" a="1"/>
  <c r="E227" i="79"/>
  <c r="E228" i="79" a="1"/>
  <c r="E228" i="79"/>
  <c r="E229" i="79" a="1"/>
  <c r="E229" i="79"/>
  <c r="E230" i="79" a="1"/>
  <c r="E230" i="79"/>
  <c r="E231" i="79" a="1"/>
  <c r="E231" i="79"/>
  <c r="E232" i="79" a="1"/>
  <c r="E232" i="79"/>
  <c r="E233" i="79" a="1"/>
  <c r="E233" i="79"/>
  <c r="E234" i="79" a="1"/>
  <c r="E234" i="79"/>
  <c r="E235" i="79" a="1"/>
  <c r="E235" i="79"/>
  <c r="E236" i="79" a="1"/>
  <c r="E236" i="79"/>
  <c r="E237" i="79" a="1"/>
  <c r="E237" i="79"/>
  <c r="E238" i="79" a="1"/>
  <c r="E238" i="79"/>
  <c r="E239" i="79" a="1"/>
  <c r="E239" i="79"/>
  <c r="E240" i="79" a="1"/>
  <c r="E240" i="79"/>
  <c r="E241" i="79" a="1"/>
  <c r="E241" i="79"/>
  <c r="E242" i="79" a="1"/>
  <c r="E242" i="79"/>
  <c r="E243" i="79" a="1"/>
  <c r="E243" i="79"/>
  <c r="E244" i="79" a="1"/>
  <c r="E244" i="79"/>
  <c r="E245" i="79" a="1"/>
  <c r="E245" i="79"/>
  <c r="E246" i="79" a="1"/>
  <c r="E246" i="79"/>
  <c r="E247" i="79" a="1"/>
  <c r="E247" i="79"/>
  <c r="E248" i="79" a="1"/>
  <c r="E248" i="79"/>
  <c r="E249" i="79" a="1"/>
  <c r="E249" i="79"/>
  <c r="E250" i="79" a="1"/>
  <c r="E250" i="79"/>
  <c r="E251" i="79" a="1"/>
  <c r="E251" i="79"/>
  <c r="E252" i="79" a="1"/>
  <c r="E252" i="79"/>
  <c r="E253" i="79" a="1"/>
  <c r="E253" i="79"/>
  <c r="E254" i="79" a="1"/>
  <c r="E254" i="79"/>
  <c r="E255" i="79" a="1"/>
  <c r="E255" i="79"/>
  <c r="E256" i="79" a="1"/>
  <c r="E256" i="79"/>
  <c r="E257" i="79" a="1"/>
  <c r="E257" i="79"/>
  <c r="E258" i="79" a="1"/>
  <c r="E258" i="79"/>
  <c r="E259" i="79" a="1"/>
  <c r="E259" i="79"/>
  <c r="E260" i="79" a="1"/>
  <c r="E260" i="79"/>
  <c r="E261" i="79" a="1"/>
  <c r="E261" i="79"/>
  <c r="E262" i="79" a="1"/>
  <c r="E262" i="79"/>
  <c r="E263" i="79" a="1"/>
  <c r="E263" i="79"/>
  <c r="E264" i="79" a="1"/>
  <c r="E264" i="79"/>
  <c r="E265" i="79" a="1"/>
  <c r="E265" i="79"/>
  <c r="E266" i="79" a="1"/>
  <c r="E266" i="79"/>
  <c r="E267" i="79" a="1"/>
  <c r="E267" i="79"/>
  <c r="E268" i="79" a="1"/>
  <c r="E268" i="79"/>
  <c r="E269" i="79" a="1"/>
  <c r="E269" i="79"/>
  <c r="E270" i="79" a="1"/>
  <c r="E270" i="79"/>
  <c r="E271" i="79" a="1"/>
  <c r="E271" i="79"/>
  <c r="E272" i="79" a="1"/>
  <c r="E272" i="79"/>
  <c r="E273" i="79" a="1"/>
  <c r="E273" i="79"/>
  <c r="E274" i="79" a="1"/>
  <c r="E274" i="79"/>
  <c r="E275" i="79" a="1"/>
  <c r="E275" i="79"/>
  <c r="E276" i="79" a="1"/>
  <c r="E276" i="79"/>
  <c r="E277" i="79" a="1"/>
  <c r="E277" i="79"/>
  <c r="E278" i="79" a="1"/>
  <c r="E278" i="79"/>
  <c r="E279" i="79" a="1"/>
  <c r="E279" i="79"/>
  <c r="E280" i="79" a="1"/>
  <c r="E280" i="79"/>
  <c r="E281" i="79" a="1"/>
  <c r="E281" i="79"/>
  <c r="E282" i="79" a="1"/>
  <c r="E282" i="79"/>
  <c r="E283" i="79" a="1"/>
  <c r="E283" i="79"/>
  <c r="E284" i="79" a="1"/>
  <c r="E284" i="79"/>
  <c r="E285" i="79" a="1"/>
  <c r="E285" i="79"/>
  <c r="E286" i="79" a="1"/>
  <c r="E286" i="79"/>
  <c r="E287" i="79" a="1"/>
  <c r="E287" i="79"/>
  <c r="E288" i="79" a="1"/>
  <c r="E288" i="79"/>
  <c r="E289" i="79" a="1"/>
  <c r="E289" i="79"/>
  <c r="E290" i="79" a="1"/>
  <c r="E290" i="79"/>
  <c r="E291" i="79" a="1"/>
  <c r="E291" i="79"/>
  <c r="E292" i="79" a="1"/>
  <c r="E292" i="79"/>
  <c r="E293" i="79" a="1"/>
  <c r="E293" i="79"/>
  <c r="E294" i="79" a="1"/>
  <c r="E294" i="79"/>
  <c r="E295" i="79" a="1"/>
  <c r="E295" i="79"/>
  <c r="E296" i="79" a="1"/>
  <c r="E296" i="79"/>
  <c r="E297" i="79" a="1"/>
  <c r="E297" i="79"/>
  <c r="E298" i="79" a="1"/>
  <c r="E298" i="79"/>
  <c r="E299" i="79" a="1"/>
  <c r="E299" i="79"/>
  <c r="E300" i="79" a="1"/>
  <c r="E300" i="79"/>
  <c r="E301" i="79" a="1"/>
  <c r="E301" i="79"/>
  <c r="E302" i="79" a="1"/>
  <c r="E302" i="79"/>
  <c r="E303" i="79" a="1"/>
  <c r="E303" i="79"/>
  <c r="E304" i="79" a="1"/>
  <c r="E304" i="79"/>
  <c r="E305" i="79" a="1"/>
  <c r="E305" i="79"/>
  <c r="E306" i="79" a="1"/>
  <c r="E306" i="79"/>
  <c r="E307" i="79" a="1"/>
  <c r="E307" i="79"/>
  <c r="E308" i="79" a="1"/>
  <c r="E308" i="79"/>
  <c r="E309" i="79" a="1"/>
  <c r="E309" i="79"/>
  <c r="E310" i="79" a="1"/>
  <c r="E310" i="79"/>
  <c r="E311" i="79" a="1"/>
  <c r="E311" i="79"/>
  <c r="E312" i="79" a="1"/>
  <c r="E312" i="79"/>
  <c r="E313" i="79" a="1"/>
  <c r="E313" i="79"/>
  <c r="E314" i="79" a="1"/>
  <c r="E314" i="79"/>
  <c r="E315" i="79" a="1"/>
  <c r="E315" i="79"/>
  <c r="E316" i="79" a="1"/>
  <c r="E316" i="79"/>
  <c r="E330" i="79" a="1"/>
  <c r="E330" i="79"/>
  <c r="E331" i="79" a="1"/>
  <c r="E331" i="79"/>
  <c r="E332" i="79" a="1"/>
  <c r="E332" i="79"/>
  <c r="E333" i="79" a="1"/>
  <c r="E333" i="79"/>
  <c r="E334" i="79" a="1"/>
  <c r="E334" i="79"/>
  <c r="E335" i="79" a="1"/>
  <c r="E335" i="79"/>
  <c r="E336" i="79" a="1"/>
  <c r="E336" i="79"/>
  <c r="E337" i="79" a="1"/>
  <c r="E337" i="79"/>
  <c r="E338" i="79" a="1"/>
  <c r="E338" i="79"/>
  <c r="E339" i="79" a="1"/>
  <c r="E339" i="79"/>
  <c r="E340" i="79" a="1"/>
  <c r="E340" i="79"/>
  <c r="E341" i="79" a="1"/>
  <c r="E341" i="79"/>
  <c r="E342" i="79" a="1"/>
  <c r="E342" i="79"/>
  <c r="E343" i="79" a="1"/>
  <c r="E343" i="79"/>
  <c r="E344" i="79" a="1"/>
  <c r="E344" i="79"/>
  <c r="E345" i="79" a="1"/>
  <c r="E345" i="79"/>
  <c r="E346" i="79" a="1"/>
  <c r="E346" i="79"/>
  <c r="E347" i="79" a="1"/>
  <c r="E347" i="79"/>
  <c r="E348" i="79" a="1"/>
  <c r="E348" i="79"/>
  <c r="E349" i="79" a="1"/>
  <c r="E349" i="79"/>
  <c r="E350" i="79" a="1"/>
  <c r="E350" i="79"/>
  <c r="E351" i="79" a="1"/>
  <c r="E351" i="79"/>
  <c r="E352" i="79" a="1"/>
  <c r="E352" i="79"/>
  <c r="E353" i="79" a="1"/>
  <c r="E353" i="79"/>
  <c r="E354" i="79" a="1"/>
  <c r="E354" i="79"/>
  <c r="E355" i="79" a="1"/>
  <c r="E355" i="79"/>
  <c r="E356" i="79" a="1"/>
  <c r="E356" i="79"/>
  <c r="E357" i="79" a="1"/>
  <c r="E357" i="79"/>
  <c r="E358" i="79" a="1"/>
  <c r="E358" i="79"/>
  <c r="E359" i="79" a="1"/>
  <c r="E359" i="79"/>
  <c r="E360" i="79" a="1"/>
  <c r="E360" i="79"/>
  <c r="E361" i="79" a="1"/>
  <c r="E361" i="79"/>
  <c r="E362" i="79" a="1"/>
  <c r="E362" i="79"/>
  <c r="E363" i="79" a="1"/>
  <c r="E363" i="79"/>
  <c r="E364" i="79" a="1"/>
  <c r="E364" i="79"/>
  <c r="E365" i="79" a="1"/>
  <c r="E365" i="79"/>
  <c r="E366" i="79" a="1"/>
  <c r="E366" i="79"/>
  <c r="E367" i="79" a="1"/>
  <c r="E367" i="79"/>
  <c r="E368" i="79" a="1"/>
  <c r="E368" i="79"/>
  <c r="E369" i="79" a="1"/>
  <c r="E369" i="79"/>
  <c r="E370" i="79" a="1"/>
  <c r="E370" i="79"/>
  <c r="E371" i="79" a="1"/>
  <c r="E371" i="79"/>
  <c r="E372" i="79" a="1"/>
  <c r="E372" i="79"/>
  <c r="E373" i="79" a="1"/>
  <c r="E373" i="79"/>
  <c r="E374" i="79" a="1"/>
  <c r="E374" i="79"/>
  <c r="E375" i="79" a="1"/>
  <c r="E375" i="79"/>
  <c r="E376" i="79" a="1"/>
  <c r="E376" i="79"/>
  <c r="E377" i="79" a="1"/>
  <c r="E377" i="79"/>
  <c r="E378" i="79" a="1"/>
  <c r="E378" i="79"/>
  <c r="E379" i="79" a="1"/>
  <c r="E379" i="79"/>
  <c r="E380" i="79" a="1"/>
  <c r="E380" i="79"/>
  <c r="E381" i="79" a="1"/>
  <c r="E381" i="79"/>
  <c r="E382" i="79" a="1"/>
  <c r="E382" i="79"/>
  <c r="E383" i="79" a="1"/>
  <c r="E383" i="79"/>
  <c r="E384" i="79" a="1"/>
  <c r="E384" i="79"/>
  <c r="E385" i="79" a="1"/>
  <c r="E385" i="79"/>
  <c r="E386" i="79" a="1"/>
  <c r="E386" i="79"/>
  <c r="E387" i="79" a="1"/>
  <c r="E387" i="79"/>
  <c r="E388" i="79" a="1"/>
  <c r="E388" i="79"/>
  <c r="E389" i="79" a="1"/>
  <c r="E389" i="79"/>
  <c r="E390" i="79" a="1"/>
  <c r="E390" i="79"/>
  <c r="E391" i="79" a="1"/>
  <c r="E391" i="79"/>
  <c r="E392" i="79" a="1"/>
  <c r="E392" i="79"/>
  <c r="E393" i="79" a="1"/>
  <c r="E393" i="79"/>
  <c r="E394" i="79" a="1"/>
  <c r="E394" i="79"/>
  <c r="E395" i="79" a="1"/>
  <c r="E395" i="79"/>
  <c r="E396" i="79" a="1"/>
  <c r="E396" i="79"/>
  <c r="E397" i="79" a="1"/>
  <c r="E397" i="79"/>
  <c r="E398" i="79" a="1"/>
  <c r="E398" i="79"/>
  <c r="E399" i="79" a="1"/>
  <c r="E399" i="79"/>
  <c r="E420" i="79" a="1"/>
  <c r="E420" i="79"/>
  <c r="E421" i="79" a="1"/>
  <c r="E421" i="79"/>
  <c r="E422" i="79" a="1"/>
  <c r="E422" i="79"/>
  <c r="E423" i="79" a="1"/>
  <c r="E423" i="79"/>
  <c r="E424" i="79" a="1"/>
  <c r="E424" i="79"/>
  <c r="E425" i="79" a="1"/>
  <c r="E425" i="79"/>
  <c r="E426" i="79" a="1"/>
  <c r="E426" i="79"/>
  <c r="E427" i="79" a="1"/>
  <c r="E427" i="79"/>
  <c r="E428" i="79" a="1"/>
  <c r="E428" i="79"/>
  <c r="E429" i="79" a="1"/>
  <c r="E429" i="79"/>
  <c r="E430" i="79" a="1"/>
  <c r="E430" i="79"/>
  <c r="E431" i="79" a="1"/>
  <c r="E431" i="79"/>
  <c r="E432" i="79" a="1"/>
  <c r="E432" i="79"/>
  <c r="E433" i="79" a="1"/>
  <c r="E433" i="79"/>
  <c r="E434" i="79" a="1"/>
  <c r="E434" i="79"/>
  <c r="E435" i="79" a="1"/>
  <c r="E435" i="79"/>
  <c r="E436" i="79" a="1"/>
  <c r="E436" i="79"/>
  <c r="E437" i="79" a="1"/>
  <c r="E437" i="79"/>
  <c r="E438" i="79" a="1"/>
  <c r="E438" i="79"/>
  <c r="E439" i="79" a="1"/>
  <c r="E439" i="79"/>
  <c r="E440" i="79" a="1"/>
  <c r="E440" i="79"/>
  <c r="E441" i="79" a="1"/>
  <c r="E441" i="79"/>
  <c r="E442" i="79" a="1"/>
  <c r="E442" i="79"/>
  <c r="E443" i="79" a="1"/>
  <c r="E443" i="79"/>
  <c r="E444" i="79" a="1"/>
  <c r="E444" i="79"/>
  <c r="E445" i="79" a="1"/>
  <c r="E445" i="79"/>
  <c r="E446" i="79" a="1"/>
  <c r="E446" i="79"/>
  <c r="E447" i="79" a="1"/>
  <c r="E447" i="79"/>
  <c r="E448" i="79" a="1"/>
  <c r="E448" i="79"/>
  <c r="E449" i="79" a="1"/>
  <c r="E449" i="79"/>
  <c r="E450" i="79" a="1"/>
  <c r="E450" i="79"/>
  <c r="E451" i="79" a="1"/>
  <c r="E451" i="79"/>
  <c r="E452" i="79" a="1"/>
  <c r="E452" i="79"/>
  <c r="E453" i="79" a="1"/>
  <c r="E453" i="79"/>
  <c r="E454" i="79" a="1"/>
  <c r="E454" i="79"/>
  <c r="E455" i="79" a="1"/>
  <c r="E455" i="79"/>
  <c r="E456" i="79" a="1"/>
  <c r="E456" i="79"/>
  <c r="E457" i="79" a="1"/>
  <c r="E457" i="79"/>
  <c r="E458" i="79" a="1"/>
  <c r="E458" i="79"/>
  <c r="E459" i="79" a="1"/>
  <c r="E459" i="79"/>
  <c r="E460" i="79" a="1"/>
  <c r="E460" i="79"/>
  <c r="E461" i="79" a="1"/>
  <c r="E461" i="79"/>
  <c r="E462" i="79" a="1"/>
  <c r="E462" i="79"/>
  <c r="E463" i="79" a="1"/>
  <c r="E463" i="79"/>
  <c r="E464" i="79" a="1"/>
  <c r="E464" i="79"/>
  <c r="E465" i="79" a="1"/>
  <c r="E465" i="79"/>
  <c r="E466" i="79" a="1"/>
  <c r="E466" i="79"/>
  <c r="E467" i="79" a="1"/>
  <c r="E467" i="79"/>
  <c r="E468" i="79" a="1"/>
  <c r="E468" i="79"/>
  <c r="E469" i="79" a="1"/>
  <c r="E469" i="79"/>
  <c r="E470" i="79" a="1"/>
  <c r="E470" i="79"/>
  <c r="E471" i="79" a="1"/>
  <c r="E471" i="79"/>
  <c r="E472" i="79" a="1"/>
  <c r="E472" i="79"/>
  <c r="E473" i="79" a="1"/>
  <c r="E473" i="79"/>
  <c r="E474" i="79" a="1"/>
  <c r="E474" i="79"/>
  <c r="E475" i="79" a="1"/>
  <c r="E475" i="79"/>
  <c r="E476" i="79" a="1"/>
  <c r="E476" i="79"/>
  <c r="E477" i="79" a="1"/>
  <c r="E477" i="79"/>
  <c r="E478" i="79" a="1"/>
  <c r="E478" i="79"/>
  <c r="E479" i="79" a="1"/>
  <c r="E479" i="79"/>
  <c r="E480" i="79" a="1"/>
  <c r="E480" i="79"/>
  <c r="E481" i="79" a="1"/>
  <c r="E481" i="79"/>
  <c r="E482" i="79" a="1"/>
  <c r="E482" i="79"/>
  <c r="E483" i="79" a="1"/>
  <c r="E483" i="79"/>
  <c r="E484" i="79" a="1"/>
  <c r="E484" i="79"/>
  <c r="E485" i="79" a="1"/>
  <c r="E485" i="79"/>
  <c r="E486" i="79" a="1"/>
  <c r="E486" i="79"/>
  <c r="E487" i="79" a="1"/>
  <c r="E487" i="79"/>
  <c r="E488" i="79" a="1"/>
  <c r="E488" i="79"/>
  <c r="E489" i="79" a="1"/>
  <c r="E489" i="79"/>
  <c r="E490" i="79" a="1"/>
  <c r="E490" i="79"/>
  <c r="E491" i="79" a="1"/>
  <c r="E491" i="79"/>
  <c r="E510" i="79" a="1"/>
  <c r="E510" i="79"/>
  <c r="E511" i="79" a="1"/>
  <c r="E511" i="79"/>
  <c r="E512" i="79" a="1"/>
  <c r="E512" i="79"/>
  <c r="E513" i="79" a="1"/>
  <c r="E513" i="79"/>
  <c r="E514" i="79" a="1"/>
  <c r="E514" i="79"/>
  <c r="E515" i="79" a="1"/>
  <c r="E515" i="79"/>
  <c r="E516" i="79" a="1"/>
  <c r="E516" i="79"/>
  <c r="E517" i="79" a="1"/>
  <c r="E517" i="79"/>
  <c r="E518" i="79" a="1"/>
  <c r="E518" i="79"/>
  <c r="E519" i="79" a="1"/>
  <c r="E519" i="79"/>
  <c r="E520" i="79" a="1"/>
  <c r="E520" i="79"/>
  <c r="E521" i="79" a="1"/>
  <c r="E521" i="79"/>
  <c r="E522" i="79" a="1"/>
  <c r="E522" i="79"/>
  <c r="E523" i="79" a="1"/>
  <c r="E523" i="79"/>
  <c r="E524" i="79" a="1"/>
  <c r="E524" i="79"/>
  <c r="E525" i="79" a="1"/>
  <c r="E525" i="79"/>
  <c r="E526" i="79" a="1"/>
  <c r="E526" i="79"/>
  <c r="E527" i="79" a="1"/>
  <c r="E527" i="79"/>
  <c r="E528" i="79" a="1"/>
  <c r="E528" i="79"/>
  <c r="E529" i="79" a="1"/>
  <c r="E529" i="79"/>
  <c r="E530" i="79" a="1"/>
  <c r="E530" i="79"/>
  <c r="E531" i="79" a="1"/>
  <c r="E531" i="79"/>
  <c r="E532" i="79" a="1"/>
  <c r="E532" i="79"/>
  <c r="E533" i="79" a="1"/>
  <c r="E533" i="79"/>
  <c r="E534" i="79" a="1"/>
  <c r="E534" i="79"/>
  <c r="E535" i="79" a="1"/>
  <c r="E535" i="79"/>
  <c r="E536" i="79" a="1"/>
  <c r="E536" i="79"/>
  <c r="E537" i="79" a="1"/>
  <c r="E537" i="79"/>
  <c r="E538" i="79" a="1"/>
  <c r="E538" i="79"/>
  <c r="E539" i="79" a="1"/>
  <c r="E539" i="79"/>
  <c r="E540" i="79" a="1"/>
  <c r="E540" i="79"/>
  <c r="E541" i="79" a="1"/>
  <c r="E541" i="79"/>
  <c r="E542" i="79" a="1"/>
  <c r="E542" i="79"/>
  <c r="E543" i="79" a="1"/>
  <c r="E543" i="79"/>
  <c r="E544" i="79" a="1"/>
  <c r="E544" i="79"/>
  <c r="E545" i="79" a="1"/>
  <c r="E545" i="79"/>
  <c r="E546" i="79" a="1"/>
  <c r="E546" i="79"/>
  <c r="E547" i="79" a="1"/>
  <c r="E547" i="79"/>
  <c r="E548" i="79" a="1"/>
  <c r="E548" i="79"/>
  <c r="E549" i="79" a="1"/>
  <c r="E549" i="79"/>
  <c r="E550" i="79" a="1"/>
  <c r="E550" i="79"/>
  <c r="E551" i="79" a="1"/>
  <c r="E551" i="79"/>
  <c r="E552" i="79" a="1"/>
  <c r="E552" i="79"/>
  <c r="E553" i="79" a="1"/>
  <c r="E553" i="79"/>
  <c r="E554" i="79" a="1"/>
  <c r="E554" i="79"/>
  <c r="E555" i="79" a="1"/>
  <c r="E555" i="79"/>
  <c r="E556" i="79" a="1"/>
  <c r="E556" i="79"/>
  <c r="E557" i="79" a="1"/>
  <c r="E557" i="79"/>
  <c r="E558" i="79" a="1"/>
  <c r="E558" i="79"/>
  <c r="E559" i="79" a="1"/>
  <c r="E559" i="79"/>
  <c r="E560" i="79" a="1"/>
  <c r="E560" i="79"/>
  <c r="E561" i="79" a="1"/>
  <c r="E561" i="79"/>
  <c r="E562" i="79" a="1"/>
  <c r="E562" i="79"/>
  <c r="E563" i="79" a="1"/>
  <c r="E563" i="79"/>
  <c r="E564" i="79" a="1"/>
  <c r="E564" i="79"/>
  <c r="E565" i="79" a="1"/>
  <c r="E565" i="79"/>
  <c r="E566" i="79" a="1"/>
  <c r="E566" i="79"/>
  <c r="E567" i="79" a="1"/>
  <c r="E567" i="79"/>
  <c r="E568" i="79" a="1"/>
  <c r="E568" i="79"/>
  <c r="E569" i="79" a="1"/>
  <c r="E569" i="79"/>
  <c r="E570" i="79" a="1"/>
  <c r="E570" i="79"/>
  <c r="E571" i="79" a="1"/>
  <c r="E571" i="79"/>
  <c r="E572" i="79" a="1"/>
  <c r="E572" i="79"/>
  <c r="E573" i="79" a="1"/>
  <c r="E573" i="79"/>
  <c r="E574" i="79" a="1"/>
  <c r="E574" i="79"/>
  <c r="E577" i="79" a="1"/>
  <c r="E577" i="79"/>
  <c r="E578" i="79" a="1"/>
  <c r="E578" i="79"/>
  <c r="E579" i="79" a="1"/>
  <c r="E579" i="79"/>
  <c r="E580" i="79" a="1"/>
  <c r="E580" i="79"/>
  <c r="E581" i="79" a="1"/>
  <c r="E581" i="79"/>
  <c r="E582" i="79" a="1"/>
  <c r="E582" i="79"/>
  <c r="E583" i="79" a="1"/>
  <c r="E583" i="79"/>
  <c r="E584" i="79" a="1"/>
  <c r="E584" i="79"/>
  <c r="E585" i="79" a="1"/>
  <c r="E585" i="79"/>
  <c r="E586" i="79" a="1"/>
  <c r="E586" i="79"/>
  <c r="E587" i="79" a="1"/>
  <c r="E587" i="79"/>
  <c r="E588" i="79" a="1"/>
  <c r="E588" i="79"/>
  <c r="E589" i="79" a="1"/>
  <c r="E589" i="79"/>
  <c r="E590" i="79" a="1"/>
  <c r="E590" i="79"/>
  <c r="E591" i="79" a="1"/>
  <c r="E591" i="79"/>
  <c r="E592" i="79" a="1"/>
  <c r="E592" i="79"/>
  <c r="E593" i="79" a="1"/>
  <c r="E593" i="79"/>
  <c r="E594" i="79" a="1"/>
  <c r="E594" i="79"/>
  <c r="E595" i="79" a="1"/>
  <c r="E595" i="79"/>
  <c r="E596" i="79" a="1"/>
  <c r="E596" i="79"/>
  <c r="E597" i="79" a="1"/>
  <c r="E597" i="79"/>
  <c r="E598" i="79" a="1"/>
  <c r="E598" i="79"/>
  <c r="E599" i="79" a="1"/>
  <c r="E599" i="79"/>
  <c r="E600" i="79" a="1"/>
  <c r="E600" i="79"/>
  <c r="E601" i="79" a="1"/>
  <c r="E601" i="79"/>
  <c r="E602" i="79" a="1"/>
  <c r="E602" i="79"/>
  <c r="E603" i="79" a="1"/>
  <c r="E603" i="79"/>
  <c r="E604" i="79" a="1"/>
  <c r="E604" i="79"/>
  <c r="E605" i="79" a="1"/>
  <c r="E605" i="79"/>
  <c r="E606" i="79" a="1"/>
  <c r="E606" i="79"/>
  <c r="E607" i="79" a="1"/>
  <c r="E607" i="79"/>
  <c r="E608" i="79" a="1"/>
  <c r="E608" i="79"/>
  <c r="E609" i="79" a="1"/>
  <c r="E609" i="79"/>
  <c r="E610" i="79" a="1"/>
  <c r="E610" i="79"/>
  <c r="E611" i="79" a="1"/>
  <c r="E611" i="79"/>
  <c r="E612" i="79" a="1"/>
  <c r="E612" i="79"/>
  <c r="E613" i="79" a="1"/>
  <c r="E613" i="79"/>
  <c r="E614" i="79" a="1"/>
  <c r="E614" i="79"/>
  <c r="E615" i="79" a="1"/>
  <c r="E615" i="79"/>
  <c r="E616" i="79" a="1"/>
  <c r="E616" i="79"/>
  <c r="E617" i="79" a="1"/>
  <c r="E617" i="79"/>
  <c r="E621" i="79" a="1"/>
  <c r="E621" i="79"/>
  <c r="E622" i="79" a="1"/>
  <c r="E622" i="79"/>
  <c r="E623" i="79" a="1"/>
  <c r="E623" i="79"/>
  <c r="E624" i="79" a="1"/>
  <c r="E624" i="79"/>
  <c r="E625" i="79" a="1"/>
  <c r="E625" i="79"/>
  <c r="E626" i="79" a="1"/>
  <c r="E626" i="79"/>
  <c r="E627" i="79" a="1"/>
  <c r="E627" i="79"/>
  <c r="E628" i="79" a="1"/>
  <c r="E628" i="79"/>
  <c r="E629" i="79" a="1"/>
  <c r="E629" i="79"/>
  <c r="E630" i="79" a="1"/>
  <c r="E630" i="79"/>
  <c r="E631" i="79" a="1"/>
  <c r="E631" i="79"/>
  <c r="E632" i="79" a="1"/>
  <c r="E632" i="79"/>
  <c r="E633" i="79" a="1"/>
  <c r="E633" i="79"/>
  <c r="E634" i="79" a="1"/>
  <c r="E634" i="79"/>
  <c r="E635" i="79" a="1"/>
  <c r="E635" i="79"/>
  <c r="E636" i="79" a="1"/>
  <c r="E636" i="79"/>
  <c r="E637" i="79" a="1"/>
  <c r="E637" i="79"/>
  <c r="E638" i="79" a="1"/>
  <c r="E638" i="79"/>
  <c r="E639" i="79" a="1"/>
  <c r="E639" i="79"/>
  <c r="E640" i="79" a="1"/>
  <c r="E640" i="79"/>
  <c r="E641" i="79" a="1"/>
  <c r="E641" i="79"/>
  <c r="E642" i="79" a="1"/>
  <c r="E642" i="79"/>
  <c r="E643" i="79" a="1"/>
  <c r="E643" i="79"/>
  <c r="E644" i="79" a="1"/>
  <c r="E644" i="79"/>
  <c r="E645" i="79" a="1"/>
  <c r="E645" i="79"/>
  <c r="E646" i="79" a="1"/>
  <c r="E646" i="79"/>
  <c r="E647" i="79" a="1"/>
  <c r="E647" i="79"/>
  <c r="E648" i="79" a="1"/>
  <c r="E648" i="79"/>
  <c r="E649" i="79" a="1"/>
  <c r="E649" i="79"/>
  <c r="E650" i="79" a="1"/>
  <c r="E650" i="79"/>
  <c r="E651" i="79" a="1"/>
  <c r="E651" i="79"/>
  <c r="E652" i="79" a="1"/>
  <c r="E652" i="79"/>
  <c r="E653" i="79" a="1"/>
  <c r="E653" i="79"/>
  <c r="E654" i="79" a="1"/>
  <c r="E654" i="79"/>
  <c r="E655" i="79" a="1"/>
  <c r="E655" i="79"/>
  <c r="E656" i="79" a="1"/>
  <c r="E656" i="79"/>
  <c r="E657" i="79" a="1"/>
  <c r="E657" i="79"/>
  <c r="E658" i="79" a="1"/>
  <c r="E658" i="79"/>
  <c r="E659" i="79" a="1"/>
  <c r="E659" i="79"/>
  <c r="E660" i="79" a="1"/>
  <c r="E660" i="79"/>
  <c r="E661" i="79" a="1"/>
  <c r="E661" i="79"/>
  <c r="E662" i="79" a="1"/>
  <c r="E662" i="79"/>
  <c r="E663" i="79" a="1"/>
  <c r="E663" i="79"/>
  <c r="E664" i="79" a="1"/>
  <c r="E664" i="79"/>
  <c r="E665" i="79" a="1"/>
  <c r="E665" i="79"/>
  <c r="E666" i="79" a="1"/>
  <c r="E666" i="79"/>
  <c r="E667" i="79" a="1"/>
  <c r="E667" i="79"/>
  <c r="E668" i="79" a="1"/>
  <c r="E668" i="79"/>
  <c r="E669" i="79" a="1"/>
  <c r="E669" i="79"/>
  <c r="E670" i="79" a="1"/>
  <c r="E670" i="79"/>
  <c r="E671" i="79" a="1"/>
  <c r="E671" i="79"/>
  <c r="E672" i="79" a="1"/>
  <c r="E672" i="79"/>
  <c r="E673" i="79" a="1"/>
  <c r="E673" i="79"/>
  <c r="E674" i="79" a="1"/>
  <c r="E674" i="79"/>
  <c r="E675" i="79" a="1"/>
  <c r="E675" i="79"/>
  <c r="E676" i="79" a="1"/>
  <c r="E676" i="79"/>
  <c r="E677" i="79" a="1"/>
  <c r="E677" i="79"/>
  <c r="E678" i="79" a="1"/>
  <c r="E678" i="79"/>
  <c r="E679" i="79" a="1"/>
  <c r="E679" i="79"/>
  <c r="E680" i="79" a="1"/>
  <c r="E680" i="79"/>
  <c r="E681" i="79" a="1"/>
  <c r="E681" i="79"/>
  <c r="E682" i="79" a="1"/>
  <c r="E682" i="79"/>
  <c r="E683" i="79" a="1"/>
  <c r="E683" i="79"/>
  <c r="E684" i="79" a="1"/>
  <c r="E684" i="79"/>
  <c r="E687" i="79" a="1"/>
  <c r="E687" i="79"/>
  <c r="E688" i="79" a="1"/>
  <c r="E688" i="79"/>
  <c r="E689" i="79" a="1"/>
  <c r="E689" i="79"/>
  <c r="E690" i="79" a="1"/>
  <c r="E690" i="79"/>
  <c r="E691" i="79" a="1"/>
  <c r="E691" i="79"/>
  <c r="E692" i="79" a="1"/>
  <c r="E692" i="79"/>
  <c r="E693" i="79" a="1"/>
  <c r="E693" i="79"/>
  <c r="E694" i="79" a="1"/>
  <c r="E694" i="79"/>
  <c r="E695" i="79" a="1"/>
  <c r="E695" i="79"/>
  <c r="E696" i="79" a="1"/>
  <c r="E696" i="79"/>
  <c r="E697" i="79" a="1"/>
  <c r="E697" i="79"/>
  <c r="E698" i="79" a="1"/>
  <c r="E698" i="79"/>
  <c r="E699" i="79" a="1"/>
  <c r="E699" i="79"/>
  <c r="E700" i="79" a="1"/>
  <c r="E700" i="79"/>
  <c r="E701" i="79" a="1"/>
  <c r="E701" i="79"/>
  <c r="E702" i="79" a="1"/>
  <c r="E702" i="79"/>
  <c r="E703" i="79" a="1"/>
  <c r="E703" i="79"/>
  <c r="E704" i="79" a="1"/>
  <c r="E704" i="79"/>
  <c r="E705" i="79" a="1"/>
  <c r="E705" i="79"/>
  <c r="E706" i="79" a="1"/>
  <c r="E706" i="79"/>
  <c r="E707" i="79" a="1"/>
  <c r="E707" i="79"/>
  <c r="E708" i="79" a="1"/>
  <c r="E708" i="79"/>
  <c r="E709" i="79" a="1"/>
  <c r="E709" i="79"/>
  <c r="E710" i="79" a="1"/>
  <c r="E710" i="79"/>
  <c r="E711" i="79" a="1"/>
  <c r="E711" i="79"/>
  <c r="E712" i="79" a="1"/>
  <c r="E712" i="79"/>
  <c r="E713" i="79" a="1"/>
  <c r="E713" i="79"/>
  <c r="E714" i="79" a="1"/>
  <c r="E714" i="79"/>
  <c r="E715" i="79" a="1"/>
  <c r="E715" i="79"/>
  <c r="E716" i="79" a="1"/>
  <c r="E716" i="79"/>
  <c r="E717" i="79" a="1"/>
  <c r="E717" i="79"/>
  <c r="E718" i="79" a="1"/>
  <c r="E718" i="79"/>
  <c r="E719" i="79" a="1"/>
  <c r="E719" i="79"/>
  <c r="E720" i="79" a="1"/>
  <c r="E720" i="79"/>
  <c r="E721" i="79" a="1"/>
  <c r="E721" i="79"/>
  <c r="E722" i="79" a="1"/>
  <c r="E722" i="79"/>
  <c r="E723" i="79" a="1"/>
  <c r="E723" i="79"/>
  <c r="E724" i="79" a="1"/>
  <c r="E724" i="79"/>
  <c r="E725" i="79" a="1"/>
  <c r="E725" i="79"/>
  <c r="E726" i="79" a="1"/>
  <c r="E726" i="79"/>
  <c r="E727" i="79" a="1"/>
  <c r="E727" i="79"/>
  <c r="E728" i="79" a="1"/>
  <c r="E728" i="79"/>
  <c r="E729" i="79" a="1"/>
  <c r="E729" i="79"/>
  <c r="E730" i="79" a="1"/>
  <c r="E730" i="79"/>
  <c r="E731" i="79" a="1"/>
  <c r="E731" i="79"/>
  <c r="E732" i="79" a="1"/>
  <c r="E732" i="79"/>
  <c r="E733" i="79" a="1"/>
  <c r="E733" i="79"/>
  <c r="E734" i="79" a="1"/>
  <c r="E734" i="79"/>
  <c r="E735" i="79" a="1"/>
  <c r="E735" i="79"/>
  <c r="E736" i="79" a="1"/>
  <c r="E736" i="79"/>
  <c r="E737" i="79" a="1"/>
  <c r="E737" i="79"/>
  <c r="E738" i="79" a="1"/>
  <c r="E738" i="79"/>
  <c r="E739" i="79" a="1"/>
  <c r="E739" i="79"/>
  <c r="E740" i="79" a="1"/>
  <c r="E740" i="79"/>
  <c r="E741" i="79" a="1"/>
  <c r="E741" i="79"/>
  <c r="E742" i="79" a="1"/>
  <c r="E742" i="79"/>
  <c r="E743" i="79" a="1"/>
  <c r="E743" i="79"/>
  <c r="E744" i="79" a="1"/>
  <c r="E744" i="79"/>
  <c r="E745" i="79" a="1"/>
  <c r="E745" i="79"/>
  <c r="E746" i="79" a="1"/>
  <c r="E746" i="79"/>
  <c r="E747" i="79" a="1"/>
  <c r="E747" i="79"/>
  <c r="E748" i="79" a="1"/>
  <c r="E748" i="79"/>
  <c r="E749" i="79" a="1"/>
  <c r="E749" i="79"/>
  <c r="E750" i="79" a="1"/>
  <c r="E750" i="79"/>
  <c r="E751" i="79" a="1"/>
  <c r="E751" i="79"/>
  <c r="E752" i="79" a="1"/>
  <c r="E752" i="79"/>
  <c r="E753" i="79" a="1"/>
  <c r="E753" i="79"/>
  <c r="E754" i="79" a="1"/>
  <c r="E754" i="79"/>
  <c r="E755" i="79" a="1"/>
  <c r="E755" i="79"/>
  <c r="E756" i="79" a="1"/>
  <c r="E756" i="79"/>
  <c r="E757" i="79" a="1"/>
  <c r="E757" i="79"/>
  <c r="E758" i="79" a="1"/>
  <c r="E758" i="79"/>
  <c r="E759" i="79" a="1"/>
  <c r="E759" i="79"/>
  <c r="E760" i="79" a="1"/>
  <c r="E760" i="79"/>
  <c r="E761" i="79" a="1"/>
  <c r="E761" i="79"/>
  <c r="E762" i="79" a="1"/>
  <c r="E762" i="79"/>
  <c r="E763" i="79" a="1"/>
  <c r="E763" i="79"/>
  <c r="E764" i="79" a="1"/>
  <c r="E764" i="79"/>
  <c r="E765" i="79" a="1"/>
  <c r="E765" i="79"/>
  <c r="E766" i="79" a="1"/>
  <c r="E766" i="79"/>
  <c r="E767" i="79" a="1"/>
  <c r="E767" i="79"/>
  <c r="E768" i="79" a="1"/>
  <c r="E768" i="79"/>
  <c r="E769" i="79" a="1"/>
  <c r="E769" i="79"/>
  <c r="E770" i="79" a="1"/>
  <c r="E770" i="79"/>
  <c r="E771" i="79" a="1"/>
  <c r="E771" i="79"/>
  <c r="E772" i="79" a="1"/>
  <c r="E772" i="79"/>
  <c r="E773" i="79" a="1"/>
  <c r="E773" i="79"/>
  <c r="E774" i="79" a="1"/>
  <c r="E774" i="79"/>
  <c r="E775" i="79" a="1"/>
  <c r="E775" i="79"/>
  <c r="E776" i="79" a="1"/>
  <c r="E776" i="79"/>
  <c r="E777" i="79" a="1"/>
  <c r="E777" i="79"/>
  <c r="E778" i="79" a="1"/>
  <c r="E778" i="79"/>
  <c r="E779" i="79" a="1"/>
  <c r="E779" i="79"/>
  <c r="E780" i="79" a="1"/>
  <c r="E780" i="79"/>
  <c r="E781" i="79" a="1"/>
  <c r="E781" i="79"/>
  <c r="E782" i="79" a="1"/>
  <c r="E782" i="79"/>
  <c r="E783" i="79" a="1"/>
  <c r="E783" i="79"/>
  <c r="E784" i="79" a="1"/>
  <c r="E784" i="79"/>
  <c r="E785" i="79" a="1"/>
  <c r="E785" i="79"/>
  <c r="E786" i="79" a="1"/>
  <c r="E786" i="79"/>
  <c r="E787" i="79" a="1"/>
  <c r="E787" i="79"/>
  <c r="E788" i="79" a="1"/>
  <c r="E788" i="79"/>
  <c r="E789" i="79" a="1"/>
  <c r="E789" i="79"/>
  <c r="E790" i="79" a="1"/>
  <c r="E790" i="79"/>
  <c r="E791" i="79" a="1"/>
  <c r="E791" i="79"/>
  <c r="E792" i="79" a="1"/>
  <c r="E792" i="79"/>
  <c r="E793" i="79" a="1"/>
  <c r="E793" i="79"/>
  <c r="E794" i="79" a="1"/>
  <c r="E794" i="79"/>
  <c r="E795" i="79" a="1"/>
  <c r="E795" i="79"/>
  <c r="E796" i="79" a="1"/>
  <c r="E796" i="79"/>
  <c r="E797" i="79" a="1"/>
  <c r="E797" i="79"/>
  <c r="E798" i="79" a="1"/>
  <c r="E798" i="79"/>
  <c r="E799" i="79" a="1"/>
  <c r="E799" i="79"/>
  <c r="E800" i="79" a="1"/>
  <c r="E800" i="79"/>
  <c r="E801" i="79" a="1"/>
  <c r="E801" i="79"/>
  <c r="E802" i="79" a="1"/>
  <c r="E802" i="79"/>
  <c r="E806" i="79" a="1"/>
  <c r="E806" i="79"/>
  <c r="E807" i="79" a="1"/>
  <c r="E807" i="79"/>
  <c r="E808" i="79" a="1"/>
  <c r="E808" i="79"/>
  <c r="E809" i="79" a="1"/>
  <c r="E809" i="79"/>
  <c r="E810" i="79" a="1"/>
  <c r="E810" i="79"/>
  <c r="E811" i="79" a="1"/>
  <c r="E811" i="79"/>
  <c r="E812" i="79" a="1"/>
  <c r="E812" i="79"/>
  <c r="E813" i="79" a="1"/>
  <c r="E813" i="79"/>
  <c r="E814" i="79" a="1"/>
  <c r="E814" i="79"/>
  <c r="E815" i="79" a="1"/>
  <c r="E815" i="79"/>
  <c r="E816" i="79" a="1"/>
  <c r="E816" i="79"/>
  <c r="E817" i="79" a="1"/>
  <c r="E817" i="79"/>
  <c r="E818" i="79" a="1"/>
  <c r="E818" i="79"/>
  <c r="E819" i="79" a="1"/>
  <c r="E819" i="79"/>
  <c r="E820" i="79" a="1"/>
  <c r="E820" i="79"/>
  <c r="E821" i="79" a="1"/>
  <c r="E821" i="79"/>
  <c r="E822" i="79" a="1"/>
  <c r="E822" i="79"/>
  <c r="E823" i="79" a="1"/>
  <c r="E823" i="79"/>
  <c r="E824" i="79" a="1"/>
  <c r="E824" i="79"/>
  <c r="E825" i="79" a="1"/>
  <c r="E825" i="79"/>
  <c r="E826" i="79" a="1"/>
  <c r="E826" i="79"/>
  <c r="E827" i="79" a="1"/>
  <c r="E827" i="79"/>
  <c r="E828" i="79" a="1"/>
  <c r="E828" i="79"/>
  <c r="E829" i="79" a="1"/>
  <c r="E829" i="79"/>
  <c r="E830" i="79" a="1"/>
  <c r="E830" i="79"/>
  <c r="E831" i="79" a="1"/>
  <c r="E831" i="79"/>
  <c r="E832" i="79" a="1"/>
  <c r="E832" i="79"/>
  <c r="E833" i="79" a="1"/>
  <c r="E833" i="79"/>
  <c r="E834" i="79" a="1"/>
  <c r="E834" i="79"/>
  <c r="E835" i="79" a="1"/>
  <c r="E835" i="79"/>
  <c r="E836" i="79" a="1"/>
  <c r="E836" i="79"/>
  <c r="E837" i="79" a="1"/>
  <c r="E837" i="79"/>
  <c r="E838" i="79" a="1"/>
  <c r="E838" i="79"/>
  <c r="E839" i="79" a="1"/>
  <c r="E839" i="79"/>
  <c r="E840" i="79" a="1"/>
  <c r="E840" i="79"/>
  <c r="E841" i="79" a="1"/>
  <c r="E841" i="79"/>
  <c r="E842" i="79" a="1"/>
  <c r="E842" i="79"/>
  <c r="E843" i="79" a="1"/>
  <c r="E843" i="79"/>
  <c r="E844" i="79" a="1"/>
  <c r="E844" i="79"/>
  <c r="E845" i="79" a="1"/>
  <c r="E845" i="79"/>
  <c r="E846" i="79" a="1"/>
  <c r="E846" i="79"/>
  <c r="E847" i="79" a="1"/>
  <c r="E847" i="79"/>
  <c r="E848" i="79" a="1"/>
  <c r="E848" i="79"/>
  <c r="E849" i="79" a="1"/>
  <c r="E849" i="79"/>
  <c r="E850" i="79" a="1"/>
  <c r="E850" i="79"/>
  <c r="E851" i="79" a="1"/>
  <c r="E851" i="79"/>
  <c r="E852" i="79" a="1"/>
  <c r="E852" i="79"/>
  <c r="E853" i="79" a="1"/>
  <c r="E853" i="79"/>
  <c r="E854" i="79" a="1"/>
  <c r="E854" i="79"/>
  <c r="E855" i="79" a="1"/>
  <c r="E855" i="79"/>
  <c r="E856" i="79" a="1"/>
  <c r="E856" i="79"/>
  <c r="E857" i="79" a="1"/>
  <c r="E857" i="79"/>
  <c r="E858" i="79" a="1"/>
  <c r="E858" i="79"/>
  <c r="E859" i="79" a="1"/>
  <c r="E859" i="79"/>
  <c r="E860" i="79" a="1"/>
  <c r="E860" i="79"/>
  <c r="E861" i="79" a="1"/>
  <c r="E861" i="79"/>
  <c r="E862" i="79" a="1"/>
  <c r="E862" i="79"/>
  <c r="E863" i="79" a="1"/>
  <c r="E863" i="79"/>
  <c r="E864" i="79" a="1"/>
  <c r="E864" i="79"/>
  <c r="E865" i="79" a="1"/>
  <c r="E865" i="79"/>
  <c r="E866" i="79" a="1"/>
  <c r="E866" i="79"/>
  <c r="E867" i="79" a="1"/>
  <c r="E867" i="79"/>
  <c r="E868" i="79" a="1"/>
  <c r="E868" i="79"/>
  <c r="E869" i="79" a="1"/>
  <c r="E869" i="79"/>
  <c r="E870" i="79" a="1"/>
  <c r="E870" i="79"/>
  <c r="E871" i="79" a="1"/>
  <c r="E871" i="79"/>
  <c r="E872" i="79" a="1"/>
  <c r="E872" i="79"/>
  <c r="E876" i="79" a="1"/>
  <c r="E876" i="79"/>
  <c r="E877" i="79" a="1"/>
  <c r="E877" i="79"/>
  <c r="E878" i="79" a="1"/>
  <c r="E878" i="79"/>
  <c r="E879" i="79" a="1"/>
  <c r="E879" i="79"/>
  <c r="E880" i="79" a="1"/>
  <c r="E880" i="79"/>
  <c r="E881" i="79" a="1"/>
  <c r="E881" i="79"/>
  <c r="E882" i="79" a="1"/>
  <c r="E882" i="79"/>
  <c r="E883" i="79" a="1"/>
  <c r="E883" i="79"/>
  <c r="E884" i="79" a="1"/>
  <c r="E884" i="79"/>
  <c r="E885" i="79" a="1"/>
  <c r="E885" i="79"/>
  <c r="E886" i="79" a="1"/>
  <c r="E886" i="79"/>
  <c r="E4" i="79" a="1"/>
  <c r="E4" i="79"/>
  <c r="E5" i="79" a="1"/>
  <c r="E5" i="79"/>
  <c r="E6" i="79" a="1"/>
  <c r="E6" i="79"/>
  <c r="E7" i="79" a="1"/>
  <c r="E7" i="79"/>
  <c r="E8" i="79" a="1"/>
  <c r="E8" i="79"/>
  <c r="E9" i="79" a="1"/>
  <c r="E9" i="79"/>
  <c r="E10" i="79" a="1"/>
  <c r="E10" i="79"/>
  <c r="E11" i="79" a="1"/>
  <c r="E11" i="79"/>
  <c r="E31" i="79" a="1"/>
  <c r="E31" i="79"/>
  <c r="E32" i="79" a="1"/>
  <c r="E32" i="79"/>
  <c r="E33" i="79" a="1"/>
  <c r="E33" i="79"/>
  <c r="E34" i="79" a="1"/>
  <c r="E34" i="79"/>
  <c r="E35" i="79" a="1"/>
  <c r="E35" i="79"/>
  <c r="E36" i="79" a="1"/>
  <c r="E36" i="79"/>
  <c r="E3" i="79" a="1"/>
  <c r="E3" i="79"/>
  <c r="K137" i="35"/>
  <c r="L137" i="35" s="1"/>
  <c r="H137" i="35"/>
  <c r="I137" i="35" s="1"/>
  <c r="M137" i="35" s="1"/>
  <c r="K136" i="35"/>
  <c r="L136" i="35" s="1"/>
  <c r="H136" i="35"/>
  <c r="I136" i="35" s="1"/>
  <c r="M136" i="35" s="1"/>
  <c r="K135" i="35"/>
  <c r="L135" i="35" s="1"/>
  <c r="H135" i="35"/>
  <c r="I135" i="35" s="1"/>
  <c r="M135" i="35" s="1"/>
  <c r="K134" i="35"/>
  <c r="L134" i="35" s="1"/>
  <c r="H134" i="35"/>
  <c r="I134" i="35" s="1"/>
  <c r="M134" i="35" s="1"/>
  <c r="K133" i="35"/>
  <c r="L133" i="35" s="1"/>
  <c r="H133" i="35"/>
  <c r="I133" i="35" s="1"/>
  <c r="M133" i="35" s="1"/>
  <c r="K132" i="35"/>
  <c r="L132" i="35" s="1"/>
  <c r="H132" i="35"/>
  <c r="I132" i="35" s="1"/>
  <c r="M132" i="35" s="1"/>
  <c r="K131" i="35"/>
  <c r="L131" i="35" s="1"/>
  <c r="H131" i="35"/>
  <c r="I131" i="35" s="1"/>
  <c r="M131" i="35" s="1"/>
  <c r="H127" i="35"/>
  <c r="I127" i="35" s="1"/>
  <c r="M127" i="35" s="1"/>
  <c r="H125" i="35"/>
  <c r="I125" i="35" s="1"/>
  <c r="M125" i="35" s="1"/>
  <c r="M138" i="35" s="1"/>
  <c r="K121" i="35"/>
  <c r="L121" i="35" s="1"/>
  <c r="H121" i="35"/>
  <c r="I121" i="35" s="1"/>
  <c r="M121" i="35" s="1"/>
  <c r="K120" i="35"/>
  <c r="L120" i="35" s="1"/>
  <c r="H120" i="35"/>
  <c r="I120" i="35" s="1"/>
  <c r="M120" i="35" s="1"/>
  <c r="K119" i="35"/>
  <c r="L119" i="35" s="1"/>
  <c r="H119" i="35"/>
  <c r="I119" i="35" s="1"/>
  <c r="M119" i="35" s="1"/>
  <c r="K118" i="35"/>
  <c r="L118" i="35" s="1"/>
  <c r="H118" i="35"/>
  <c r="I118" i="35" s="1"/>
  <c r="M118" i="35" s="1"/>
  <c r="K117" i="35"/>
  <c r="L117" i="35" s="1"/>
  <c r="H117" i="35"/>
  <c r="I117" i="35" s="1"/>
  <c r="M117" i="35" s="1"/>
  <c r="K116" i="35"/>
  <c r="L116" i="35" s="1"/>
  <c r="H116" i="35"/>
  <c r="I116" i="35" s="1"/>
  <c r="M116" i="35" s="1"/>
  <c r="M122" i="35" s="1"/>
  <c r="K108" i="35"/>
  <c r="L108" i="35" s="1"/>
  <c r="H108" i="35"/>
  <c r="I108" i="35" s="1"/>
  <c r="M108" i="35" s="1"/>
  <c r="K107" i="35"/>
  <c r="L107" i="35" s="1"/>
  <c r="H107" i="35"/>
  <c r="I107" i="35" s="1"/>
  <c r="M107" i="35" s="1"/>
  <c r="K106" i="35"/>
  <c r="L106" i="35" s="1"/>
  <c r="H106" i="35"/>
  <c r="I106" i="35" s="1"/>
  <c r="M106" i="35" s="1"/>
  <c r="K105" i="35"/>
  <c r="L105" i="35" s="1"/>
  <c r="H105" i="35"/>
  <c r="I105" i="35" s="1"/>
  <c r="M105" i="35" s="1"/>
  <c r="K104" i="35"/>
  <c r="L104" i="35" s="1"/>
  <c r="H104" i="35"/>
  <c r="I104" i="35" s="1"/>
  <c r="M104" i="35" s="1"/>
  <c r="M109" i="35" s="1"/>
  <c r="K100" i="35"/>
  <c r="L100" i="35" s="1"/>
  <c r="H100" i="35"/>
  <c r="I100" i="35" s="1"/>
  <c r="M100" i="35" s="1"/>
  <c r="M101" i="35" s="1"/>
  <c r="K96" i="35"/>
  <c r="L96" i="35" s="1"/>
  <c r="H96" i="35"/>
  <c r="I96" i="35" s="1"/>
  <c r="M96" i="35" s="1"/>
  <c r="K95" i="35"/>
  <c r="L95" i="35" s="1"/>
  <c r="H95" i="35"/>
  <c r="I95" i="35" s="1"/>
  <c r="M95" i="35" s="1"/>
  <c r="K94" i="35"/>
  <c r="L94" i="35" s="1"/>
  <c r="H94" i="35"/>
  <c r="I94" i="35" s="1"/>
  <c r="M94" i="35" s="1"/>
  <c r="K93" i="35"/>
  <c r="L93" i="35" s="1"/>
  <c r="H93" i="35"/>
  <c r="I93" i="35" s="1"/>
  <c r="M93" i="35" s="1"/>
  <c r="K92" i="35"/>
  <c r="L92" i="35" s="1"/>
  <c r="H92" i="35"/>
  <c r="I92" i="35" s="1"/>
  <c r="M92" i="35" s="1"/>
  <c r="K91" i="35"/>
  <c r="L91" i="35" s="1"/>
  <c r="H91" i="35"/>
  <c r="I91" i="35" s="1"/>
  <c r="M91" i="35" s="1"/>
  <c r="K90" i="35"/>
  <c r="L90" i="35" s="1"/>
  <c r="H90" i="35"/>
  <c r="I90" i="35" s="1"/>
  <c r="M90" i="35" s="1"/>
  <c r="K89" i="35"/>
  <c r="L89" i="35" s="1"/>
  <c r="H89" i="35"/>
  <c r="I89" i="35" s="1"/>
  <c r="M89" i="35" s="1"/>
  <c r="M97" i="35" s="1"/>
  <c r="K84" i="35"/>
  <c r="L84" i="35" s="1"/>
  <c r="H84" i="35"/>
  <c r="I84" i="35" s="1"/>
  <c r="M84" i="35" s="1"/>
  <c r="K83" i="35"/>
  <c r="L83" i="35" s="1"/>
  <c r="H83" i="35"/>
  <c r="I83" i="35" s="1"/>
  <c r="M83" i="35" s="1"/>
  <c r="K82" i="35"/>
  <c r="L82" i="35" s="1"/>
  <c r="H82" i="35"/>
  <c r="I82" i="35" s="1"/>
  <c r="M82" i="35" s="1"/>
  <c r="K81" i="35"/>
  <c r="L81" i="35" s="1"/>
  <c r="H81" i="35"/>
  <c r="I81" i="35" s="1"/>
  <c r="M81" i="35" s="1"/>
  <c r="M85" i="35" s="1"/>
  <c r="K74" i="35"/>
  <c r="L74" i="35" s="1"/>
  <c r="H74" i="35"/>
  <c r="I74" i="35" s="1"/>
  <c r="M74" i="35" s="1"/>
  <c r="K73" i="35"/>
  <c r="L73" i="35" s="1"/>
  <c r="H73" i="35"/>
  <c r="I73" i="35" s="1"/>
  <c r="M73" i="35" s="1"/>
  <c r="K72" i="35"/>
  <c r="L72" i="35" s="1"/>
  <c r="H72" i="35"/>
  <c r="I72" i="35" s="1"/>
  <c r="M72" i="35" s="1"/>
  <c r="K70" i="35"/>
  <c r="L70" i="35" s="1"/>
  <c r="H70" i="35"/>
  <c r="I70" i="35" s="1"/>
  <c r="M70" i="35" s="1"/>
  <c r="L69" i="35"/>
  <c r="H69" i="35"/>
  <c r="I69" i="35" s="1"/>
  <c r="M69" i="35" s="1"/>
  <c r="L68" i="35"/>
  <c r="H68" i="35"/>
  <c r="I68" i="35" s="1"/>
  <c r="M68" i="35" s="1"/>
  <c r="L67" i="35"/>
  <c r="H67" i="35"/>
  <c r="I67" i="35" s="1"/>
  <c r="M67" i="35" s="1"/>
  <c r="M75" i="35" s="1"/>
  <c r="H63" i="35"/>
  <c r="I63" i="35" s="1"/>
  <c r="M63" i="35" s="1"/>
  <c r="L62" i="35"/>
  <c r="H62" i="35"/>
  <c r="I62" i="35" s="1"/>
  <c r="M62" i="35" s="1"/>
  <c r="L61" i="35"/>
  <c r="H61" i="35"/>
  <c r="I61" i="35" s="1"/>
  <c r="M61" i="35" s="1"/>
  <c r="L60" i="35"/>
  <c r="H60" i="35"/>
  <c r="I60" i="35" s="1"/>
  <c r="M60" i="35" s="1"/>
  <c r="M64" i="35" s="1"/>
  <c r="L51" i="35"/>
  <c r="H51" i="35"/>
  <c r="I51" i="35" s="1"/>
  <c r="M51" i="35" s="1"/>
  <c r="L50" i="35"/>
  <c r="H50" i="35"/>
  <c r="I50" i="35" s="1"/>
  <c r="M50" i="35" s="1"/>
  <c r="L48" i="35"/>
  <c r="H48" i="35"/>
  <c r="I48" i="35" s="1"/>
  <c r="M48" i="35" s="1"/>
  <c r="L47" i="35"/>
  <c r="H47" i="35"/>
  <c r="I47" i="35" s="1"/>
  <c r="M47" i="35" s="1"/>
  <c r="L46" i="35"/>
  <c r="H46" i="35"/>
  <c r="I46" i="35" s="1"/>
  <c r="M46" i="35" s="1"/>
  <c r="L45" i="35"/>
  <c r="H45" i="35"/>
  <c r="I45" i="35" s="1"/>
  <c r="M45" i="35" s="1"/>
  <c r="L44" i="35"/>
  <c r="H44" i="35"/>
  <c r="I44" i="35" s="1"/>
  <c r="M44" i="35" s="1"/>
  <c r="M54" i="35" s="1"/>
  <c r="L39" i="35"/>
  <c r="H39" i="35"/>
  <c r="I39" i="35" s="1"/>
  <c r="M39" i="35" s="1"/>
  <c r="L38" i="35"/>
  <c r="H38" i="35"/>
  <c r="I38" i="35" s="1"/>
  <c r="M38" i="35" s="1"/>
  <c r="L36" i="35"/>
  <c r="H36" i="35"/>
  <c r="I36" i="35" s="1"/>
  <c r="M36" i="35" s="1"/>
  <c r="L35" i="35"/>
  <c r="H35" i="35"/>
  <c r="I35" i="35" s="1"/>
  <c r="M35" i="35" s="1"/>
  <c r="M41" i="35" s="1"/>
  <c r="M77" i="35" s="1"/>
  <c r="P13" i="35"/>
  <c r="O12" i="35"/>
  <c r="O11" i="35"/>
  <c r="O10" i="35"/>
  <c r="O13" i="35" s="1"/>
  <c r="M10" i="35"/>
  <c r="E77" i="75"/>
  <c r="K76" i="75"/>
  <c r="L76" i="75" s="1"/>
  <c r="I76" i="75"/>
  <c r="M76" i="75" s="1"/>
  <c r="K75" i="75"/>
  <c r="L75" i="75" s="1"/>
  <c r="I75" i="75"/>
  <c r="M75" i="75" s="1"/>
  <c r="I74" i="75"/>
  <c r="L73" i="75"/>
  <c r="H73" i="75"/>
  <c r="I73" i="75" s="1"/>
  <c r="M73" i="75" s="1"/>
  <c r="L72" i="75"/>
  <c r="H72" i="75"/>
  <c r="I72" i="75" s="1"/>
  <c r="M72" i="75" s="1"/>
  <c r="L71" i="75"/>
  <c r="H71" i="75"/>
  <c r="I71" i="75" s="1"/>
  <c r="M71" i="75" s="1"/>
  <c r="L69" i="75"/>
  <c r="H69" i="75"/>
  <c r="I69" i="75" s="1"/>
  <c r="M69" i="75" s="1"/>
  <c r="L68" i="75"/>
  <c r="H68" i="75"/>
  <c r="I68" i="75" s="1"/>
  <c r="M68" i="75" s="1"/>
  <c r="L67" i="75"/>
  <c r="H67" i="75"/>
  <c r="I67" i="75" s="1"/>
  <c r="M67" i="75" s="1"/>
  <c r="H65" i="75"/>
  <c r="I65" i="75" s="1"/>
  <c r="M65" i="75" s="1"/>
  <c r="L64" i="75"/>
  <c r="H64" i="75"/>
  <c r="I64" i="75" s="1"/>
  <c r="M64" i="75" s="1"/>
  <c r="H63" i="75"/>
  <c r="I63" i="75" s="1"/>
  <c r="M63" i="75" s="1"/>
  <c r="L62" i="75"/>
  <c r="H62" i="75"/>
  <c r="I62" i="75" s="1"/>
  <c r="M62" i="75" s="1"/>
  <c r="H61" i="75"/>
  <c r="I61" i="75" s="1"/>
  <c r="M61" i="75" s="1"/>
  <c r="H60" i="75"/>
  <c r="I60" i="75" s="1"/>
  <c r="M60" i="75" s="1"/>
  <c r="H57" i="75"/>
  <c r="I57" i="75" s="1"/>
  <c r="M57" i="75" s="1"/>
  <c r="L56" i="75"/>
  <c r="H56" i="75"/>
  <c r="I56" i="75" s="1"/>
  <c r="M56" i="75" s="1"/>
  <c r="H55" i="75"/>
  <c r="I55" i="75" s="1"/>
  <c r="M55" i="75" s="1"/>
  <c r="L54" i="75"/>
  <c r="H54" i="75"/>
  <c r="I54" i="75" s="1"/>
  <c r="M54" i="75" s="1"/>
  <c r="H53" i="75"/>
  <c r="I53" i="75" s="1"/>
  <c r="M53" i="75" s="1"/>
  <c r="L52" i="75"/>
  <c r="H52" i="75"/>
  <c r="I52" i="75" s="1"/>
  <c r="M52" i="75" s="1"/>
  <c r="L50" i="75"/>
  <c r="H50" i="75"/>
  <c r="I50" i="75" s="1"/>
  <c r="M50" i="75" s="1"/>
  <c r="L49" i="75"/>
  <c r="H49" i="75"/>
  <c r="I49" i="75" s="1"/>
  <c r="M49" i="75" s="1"/>
  <c r="L48" i="75"/>
  <c r="H48" i="75"/>
  <c r="I48" i="75" s="1"/>
  <c r="M48" i="75" s="1"/>
  <c r="L47" i="75"/>
  <c r="H47" i="75"/>
  <c r="I47" i="75" s="1"/>
  <c r="M47" i="75" s="1"/>
  <c r="L46" i="75"/>
  <c r="H46" i="75"/>
  <c r="I46" i="75" s="1"/>
  <c r="M46" i="75" s="1"/>
  <c r="L45" i="75"/>
  <c r="H45" i="75"/>
  <c r="I45" i="75" s="1"/>
  <c r="M45" i="75" s="1"/>
  <c r="L44" i="75"/>
  <c r="H44" i="75"/>
  <c r="I44" i="75" s="1"/>
  <c r="M44" i="75" s="1"/>
  <c r="L43" i="75"/>
  <c r="H43" i="75"/>
  <c r="I43" i="75" s="1"/>
  <c r="M43" i="75" s="1"/>
  <c r="L42" i="75"/>
  <c r="H42" i="75"/>
  <c r="I42" i="75" s="1"/>
  <c r="M42" i="75" s="1"/>
  <c r="L41" i="75"/>
  <c r="H41" i="75"/>
  <c r="I41" i="75" s="1"/>
  <c r="M41" i="75" s="1"/>
  <c r="L40" i="75"/>
  <c r="H40" i="75"/>
  <c r="I40" i="75" s="1"/>
  <c r="M40" i="75" s="1"/>
  <c r="L39" i="75"/>
  <c r="M39" i="75" s="1"/>
  <c r="L38" i="75"/>
  <c r="H38" i="75"/>
  <c r="I38" i="75" s="1"/>
  <c r="M38" i="75" s="1"/>
  <c r="L37" i="75"/>
  <c r="H37" i="75"/>
  <c r="I37" i="75" s="1"/>
  <c r="M37" i="75" s="1"/>
  <c r="L36" i="75"/>
  <c r="H36" i="75"/>
  <c r="I36" i="75" s="1"/>
  <c r="M36" i="75" s="1"/>
  <c r="L35" i="75"/>
  <c r="H35" i="75"/>
  <c r="I35" i="75" s="1"/>
  <c r="M35" i="75" s="1"/>
  <c r="L34" i="75"/>
  <c r="L77" i="75" s="1"/>
  <c r="H34" i="75"/>
  <c r="I34" i="75" s="1"/>
  <c r="O10" i="75"/>
  <c r="L10" i="75"/>
  <c r="L12" i="75" s="1"/>
  <c r="E10" i="75"/>
  <c r="K141" i="74"/>
  <c r="J141" i="74"/>
  <c r="E141" i="74"/>
  <c r="G139" i="74"/>
  <c r="H139" i="74" s="1"/>
  <c r="I139" i="74" s="1"/>
  <c r="L139" i="74" s="1"/>
  <c r="G138" i="74"/>
  <c r="H138" i="74" s="1"/>
  <c r="I138" i="74" s="1"/>
  <c r="L138" i="74" s="1"/>
  <c r="G137" i="74"/>
  <c r="H137" i="74" s="1"/>
  <c r="I137" i="74" s="1"/>
  <c r="L137" i="74" s="1"/>
  <c r="G136" i="74"/>
  <c r="H136" i="74" s="1"/>
  <c r="I136" i="74" s="1"/>
  <c r="L136" i="74" s="1"/>
  <c r="G135" i="74"/>
  <c r="H135" i="74" s="1"/>
  <c r="I135" i="74" s="1"/>
  <c r="L135" i="74" s="1"/>
  <c r="G134" i="74"/>
  <c r="H134" i="74" s="1"/>
  <c r="I134" i="74" s="1"/>
  <c r="L134" i="74" s="1"/>
  <c r="G133" i="74"/>
  <c r="H133" i="74" s="1"/>
  <c r="I133" i="74" s="1"/>
  <c r="L133" i="74" s="1"/>
  <c r="G132" i="74"/>
  <c r="H132" i="74" s="1"/>
  <c r="I132" i="74" s="1"/>
  <c r="L132" i="74" s="1"/>
  <c r="G131" i="74"/>
  <c r="H131" i="74" s="1"/>
  <c r="I131" i="74" s="1"/>
  <c r="L131" i="74" s="1"/>
  <c r="G130" i="74"/>
  <c r="H130" i="74" s="1"/>
  <c r="I130" i="74" s="1"/>
  <c r="L130" i="74" s="1"/>
  <c r="G129" i="74"/>
  <c r="H129" i="74" s="1"/>
  <c r="I129" i="74" s="1"/>
  <c r="L129" i="74" s="1"/>
  <c r="G128" i="74"/>
  <c r="H128" i="74" s="1"/>
  <c r="I128" i="74" s="1"/>
  <c r="L128" i="74" s="1"/>
  <c r="G127" i="74"/>
  <c r="H127" i="74" s="1"/>
  <c r="I127" i="74" s="1"/>
  <c r="L127" i="74" s="1"/>
  <c r="G126" i="74"/>
  <c r="H126" i="74" s="1"/>
  <c r="I126" i="74" s="1"/>
  <c r="L126" i="74" s="1"/>
  <c r="G125" i="74"/>
  <c r="H125" i="74" s="1"/>
  <c r="I125" i="74" s="1"/>
  <c r="L125" i="74" s="1"/>
  <c r="G124" i="74"/>
  <c r="H124" i="74" s="1"/>
  <c r="I124" i="74" s="1"/>
  <c r="L124" i="74" s="1"/>
  <c r="G123" i="74"/>
  <c r="H123" i="74" s="1"/>
  <c r="I123" i="74" s="1"/>
  <c r="L123" i="74" s="1"/>
  <c r="G122" i="74"/>
  <c r="H122" i="74" s="1"/>
  <c r="I122" i="74" s="1"/>
  <c r="L122" i="74" s="1"/>
  <c r="G121" i="74"/>
  <c r="H121" i="74" s="1"/>
  <c r="I121" i="74" s="1"/>
  <c r="L121" i="74" s="1"/>
  <c r="G120" i="74"/>
  <c r="H120" i="74" s="1"/>
  <c r="I120" i="74" s="1"/>
  <c r="L120" i="74" s="1"/>
  <c r="G119" i="74"/>
  <c r="H119" i="74" s="1"/>
  <c r="I119" i="74" s="1"/>
  <c r="L119" i="74" s="1"/>
  <c r="G118" i="74"/>
  <c r="H118" i="74" s="1"/>
  <c r="I118" i="74" s="1"/>
  <c r="L118" i="74" s="1"/>
  <c r="G117" i="74"/>
  <c r="H117" i="74" s="1"/>
  <c r="I117" i="74" s="1"/>
  <c r="L117" i="74" s="1"/>
  <c r="G116" i="74"/>
  <c r="H116" i="74" s="1"/>
  <c r="I116" i="74" s="1"/>
  <c r="L116" i="74" s="1"/>
  <c r="G115" i="74"/>
  <c r="H115" i="74" s="1"/>
  <c r="I115" i="74" s="1"/>
  <c r="L115" i="74" s="1"/>
  <c r="G114" i="74"/>
  <c r="H114" i="74" s="1"/>
  <c r="I114" i="74" s="1"/>
  <c r="L114" i="74" s="1"/>
  <c r="G113" i="74"/>
  <c r="H113" i="74" s="1"/>
  <c r="I113" i="74" s="1"/>
  <c r="L113" i="74" s="1"/>
  <c r="G112" i="74"/>
  <c r="H112" i="74" s="1"/>
  <c r="I112" i="74" s="1"/>
  <c r="L112" i="74" s="1"/>
  <c r="G111" i="74"/>
  <c r="H111" i="74" s="1"/>
  <c r="I111" i="74" s="1"/>
  <c r="L111" i="74" s="1"/>
  <c r="G110" i="74"/>
  <c r="H110" i="74" s="1"/>
  <c r="I110" i="74" s="1"/>
  <c r="L110" i="74" s="1"/>
  <c r="G109" i="74"/>
  <c r="H109" i="74" s="1"/>
  <c r="I109" i="74" s="1"/>
  <c r="L109" i="74" s="1"/>
  <c r="G108" i="74"/>
  <c r="H108" i="74" s="1"/>
  <c r="I108" i="74" s="1"/>
  <c r="L108" i="74" s="1"/>
  <c r="G107" i="74"/>
  <c r="H107" i="74" s="1"/>
  <c r="I107" i="74" s="1"/>
  <c r="L107" i="74" s="1"/>
  <c r="G106" i="74"/>
  <c r="H106" i="74" s="1"/>
  <c r="I106" i="74" s="1"/>
  <c r="L106" i="74" s="1"/>
  <c r="G105" i="74"/>
  <c r="H105" i="74" s="1"/>
  <c r="I105" i="74" s="1"/>
  <c r="L105" i="74" s="1"/>
  <c r="G104" i="74"/>
  <c r="H104" i="74" s="1"/>
  <c r="I104" i="74" s="1"/>
  <c r="L104" i="74" s="1"/>
  <c r="G103" i="74"/>
  <c r="H103" i="74" s="1"/>
  <c r="I103" i="74" s="1"/>
  <c r="L103" i="74" s="1"/>
  <c r="G102" i="74"/>
  <c r="H102" i="74" s="1"/>
  <c r="I102" i="74" s="1"/>
  <c r="L102" i="74" s="1"/>
  <c r="G101" i="74"/>
  <c r="H101" i="74" s="1"/>
  <c r="I101" i="74" s="1"/>
  <c r="L101" i="74" s="1"/>
  <c r="G100" i="74"/>
  <c r="H100" i="74" s="1"/>
  <c r="I100" i="74" s="1"/>
  <c r="L100" i="74" s="1"/>
  <c r="G99" i="74"/>
  <c r="H99" i="74" s="1"/>
  <c r="I99" i="74" s="1"/>
  <c r="L99" i="74" s="1"/>
  <c r="G98" i="74"/>
  <c r="H98" i="74" s="1"/>
  <c r="I98" i="74" s="1"/>
  <c r="L98" i="74" s="1"/>
  <c r="G97" i="74"/>
  <c r="H97" i="74" s="1"/>
  <c r="I97" i="74" s="1"/>
  <c r="L97" i="74" s="1"/>
  <c r="G96" i="74"/>
  <c r="H96" i="74" s="1"/>
  <c r="I96" i="74" s="1"/>
  <c r="L96" i="74" s="1"/>
  <c r="G95" i="74"/>
  <c r="H95" i="74" s="1"/>
  <c r="I95" i="74" s="1"/>
  <c r="L95" i="74" s="1"/>
  <c r="G94" i="74"/>
  <c r="H94" i="74" s="1"/>
  <c r="I94" i="74" s="1"/>
  <c r="L94" i="74" s="1"/>
  <c r="G93" i="74"/>
  <c r="H93" i="74" s="1"/>
  <c r="I93" i="74" s="1"/>
  <c r="L93" i="74" s="1"/>
  <c r="G92" i="74"/>
  <c r="H92" i="74" s="1"/>
  <c r="I92" i="74" s="1"/>
  <c r="L92" i="74" s="1"/>
  <c r="G91" i="74"/>
  <c r="H91" i="74" s="1"/>
  <c r="I91" i="74" s="1"/>
  <c r="L91" i="74" s="1"/>
  <c r="G90" i="74"/>
  <c r="H90" i="74" s="1"/>
  <c r="I90" i="74" s="1"/>
  <c r="L90" i="74" s="1"/>
  <c r="G89" i="74"/>
  <c r="H89" i="74" s="1"/>
  <c r="I89" i="74" s="1"/>
  <c r="L89" i="74" s="1"/>
  <c r="G88" i="74"/>
  <c r="H88" i="74" s="1"/>
  <c r="I88" i="74" s="1"/>
  <c r="L88" i="74" s="1"/>
  <c r="G87" i="74"/>
  <c r="H87" i="74" s="1"/>
  <c r="I87" i="74" s="1"/>
  <c r="L87" i="74" s="1"/>
  <c r="G86" i="74"/>
  <c r="H86" i="74" s="1"/>
  <c r="I86" i="74" s="1"/>
  <c r="L86" i="74" s="1"/>
  <c r="G85" i="74"/>
  <c r="H85" i="74" s="1"/>
  <c r="I85" i="74" s="1"/>
  <c r="L85" i="74" s="1"/>
  <c r="G84" i="74"/>
  <c r="H84" i="74" s="1"/>
  <c r="I84" i="74" s="1"/>
  <c r="L84" i="74" s="1"/>
  <c r="G83" i="74"/>
  <c r="H83" i="74" s="1"/>
  <c r="I83" i="74" s="1"/>
  <c r="L83" i="74" s="1"/>
  <c r="G82" i="74"/>
  <c r="H82" i="74" s="1"/>
  <c r="I82" i="74" s="1"/>
  <c r="L82" i="74" s="1"/>
  <c r="G81" i="74"/>
  <c r="H81" i="74" s="1"/>
  <c r="I81" i="74" s="1"/>
  <c r="L81" i="74" s="1"/>
  <c r="G80" i="74"/>
  <c r="H80" i="74" s="1"/>
  <c r="I80" i="74" s="1"/>
  <c r="L80" i="74" s="1"/>
  <c r="G79" i="74"/>
  <c r="H79" i="74" s="1"/>
  <c r="I79" i="74" s="1"/>
  <c r="L79" i="74" s="1"/>
  <c r="G78" i="74"/>
  <c r="H78" i="74" s="1"/>
  <c r="I78" i="74" s="1"/>
  <c r="L78" i="74" s="1"/>
  <c r="G77" i="74"/>
  <c r="H77" i="74" s="1"/>
  <c r="I77" i="74" s="1"/>
  <c r="L77" i="74" s="1"/>
  <c r="G76" i="74"/>
  <c r="H76" i="74" s="1"/>
  <c r="I76" i="74" s="1"/>
  <c r="L76" i="74" s="1"/>
  <c r="G75" i="74"/>
  <c r="H75" i="74" s="1"/>
  <c r="I75" i="74" s="1"/>
  <c r="L75" i="74" s="1"/>
  <c r="G74" i="74"/>
  <c r="H74" i="74" s="1"/>
  <c r="I74" i="74" s="1"/>
  <c r="L74" i="74" s="1"/>
  <c r="G73" i="74"/>
  <c r="H73" i="74" s="1"/>
  <c r="I73" i="74" s="1"/>
  <c r="L73" i="74" s="1"/>
  <c r="G72" i="74"/>
  <c r="H72" i="74" s="1"/>
  <c r="I72" i="74" s="1"/>
  <c r="L72" i="74" s="1"/>
  <c r="G71" i="74"/>
  <c r="H71" i="74" s="1"/>
  <c r="I71" i="74" s="1"/>
  <c r="L71" i="74" s="1"/>
  <c r="G70" i="74"/>
  <c r="H70" i="74" s="1"/>
  <c r="I70" i="74" s="1"/>
  <c r="L70" i="74" s="1"/>
  <c r="G69" i="74"/>
  <c r="H69" i="74" s="1"/>
  <c r="I69" i="74" s="1"/>
  <c r="L69" i="74" s="1"/>
  <c r="G68" i="74"/>
  <c r="H68" i="74" s="1"/>
  <c r="I68" i="74" s="1"/>
  <c r="L68" i="74" s="1"/>
  <c r="G67" i="74"/>
  <c r="H67" i="74" s="1"/>
  <c r="I67" i="74" s="1"/>
  <c r="L67" i="74" s="1"/>
  <c r="G66" i="74"/>
  <c r="H66" i="74" s="1"/>
  <c r="I66" i="74" s="1"/>
  <c r="L66" i="74" s="1"/>
  <c r="G65" i="74"/>
  <c r="H65" i="74" s="1"/>
  <c r="I65" i="74" s="1"/>
  <c r="L65" i="74" s="1"/>
  <c r="G64" i="74"/>
  <c r="H64" i="74" s="1"/>
  <c r="I64" i="74" s="1"/>
  <c r="L64" i="74" s="1"/>
  <c r="G63" i="74"/>
  <c r="H63" i="74" s="1"/>
  <c r="I63" i="74" s="1"/>
  <c r="L63" i="74" s="1"/>
  <c r="G62" i="74"/>
  <c r="H62" i="74" s="1"/>
  <c r="I62" i="74" s="1"/>
  <c r="L62" i="74" s="1"/>
  <c r="G61" i="74"/>
  <c r="H61" i="74" s="1"/>
  <c r="I61" i="74" s="1"/>
  <c r="L61" i="74" s="1"/>
  <c r="G60" i="74"/>
  <c r="H60" i="74" s="1"/>
  <c r="I60" i="74" s="1"/>
  <c r="L60" i="74" s="1"/>
  <c r="G59" i="74"/>
  <c r="H59" i="74" s="1"/>
  <c r="I59" i="74" s="1"/>
  <c r="L59" i="74" s="1"/>
  <c r="G58" i="74"/>
  <c r="H58" i="74" s="1"/>
  <c r="I58" i="74" s="1"/>
  <c r="L58" i="74" s="1"/>
  <c r="G57" i="74"/>
  <c r="H57" i="74" s="1"/>
  <c r="I57" i="74" s="1"/>
  <c r="L57" i="74" s="1"/>
  <c r="G56" i="74"/>
  <c r="H56" i="74" s="1"/>
  <c r="I56" i="74" s="1"/>
  <c r="L56" i="74" s="1"/>
  <c r="G55" i="74"/>
  <c r="H55" i="74" s="1"/>
  <c r="I55" i="74" s="1"/>
  <c r="L55" i="74" s="1"/>
  <c r="G54" i="74"/>
  <c r="H54" i="74" s="1"/>
  <c r="I54" i="74" s="1"/>
  <c r="L54" i="74" s="1"/>
  <c r="G53" i="74"/>
  <c r="H53" i="74" s="1"/>
  <c r="I53" i="74" s="1"/>
  <c r="L53" i="74" s="1"/>
  <c r="G52" i="74"/>
  <c r="H52" i="74" s="1"/>
  <c r="I52" i="74" s="1"/>
  <c r="L52" i="74" s="1"/>
  <c r="G51" i="74"/>
  <c r="H51" i="74" s="1"/>
  <c r="I51" i="74" s="1"/>
  <c r="L51" i="74" s="1"/>
  <c r="G50" i="74"/>
  <c r="H50" i="74" s="1"/>
  <c r="I50" i="74" s="1"/>
  <c r="L50" i="74" s="1"/>
  <c r="G49" i="74"/>
  <c r="H49" i="74" s="1"/>
  <c r="I49" i="74" s="1"/>
  <c r="L49" i="74" s="1"/>
  <c r="G48" i="74"/>
  <c r="H48" i="74" s="1"/>
  <c r="I48" i="74" s="1"/>
  <c r="L48" i="74" s="1"/>
  <c r="G47" i="74"/>
  <c r="H47" i="74" s="1"/>
  <c r="I47" i="74" s="1"/>
  <c r="L47" i="74" s="1"/>
  <c r="G46" i="74"/>
  <c r="H46" i="74" s="1"/>
  <c r="I46" i="74" s="1"/>
  <c r="L46" i="74" s="1"/>
  <c r="G45" i="74"/>
  <c r="H45" i="74" s="1"/>
  <c r="I45" i="74" s="1"/>
  <c r="L45" i="74" s="1"/>
  <c r="G44" i="74"/>
  <c r="H44" i="74" s="1"/>
  <c r="I44" i="74" s="1"/>
  <c r="L44" i="74" s="1"/>
  <c r="G43" i="74"/>
  <c r="H43" i="74" s="1"/>
  <c r="I43" i="74" s="1"/>
  <c r="L43" i="74" s="1"/>
  <c r="G42" i="74"/>
  <c r="H42" i="74" s="1"/>
  <c r="I42" i="74" s="1"/>
  <c r="L42" i="74" s="1"/>
  <c r="G41" i="74"/>
  <c r="H41" i="74" s="1"/>
  <c r="I41" i="74" s="1"/>
  <c r="L41" i="74" s="1"/>
  <c r="G40" i="74"/>
  <c r="H40" i="74" s="1"/>
  <c r="I40" i="74" s="1"/>
  <c r="L40" i="74" s="1"/>
  <c r="G39" i="74"/>
  <c r="H39" i="74" s="1"/>
  <c r="I39" i="74" s="1"/>
  <c r="L39" i="74" s="1"/>
  <c r="G38" i="74"/>
  <c r="H38" i="74" s="1"/>
  <c r="I38" i="74" s="1"/>
  <c r="L38" i="74" s="1"/>
  <c r="G37" i="74"/>
  <c r="H37" i="74" s="1"/>
  <c r="I37" i="74" s="1"/>
  <c r="L37" i="74" s="1"/>
  <c r="G36" i="74"/>
  <c r="H36" i="74" s="1"/>
  <c r="I36" i="74" s="1"/>
  <c r="L36" i="74" s="1"/>
  <c r="G35" i="74"/>
  <c r="H35" i="74" s="1"/>
  <c r="I35" i="74" s="1"/>
  <c r="L35" i="74" s="1"/>
  <c r="G34" i="74"/>
  <c r="H34" i="74" s="1"/>
  <c r="I34" i="74" s="1"/>
  <c r="L34" i="74" s="1"/>
  <c r="G33" i="74"/>
  <c r="H33" i="74" s="1"/>
  <c r="I33" i="74" s="1"/>
  <c r="L33" i="74" s="1"/>
  <c r="G32" i="74"/>
  <c r="H32" i="74" s="1"/>
  <c r="I32" i="74" s="1"/>
  <c r="N10" i="74"/>
  <c r="K10" i="74"/>
  <c r="K12" i="74" s="1"/>
  <c r="J10" i="74"/>
  <c r="J12" i="74" s="1"/>
  <c r="E10" i="74"/>
  <c r="E12" i="74" s="1"/>
  <c r="K366" i="73"/>
  <c r="L366" i="73" s="1"/>
  <c r="L368" i="73" s="1"/>
  <c r="I366" i="73"/>
  <c r="M366" i="73" s="1"/>
  <c r="H365" i="73"/>
  <c r="I365" i="73" s="1"/>
  <c r="M365" i="73" s="1"/>
  <c r="H364" i="73"/>
  <c r="I364" i="73" s="1"/>
  <c r="M364" i="73" s="1"/>
  <c r="H363" i="73"/>
  <c r="I363" i="73" s="1"/>
  <c r="M363" i="73" s="1"/>
  <c r="H362" i="73"/>
  <c r="I362" i="73" s="1"/>
  <c r="K356" i="73"/>
  <c r="L356" i="73" s="1"/>
  <c r="L358" i="73" s="1"/>
  <c r="I356" i="73"/>
  <c r="M356" i="73" s="1"/>
  <c r="H355" i="73"/>
  <c r="I355" i="73" s="1"/>
  <c r="M355" i="73" s="1"/>
  <c r="H354" i="73"/>
  <c r="I354" i="73" s="1"/>
  <c r="M354" i="73" s="1"/>
  <c r="H353" i="73"/>
  <c r="I353" i="73" s="1"/>
  <c r="M353" i="73" s="1"/>
  <c r="H352" i="73"/>
  <c r="I352" i="73" s="1"/>
  <c r="K346" i="73"/>
  <c r="L346" i="73" s="1"/>
  <c r="L348" i="73" s="1"/>
  <c r="I346" i="73"/>
  <c r="M346" i="73" s="1"/>
  <c r="H345" i="73"/>
  <c r="I345" i="73" s="1"/>
  <c r="M345" i="73" s="1"/>
  <c r="H344" i="73"/>
  <c r="I344" i="73" s="1"/>
  <c r="M344" i="73" s="1"/>
  <c r="H343" i="73"/>
  <c r="I343" i="73" s="1"/>
  <c r="M343" i="73" s="1"/>
  <c r="H342" i="73"/>
  <c r="I342" i="73" s="1"/>
  <c r="K336" i="73"/>
  <c r="L336" i="73" s="1"/>
  <c r="I336" i="73"/>
  <c r="M336" i="73" s="1"/>
  <c r="H335" i="73"/>
  <c r="I335" i="73" s="1"/>
  <c r="M335" i="73" s="1"/>
  <c r="H334" i="73"/>
  <c r="I334" i="73" s="1"/>
  <c r="M334" i="73" s="1"/>
  <c r="H333" i="73"/>
  <c r="I333" i="73" s="1"/>
  <c r="M333" i="73" s="1"/>
  <c r="H332" i="73"/>
  <c r="I332" i="73" s="1"/>
  <c r="M332" i="73" s="1"/>
  <c r="H331" i="73"/>
  <c r="I331" i="73" s="1"/>
  <c r="M331" i="73" s="1"/>
  <c r="M330" i="73"/>
  <c r="K329" i="73"/>
  <c r="L329" i="73" s="1"/>
  <c r="I329" i="73"/>
  <c r="M329" i="73" s="1"/>
  <c r="H328" i="73"/>
  <c r="I328" i="73" s="1"/>
  <c r="M328" i="73" s="1"/>
  <c r="H327" i="73"/>
  <c r="I327" i="73" s="1"/>
  <c r="M327" i="73" s="1"/>
  <c r="H326" i="73"/>
  <c r="I326" i="73" s="1"/>
  <c r="M326" i="73" s="1"/>
  <c r="H325" i="73"/>
  <c r="I325" i="73" s="1"/>
  <c r="M325" i="73" s="1"/>
  <c r="H324" i="73"/>
  <c r="I324" i="73" s="1"/>
  <c r="M324" i="73" s="1"/>
  <c r="H323" i="73"/>
  <c r="I323" i="73" s="1"/>
  <c r="M323" i="73" s="1"/>
  <c r="H322" i="73"/>
  <c r="I322" i="73" s="1"/>
  <c r="M322" i="73" s="1"/>
  <c r="H321" i="73"/>
  <c r="I321" i="73" s="1"/>
  <c r="M321" i="73" s="1"/>
  <c r="H320" i="73"/>
  <c r="I320" i="73" s="1"/>
  <c r="M320" i="73" s="1"/>
  <c r="H319" i="73"/>
  <c r="I319" i="73" s="1"/>
  <c r="M319" i="73" s="1"/>
  <c r="M318" i="73"/>
  <c r="K317" i="73"/>
  <c r="L317" i="73" s="1"/>
  <c r="L338" i="73" s="1"/>
  <c r="I317" i="73"/>
  <c r="M317" i="73" s="1"/>
  <c r="H316" i="73"/>
  <c r="I316" i="73" s="1"/>
  <c r="M316" i="73" s="1"/>
  <c r="H315" i="73"/>
  <c r="I315" i="73" s="1"/>
  <c r="M315" i="73" s="1"/>
  <c r="H314" i="73"/>
  <c r="I314" i="73" s="1"/>
  <c r="M314" i="73" s="1"/>
  <c r="H313" i="73"/>
  <c r="I313" i="73" s="1"/>
  <c r="M313" i="73" s="1"/>
  <c r="H312" i="73"/>
  <c r="I312" i="73" s="1"/>
  <c r="M312" i="73" s="1"/>
  <c r="H311" i="73"/>
  <c r="I311" i="73" s="1"/>
  <c r="M311" i="73" s="1"/>
  <c r="H310" i="73"/>
  <c r="I310" i="73" s="1"/>
  <c r="M310" i="73" s="1"/>
  <c r="H309" i="73"/>
  <c r="I309" i="73" s="1"/>
  <c r="M309" i="73" s="1"/>
  <c r="H308" i="73"/>
  <c r="I308" i="73" s="1"/>
  <c r="M308" i="73" s="1"/>
  <c r="H307" i="73"/>
  <c r="I307" i="73" s="1"/>
  <c r="M307" i="73" s="1"/>
  <c r="H306" i="73"/>
  <c r="I306" i="73" s="1"/>
  <c r="K300" i="73"/>
  <c r="L300" i="73" s="1"/>
  <c r="L301" i="73" s="1"/>
  <c r="I300" i="73"/>
  <c r="M300" i="73" s="1"/>
  <c r="H299" i="73"/>
  <c r="I299" i="73" s="1"/>
  <c r="M299" i="73" s="1"/>
  <c r="H298" i="73"/>
  <c r="I298" i="73" s="1"/>
  <c r="M298" i="73" s="1"/>
  <c r="H297" i="73"/>
  <c r="I297" i="73" s="1"/>
  <c r="M297" i="73" s="1"/>
  <c r="H296" i="73"/>
  <c r="I296" i="73" s="1"/>
  <c r="K291" i="73"/>
  <c r="L291" i="73" s="1"/>
  <c r="L293" i="73" s="1"/>
  <c r="H291" i="73"/>
  <c r="I291" i="73" s="1"/>
  <c r="M291" i="73" s="1"/>
  <c r="H290" i="73"/>
  <c r="I290" i="73" s="1"/>
  <c r="M290" i="73" s="1"/>
  <c r="H289" i="73"/>
  <c r="I289" i="73" s="1"/>
  <c r="M289" i="73" s="1"/>
  <c r="H288" i="73"/>
  <c r="I288" i="73" s="1"/>
  <c r="M288" i="73" s="1"/>
  <c r="H287" i="73"/>
  <c r="I287" i="73" s="1"/>
  <c r="M287" i="73" s="1"/>
  <c r="H286" i="73"/>
  <c r="I286" i="73" s="1"/>
  <c r="M286" i="73" s="1"/>
  <c r="H285" i="73"/>
  <c r="I285" i="73" s="1"/>
  <c r="K280" i="73"/>
  <c r="L280" i="73" s="1"/>
  <c r="H279" i="73"/>
  <c r="I279" i="73" s="1"/>
  <c r="M279" i="73" s="1"/>
  <c r="H278" i="73"/>
  <c r="I278" i="73" s="1"/>
  <c r="M278" i="73" s="1"/>
  <c r="H277" i="73"/>
  <c r="I277" i="73" s="1"/>
  <c r="M277" i="73" s="1"/>
  <c r="H276" i="73"/>
  <c r="I276" i="73" s="1"/>
  <c r="M276" i="73" s="1"/>
  <c r="H275" i="73"/>
  <c r="I275" i="73" s="1"/>
  <c r="M275" i="73" s="1"/>
  <c r="H274" i="73"/>
  <c r="I274" i="73" s="1"/>
  <c r="M274" i="73" s="1"/>
  <c r="H273" i="73"/>
  <c r="I273" i="73" s="1"/>
  <c r="K268" i="73"/>
  <c r="L268" i="73" s="1"/>
  <c r="M268" i="73" s="1"/>
  <c r="H267" i="73"/>
  <c r="I267" i="73" s="1"/>
  <c r="M267" i="73" s="1"/>
  <c r="H266" i="73"/>
  <c r="I266" i="73" s="1"/>
  <c r="M266" i="73" s="1"/>
  <c r="H265" i="73"/>
  <c r="I265" i="73" s="1"/>
  <c r="M265" i="73" s="1"/>
  <c r="H264" i="73"/>
  <c r="I264" i="73" s="1"/>
  <c r="M264" i="73" s="1"/>
  <c r="H263" i="73"/>
  <c r="I263" i="73" s="1"/>
  <c r="M263" i="73" s="1"/>
  <c r="K261" i="73"/>
  <c r="L261" i="73" s="1"/>
  <c r="M261" i="73" s="1"/>
  <c r="H260" i="73"/>
  <c r="I260" i="73" s="1"/>
  <c r="M260" i="73" s="1"/>
  <c r="H259" i="73"/>
  <c r="I259" i="73" s="1"/>
  <c r="M259" i="73" s="1"/>
  <c r="H258" i="73"/>
  <c r="I258" i="73" s="1"/>
  <c r="M258" i="73" s="1"/>
  <c r="H257" i="73"/>
  <c r="I257" i="73" s="1"/>
  <c r="M257" i="73" s="1"/>
  <c r="H256" i="73"/>
  <c r="I256" i="73" s="1"/>
  <c r="M256" i="73" s="1"/>
  <c r="H255" i="73"/>
  <c r="I255" i="73" s="1"/>
  <c r="M255" i="73" s="1"/>
  <c r="H254" i="73"/>
  <c r="I254" i="73" s="1"/>
  <c r="M254" i="73" s="1"/>
  <c r="K252" i="73"/>
  <c r="L252" i="73" s="1"/>
  <c r="M252" i="73" s="1"/>
  <c r="H251" i="73"/>
  <c r="I251" i="73" s="1"/>
  <c r="M251" i="73" s="1"/>
  <c r="H250" i="73"/>
  <c r="I250" i="73" s="1"/>
  <c r="M250" i="73" s="1"/>
  <c r="H249" i="73"/>
  <c r="I249" i="73" s="1"/>
  <c r="M249" i="73" s="1"/>
  <c r="H248" i="73"/>
  <c r="I248" i="73" s="1"/>
  <c r="M248" i="73" s="1"/>
  <c r="H247" i="73"/>
  <c r="I247" i="73" s="1"/>
  <c r="M247" i="73" s="1"/>
  <c r="H246" i="73"/>
  <c r="I246" i="73" s="1"/>
  <c r="M246" i="73" s="1"/>
  <c r="H245" i="73"/>
  <c r="I245" i="73" s="1"/>
  <c r="M245" i="73" s="1"/>
  <c r="H244" i="73"/>
  <c r="I244" i="73" s="1"/>
  <c r="M244" i="73" s="1"/>
  <c r="H243" i="73"/>
  <c r="I243" i="73" s="1"/>
  <c r="M243" i="73" s="1"/>
  <c r="H242" i="73"/>
  <c r="I242" i="73" s="1"/>
  <c r="M242" i="73" s="1"/>
  <c r="H241" i="73"/>
  <c r="I241" i="73" s="1"/>
  <c r="M241" i="73" s="1"/>
  <c r="H240" i="73"/>
  <c r="I240" i="73" s="1"/>
  <c r="M240" i="73" s="1"/>
  <c r="H239" i="73"/>
  <c r="I239" i="73" s="1"/>
  <c r="M239" i="73" s="1"/>
  <c r="H238" i="73"/>
  <c r="I238" i="73" s="1"/>
  <c r="M238" i="73" s="1"/>
  <c r="H237" i="73"/>
  <c r="I237" i="73" s="1"/>
  <c r="M237" i="73" s="1"/>
  <c r="H236" i="73"/>
  <c r="I236" i="73" s="1"/>
  <c r="M236" i="73" s="1"/>
  <c r="H235" i="73"/>
  <c r="I235" i="73" s="1"/>
  <c r="M235" i="73" s="1"/>
  <c r="K233" i="73"/>
  <c r="L233" i="73" s="1"/>
  <c r="H232" i="73"/>
  <c r="I232" i="73" s="1"/>
  <c r="M232" i="73" s="1"/>
  <c r="H231" i="73"/>
  <c r="I231" i="73" s="1"/>
  <c r="M231" i="73" s="1"/>
  <c r="H230" i="73"/>
  <c r="I230" i="73" s="1"/>
  <c r="M230" i="73" s="1"/>
  <c r="H229" i="73"/>
  <c r="I229" i="73" s="1"/>
  <c r="M229" i="73" s="1"/>
  <c r="H228" i="73"/>
  <c r="I228" i="73" s="1"/>
  <c r="M228" i="73" s="1"/>
  <c r="H227" i="73"/>
  <c r="I227" i="73" s="1"/>
  <c r="M227" i="73" s="1"/>
  <c r="H226" i="73"/>
  <c r="I226" i="73" s="1"/>
  <c r="M226" i="73" s="1"/>
  <c r="H225" i="73"/>
  <c r="I225" i="73" s="1"/>
  <c r="M225" i="73" s="1"/>
  <c r="H224" i="73"/>
  <c r="I224" i="73" s="1"/>
  <c r="M224" i="73" s="1"/>
  <c r="H223" i="73"/>
  <c r="I223" i="73" s="1"/>
  <c r="M223" i="73" s="1"/>
  <c r="H222" i="73"/>
  <c r="I222" i="73" s="1"/>
  <c r="M222" i="73" s="1"/>
  <c r="H221" i="73"/>
  <c r="I221" i="73" s="1"/>
  <c r="M221" i="73" s="1"/>
  <c r="H220" i="73"/>
  <c r="I220" i="73" s="1"/>
  <c r="M220" i="73" s="1"/>
  <c r="H219" i="73"/>
  <c r="I219" i="73" s="1"/>
  <c r="K213" i="73"/>
  <c r="L213" i="73" s="1"/>
  <c r="H212" i="73"/>
  <c r="I212" i="73" s="1"/>
  <c r="M212" i="73" s="1"/>
  <c r="H211" i="73"/>
  <c r="I211" i="73" s="1"/>
  <c r="M211" i="73" s="1"/>
  <c r="H210" i="73"/>
  <c r="I210" i="73" s="1"/>
  <c r="M210" i="73" s="1"/>
  <c r="H209" i="73"/>
  <c r="I209" i="73" s="1"/>
  <c r="M209" i="73" s="1"/>
  <c r="H208" i="73"/>
  <c r="I208" i="73" s="1"/>
  <c r="M208" i="73" s="1"/>
  <c r="H207" i="73"/>
  <c r="I207" i="73" s="1"/>
  <c r="M207" i="73" s="1"/>
  <c r="H206" i="73"/>
  <c r="I206" i="73" s="1"/>
  <c r="M206" i="73" s="1"/>
  <c r="H205" i="73"/>
  <c r="I205" i="73" s="1"/>
  <c r="M205" i="73" s="1"/>
  <c r="H204" i="73"/>
  <c r="I204" i="73" s="1"/>
  <c r="M204" i="73" s="1"/>
  <c r="H203" i="73"/>
  <c r="I203" i="73" s="1"/>
  <c r="K197" i="73"/>
  <c r="L197" i="73" s="1"/>
  <c r="I197" i="73"/>
  <c r="M197" i="73" s="1"/>
  <c r="H196" i="73"/>
  <c r="I196" i="73" s="1"/>
  <c r="M196" i="73" s="1"/>
  <c r="H195" i="73"/>
  <c r="I195" i="73" s="1"/>
  <c r="M195" i="73" s="1"/>
  <c r="H194" i="73"/>
  <c r="I194" i="73" s="1"/>
  <c r="M194" i="73" s="1"/>
  <c r="H193" i="73"/>
  <c r="I193" i="73" s="1"/>
  <c r="M193" i="73" s="1"/>
  <c r="I192" i="73"/>
  <c r="K191" i="73"/>
  <c r="L191" i="73" s="1"/>
  <c r="L198" i="73" s="1"/>
  <c r="I191" i="73"/>
  <c r="M191" i="73" s="1"/>
  <c r="H190" i="73"/>
  <c r="I190" i="73" s="1"/>
  <c r="M190" i="73" s="1"/>
  <c r="H189" i="73"/>
  <c r="I189" i="73" s="1"/>
  <c r="I183" i="73"/>
  <c r="K182" i="73"/>
  <c r="L182" i="73" s="1"/>
  <c r="L184" i="73" s="1"/>
  <c r="L185" i="73" s="1"/>
  <c r="I182" i="73"/>
  <c r="M182" i="73" s="1"/>
  <c r="H181" i="73"/>
  <c r="I181" i="73" s="1"/>
  <c r="M181" i="73" s="1"/>
  <c r="H180" i="73"/>
  <c r="I180" i="73" s="1"/>
  <c r="M180" i="73" s="1"/>
  <c r="H179" i="73"/>
  <c r="I179" i="73" s="1"/>
  <c r="M179" i="73" s="1"/>
  <c r="H178" i="73"/>
  <c r="I178" i="73" s="1"/>
  <c r="M178" i="73" s="1"/>
  <c r="H177" i="73"/>
  <c r="I177" i="73" s="1"/>
  <c r="M177" i="73" s="1"/>
  <c r="H176" i="73"/>
  <c r="I176" i="73" s="1"/>
  <c r="M176" i="73" s="1"/>
  <c r="H175" i="73"/>
  <c r="I175" i="73" s="1"/>
  <c r="K166" i="73"/>
  <c r="L166" i="73" s="1"/>
  <c r="L168" i="73" s="1"/>
  <c r="I166" i="73"/>
  <c r="M166" i="73" s="1"/>
  <c r="H165" i="73"/>
  <c r="I165" i="73" s="1"/>
  <c r="M165" i="73" s="1"/>
  <c r="H164" i="73"/>
  <c r="I164" i="73" s="1"/>
  <c r="M164" i="73" s="1"/>
  <c r="H163" i="73"/>
  <c r="I163" i="73" s="1"/>
  <c r="M163" i="73" s="1"/>
  <c r="H162" i="73"/>
  <c r="I162" i="73" s="1"/>
  <c r="M162" i="73" s="1"/>
  <c r="H161" i="73"/>
  <c r="I161" i="73" s="1"/>
  <c r="M161" i="73" s="1"/>
  <c r="H160" i="73"/>
  <c r="I160" i="73" s="1"/>
  <c r="M160" i="73" s="1"/>
  <c r="H159" i="73"/>
  <c r="I159" i="73" s="1"/>
  <c r="M159" i="73" s="1"/>
  <c r="H158" i="73"/>
  <c r="I158" i="73" s="1"/>
  <c r="M158" i="73" s="1"/>
  <c r="H157" i="73"/>
  <c r="I157" i="73" s="1"/>
  <c r="M157" i="73" s="1"/>
  <c r="H156" i="73"/>
  <c r="I156" i="73" s="1"/>
  <c r="K150" i="73"/>
  <c r="L150" i="73" s="1"/>
  <c r="L152" i="73" s="1"/>
  <c r="I150" i="73"/>
  <c r="M150" i="73" s="1"/>
  <c r="H149" i="73"/>
  <c r="I149" i="73" s="1"/>
  <c r="M149" i="73" s="1"/>
  <c r="H148" i="73"/>
  <c r="I148" i="73" s="1"/>
  <c r="M148" i="73" s="1"/>
  <c r="H147" i="73"/>
  <c r="I147" i="73" s="1"/>
  <c r="M147" i="73" s="1"/>
  <c r="H146" i="73"/>
  <c r="I146" i="73" s="1"/>
  <c r="K140" i="73"/>
  <c r="L140" i="73" s="1"/>
  <c r="L142" i="73" s="1"/>
  <c r="I140" i="73"/>
  <c r="M140" i="73" s="1"/>
  <c r="H139" i="73"/>
  <c r="I139" i="73" s="1"/>
  <c r="M139" i="73" s="1"/>
  <c r="H138" i="73"/>
  <c r="I138" i="73" s="1"/>
  <c r="K132" i="73"/>
  <c r="L132" i="73" s="1"/>
  <c r="L134" i="73" s="1"/>
  <c r="I132" i="73"/>
  <c r="M132" i="73" s="1"/>
  <c r="H131" i="73"/>
  <c r="I131" i="73" s="1"/>
  <c r="M131" i="73" s="1"/>
  <c r="H130" i="73"/>
  <c r="I130" i="73" s="1"/>
  <c r="M130" i="73" s="1"/>
  <c r="H129" i="73"/>
  <c r="I129" i="73" s="1"/>
  <c r="M129" i="73" s="1"/>
  <c r="H128" i="73"/>
  <c r="I128" i="73" s="1"/>
  <c r="M128" i="73" s="1"/>
  <c r="H127" i="73"/>
  <c r="I127" i="73" s="1"/>
  <c r="M127" i="73" s="1"/>
  <c r="H126" i="73"/>
  <c r="I126" i="73" s="1"/>
  <c r="M126" i="73" s="1"/>
  <c r="H125" i="73"/>
  <c r="I125" i="73" s="1"/>
  <c r="M125" i="73" s="1"/>
  <c r="H124" i="73"/>
  <c r="I124" i="73" s="1"/>
  <c r="M124" i="73" s="1"/>
  <c r="H123" i="73"/>
  <c r="I123" i="73" s="1"/>
  <c r="M123" i="73" s="1"/>
  <c r="H122" i="73"/>
  <c r="I122" i="73" s="1"/>
  <c r="K117" i="73"/>
  <c r="L117" i="73" s="1"/>
  <c r="H116" i="73"/>
  <c r="I116" i="73" s="1"/>
  <c r="M116" i="73" s="1"/>
  <c r="H115" i="73"/>
  <c r="I115" i="73" s="1"/>
  <c r="M115" i="73" s="1"/>
  <c r="H114" i="73"/>
  <c r="I114" i="73" s="1"/>
  <c r="M114" i="73" s="1"/>
  <c r="H113" i="73"/>
  <c r="I113" i="73" s="1"/>
  <c r="M113" i="73" s="1"/>
  <c r="H112" i="73"/>
  <c r="I112" i="73" s="1"/>
  <c r="M112" i="73" s="1"/>
  <c r="H111" i="73"/>
  <c r="I111" i="73" s="1"/>
  <c r="M111" i="73" s="1"/>
  <c r="H110" i="73"/>
  <c r="I110" i="73" s="1"/>
  <c r="M110" i="73" s="1"/>
  <c r="H109" i="73"/>
  <c r="I109" i="73" s="1"/>
  <c r="M109" i="73" s="1"/>
  <c r="G108" i="73"/>
  <c r="H108" i="73" s="1"/>
  <c r="I108" i="73" s="1"/>
  <c r="M108" i="73" s="1"/>
  <c r="H107" i="73"/>
  <c r="I107" i="73" s="1"/>
  <c r="M107" i="73" s="1"/>
  <c r="H106" i="73"/>
  <c r="I106" i="73" s="1"/>
  <c r="M106" i="73" s="1"/>
  <c r="H105" i="73"/>
  <c r="I105" i="73" s="1"/>
  <c r="M105" i="73" s="1"/>
  <c r="H104" i="73"/>
  <c r="I104" i="73" s="1"/>
  <c r="K98" i="73"/>
  <c r="L98" i="73" s="1"/>
  <c r="L100" i="73" s="1"/>
  <c r="I98" i="73"/>
  <c r="M98" i="73" s="1"/>
  <c r="H97" i="73"/>
  <c r="I97" i="73" s="1"/>
  <c r="M97" i="73" s="1"/>
  <c r="H96" i="73"/>
  <c r="I96" i="73" s="1"/>
  <c r="M96" i="73" s="1"/>
  <c r="H95" i="73"/>
  <c r="I95" i="73" s="1"/>
  <c r="M95" i="73" s="1"/>
  <c r="H94" i="73"/>
  <c r="I94" i="73" s="1"/>
  <c r="M94" i="73" s="1"/>
  <c r="H93" i="73"/>
  <c r="I93" i="73" s="1"/>
  <c r="M93" i="73" s="1"/>
  <c r="H92" i="73"/>
  <c r="I92" i="73" s="1"/>
  <c r="M92" i="73" s="1"/>
  <c r="H91" i="73"/>
  <c r="I91" i="73" s="1"/>
  <c r="M91" i="73" s="1"/>
  <c r="H90" i="73"/>
  <c r="I90" i="73" s="1"/>
  <c r="M90" i="73" s="1"/>
  <c r="H89" i="73"/>
  <c r="I89" i="73" s="1"/>
  <c r="M89" i="73" s="1"/>
  <c r="H88" i="73"/>
  <c r="I88" i="73" s="1"/>
  <c r="M88" i="73" s="1"/>
  <c r="H87" i="73"/>
  <c r="I87" i="73" s="1"/>
  <c r="M87" i="73" s="1"/>
  <c r="H86" i="73"/>
  <c r="I86" i="73" s="1"/>
  <c r="M86" i="73" s="1"/>
  <c r="H85" i="73"/>
  <c r="I85" i="73" s="1"/>
  <c r="M85" i="73" s="1"/>
  <c r="H84" i="73"/>
  <c r="I84" i="73" s="1"/>
  <c r="M84" i="73" s="1"/>
  <c r="H83" i="73"/>
  <c r="I83" i="73" s="1"/>
  <c r="M83" i="73" s="1"/>
  <c r="H82" i="73"/>
  <c r="I82" i="73" s="1"/>
  <c r="M82" i="73" s="1"/>
  <c r="H81" i="73"/>
  <c r="I81" i="73" s="1"/>
  <c r="M81" i="73" s="1"/>
  <c r="H80" i="73"/>
  <c r="I80" i="73" s="1"/>
  <c r="M80" i="73" s="1"/>
  <c r="H79" i="73"/>
  <c r="I79" i="73" s="1"/>
  <c r="M79" i="73" s="1"/>
  <c r="H78" i="73"/>
  <c r="I78" i="73" s="1"/>
  <c r="M78" i="73" s="1"/>
  <c r="H77" i="73"/>
  <c r="I77" i="73" s="1"/>
  <c r="K70" i="73"/>
  <c r="L70" i="73" s="1"/>
  <c r="L72" i="73" s="1"/>
  <c r="I70" i="73"/>
  <c r="M70" i="73" s="1"/>
  <c r="H69" i="73"/>
  <c r="I69" i="73" s="1"/>
  <c r="M69" i="73" s="1"/>
  <c r="H67" i="73"/>
  <c r="I67" i="73" s="1"/>
  <c r="M67" i="73" s="1"/>
  <c r="H66" i="73"/>
  <c r="I66" i="73" s="1"/>
  <c r="M66" i="73" s="1"/>
  <c r="H65" i="73"/>
  <c r="I65" i="73" s="1"/>
  <c r="M65" i="73" s="1"/>
  <c r="H64" i="73"/>
  <c r="I64" i="73" s="1"/>
  <c r="M64" i="73" s="1"/>
  <c r="H63" i="73"/>
  <c r="I63" i="73" s="1"/>
  <c r="M63" i="73" s="1"/>
  <c r="H62" i="73"/>
  <c r="I62" i="73" s="1"/>
  <c r="K56" i="73"/>
  <c r="L56" i="73" s="1"/>
  <c r="H55" i="73"/>
  <c r="H54" i="73"/>
  <c r="I54" i="73" s="1"/>
  <c r="M54" i="73" s="1"/>
  <c r="H52" i="73"/>
  <c r="I52" i="73" s="1"/>
  <c r="M52" i="73" s="1"/>
  <c r="H51" i="73"/>
  <c r="I51" i="73" s="1"/>
  <c r="M51" i="73" s="1"/>
  <c r="H49" i="73"/>
  <c r="I49" i="73" s="1"/>
  <c r="M49" i="73" s="1"/>
  <c r="H48" i="73"/>
  <c r="I48" i="73" s="1"/>
  <c r="M48" i="73" s="1"/>
  <c r="H46" i="73"/>
  <c r="I46" i="73" s="1"/>
  <c r="M46" i="73" s="1"/>
  <c r="H45" i="73"/>
  <c r="I45" i="73" s="1"/>
  <c r="M45" i="73" s="1"/>
  <c r="H43" i="73"/>
  <c r="I43" i="73" s="1"/>
  <c r="M43" i="73" s="1"/>
  <c r="H42" i="73"/>
  <c r="I42" i="73" s="1"/>
  <c r="M42" i="73" s="1"/>
  <c r="H40" i="73"/>
  <c r="I40" i="73" s="1"/>
  <c r="M40" i="73" s="1"/>
  <c r="H39" i="73"/>
  <c r="I39" i="73" s="1"/>
  <c r="M39" i="73" s="1"/>
  <c r="H37" i="73"/>
  <c r="I37" i="73" s="1"/>
  <c r="M37" i="73" s="1"/>
  <c r="H36" i="73"/>
  <c r="I36" i="73" s="1"/>
  <c r="M36" i="73" s="1"/>
  <c r="H34" i="73"/>
  <c r="I34" i="73" s="1"/>
  <c r="M34" i="73" s="1"/>
  <c r="H33" i="73"/>
  <c r="I33" i="73" s="1"/>
  <c r="P20" i="73"/>
  <c r="O19" i="73"/>
  <c r="Q19" i="73" s="1"/>
  <c r="O18" i="73"/>
  <c r="B18" i="73"/>
  <c r="A18" i="73"/>
  <c r="O17" i="73"/>
  <c r="J17" i="73"/>
  <c r="L17" i="73" s="1"/>
  <c r="B17" i="73"/>
  <c r="A17" i="73"/>
  <c r="O16" i="73"/>
  <c r="J16" i="73"/>
  <c r="L16" i="73" s="1"/>
  <c r="B16" i="73"/>
  <c r="A16" i="73"/>
  <c r="O15" i="73"/>
  <c r="A15" i="73"/>
  <c r="O14" i="73"/>
  <c r="B14" i="73"/>
  <c r="A14" i="73"/>
  <c r="O13" i="73"/>
  <c r="B13" i="73"/>
  <c r="A13" i="73"/>
  <c r="O12" i="73"/>
  <c r="B12" i="73"/>
  <c r="A12" i="73"/>
  <c r="O11" i="73"/>
  <c r="J11" i="73"/>
  <c r="L11" i="73" s="1"/>
  <c r="B11" i="73"/>
  <c r="A11" i="73"/>
  <c r="O10" i="73"/>
  <c r="O20" i="73" s="1"/>
  <c r="B10" i="73"/>
  <c r="A10" i="73"/>
  <c r="K68" i="72"/>
  <c r="J68" i="72"/>
  <c r="E68" i="72"/>
  <c r="H67" i="72"/>
  <c r="I67" i="72" s="1"/>
  <c r="L67" i="72" s="1"/>
  <c r="H66" i="72"/>
  <c r="I66" i="72" s="1"/>
  <c r="L66" i="72" s="1"/>
  <c r="H65" i="72"/>
  <c r="I65" i="72" s="1"/>
  <c r="K62" i="72"/>
  <c r="J62" i="72"/>
  <c r="E62" i="72"/>
  <c r="H61" i="72"/>
  <c r="I61" i="72" s="1"/>
  <c r="L61" i="72" s="1"/>
  <c r="H60" i="72"/>
  <c r="I60" i="72" s="1"/>
  <c r="L60" i="72" s="1"/>
  <c r="H57" i="72"/>
  <c r="I57" i="72" s="1"/>
  <c r="L57" i="72" s="1"/>
  <c r="H56" i="72"/>
  <c r="I56" i="72" s="1"/>
  <c r="L56" i="72" s="1"/>
  <c r="H55" i="72"/>
  <c r="I55" i="72" s="1"/>
  <c r="L55" i="72" s="1"/>
  <c r="H54" i="72"/>
  <c r="I54" i="72" s="1"/>
  <c r="L54" i="72" s="1"/>
  <c r="H52" i="72"/>
  <c r="I52" i="72" s="1"/>
  <c r="L52" i="72" s="1"/>
  <c r="H51" i="72"/>
  <c r="I51" i="72" s="1"/>
  <c r="L51" i="72" s="1"/>
  <c r="H50" i="72"/>
  <c r="I50" i="72" s="1"/>
  <c r="L50" i="72" s="1"/>
  <c r="H49" i="72"/>
  <c r="I49" i="72" s="1"/>
  <c r="L49" i="72" s="1"/>
  <c r="H47" i="72"/>
  <c r="I47" i="72" s="1"/>
  <c r="L47" i="72" s="1"/>
  <c r="H46" i="72"/>
  <c r="I46" i="72" s="1"/>
  <c r="L46" i="72" s="1"/>
  <c r="H45" i="72"/>
  <c r="I45" i="72" s="1"/>
  <c r="L45" i="72" s="1"/>
  <c r="H44" i="72"/>
  <c r="I44" i="72" s="1"/>
  <c r="L44" i="72" s="1"/>
  <c r="H42" i="72"/>
  <c r="I42" i="72" s="1"/>
  <c r="L42" i="72" s="1"/>
  <c r="H41" i="72"/>
  <c r="I41" i="72" s="1"/>
  <c r="L41" i="72" s="1"/>
  <c r="H39" i="72"/>
  <c r="I39" i="72" s="1"/>
  <c r="L39" i="72" s="1"/>
  <c r="H38" i="72"/>
  <c r="I38" i="72" s="1"/>
  <c r="L38" i="72" s="1"/>
  <c r="H36" i="72"/>
  <c r="I36" i="72" s="1"/>
  <c r="L36" i="72" s="1"/>
  <c r="H35" i="72"/>
  <c r="I35" i="72" s="1"/>
  <c r="L35" i="72" s="1"/>
  <c r="H33" i="72"/>
  <c r="I33" i="72" s="1"/>
  <c r="L33" i="72" s="1"/>
  <c r="H32" i="72"/>
  <c r="I32" i="72" s="1"/>
  <c r="O13" i="72"/>
  <c r="N11" i="72"/>
  <c r="K11" i="72"/>
  <c r="J11" i="72"/>
  <c r="F11" i="72"/>
  <c r="E11" i="72"/>
  <c r="N10" i="72"/>
  <c r="N13" i="72" s="1"/>
  <c r="K10" i="72"/>
  <c r="K14" i="72" s="1"/>
  <c r="J10" i="72"/>
  <c r="J14" i="72" s="1"/>
  <c r="E10" i="72"/>
  <c r="E209" i="71"/>
  <c r="K208" i="71"/>
  <c r="H208" i="71"/>
  <c r="I208" i="71" s="1"/>
  <c r="E205" i="71"/>
  <c r="K204" i="71"/>
  <c r="H204" i="71"/>
  <c r="I204" i="71" s="1"/>
  <c r="L204" i="71" s="1"/>
  <c r="K203" i="71"/>
  <c r="H203" i="71"/>
  <c r="I203" i="71" s="1"/>
  <c r="L203" i="71" s="1"/>
  <c r="K202" i="71"/>
  <c r="H202" i="71"/>
  <c r="I202" i="71" s="1"/>
  <c r="L202" i="71" s="1"/>
  <c r="K201" i="71"/>
  <c r="H201" i="71"/>
  <c r="I201" i="71" s="1"/>
  <c r="L201" i="71" s="1"/>
  <c r="K200" i="71"/>
  <c r="H200" i="71"/>
  <c r="I200" i="71" s="1"/>
  <c r="E195" i="71"/>
  <c r="K194" i="71"/>
  <c r="H194" i="71"/>
  <c r="I194" i="71" s="1"/>
  <c r="L194" i="71" s="1"/>
  <c r="K193" i="71"/>
  <c r="G193" i="71"/>
  <c r="H193" i="71" s="1"/>
  <c r="I193" i="71" s="1"/>
  <c r="L193" i="71" s="1"/>
  <c r="K192" i="71"/>
  <c r="H192" i="71"/>
  <c r="I192" i="71" s="1"/>
  <c r="L192" i="71" s="1"/>
  <c r="K191" i="71"/>
  <c r="H191" i="71"/>
  <c r="I191" i="71" s="1"/>
  <c r="L191" i="71" s="1"/>
  <c r="K190" i="71"/>
  <c r="H190" i="71"/>
  <c r="I190" i="71" s="1"/>
  <c r="L190" i="71" s="1"/>
  <c r="K189" i="71"/>
  <c r="H189" i="71"/>
  <c r="I189" i="71" s="1"/>
  <c r="L189" i="71" s="1"/>
  <c r="K188" i="71"/>
  <c r="H188" i="71"/>
  <c r="I188" i="71" s="1"/>
  <c r="L188" i="71" s="1"/>
  <c r="K187" i="71"/>
  <c r="H187" i="71"/>
  <c r="I187" i="71" s="1"/>
  <c r="L187" i="71" s="1"/>
  <c r="K186" i="71"/>
  <c r="H186" i="71"/>
  <c r="I186" i="71" s="1"/>
  <c r="L186" i="71" s="1"/>
  <c r="K185" i="71"/>
  <c r="H185" i="71"/>
  <c r="I185" i="71" s="1"/>
  <c r="L185" i="71" s="1"/>
  <c r="K184" i="71"/>
  <c r="H184" i="71"/>
  <c r="I184" i="71" s="1"/>
  <c r="L184" i="71" s="1"/>
  <c r="K183" i="71"/>
  <c r="H183" i="71"/>
  <c r="I183" i="71" s="1"/>
  <c r="L183" i="71" s="1"/>
  <c r="K182" i="71"/>
  <c r="H182" i="71"/>
  <c r="I182" i="71" s="1"/>
  <c r="L182" i="71" s="1"/>
  <c r="K181" i="71"/>
  <c r="H181" i="71"/>
  <c r="I181" i="71" s="1"/>
  <c r="L181" i="71" s="1"/>
  <c r="K180" i="71"/>
  <c r="H180" i="71"/>
  <c r="I180" i="71" s="1"/>
  <c r="L180" i="71" s="1"/>
  <c r="K179" i="71"/>
  <c r="H179" i="71"/>
  <c r="I179" i="71" s="1"/>
  <c r="L179" i="71" s="1"/>
  <c r="K178" i="71"/>
  <c r="H178" i="71"/>
  <c r="I178" i="71" s="1"/>
  <c r="L178" i="71" s="1"/>
  <c r="K177" i="71"/>
  <c r="H177" i="71"/>
  <c r="I177" i="71" s="1"/>
  <c r="L177" i="71" s="1"/>
  <c r="K176" i="71"/>
  <c r="H176" i="71"/>
  <c r="I176" i="71" s="1"/>
  <c r="L176" i="71" s="1"/>
  <c r="K175" i="71"/>
  <c r="H175" i="71"/>
  <c r="I175" i="71" s="1"/>
  <c r="L175" i="71" s="1"/>
  <c r="K174" i="71"/>
  <c r="H174" i="71"/>
  <c r="I174" i="71" s="1"/>
  <c r="L174" i="71" s="1"/>
  <c r="K173" i="71"/>
  <c r="H173" i="71"/>
  <c r="I173" i="71" s="1"/>
  <c r="L173" i="71" s="1"/>
  <c r="K172" i="71"/>
  <c r="H172" i="71"/>
  <c r="I172" i="71" s="1"/>
  <c r="L172" i="71" s="1"/>
  <c r="K169" i="71"/>
  <c r="H169" i="71"/>
  <c r="I169" i="71" s="1"/>
  <c r="L169" i="71" s="1"/>
  <c r="K168" i="71"/>
  <c r="H168" i="71"/>
  <c r="I168" i="71" s="1"/>
  <c r="L168" i="71" s="1"/>
  <c r="K167" i="71"/>
  <c r="G167" i="71"/>
  <c r="H167" i="71" s="1"/>
  <c r="I167" i="71" s="1"/>
  <c r="L167" i="71" s="1"/>
  <c r="K166" i="71"/>
  <c r="H166" i="71"/>
  <c r="I166" i="71" s="1"/>
  <c r="L166" i="71" s="1"/>
  <c r="K165" i="71"/>
  <c r="H165" i="71"/>
  <c r="I165" i="71" s="1"/>
  <c r="L165" i="71" s="1"/>
  <c r="K164" i="71"/>
  <c r="H164" i="71"/>
  <c r="I164" i="71" s="1"/>
  <c r="L164" i="71" s="1"/>
  <c r="K163" i="71"/>
  <c r="H163" i="71"/>
  <c r="I163" i="71" s="1"/>
  <c r="L163" i="71" s="1"/>
  <c r="K162" i="71"/>
  <c r="H162" i="71"/>
  <c r="I162" i="71" s="1"/>
  <c r="L162" i="71" s="1"/>
  <c r="K161" i="71"/>
  <c r="H161" i="71"/>
  <c r="I161" i="71" s="1"/>
  <c r="L161" i="71" s="1"/>
  <c r="K160" i="71"/>
  <c r="H160" i="71"/>
  <c r="I160" i="71" s="1"/>
  <c r="L160" i="71" s="1"/>
  <c r="K159" i="71"/>
  <c r="H159" i="71"/>
  <c r="I159" i="71" s="1"/>
  <c r="L159" i="71" s="1"/>
  <c r="K158" i="71"/>
  <c r="H158" i="71"/>
  <c r="I158" i="71" s="1"/>
  <c r="L158" i="71" s="1"/>
  <c r="K157" i="71"/>
  <c r="H157" i="71"/>
  <c r="I157" i="71" s="1"/>
  <c r="L157" i="71" s="1"/>
  <c r="K156" i="71"/>
  <c r="H156" i="71"/>
  <c r="I156" i="71" s="1"/>
  <c r="L156" i="71" s="1"/>
  <c r="K155" i="71"/>
  <c r="H155" i="71"/>
  <c r="I155" i="71" s="1"/>
  <c r="L155" i="71" s="1"/>
  <c r="K154" i="71"/>
  <c r="H154" i="71"/>
  <c r="I154" i="71" s="1"/>
  <c r="L154" i="71" s="1"/>
  <c r="K153" i="71"/>
  <c r="H153" i="71"/>
  <c r="I153" i="71" s="1"/>
  <c r="L153" i="71" s="1"/>
  <c r="K152" i="71"/>
  <c r="H152" i="71"/>
  <c r="I152" i="71" s="1"/>
  <c r="L152" i="71" s="1"/>
  <c r="K151" i="71"/>
  <c r="H151" i="71"/>
  <c r="I151" i="71" s="1"/>
  <c r="L151" i="71" s="1"/>
  <c r="K150" i="71"/>
  <c r="H150" i="71"/>
  <c r="I150" i="71" s="1"/>
  <c r="L150" i="71" s="1"/>
  <c r="K149" i="71"/>
  <c r="H149" i="71"/>
  <c r="I149" i="71" s="1"/>
  <c r="L149" i="71" s="1"/>
  <c r="K148" i="71"/>
  <c r="H148" i="71"/>
  <c r="I148" i="71" s="1"/>
  <c r="L148" i="71" s="1"/>
  <c r="K147" i="71"/>
  <c r="H147" i="71"/>
  <c r="I147" i="71" s="1"/>
  <c r="L147" i="71" s="1"/>
  <c r="K146" i="71"/>
  <c r="H146" i="71"/>
  <c r="I146" i="71" s="1"/>
  <c r="L146" i="71" s="1"/>
  <c r="K145" i="71"/>
  <c r="H145" i="71"/>
  <c r="I145" i="71" s="1"/>
  <c r="L145" i="71" s="1"/>
  <c r="K144" i="71"/>
  <c r="H144" i="71"/>
  <c r="I144" i="71" s="1"/>
  <c r="L144" i="71" s="1"/>
  <c r="K141" i="71"/>
  <c r="H141" i="71"/>
  <c r="I141" i="71" s="1"/>
  <c r="L141" i="71" s="1"/>
  <c r="K140" i="71"/>
  <c r="H140" i="71"/>
  <c r="I140" i="71" s="1"/>
  <c r="L140" i="71" s="1"/>
  <c r="K139" i="71"/>
  <c r="H139" i="71"/>
  <c r="I139" i="71" s="1"/>
  <c r="L139" i="71" s="1"/>
  <c r="K138" i="71"/>
  <c r="H138" i="71"/>
  <c r="I138" i="71" s="1"/>
  <c r="L138" i="71" s="1"/>
  <c r="K137" i="71"/>
  <c r="H137" i="71"/>
  <c r="I137" i="71" s="1"/>
  <c r="L137" i="71" s="1"/>
  <c r="K136" i="71"/>
  <c r="H136" i="71"/>
  <c r="I136" i="71" s="1"/>
  <c r="L136" i="71" s="1"/>
  <c r="K135" i="71"/>
  <c r="H135" i="71"/>
  <c r="I135" i="71" s="1"/>
  <c r="L135" i="71" s="1"/>
  <c r="K134" i="71"/>
  <c r="H134" i="71"/>
  <c r="I134" i="71" s="1"/>
  <c r="L134" i="71" s="1"/>
  <c r="K133" i="71"/>
  <c r="H133" i="71"/>
  <c r="I133" i="71" s="1"/>
  <c r="L133" i="71" s="1"/>
  <c r="K132" i="71"/>
  <c r="H132" i="71"/>
  <c r="I132" i="71" s="1"/>
  <c r="L132" i="71" s="1"/>
  <c r="K131" i="71"/>
  <c r="H131" i="71"/>
  <c r="I131" i="71" s="1"/>
  <c r="L131" i="71" s="1"/>
  <c r="K130" i="71"/>
  <c r="H130" i="71"/>
  <c r="I130" i="71" s="1"/>
  <c r="L130" i="71" s="1"/>
  <c r="K129" i="71"/>
  <c r="H129" i="71"/>
  <c r="I129" i="71" s="1"/>
  <c r="L129" i="71" s="1"/>
  <c r="K128" i="71"/>
  <c r="H128" i="71"/>
  <c r="I128" i="71" s="1"/>
  <c r="L128" i="71" s="1"/>
  <c r="K127" i="71"/>
  <c r="H127" i="71"/>
  <c r="I127" i="71" s="1"/>
  <c r="L127" i="71" s="1"/>
  <c r="K126" i="71"/>
  <c r="H126" i="71"/>
  <c r="I126" i="71" s="1"/>
  <c r="L126" i="71" s="1"/>
  <c r="K125" i="71"/>
  <c r="H125" i="71"/>
  <c r="I125" i="71" s="1"/>
  <c r="L125" i="71" s="1"/>
  <c r="K124" i="71"/>
  <c r="H124" i="71"/>
  <c r="I124" i="71" s="1"/>
  <c r="L124" i="71" s="1"/>
  <c r="K123" i="71"/>
  <c r="H123" i="71"/>
  <c r="I123" i="71" s="1"/>
  <c r="L123" i="71" s="1"/>
  <c r="K122" i="71"/>
  <c r="H122" i="71"/>
  <c r="I122" i="71" s="1"/>
  <c r="L122" i="71" s="1"/>
  <c r="K121" i="71"/>
  <c r="H121" i="71"/>
  <c r="I121" i="71" s="1"/>
  <c r="L121" i="71" s="1"/>
  <c r="K120" i="71"/>
  <c r="G120" i="71"/>
  <c r="H120" i="71" s="1"/>
  <c r="I120" i="71" s="1"/>
  <c r="L120" i="71" s="1"/>
  <c r="K119" i="71"/>
  <c r="G119" i="71"/>
  <c r="H119" i="71" s="1"/>
  <c r="I119" i="71" s="1"/>
  <c r="L119" i="71" s="1"/>
  <c r="K118" i="71"/>
  <c r="G118" i="71"/>
  <c r="H118" i="71" s="1"/>
  <c r="I118" i="71" s="1"/>
  <c r="L118" i="71" s="1"/>
  <c r="K117" i="71"/>
  <c r="H117" i="71"/>
  <c r="I117" i="71" s="1"/>
  <c r="L117" i="71" s="1"/>
  <c r="K116" i="71"/>
  <c r="H116" i="71"/>
  <c r="I116" i="71" s="1"/>
  <c r="L116" i="71" s="1"/>
  <c r="K114" i="71"/>
  <c r="G114" i="71"/>
  <c r="H114" i="71" s="1"/>
  <c r="I114" i="71" s="1"/>
  <c r="L114" i="71" s="1"/>
  <c r="K113" i="71"/>
  <c r="G113" i="71"/>
  <c r="H113" i="71" s="1"/>
  <c r="I113" i="71" s="1"/>
  <c r="L113" i="71" s="1"/>
  <c r="K112" i="71"/>
  <c r="H112" i="71"/>
  <c r="I112" i="71" s="1"/>
  <c r="L112" i="71" s="1"/>
  <c r="K111" i="71"/>
  <c r="H111" i="71"/>
  <c r="I111" i="71" s="1"/>
  <c r="L111" i="71" s="1"/>
  <c r="K110" i="71"/>
  <c r="H110" i="71"/>
  <c r="I110" i="71" s="1"/>
  <c r="L110" i="71" s="1"/>
  <c r="K109" i="71"/>
  <c r="H109" i="71"/>
  <c r="I109" i="71" s="1"/>
  <c r="L109" i="71" s="1"/>
  <c r="K108" i="71"/>
  <c r="H108" i="71"/>
  <c r="I108" i="71" s="1"/>
  <c r="L108" i="71" s="1"/>
  <c r="K107" i="71"/>
  <c r="H107" i="71"/>
  <c r="I107" i="71" s="1"/>
  <c r="L107" i="71" s="1"/>
  <c r="K106" i="71"/>
  <c r="H106" i="71"/>
  <c r="I106" i="71" s="1"/>
  <c r="L106" i="71" s="1"/>
  <c r="K105" i="71"/>
  <c r="G105" i="71"/>
  <c r="H105" i="71" s="1"/>
  <c r="I105" i="71" s="1"/>
  <c r="L105" i="71" s="1"/>
  <c r="K104" i="71"/>
  <c r="G104" i="71"/>
  <c r="H104" i="71" s="1"/>
  <c r="I104" i="71" s="1"/>
  <c r="L104" i="71" s="1"/>
  <c r="K103" i="71"/>
  <c r="G103" i="71"/>
  <c r="H103" i="71" s="1"/>
  <c r="I103" i="71" s="1"/>
  <c r="L103" i="71" s="1"/>
  <c r="K102" i="71"/>
  <c r="G102" i="71"/>
  <c r="H102" i="71" s="1"/>
  <c r="I102" i="71" s="1"/>
  <c r="L102" i="71" s="1"/>
  <c r="K101" i="71"/>
  <c r="H101" i="71"/>
  <c r="I101" i="71" s="1"/>
  <c r="L101" i="71" s="1"/>
  <c r="K100" i="71"/>
  <c r="H100" i="71"/>
  <c r="I100" i="71" s="1"/>
  <c r="L100" i="71" s="1"/>
  <c r="K99" i="71"/>
  <c r="H99" i="71"/>
  <c r="I99" i="71" s="1"/>
  <c r="L99" i="71" s="1"/>
  <c r="K98" i="71"/>
  <c r="H98" i="71"/>
  <c r="I98" i="71" s="1"/>
  <c r="L98" i="71" s="1"/>
  <c r="K97" i="71"/>
  <c r="G97" i="71"/>
  <c r="H97" i="71" s="1"/>
  <c r="I97" i="71" s="1"/>
  <c r="L97" i="71" s="1"/>
  <c r="K96" i="71"/>
  <c r="H96" i="71"/>
  <c r="I96" i="71" s="1"/>
  <c r="L96" i="71" s="1"/>
  <c r="K95" i="71"/>
  <c r="H95" i="71"/>
  <c r="I95" i="71" s="1"/>
  <c r="L95" i="71" s="1"/>
  <c r="K94" i="71"/>
  <c r="H94" i="71"/>
  <c r="I94" i="71" s="1"/>
  <c r="L94" i="71" s="1"/>
  <c r="K93" i="71"/>
  <c r="H93" i="71"/>
  <c r="I93" i="71" s="1"/>
  <c r="L93" i="71" s="1"/>
  <c r="K92" i="71"/>
  <c r="G92" i="71"/>
  <c r="H92" i="71" s="1"/>
  <c r="I92" i="71" s="1"/>
  <c r="L92" i="71" s="1"/>
  <c r="K91" i="71"/>
  <c r="G91" i="71"/>
  <c r="H91" i="71" s="1"/>
  <c r="I91" i="71" s="1"/>
  <c r="L91" i="71" s="1"/>
  <c r="K90" i="71"/>
  <c r="G90" i="71"/>
  <c r="H90" i="71" s="1"/>
  <c r="I90" i="71" s="1"/>
  <c r="L90" i="71" s="1"/>
  <c r="K89" i="71"/>
  <c r="H89" i="71"/>
  <c r="I89" i="71" s="1"/>
  <c r="L89" i="71" s="1"/>
  <c r="K88" i="71"/>
  <c r="H88" i="71"/>
  <c r="I88" i="71" s="1"/>
  <c r="L88" i="71" s="1"/>
  <c r="K86" i="71"/>
  <c r="H86" i="71"/>
  <c r="I86" i="71" s="1"/>
  <c r="L86" i="71" s="1"/>
  <c r="K85" i="71"/>
  <c r="H85" i="71"/>
  <c r="I85" i="71" s="1"/>
  <c r="L85" i="71" s="1"/>
  <c r="K84" i="71"/>
  <c r="H84" i="71"/>
  <c r="I84" i="71" s="1"/>
  <c r="L84" i="71" s="1"/>
  <c r="K83" i="71"/>
  <c r="H83" i="71"/>
  <c r="I83" i="71" s="1"/>
  <c r="L83" i="71" s="1"/>
  <c r="K82" i="71"/>
  <c r="H82" i="71"/>
  <c r="I82" i="71" s="1"/>
  <c r="L82" i="71" s="1"/>
  <c r="K81" i="71"/>
  <c r="G81" i="71"/>
  <c r="H81" i="71" s="1"/>
  <c r="I81" i="71" s="1"/>
  <c r="L81" i="71" s="1"/>
  <c r="K80" i="71"/>
  <c r="G80" i="71"/>
  <c r="H80" i="71" s="1"/>
  <c r="I80" i="71" s="1"/>
  <c r="L80" i="71" s="1"/>
  <c r="K79" i="71"/>
  <c r="G79" i="71"/>
  <c r="H79" i="71" s="1"/>
  <c r="I79" i="71" s="1"/>
  <c r="L79" i="71" s="1"/>
  <c r="K78" i="71"/>
  <c r="H78" i="71"/>
  <c r="I78" i="71" s="1"/>
  <c r="L78" i="71" s="1"/>
  <c r="K77" i="71"/>
  <c r="H77" i="71"/>
  <c r="I77" i="71" s="1"/>
  <c r="L77" i="71" s="1"/>
  <c r="K76" i="71"/>
  <c r="H76" i="71"/>
  <c r="I76" i="71" s="1"/>
  <c r="L76" i="71" s="1"/>
  <c r="K75" i="71"/>
  <c r="H75" i="71"/>
  <c r="I75" i="71" s="1"/>
  <c r="L75" i="71" s="1"/>
  <c r="K74" i="71"/>
  <c r="H74" i="71"/>
  <c r="I74" i="71" s="1"/>
  <c r="L74" i="71" s="1"/>
  <c r="K73" i="71"/>
  <c r="G73" i="71"/>
  <c r="H73" i="71" s="1"/>
  <c r="I73" i="71" s="1"/>
  <c r="L73" i="71" s="1"/>
  <c r="K72" i="71"/>
  <c r="G72" i="71"/>
  <c r="H72" i="71" s="1"/>
  <c r="I72" i="71" s="1"/>
  <c r="L72" i="71" s="1"/>
  <c r="K71" i="71"/>
  <c r="G71" i="71"/>
  <c r="H71" i="71" s="1"/>
  <c r="I71" i="71" s="1"/>
  <c r="L71" i="71" s="1"/>
  <c r="K70" i="71"/>
  <c r="H70" i="71"/>
  <c r="I70" i="71" s="1"/>
  <c r="L70" i="71" s="1"/>
  <c r="K69" i="71"/>
  <c r="H69" i="71"/>
  <c r="I69" i="71" s="1"/>
  <c r="L69" i="71" s="1"/>
  <c r="K68" i="71"/>
  <c r="G68" i="71"/>
  <c r="H68" i="71" s="1"/>
  <c r="I68" i="71" s="1"/>
  <c r="L68" i="71" s="1"/>
  <c r="K67" i="71"/>
  <c r="H67" i="71"/>
  <c r="I67" i="71" s="1"/>
  <c r="L67" i="71" s="1"/>
  <c r="K66" i="71"/>
  <c r="H66" i="71"/>
  <c r="I66" i="71" s="1"/>
  <c r="L66" i="71" s="1"/>
  <c r="K65" i="71"/>
  <c r="H65" i="71"/>
  <c r="I65" i="71" s="1"/>
  <c r="L65" i="71" s="1"/>
  <c r="K64" i="71"/>
  <c r="G64" i="71"/>
  <c r="H64" i="71" s="1"/>
  <c r="I64" i="71" s="1"/>
  <c r="L64" i="71" s="1"/>
  <c r="K63" i="71"/>
  <c r="H63" i="71"/>
  <c r="I63" i="71" s="1"/>
  <c r="L63" i="71" s="1"/>
  <c r="K62" i="71"/>
  <c r="H62" i="71"/>
  <c r="I62" i="71" s="1"/>
  <c r="L62" i="71" s="1"/>
  <c r="K61" i="71"/>
  <c r="H61" i="71"/>
  <c r="I61" i="71" s="1"/>
  <c r="L61" i="71" s="1"/>
  <c r="K60" i="71"/>
  <c r="H60" i="71"/>
  <c r="I60" i="71" s="1"/>
  <c r="L60" i="71" s="1"/>
  <c r="K59" i="71"/>
  <c r="H59" i="71"/>
  <c r="I59" i="71" s="1"/>
  <c r="L59" i="71" s="1"/>
  <c r="K57" i="71"/>
  <c r="H57" i="71"/>
  <c r="I57" i="71" s="1"/>
  <c r="L57" i="71" s="1"/>
  <c r="K56" i="71"/>
  <c r="H56" i="71"/>
  <c r="I56" i="71" s="1"/>
  <c r="L56" i="71" s="1"/>
  <c r="K55" i="71"/>
  <c r="G55" i="71"/>
  <c r="H55" i="71" s="1"/>
  <c r="I55" i="71" s="1"/>
  <c r="L55" i="71" s="1"/>
  <c r="K54" i="71"/>
  <c r="G54" i="71"/>
  <c r="H54" i="71" s="1"/>
  <c r="I54" i="71" s="1"/>
  <c r="L54" i="71" s="1"/>
  <c r="K53" i="71"/>
  <c r="G53" i="71"/>
  <c r="H53" i="71" s="1"/>
  <c r="I53" i="71" s="1"/>
  <c r="L53" i="71" s="1"/>
  <c r="K52" i="71"/>
  <c r="H52" i="71"/>
  <c r="I52" i="71" s="1"/>
  <c r="L52" i="71" s="1"/>
  <c r="K51" i="71"/>
  <c r="H51" i="71"/>
  <c r="I51" i="71" s="1"/>
  <c r="L51" i="71" s="1"/>
  <c r="K50" i="71"/>
  <c r="H50" i="71"/>
  <c r="I50" i="71" s="1"/>
  <c r="L50" i="71" s="1"/>
  <c r="K49" i="71"/>
  <c r="H49" i="71"/>
  <c r="I49" i="71" s="1"/>
  <c r="L49" i="71" s="1"/>
  <c r="K48" i="71"/>
  <c r="H48" i="71"/>
  <c r="I48" i="71" s="1"/>
  <c r="L48" i="71" s="1"/>
  <c r="K47" i="71"/>
  <c r="G47" i="71"/>
  <c r="H47" i="71" s="1"/>
  <c r="I47" i="71" s="1"/>
  <c r="L47" i="71" s="1"/>
  <c r="K46" i="71"/>
  <c r="G46" i="71"/>
  <c r="H46" i="71" s="1"/>
  <c r="I46" i="71" s="1"/>
  <c r="L46" i="71" s="1"/>
  <c r="K45" i="71"/>
  <c r="H45" i="71"/>
  <c r="I45" i="71" s="1"/>
  <c r="L45" i="71" s="1"/>
  <c r="K44" i="71"/>
  <c r="H44" i="71"/>
  <c r="I44" i="71" s="1"/>
  <c r="L44" i="71" s="1"/>
  <c r="K43" i="71"/>
  <c r="H43" i="71"/>
  <c r="I43" i="71" s="1"/>
  <c r="L43" i="71" s="1"/>
  <c r="K42" i="71"/>
  <c r="H42" i="71"/>
  <c r="I42" i="71" s="1"/>
  <c r="L42" i="71" s="1"/>
  <c r="K41" i="71"/>
  <c r="H41" i="71"/>
  <c r="I41" i="71" s="1"/>
  <c r="L41" i="71" s="1"/>
  <c r="K40" i="71"/>
  <c r="H40" i="71"/>
  <c r="I40" i="71" s="1"/>
  <c r="L40" i="71" s="1"/>
  <c r="K39" i="71"/>
  <c r="H39" i="71"/>
  <c r="I39" i="71" s="1"/>
  <c r="L39" i="71" s="1"/>
  <c r="K38" i="71"/>
  <c r="G38" i="71"/>
  <c r="H38" i="71" s="1"/>
  <c r="I38" i="71" s="1"/>
  <c r="L38" i="71" s="1"/>
  <c r="K37" i="71"/>
  <c r="H37" i="71"/>
  <c r="I37" i="71" s="1"/>
  <c r="L37" i="71" s="1"/>
  <c r="K36" i="71"/>
  <c r="H36" i="71"/>
  <c r="I36" i="71" s="1"/>
  <c r="L36" i="71" s="1"/>
  <c r="K35" i="71"/>
  <c r="H35" i="71"/>
  <c r="I35" i="71" s="1"/>
  <c r="L35" i="71" s="1"/>
  <c r="K34" i="71"/>
  <c r="G34" i="71"/>
  <c r="H34" i="71" s="1"/>
  <c r="I34" i="71" s="1"/>
  <c r="L34" i="71" s="1"/>
  <c r="K33" i="71"/>
  <c r="H33" i="71"/>
  <c r="I33" i="71" s="1"/>
  <c r="L33" i="71" s="1"/>
  <c r="A33" i="7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A59" i="71" s="1"/>
  <c r="A60" i="71" s="1"/>
  <c r="A61" i="71" s="1"/>
  <c r="A62" i="71" s="1"/>
  <c r="A63" i="71" s="1"/>
  <c r="A64" i="71" s="1"/>
  <c r="A65" i="71" s="1"/>
  <c r="A66" i="71" s="1"/>
  <c r="A67" i="71" s="1"/>
  <c r="A68" i="71" s="1"/>
  <c r="A69" i="71" s="1"/>
  <c r="A70" i="71" s="1"/>
  <c r="A71" i="71" s="1"/>
  <c r="A72" i="71" s="1"/>
  <c r="A73" i="71" s="1"/>
  <c r="A74" i="71" s="1"/>
  <c r="A75" i="71" s="1"/>
  <c r="A76" i="71" s="1"/>
  <c r="A77" i="71" s="1"/>
  <c r="A78" i="71" s="1"/>
  <c r="A79" i="71" s="1"/>
  <c r="A80" i="71" s="1"/>
  <c r="A81" i="71" s="1"/>
  <c r="A82" i="71" s="1"/>
  <c r="A83" i="71" s="1"/>
  <c r="A84" i="71" s="1"/>
  <c r="A85" i="71" s="1"/>
  <c r="A86" i="71" s="1"/>
  <c r="A88" i="71" s="1"/>
  <c r="A89" i="71" s="1"/>
  <c r="A90" i="71" s="1"/>
  <c r="A91" i="71" s="1"/>
  <c r="A92" i="71" s="1"/>
  <c r="A93" i="71" s="1"/>
  <c r="A94" i="71" s="1"/>
  <c r="A95" i="71" s="1"/>
  <c r="A96" i="71" s="1"/>
  <c r="A97" i="71" s="1"/>
  <c r="A98" i="71" s="1"/>
  <c r="A99" i="71" s="1"/>
  <c r="A100" i="71" s="1"/>
  <c r="A101" i="71" s="1"/>
  <c r="A102" i="71" s="1"/>
  <c r="A103" i="71" s="1"/>
  <c r="A104" i="71" s="1"/>
  <c r="A105" i="71" s="1"/>
  <c r="A106" i="71" s="1"/>
  <c r="A107" i="71" s="1"/>
  <c r="A108" i="71" s="1"/>
  <c r="A109" i="71" s="1"/>
  <c r="A110" i="71" s="1"/>
  <c r="A111" i="71" s="1"/>
  <c r="A112" i="71" s="1"/>
  <c r="A113" i="71" s="1"/>
  <c r="A114" i="71" s="1"/>
  <c r="A116" i="71" s="1"/>
  <c r="A117" i="71" s="1"/>
  <c r="A118" i="71" s="1"/>
  <c r="A119" i="71" s="1"/>
  <c r="A120" i="71" s="1"/>
  <c r="A121" i="71" s="1"/>
  <c r="A122" i="71" s="1"/>
  <c r="A123" i="71" s="1"/>
  <c r="A124" i="71" s="1"/>
  <c r="A125" i="71" s="1"/>
  <c r="A126" i="71" s="1"/>
  <c r="A127" i="71" s="1"/>
  <c r="A128" i="71" s="1"/>
  <c r="A129" i="71" s="1"/>
  <c r="A130" i="71" s="1"/>
  <c r="A131" i="71" s="1"/>
  <c r="A132" i="71" s="1"/>
  <c r="A133" i="71" s="1"/>
  <c r="A134" i="71" s="1"/>
  <c r="A135" i="71" s="1"/>
  <c r="A136" i="71" s="1"/>
  <c r="A137" i="71" s="1"/>
  <c r="A138" i="71" s="1"/>
  <c r="A139" i="71" s="1"/>
  <c r="A140" i="71" s="1"/>
  <c r="A141" i="71" s="1"/>
  <c r="A144" i="71" s="1"/>
  <c r="A145" i="71" s="1"/>
  <c r="A146" i="71" s="1"/>
  <c r="A147" i="71" s="1"/>
  <c r="A148" i="71" s="1"/>
  <c r="A149" i="71" s="1"/>
  <c r="A150" i="71" s="1"/>
  <c r="A151" i="71" s="1"/>
  <c r="A152" i="71" s="1"/>
  <c r="A153" i="71" s="1"/>
  <c r="A154" i="71" s="1"/>
  <c r="A155" i="71" s="1"/>
  <c r="A156" i="71" s="1"/>
  <c r="A157" i="71" s="1"/>
  <c r="A158" i="71" s="1"/>
  <c r="A159" i="71" s="1"/>
  <c r="A160" i="71" s="1"/>
  <c r="A161" i="71" s="1"/>
  <c r="A162" i="71" s="1"/>
  <c r="A163" i="71" s="1"/>
  <c r="A164" i="71" s="1"/>
  <c r="A165" i="71" s="1"/>
  <c r="A166" i="71" s="1"/>
  <c r="A167" i="71" s="1"/>
  <c r="A168" i="71" s="1"/>
  <c r="A169" i="71" s="1"/>
  <c r="A172" i="71" s="1"/>
  <c r="A173" i="71" s="1"/>
  <c r="A174" i="71" s="1"/>
  <c r="A175" i="71" s="1"/>
  <c r="A176" i="71" s="1"/>
  <c r="A177" i="71" s="1"/>
  <c r="A178" i="71" s="1"/>
  <c r="A179" i="71" s="1"/>
  <c r="A180" i="71" s="1"/>
  <c r="A181" i="71" s="1"/>
  <c r="A182" i="71" s="1"/>
  <c r="A183" i="71" s="1"/>
  <c r="A184" i="71" s="1"/>
  <c r="A185" i="71" s="1"/>
  <c r="A186" i="71" s="1"/>
  <c r="A187" i="71" s="1"/>
  <c r="A188" i="71" s="1"/>
  <c r="A189" i="71" s="1"/>
  <c r="A190" i="71" s="1"/>
  <c r="A191" i="71" s="1"/>
  <c r="A192" i="71" s="1"/>
  <c r="A193" i="71" s="1"/>
  <c r="A194" i="71" s="1"/>
  <c r="K32" i="71"/>
  <c r="H32" i="71"/>
  <c r="I32" i="71" s="1"/>
  <c r="O14" i="71"/>
  <c r="F14" i="71"/>
  <c r="N12" i="71"/>
  <c r="F12" i="71"/>
  <c r="E12" i="71"/>
  <c r="B12" i="71"/>
  <c r="N11" i="71"/>
  <c r="F11" i="71"/>
  <c r="E11" i="71"/>
  <c r="B11" i="71"/>
  <c r="N10" i="71"/>
  <c r="N14" i="71" s="1"/>
  <c r="F10" i="71"/>
  <c r="E10" i="71"/>
  <c r="E14" i="71" s="1"/>
  <c r="B10" i="71"/>
  <c r="H172" i="29"/>
  <c r="I172" i="29" s="1"/>
  <c r="L172" i="29" s="1"/>
  <c r="H171" i="29"/>
  <c r="I171" i="29" s="1"/>
  <c r="L171" i="29" s="1"/>
  <c r="H170" i="29"/>
  <c r="I170" i="29" s="1"/>
  <c r="L170" i="29" s="1"/>
  <c r="H169" i="29"/>
  <c r="I169" i="29" s="1"/>
  <c r="L169" i="29" s="1"/>
  <c r="H168" i="29"/>
  <c r="I168" i="29" s="1"/>
  <c r="L168" i="29" s="1"/>
  <c r="H167" i="29"/>
  <c r="I167" i="29" s="1"/>
  <c r="L167" i="29" s="1"/>
  <c r="H166" i="29"/>
  <c r="I166" i="29" s="1"/>
  <c r="L166" i="29" s="1"/>
  <c r="H165" i="29"/>
  <c r="I165" i="29" s="1"/>
  <c r="L165" i="29" s="1"/>
  <c r="H164" i="29"/>
  <c r="I164" i="29" s="1"/>
  <c r="L164" i="29" s="1"/>
  <c r="H163" i="29"/>
  <c r="I163" i="29" s="1"/>
  <c r="L163" i="29" s="1"/>
  <c r="H162" i="29"/>
  <c r="I162" i="29" s="1"/>
  <c r="L162" i="29" s="1"/>
  <c r="H161" i="29"/>
  <c r="I161" i="29" s="1"/>
  <c r="L161" i="29" s="1"/>
  <c r="H160" i="29"/>
  <c r="I160" i="29" s="1"/>
  <c r="L160" i="29" s="1"/>
  <c r="H159" i="29"/>
  <c r="I159" i="29" s="1"/>
  <c r="L159" i="29" s="1"/>
  <c r="H158" i="29"/>
  <c r="I158" i="29" s="1"/>
  <c r="L158" i="29" s="1"/>
  <c r="H157" i="29"/>
  <c r="I157" i="29" s="1"/>
  <c r="L157" i="29" s="1"/>
  <c r="H156" i="29"/>
  <c r="I156" i="29" s="1"/>
  <c r="L156" i="29" s="1"/>
  <c r="H155" i="29"/>
  <c r="I155" i="29" s="1"/>
  <c r="L155" i="29" s="1"/>
  <c r="H154" i="29"/>
  <c r="I154" i="29" s="1"/>
  <c r="L154" i="29" s="1"/>
  <c r="H153" i="29"/>
  <c r="I153" i="29" s="1"/>
  <c r="L153" i="29" s="1"/>
  <c r="H152" i="29"/>
  <c r="I152" i="29" s="1"/>
  <c r="L152" i="29" s="1"/>
  <c r="H151" i="29"/>
  <c r="I151" i="29" s="1"/>
  <c r="L151" i="29" s="1"/>
  <c r="H150" i="29"/>
  <c r="I150" i="29" s="1"/>
  <c r="L150" i="29" s="1"/>
  <c r="H149" i="29"/>
  <c r="I149" i="29" s="1"/>
  <c r="L149" i="29" s="1"/>
  <c r="H148" i="29"/>
  <c r="I148" i="29" s="1"/>
  <c r="L148" i="29" s="1"/>
  <c r="H147" i="29"/>
  <c r="I147" i="29" s="1"/>
  <c r="L147" i="29" s="1"/>
  <c r="H146" i="29"/>
  <c r="I146" i="29" s="1"/>
  <c r="L146" i="29" s="1"/>
  <c r="H145" i="29"/>
  <c r="I145" i="29" s="1"/>
  <c r="L145" i="29" s="1"/>
  <c r="H144" i="29"/>
  <c r="I144" i="29" s="1"/>
  <c r="L144" i="29" s="1"/>
  <c r="H143" i="29"/>
  <c r="I143" i="29" s="1"/>
  <c r="L143" i="29" s="1"/>
  <c r="H142" i="29"/>
  <c r="I142" i="29" s="1"/>
  <c r="L142" i="29" s="1"/>
  <c r="H141" i="29"/>
  <c r="I141" i="29" s="1"/>
  <c r="L141" i="29" s="1"/>
  <c r="H140" i="29"/>
  <c r="I140" i="29" s="1"/>
  <c r="L140" i="29" s="1"/>
  <c r="H138" i="29"/>
  <c r="I138" i="29" s="1"/>
  <c r="L138" i="29" s="1"/>
  <c r="H137" i="29"/>
  <c r="I137" i="29" s="1"/>
  <c r="L137" i="29" s="1"/>
  <c r="H135" i="29"/>
  <c r="I135" i="29" s="1"/>
  <c r="L135" i="29" s="1"/>
  <c r="H134" i="29"/>
  <c r="I134" i="29" s="1"/>
  <c r="L134" i="29" s="1"/>
  <c r="H133" i="29"/>
  <c r="I133" i="29" s="1"/>
  <c r="L133" i="29" s="1"/>
  <c r="H132" i="29"/>
  <c r="I132" i="29" s="1"/>
  <c r="L132" i="29" s="1"/>
  <c r="H131" i="29"/>
  <c r="I131" i="29" s="1"/>
  <c r="L131" i="29" s="1"/>
  <c r="H130" i="29"/>
  <c r="I130" i="29" s="1"/>
  <c r="L130" i="29" s="1"/>
  <c r="H129" i="29"/>
  <c r="I129" i="29" s="1"/>
  <c r="L129" i="29" s="1"/>
  <c r="H128" i="29"/>
  <c r="I128" i="29" s="1"/>
  <c r="L128" i="29" s="1"/>
  <c r="H127" i="29"/>
  <c r="I127" i="29" s="1"/>
  <c r="L127" i="29" s="1"/>
  <c r="H126" i="29"/>
  <c r="I126" i="29" s="1"/>
  <c r="L126" i="29" s="1"/>
  <c r="K124" i="29"/>
  <c r="H124" i="29"/>
  <c r="I124" i="29" s="1"/>
  <c r="L124" i="29" s="1"/>
  <c r="H123" i="29"/>
  <c r="I123" i="29" s="1"/>
  <c r="L123" i="29" s="1"/>
  <c r="H122" i="29"/>
  <c r="I122" i="29" s="1"/>
  <c r="L122" i="29" s="1"/>
  <c r="H121" i="29"/>
  <c r="I121" i="29" s="1"/>
  <c r="L121" i="29" s="1"/>
  <c r="H120" i="29"/>
  <c r="I120" i="29" s="1"/>
  <c r="L120" i="29" s="1"/>
  <c r="H119" i="29"/>
  <c r="I119" i="29" s="1"/>
  <c r="L119" i="29" s="1"/>
  <c r="H118" i="29"/>
  <c r="I118" i="29" s="1"/>
  <c r="L118" i="29" s="1"/>
  <c r="H117" i="29"/>
  <c r="I117" i="29" s="1"/>
  <c r="L117" i="29" s="1"/>
  <c r="H116" i="29"/>
  <c r="I116" i="29" s="1"/>
  <c r="L116" i="29" s="1"/>
  <c r="H115" i="29"/>
  <c r="I115" i="29" s="1"/>
  <c r="L115" i="29" s="1"/>
  <c r="H114" i="29"/>
  <c r="I114" i="29" s="1"/>
  <c r="L114" i="29" s="1"/>
  <c r="H113" i="29"/>
  <c r="I113" i="29" s="1"/>
  <c r="L113" i="29" s="1"/>
  <c r="H112" i="29"/>
  <c r="I112" i="29" s="1"/>
  <c r="L112" i="29" s="1"/>
  <c r="H110" i="29"/>
  <c r="I110" i="29" s="1"/>
  <c r="L110" i="29" s="1"/>
  <c r="H109" i="29"/>
  <c r="I109" i="29" s="1"/>
  <c r="L109" i="29" s="1"/>
  <c r="H108" i="29"/>
  <c r="I108" i="29" s="1"/>
  <c r="L108" i="29" s="1"/>
  <c r="H107" i="29"/>
  <c r="I107" i="29" s="1"/>
  <c r="L107" i="29" s="1"/>
  <c r="H106" i="29"/>
  <c r="I106" i="29" s="1"/>
  <c r="L106" i="29" s="1"/>
  <c r="H105" i="29"/>
  <c r="I105" i="29" s="1"/>
  <c r="L105" i="29" s="1"/>
  <c r="H104" i="29"/>
  <c r="I104" i="29" s="1"/>
  <c r="L104" i="29" s="1"/>
  <c r="H103" i="29"/>
  <c r="I103" i="29" s="1"/>
  <c r="L103" i="29" s="1"/>
  <c r="H102" i="29"/>
  <c r="I102" i="29" s="1"/>
  <c r="L102" i="29" s="1"/>
  <c r="H101" i="29"/>
  <c r="I101" i="29" s="1"/>
  <c r="L101" i="29" s="1"/>
  <c r="H99" i="29"/>
  <c r="I99" i="29" s="1"/>
  <c r="L99" i="29" s="1"/>
  <c r="H98" i="29"/>
  <c r="I98" i="29" s="1"/>
  <c r="L98" i="29" s="1"/>
  <c r="H97" i="29"/>
  <c r="I97" i="29" s="1"/>
  <c r="L97" i="29" s="1"/>
  <c r="H96" i="29"/>
  <c r="I96" i="29" s="1"/>
  <c r="L96" i="29" s="1"/>
  <c r="H95" i="29"/>
  <c r="I95" i="29" s="1"/>
  <c r="L95" i="29" s="1"/>
  <c r="H94" i="29"/>
  <c r="I94" i="29" s="1"/>
  <c r="L94" i="29" s="1"/>
  <c r="H93" i="29"/>
  <c r="I93" i="29" s="1"/>
  <c r="L93" i="29" s="1"/>
  <c r="H92" i="29"/>
  <c r="I92" i="29" s="1"/>
  <c r="L92" i="29" s="1"/>
  <c r="H91" i="29"/>
  <c r="I91" i="29" s="1"/>
  <c r="L91" i="29" s="1"/>
  <c r="H90" i="29"/>
  <c r="I90" i="29" s="1"/>
  <c r="L90" i="29" s="1"/>
  <c r="H89" i="29"/>
  <c r="I89" i="29" s="1"/>
  <c r="L89" i="29" s="1"/>
  <c r="H88" i="29"/>
  <c r="I88" i="29" s="1"/>
  <c r="L88" i="29" s="1"/>
  <c r="H87" i="29"/>
  <c r="I87" i="29" s="1"/>
  <c r="L87" i="29" s="1"/>
  <c r="H85" i="29"/>
  <c r="I85" i="29" s="1"/>
  <c r="L85" i="29" s="1"/>
  <c r="H84" i="29"/>
  <c r="I84" i="29" s="1"/>
  <c r="L84" i="29" s="1"/>
  <c r="H83" i="29"/>
  <c r="I83" i="29" s="1"/>
  <c r="L83" i="29" s="1"/>
  <c r="H82" i="29"/>
  <c r="I82" i="29" s="1"/>
  <c r="L82" i="29" s="1"/>
  <c r="H81" i="29"/>
  <c r="I81" i="29" s="1"/>
  <c r="L81" i="29" s="1"/>
  <c r="H80" i="29"/>
  <c r="I80" i="29" s="1"/>
  <c r="L80" i="29" s="1"/>
  <c r="H79" i="29"/>
  <c r="I79" i="29" s="1"/>
  <c r="L79" i="29" s="1"/>
  <c r="H78" i="29"/>
  <c r="I78" i="29" s="1"/>
  <c r="L78" i="29" s="1"/>
  <c r="H77" i="29"/>
  <c r="I77" i="29" s="1"/>
  <c r="L77" i="29" s="1"/>
  <c r="H76" i="29"/>
  <c r="I76" i="29" s="1"/>
  <c r="L76" i="29" s="1"/>
  <c r="H75" i="29"/>
  <c r="I75" i="29" s="1"/>
  <c r="L75" i="29" s="1"/>
  <c r="H74" i="29"/>
  <c r="I74" i="29" s="1"/>
  <c r="L74" i="29" s="1"/>
  <c r="H73" i="29"/>
  <c r="I73" i="29" s="1"/>
  <c r="L73" i="29" s="1"/>
  <c r="H72" i="29"/>
  <c r="I72" i="29" s="1"/>
  <c r="L72" i="29" s="1"/>
  <c r="H71" i="29"/>
  <c r="I71" i="29" s="1"/>
  <c r="L71" i="29" s="1"/>
  <c r="H70" i="29"/>
  <c r="I70" i="29" s="1"/>
  <c r="L70" i="29" s="1"/>
  <c r="H69" i="29"/>
  <c r="I69" i="29" s="1"/>
  <c r="L69" i="29" s="1"/>
  <c r="H68" i="29"/>
  <c r="I68" i="29" s="1"/>
  <c r="L68" i="29" s="1"/>
  <c r="H67" i="29"/>
  <c r="I67" i="29" s="1"/>
  <c r="L67" i="29" s="1"/>
  <c r="H66" i="29"/>
  <c r="I66" i="29" s="1"/>
  <c r="L66" i="29" s="1"/>
  <c r="L174" i="29" s="1"/>
  <c r="K60" i="29"/>
  <c r="H60" i="29"/>
  <c r="I60" i="29" s="1"/>
  <c r="L60" i="29" s="1"/>
  <c r="K59" i="29"/>
  <c r="H59" i="29"/>
  <c r="I59" i="29" s="1"/>
  <c r="L59" i="29" s="1"/>
  <c r="L61" i="29" s="1"/>
  <c r="K51" i="29"/>
  <c r="H51" i="29"/>
  <c r="I51" i="29" s="1"/>
  <c r="L51" i="29" s="1"/>
  <c r="K49" i="29"/>
  <c r="H49" i="29"/>
  <c r="I49" i="29" s="1"/>
  <c r="L49" i="29" s="1"/>
  <c r="L53" i="29" s="1"/>
  <c r="H43" i="29"/>
  <c r="I43" i="29" s="1"/>
  <c r="L43" i="29" s="1"/>
  <c r="H42" i="29"/>
  <c r="I42" i="29" s="1"/>
  <c r="L42" i="29" s="1"/>
  <c r="H41" i="29"/>
  <c r="I41" i="29" s="1"/>
  <c r="L41" i="29" s="1"/>
  <c r="H40" i="29"/>
  <c r="I40" i="29" s="1"/>
  <c r="H39" i="29"/>
  <c r="I39" i="29" s="1"/>
  <c r="L39" i="29" s="1"/>
  <c r="H38" i="29"/>
  <c r="I38" i="29" s="1"/>
  <c r="L38" i="29" s="1"/>
  <c r="H37" i="29"/>
  <c r="I37" i="29" s="1"/>
  <c r="L37" i="29" s="1"/>
  <c r="H36" i="29"/>
  <c r="I36" i="29" s="1"/>
  <c r="L36" i="29" s="1"/>
  <c r="H35" i="29"/>
  <c r="I35" i="29" s="1"/>
  <c r="L35" i="29" s="1"/>
  <c r="H34" i="29"/>
  <c r="I34" i="29" s="1"/>
  <c r="L34" i="29" s="1"/>
  <c r="H33" i="29"/>
  <c r="I33" i="29" s="1"/>
  <c r="L33" i="29" s="1"/>
  <c r="L45" i="29" s="1"/>
  <c r="O15" i="29"/>
  <c r="N14" i="29"/>
  <c r="N13" i="29"/>
  <c r="L13" i="29"/>
  <c r="N12" i="29"/>
  <c r="L12" i="29"/>
  <c r="N11" i="29"/>
  <c r="L11" i="29"/>
  <c r="N10" i="29"/>
  <c r="N15" i="29" s="1"/>
  <c r="L10" i="29"/>
  <c r="L15" i="29" s="1"/>
  <c r="C27" i="28"/>
  <c r="H25" i="28"/>
  <c r="D16" i="28"/>
  <c r="E16" i="28" s="1"/>
  <c r="L75" i="27"/>
  <c r="H75" i="27"/>
  <c r="I75" i="27" s="1"/>
  <c r="M75" i="27" s="1"/>
  <c r="M77" i="27" s="1"/>
  <c r="L70" i="27"/>
  <c r="K70" i="27"/>
  <c r="H70" i="27"/>
  <c r="I70" i="27" s="1"/>
  <c r="M70" i="27" s="1"/>
  <c r="M72" i="27" s="1"/>
  <c r="K64" i="27"/>
  <c r="L64" i="27" s="1"/>
  <c r="H64" i="27"/>
  <c r="I64" i="27" s="1"/>
  <c r="M64" i="27" s="1"/>
  <c r="K63" i="27"/>
  <c r="L63" i="27" s="1"/>
  <c r="H63" i="27"/>
  <c r="I63" i="27" s="1"/>
  <c r="M63" i="27" s="1"/>
  <c r="K62" i="27"/>
  <c r="L62" i="27" s="1"/>
  <c r="H62" i="27"/>
  <c r="I62" i="27" s="1"/>
  <c r="M62" i="27" s="1"/>
  <c r="K61" i="27"/>
  <c r="L61" i="27" s="1"/>
  <c r="H61" i="27"/>
  <c r="I61" i="27" s="1"/>
  <c r="M61" i="27" s="1"/>
  <c r="K60" i="27"/>
  <c r="L60" i="27" s="1"/>
  <c r="H60" i="27"/>
  <c r="I60" i="27" s="1"/>
  <c r="M60" i="27" s="1"/>
  <c r="M66" i="27" s="1"/>
  <c r="K49" i="27"/>
  <c r="L49" i="27" s="1"/>
  <c r="H49" i="27"/>
  <c r="I49" i="27" s="1"/>
  <c r="M49" i="27" s="1"/>
  <c r="K48" i="27"/>
  <c r="L48" i="27" s="1"/>
  <c r="H48" i="27"/>
  <c r="I48" i="27" s="1"/>
  <c r="M48" i="27" s="1"/>
  <c r="K47" i="27"/>
  <c r="L47" i="27" s="1"/>
  <c r="H47" i="27"/>
  <c r="I47" i="27" s="1"/>
  <c r="M47" i="27" s="1"/>
  <c r="M51" i="27" s="1"/>
  <c r="K42" i="27"/>
  <c r="L42" i="27" s="1"/>
  <c r="H42" i="27"/>
  <c r="I42" i="27" s="1"/>
  <c r="M42" i="27" s="1"/>
  <c r="K41" i="27"/>
  <c r="L41" i="27" s="1"/>
  <c r="H41" i="27"/>
  <c r="I41" i="27" s="1"/>
  <c r="M41" i="27" s="1"/>
  <c r="K37" i="27"/>
  <c r="L37" i="27" s="1"/>
  <c r="H37" i="27"/>
  <c r="I37" i="27" s="1"/>
  <c r="M37" i="27" s="1"/>
  <c r="K33" i="27"/>
  <c r="L33" i="27" s="1"/>
  <c r="H33" i="27"/>
  <c r="I33" i="27" s="1"/>
  <c r="M33" i="27" s="1"/>
  <c r="M44" i="27" s="1"/>
  <c r="R16" i="27"/>
  <c r="Q14" i="27"/>
  <c r="M14" i="27"/>
  <c r="Q13" i="27"/>
  <c r="M13" i="27"/>
  <c r="Q12" i="27"/>
  <c r="M12" i="27"/>
  <c r="Q11" i="27"/>
  <c r="M11" i="27"/>
  <c r="Q10" i="27"/>
  <c r="Q16" i="27" s="1"/>
  <c r="M10" i="27"/>
  <c r="M16" i="27" s="1"/>
  <c r="K325" i="78"/>
  <c r="L325" i="78" s="1"/>
  <c r="L326" i="78" s="1"/>
  <c r="H325" i="78"/>
  <c r="I325" i="78" s="1"/>
  <c r="K321" i="78"/>
  <c r="L321" i="78" s="1"/>
  <c r="H321" i="78"/>
  <c r="I321" i="78" s="1"/>
  <c r="M321" i="78" s="1"/>
  <c r="K320" i="78"/>
  <c r="L320" i="78" s="1"/>
  <c r="H320" i="78"/>
  <c r="I320" i="78" s="1"/>
  <c r="M320" i="78" s="1"/>
  <c r="K319" i="78"/>
  <c r="L319" i="78" s="1"/>
  <c r="H319" i="78"/>
  <c r="I319" i="78" s="1"/>
  <c r="M319" i="78" s="1"/>
  <c r="K318" i="78"/>
  <c r="L318" i="78" s="1"/>
  <c r="H318" i="78"/>
  <c r="I318" i="78" s="1"/>
  <c r="M318" i="78" s="1"/>
  <c r="K317" i="78"/>
  <c r="L317" i="78" s="1"/>
  <c r="H317" i="78"/>
  <c r="I317" i="78" s="1"/>
  <c r="M317" i="78" s="1"/>
  <c r="K316" i="78"/>
  <c r="L316" i="78" s="1"/>
  <c r="H316" i="78"/>
  <c r="I316" i="78" s="1"/>
  <c r="M316" i="78" s="1"/>
  <c r="K315" i="78"/>
  <c r="L315" i="78" s="1"/>
  <c r="H315" i="78"/>
  <c r="I315" i="78" s="1"/>
  <c r="M315" i="78" s="1"/>
  <c r="K314" i="78"/>
  <c r="L314" i="78" s="1"/>
  <c r="H314" i="78"/>
  <c r="I314" i="78" s="1"/>
  <c r="M314" i="78" s="1"/>
  <c r="K313" i="78"/>
  <c r="L313" i="78" s="1"/>
  <c r="H313" i="78"/>
  <c r="I313" i="78" s="1"/>
  <c r="M313" i="78" s="1"/>
  <c r="K312" i="78"/>
  <c r="L312" i="78" s="1"/>
  <c r="H312" i="78"/>
  <c r="I312" i="78" s="1"/>
  <c r="M312" i="78" s="1"/>
  <c r="K311" i="78"/>
  <c r="L311" i="78" s="1"/>
  <c r="H311" i="78"/>
  <c r="I311" i="78" s="1"/>
  <c r="M311" i="78" s="1"/>
  <c r="K310" i="78"/>
  <c r="L310" i="78" s="1"/>
  <c r="H310" i="78"/>
  <c r="I310" i="78" s="1"/>
  <c r="M310" i="78" s="1"/>
  <c r="K309" i="78"/>
  <c r="L309" i="78" s="1"/>
  <c r="H309" i="78"/>
  <c r="I309" i="78" s="1"/>
  <c r="M309" i="78" s="1"/>
  <c r="K308" i="78"/>
  <c r="L308" i="78" s="1"/>
  <c r="H308" i="78"/>
  <c r="I308" i="78" s="1"/>
  <c r="M308" i="78" s="1"/>
  <c r="K307" i="78"/>
  <c r="L307" i="78" s="1"/>
  <c r="H307" i="78"/>
  <c r="I307" i="78" s="1"/>
  <c r="M307" i="78" s="1"/>
  <c r="K306" i="78"/>
  <c r="L306" i="78" s="1"/>
  <c r="H306" i="78"/>
  <c r="I306" i="78" s="1"/>
  <c r="M306" i="78" s="1"/>
  <c r="K305" i="78"/>
  <c r="L305" i="78" s="1"/>
  <c r="H305" i="78"/>
  <c r="I305" i="78" s="1"/>
  <c r="M305" i="78" s="1"/>
  <c r="K304" i="78"/>
  <c r="L304" i="78" s="1"/>
  <c r="H304" i="78"/>
  <c r="I304" i="78" s="1"/>
  <c r="M304" i="78" s="1"/>
  <c r="K303" i="78"/>
  <c r="L303" i="78" s="1"/>
  <c r="H303" i="78"/>
  <c r="I303" i="78" s="1"/>
  <c r="M303" i="78" s="1"/>
  <c r="K302" i="78"/>
  <c r="L302" i="78" s="1"/>
  <c r="H302" i="78"/>
  <c r="I302" i="78" s="1"/>
  <c r="M302" i="78" s="1"/>
  <c r="K301" i="78"/>
  <c r="L301" i="78" s="1"/>
  <c r="H301" i="78"/>
  <c r="I301" i="78" s="1"/>
  <c r="M301" i="78" s="1"/>
  <c r="K300" i="78"/>
  <c r="L300" i="78" s="1"/>
  <c r="H300" i="78"/>
  <c r="I300" i="78" s="1"/>
  <c r="M300" i="78" s="1"/>
  <c r="K299" i="78"/>
  <c r="L299" i="78" s="1"/>
  <c r="H299" i="78"/>
  <c r="I299" i="78" s="1"/>
  <c r="M299" i="78" s="1"/>
  <c r="K298" i="78"/>
  <c r="L298" i="78" s="1"/>
  <c r="H298" i="78"/>
  <c r="I298" i="78" s="1"/>
  <c r="M298" i="78" s="1"/>
  <c r="K297" i="78"/>
  <c r="L297" i="78" s="1"/>
  <c r="H297" i="78"/>
  <c r="I297" i="78" s="1"/>
  <c r="M297" i="78" s="1"/>
  <c r="K296" i="78"/>
  <c r="L296" i="78" s="1"/>
  <c r="H296" i="78"/>
  <c r="I296" i="78" s="1"/>
  <c r="M296" i="78" s="1"/>
  <c r="K295" i="78"/>
  <c r="L295" i="78" s="1"/>
  <c r="H295" i="78"/>
  <c r="I295" i="78" s="1"/>
  <c r="M295" i="78" s="1"/>
  <c r="K294" i="78"/>
  <c r="L294" i="78" s="1"/>
  <c r="H294" i="78"/>
  <c r="I294" i="78" s="1"/>
  <c r="M294" i="78" s="1"/>
  <c r="K293" i="78"/>
  <c r="L293" i="78" s="1"/>
  <c r="H293" i="78"/>
  <c r="I293" i="78" s="1"/>
  <c r="M293" i="78" s="1"/>
  <c r="K292" i="78"/>
  <c r="L292" i="78" s="1"/>
  <c r="H292" i="78"/>
  <c r="I292" i="78" s="1"/>
  <c r="M292" i="78" s="1"/>
  <c r="K291" i="78"/>
  <c r="L291" i="78" s="1"/>
  <c r="H291" i="78"/>
  <c r="I291" i="78" s="1"/>
  <c r="M291" i="78" s="1"/>
  <c r="K290" i="78"/>
  <c r="L290" i="78" s="1"/>
  <c r="H290" i="78"/>
  <c r="I290" i="78" s="1"/>
  <c r="M290" i="78" s="1"/>
  <c r="K289" i="78"/>
  <c r="L289" i="78" s="1"/>
  <c r="H289" i="78"/>
  <c r="I289" i="78" s="1"/>
  <c r="M289" i="78" s="1"/>
  <c r="K288" i="78"/>
  <c r="L288" i="78" s="1"/>
  <c r="H288" i="78"/>
  <c r="I288" i="78" s="1"/>
  <c r="M288" i="78" s="1"/>
  <c r="K287" i="78"/>
  <c r="L287" i="78" s="1"/>
  <c r="H287" i="78"/>
  <c r="I287" i="78" s="1"/>
  <c r="M287" i="78" s="1"/>
  <c r="K286" i="78"/>
  <c r="L286" i="78" s="1"/>
  <c r="H286" i="78"/>
  <c r="I286" i="78" s="1"/>
  <c r="M286" i="78" s="1"/>
  <c r="K285" i="78"/>
  <c r="L285" i="78" s="1"/>
  <c r="H285" i="78"/>
  <c r="I285" i="78" s="1"/>
  <c r="M285" i="78" s="1"/>
  <c r="K284" i="78"/>
  <c r="L284" i="78" s="1"/>
  <c r="H284" i="78"/>
  <c r="I284" i="78" s="1"/>
  <c r="M284" i="78" s="1"/>
  <c r="K283" i="78"/>
  <c r="L283" i="78" s="1"/>
  <c r="H283" i="78"/>
  <c r="I283" i="78" s="1"/>
  <c r="M283" i="78" s="1"/>
  <c r="K282" i="78"/>
  <c r="L282" i="78" s="1"/>
  <c r="H282" i="78"/>
  <c r="I282" i="78" s="1"/>
  <c r="M282" i="78" s="1"/>
  <c r="K281" i="78"/>
  <c r="L281" i="78" s="1"/>
  <c r="H281" i="78"/>
  <c r="I281" i="78" s="1"/>
  <c r="M281" i="78" s="1"/>
  <c r="K280" i="78"/>
  <c r="L280" i="78" s="1"/>
  <c r="H280" i="78"/>
  <c r="I280" i="78" s="1"/>
  <c r="M280" i="78" s="1"/>
  <c r="K279" i="78"/>
  <c r="L279" i="78" s="1"/>
  <c r="L322" i="78" s="1"/>
  <c r="H279" i="78"/>
  <c r="I279" i="78" s="1"/>
  <c r="K274" i="78"/>
  <c r="L274" i="78" s="1"/>
  <c r="H274" i="78"/>
  <c r="I274" i="78" s="1"/>
  <c r="M274" i="78" s="1"/>
  <c r="K273" i="78"/>
  <c r="L273" i="78" s="1"/>
  <c r="H273" i="78"/>
  <c r="I273" i="78" s="1"/>
  <c r="M273" i="78" s="1"/>
  <c r="K272" i="78"/>
  <c r="L272" i="78" s="1"/>
  <c r="H272" i="78"/>
  <c r="I272" i="78" s="1"/>
  <c r="M272" i="78" s="1"/>
  <c r="K271" i="78"/>
  <c r="L271" i="78" s="1"/>
  <c r="H271" i="78"/>
  <c r="I271" i="78" s="1"/>
  <c r="M271" i="78" s="1"/>
  <c r="K270" i="78"/>
  <c r="L270" i="78" s="1"/>
  <c r="H270" i="78"/>
  <c r="I270" i="78" s="1"/>
  <c r="M270" i="78" s="1"/>
  <c r="K268" i="78"/>
  <c r="L268" i="78" s="1"/>
  <c r="H268" i="78"/>
  <c r="I268" i="78" s="1"/>
  <c r="M268" i="78" s="1"/>
  <c r="K267" i="78"/>
  <c r="L267" i="78" s="1"/>
  <c r="H267" i="78"/>
  <c r="I267" i="78" s="1"/>
  <c r="M267" i="78" s="1"/>
  <c r="K266" i="78"/>
  <c r="L266" i="78" s="1"/>
  <c r="H266" i="78"/>
  <c r="I266" i="78" s="1"/>
  <c r="M266" i="78" s="1"/>
  <c r="K265" i="78"/>
  <c r="L265" i="78" s="1"/>
  <c r="H265" i="78"/>
  <c r="I265" i="78" s="1"/>
  <c r="M265" i="78" s="1"/>
  <c r="K264" i="78"/>
  <c r="L264" i="78" s="1"/>
  <c r="L275" i="78" s="1"/>
  <c r="H264" i="78"/>
  <c r="I264" i="78" s="1"/>
  <c r="K260" i="78"/>
  <c r="L260" i="78" s="1"/>
  <c r="H260" i="78"/>
  <c r="I260" i="78" s="1"/>
  <c r="M260" i="78" s="1"/>
  <c r="K259" i="78"/>
  <c r="L259" i="78" s="1"/>
  <c r="H259" i="78"/>
  <c r="I259" i="78" s="1"/>
  <c r="M259" i="78" s="1"/>
  <c r="K258" i="78"/>
  <c r="L258" i="78" s="1"/>
  <c r="H258" i="78"/>
  <c r="I258" i="78" s="1"/>
  <c r="M258" i="78" s="1"/>
  <c r="K257" i="78"/>
  <c r="L257" i="78" s="1"/>
  <c r="H257" i="78"/>
  <c r="I257" i="78" s="1"/>
  <c r="M257" i="78" s="1"/>
  <c r="K256" i="78"/>
  <c r="L256" i="78" s="1"/>
  <c r="H256" i="78"/>
  <c r="I256" i="78" s="1"/>
  <c r="K255" i="78"/>
  <c r="L255" i="78" s="1"/>
  <c r="H255" i="78"/>
  <c r="I255" i="78" s="1"/>
  <c r="M255" i="78" s="1"/>
  <c r="K254" i="78"/>
  <c r="L254" i="78" s="1"/>
  <c r="H254" i="78"/>
  <c r="I254" i="78" s="1"/>
  <c r="M254" i="78" s="1"/>
  <c r="K253" i="78"/>
  <c r="L253" i="78" s="1"/>
  <c r="H253" i="78"/>
  <c r="I253" i="78" s="1"/>
  <c r="M253" i="78" s="1"/>
  <c r="K252" i="78"/>
  <c r="L252" i="78" s="1"/>
  <c r="H252" i="78"/>
  <c r="I252" i="78" s="1"/>
  <c r="M252" i="78" s="1"/>
  <c r="K251" i="78"/>
  <c r="L251" i="78" s="1"/>
  <c r="H251" i="78"/>
  <c r="I251" i="78" s="1"/>
  <c r="M251" i="78" s="1"/>
  <c r="K250" i="78"/>
  <c r="L250" i="78" s="1"/>
  <c r="H250" i="78"/>
  <c r="I250" i="78" s="1"/>
  <c r="M250" i="78" s="1"/>
  <c r="K249" i="78"/>
  <c r="L249" i="78" s="1"/>
  <c r="H249" i="78"/>
  <c r="I249" i="78" s="1"/>
  <c r="M249" i="78" s="1"/>
  <c r="K248" i="78"/>
  <c r="L248" i="78" s="1"/>
  <c r="H248" i="78"/>
  <c r="I248" i="78" s="1"/>
  <c r="M248" i="78" s="1"/>
  <c r="K247" i="78"/>
  <c r="L247" i="78" s="1"/>
  <c r="H247" i="78"/>
  <c r="I247" i="78" s="1"/>
  <c r="M247" i="78" s="1"/>
  <c r="K246" i="78"/>
  <c r="L246" i="78" s="1"/>
  <c r="H246" i="78"/>
  <c r="I246" i="78" s="1"/>
  <c r="M246" i="78" s="1"/>
  <c r="K245" i="78"/>
  <c r="L245" i="78" s="1"/>
  <c r="H245" i="78"/>
  <c r="I245" i="78" s="1"/>
  <c r="M245" i="78" s="1"/>
  <c r="K244" i="78"/>
  <c r="L244" i="78" s="1"/>
  <c r="H244" i="78"/>
  <c r="I244" i="78" s="1"/>
  <c r="M244" i="78" s="1"/>
  <c r="K243" i="78"/>
  <c r="L243" i="78" s="1"/>
  <c r="H243" i="78"/>
  <c r="I243" i="78" s="1"/>
  <c r="M243" i="78" s="1"/>
  <c r="K241" i="78"/>
  <c r="L241" i="78" s="1"/>
  <c r="H241" i="78"/>
  <c r="I241" i="78" s="1"/>
  <c r="M241" i="78" s="1"/>
  <c r="K240" i="78"/>
  <c r="L240" i="78" s="1"/>
  <c r="H240" i="78"/>
  <c r="I240" i="78" s="1"/>
  <c r="M240" i="78" s="1"/>
  <c r="K239" i="78"/>
  <c r="L239" i="78" s="1"/>
  <c r="H239" i="78"/>
  <c r="I239" i="78" s="1"/>
  <c r="M239" i="78" s="1"/>
  <c r="K237" i="78"/>
  <c r="L237" i="78" s="1"/>
  <c r="H237" i="78"/>
  <c r="I237" i="78" s="1"/>
  <c r="M237" i="78" s="1"/>
  <c r="K236" i="78"/>
  <c r="L236" i="78" s="1"/>
  <c r="H236" i="78"/>
  <c r="I236" i="78" s="1"/>
  <c r="M236" i="78" s="1"/>
  <c r="K234" i="78"/>
  <c r="L234" i="78" s="1"/>
  <c r="H234" i="78"/>
  <c r="I234" i="78" s="1"/>
  <c r="M234" i="78" s="1"/>
  <c r="K232" i="78"/>
  <c r="L232" i="78" s="1"/>
  <c r="H232" i="78"/>
  <c r="I232" i="78" s="1"/>
  <c r="M232" i="78" s="1"/>
  <c r="K230" i="78"/>
  <c r="L230" i="78" s="1"/>
  <c r="H230" i="78"/>
  <c r="I230" i="78" s="1"/>
  <c r="M230" i="78" s="1"/>
  <c r="K228" i="78"/>
  <c r="L228" i="78" s="1"/>
  <c r="H228" i="78"/>
  <c r="I228" i="78" s="1"/>
  <c r="M228" i="78" s="1"/>
  <c r="K227" i="78"/>
  <c r="L227" i="78" s="1"/>
  <c r="H227" i="78"/>
  <c r="I227" i="78" s="1"/>
  <c r="M227" i="78" s="1"/>
  <c r="K226" i="78"/>
  <c r="L226" i="78" s="1"/>
  <c r="H226" i="78"/>
  <c r="I226" i="78" s="1"/>
  <c r="M226" i="78" s="1"/>
  <c r="K225" i="78"/>
  <c r="L225" i="78" s="1"/>
  <c r="H225" i="78"/>
  <c r="I225" i="78" s="1"/>
  <c r="M225" i="78" s="1"/>
  <c r="K224" i="78"/>
  <c r="L224" i="78" s="1"/>
  <c r="H224" i="78"/>
  <c r="I224" i="78" s="1"/>
  <c r="M224" i="78" s="1"/>
  <c r="K223" i="78"/>
  <c r="L223" i="78" s="1"/>
  <c r="H223" i="78"/>
  <c r="I223" i="78" s="1"/>
  <c r="M223" i="78" s="1"/>
  <c r="K221" i="78"/>
  <c r="L221" i="78" s="1"/>
  <c r="L261" i="78" s="1"/>
  <c r="H221" i="78"/>
  <c r="I221" i="78" s="1"/>
  <c r="K215" i="78"/>
  <c r="L215" i="78" s="1"/>
  <c r="H215" i="78"/>
  <c r="I215" i="78" s="1"/>
  <c r="M215" i="78" s="1"/>
  <c r="K214" i="78"/>
  <c r="L214" i="78" s="1"/>
  <c r="H214" i="78"/>
  <c r="I214" i="78" s="1"/>
  <c r="M214" i="78" s="1"/>
  <c r="K213" i="78"/>
  <c r="L213" i="78" s="1"/>
  <c r="H213" i="78"/>
  <c r="I213" i="78" s="1"/>
  <c r="M213" i="78" s="1"/>
  <c r="K212" i="78"/>
  <c r="L212" i="78" s="1"/>
  <c r="H212" i="78"/>
  <c r="I212" i="78" s="1"/>
  <c r="M212" i="78" s="1"/>
  <c r="K211" i="78"/>
  <c r="L211" i="78" s="1"/>
  <c r="H211" i="78"/>
  <c r="I211" i="78" s="1"/>
  <c r="M211" i="78" s="1"/>
  <c r="K210" i="78"/>
  <c r="L210" i="78" s="1"/>
  <c r="H210" i="78"/>
  <c r="I210" i="78" s="1"/>
  <c r="M210" i="78" s="1"/>
  <c r="K209" i="78"/>
  <c r="L209" i="78" s="1"/>
  <c r="H209" i="78"/>
  <c r="I209" i="78" s="1"/>
  <c r="M209" i="78" s="1"/>
  <c r="K208" i="78"/>
  <c r="L208" i="78" s="1"/>
  <c r="H208" i="78"/>
  <c r="I208" i="78" s="1"/>
  <c r="M208" i="78" s="1"/>
  <c r="K206" i="78"/>
  <c r="L206" i="78" s="1"/>
  <c r="H206" i="78"/>
  <c r="I206" i="78" s="1"/>
  <c r="M206" i="78" s="1"/>
  <c r="K205" i="78"/>
  <c r="L205" i="78" s="1"/>
  <c r="H205" i="78"/>
  <c r="I205" i="78" s="1"/>
  <c r="M205" i="78" s="1"/>
  <c r="K204" i="78"/>
  <c r="L204" i="78" s="1"/>
  <c r="L216" i="78" s="1"/>
  <c r="H204" i="78"/>
  <c r="I204" i="78" s="1"/>
  <c r="K199" i="78"/>
  <c r="L199" i="78" s="1"/>
  <c r="H199" i="78"/>
  <c r="I199" i="78" s="1"/>
  <c r="M199" i="78" s="1"/>
  <c r="K198" i="78"/>
  <c r="L198" i="78" s="1"/>
  <c r="H198" i="78"/>
  <c r="I198" i="78" s="1"/>
  <c r="M198" i="78" s="1"/>
  <c r="K197" i="78"/>
  <c r="L197" i="78" s="1"/>
  <c r="H197" i="78"/>
  <c r="I197" i="78" s="1"/>
  <c r="M197" i="78" s="1"/>
  <c r="K196" i="78"/>
  <c r="L196" i="78" s="1"/>
  <c r="H196" i="78"/>
  <c r="I196" i="78" s="1"/>
  <c r="M196" i="78" s="1"/>
  <c r="K195" i="78"/>
  <c r="L195" i="78" s="1"/>
  <c r="H195" i="78"/>
  <c r="I195" i="78" s="1"/>
  <c r="M195" i="78" s="1"/>
  <c r="K194" i="78"/>
  <c r="L194" i="78" s="1"/>
  <c r="H194" i="78"/>
  <c r="I194" i="78" s="1"/>
  <c r="M194" i="78" s="1"/>
  <c r="K192" i="78"/>
  <c r="L192" i="78" s="1"/>
  <c r="H192" i="78"/>
  <c r="I192" i="78" s="1"/>
  <c r="M192" i="78" s="1"/>
  <c r="K191" i="78"/>
  <c r="L191" i="78" s="1"/>
  <c r="H191" i="78"/>
  <c r="I191" i="78" s="1"/>
  <c r="M191" i="78" s="1"/>
  <c r="K190" i="78"/>
  <c r="L190" i="78" s="1"/>
  <c r="H190" i="78"/>
  <c r="I190" i="78" s="1"/>
  <c r="M190" i="78" s="1"/>
  <c r="K189" i="78"/>
  <c r="L189" i="78" s="1"/>
  <c r="H189" i="78"/>
  <c r="I189" i="78" s="1"/>
  <c r="M189" i="78" s="1"/>
  <c r="K188" i="78"/>
  <c r="L188" i="78" s="1"/>
  <c r="H188" i="78"/>
  <c r="I188" i="78" s="1"/>
  <c r="M188" i="78" s="1"/>
  <c r="K187" i="78"/>
  <c r="L187" i="78" s="1"/>
  <c r="H187" i="78"/>
  <c r="I187" i="78" s="1"/>
  <c r="M187" i="78" s="1"/>
  <c r="K184" i="78"/>
  <c r="L184" i="78" s="1"/>
  <c r="H184" i="78"/>
  <c r="I184" i="78" s="1"/>
  <c r="M184" i="78" s="1"/>
  <c r="K183" i="78"/>
  <c r="L183" i="78" s="1"/>
  <c r="H183" i="78"/>
  <c r="I183" i="78" s="1"/>
  <c r="M183" i="78" s="1"/>
  <c r="K181" i="78"/>
  <c r="L181" i="78" s="1"/>
  <c r="H181" i="78"/>
  <c r="I181" i="78" s="1"/>
  <c r="M181" i="78" s="1"/>
  <c r="K180" i="78"/>
  <c r="L180" i="78" s="1"/>
  <c r="H180" i="78"/>
  <c r="I180" i="78" s="1"/>
  <c r="M180" i="78" s="1"/>
  <c r="K179" i="78"/>
  <c r="L179" i="78" s="1"/>
  <c r="H179" i="78"/>
  <c r="I179" i="78" s="1"/>
  <c r="M179" i="78" s="1"/>
  <c r="K178" i="78"/>
  <c r="L178" i="78" s="1"/>
  <c r="H178" i="78"/>
  <c r="I178" i="78" s="1"/>
  <c r="M178" i="78" s="1"/>
  <c r="K177" i="78"/>
  <c r="L177" i="78" s="1"/>
  <c r="H177" i="78"/>
  <c r="I177" i="78" s="1"/>
  <c r="M177" i="78" s="1"/>
  <c r="K176" i="78"/>
  <c r="L176" i="78" s="1"/>
  <c r="L200" i="78" s="1"/>
  <c r="H176" i="78"/>
  <c r="I176" i="78" s="1"/>
  <c r="K167" i="78"/>
  <c r="L167" i="78" s="1"/>
  <c r="H167" i="78"/>
  <c r="I167" i="78" s="1"/>
  <c r="M167" i="78" s="1"/>
  <c r="K166" i="78"/>
  <c r="L166" i="78" s="1"/>
  <c r="H166" i="78"/>
  <c r="I166" i="78" s="1"/>
  <c r="M166" i="78" s="1"/>
  <c r="K164" i="78"/>
  <c r="L164" i="78" s="1"/>
  <c r="H164" i="78"/>
  <c r="I164" i="78" s="1"/>
  <c r="M164" i="78" s="1"/>
  <c r="K163" i="78"/>
  <c r="L163" i="78" s="1"/>
  <c r="H163" i="78"/>
  <c r="I163" i="78" s="1"/>
  <c r="M163" i="78" s="1"/>
  <c r="K161" i="78"/>
  <c r="L161" i="78" s="1"/>
  <c r="H161" i="78"/>
  <c r="I161" i="78" s="1"/>
  <c r="M161" i="78" s="1"/>
  <c r="K160" i="78"/>
  <c r="L160" i="78" s="1"/>
  <c r="H160" i="78"/>
  <c r="I160" i="78" s="1"/>
  <c r="M160" i="78" s="1"/>
  <c r="K158" i="78"/>
  <c r="L158" i="78" s="1"/>
  <c r="H158" i="78"/>
  <c r="I158" i="78" s="1"/>
  <c r="M158" i="78" s="1"/>
  <c r="K157" i="78"/>
  <c r="L157" i="78" s="1"/>
  <c r="H157" i="78"/>
  <c r="I157" i="78" s="1"/>
  <c r="M157" i="78" s="1"/>
  <c r="K156" i="78"/>
  <c r="L156" i="78" s="1"/>
  <c r="H156" i="78"/>
  <c r="I156" i="78" s="1"/>
  <c r="M156" i="78" s="1"/>
  <c r="K155" i="78"/>
  <c r="L155" i="78" s="1"/>
  <c r="H155" i="78"/>
  <c r="I155" i="78" s="1"/>
  <c r="M155" i="78" s="1"/>
  <c r="K152" i="78"/>
  <c r="L152" i="78" s="1"/>
  <c r="H152" i="78"/>
  <c r="I152" i="78" s="1"/>
  <c r="M152" i="78" s="1"/>
  <c r="K151" i="78"/>
  <c r="L151" i="78" s="1"/>
  <c r="H151" i="78"/>
  <c r="I151" i="78" s="1"/>
  <c r="M151" i="78" s="1"/>
  <c r="K150" i="78"/>
  <c r="L150" i="78" s="1"/>
  <c r="H150" i="78"/>
  <c r="I150" i="78" s="1"/>
  <c r="M150" i="78" s="1"/>
  <c r="K149" i="78"/>
  <c r="L149" i="78" s="1"/>
  <c r="H149" i="78"/>
  <c r="I149" i="78" s="1"/>
  <c r="M149" i="78" s="1"/>
  <c r="K148" i="78"/>
  <c r="L148" i="78" s="1"/>
  <c r="L171" i="78" s="1"/>
  <c r="H148" i="78"/>
  <c r="I148" i="78" s="1"/>
  <c r="K139" i="78"/>
  <c r="L139" i="78" s="1"/>
  <c r="I139" i="78"/>
  <c r="M139" i="78" s="1"/>
  <c r="K138" i="78"/>
  <c r="L138" i="78" s="1"/>
  <c r="I138" i="78"/>
  <c r="M138" i="78" s="1"/>
  <c r="K137" i="78"/>
  <c r="L137" i="78" s="1"/>
  <c r="I137" i="78"/>
  <c r="M137" i="78" s="1"/>
  <c r="K136" i="78"/>
  <c r="L136" i="78" s="1"/>
  <c r="I136" i="78"/>
  <c r="M136" i="78" s="1"/>
  <c r="K135" i="78"/>
  <c r="L135" i="78" s="1"/>
  <c r="I135" i="78"/>
  <c r="M135" i="78" s="1"/>
  <c r="K134" i="78"/>
  <c r="L134" i="78" s="1"/>
  <c r="I134" i="78"/>
  <c r="M134" i="78" s="1"/>
  <c r="K133" i="78"/>
  <c r="L133" i="78" s="1"/>
  <c r="I133" i="78"/>
  <c r="M133" i="78" s="1"/>
  <c r="K132" i="78"/>
  <c r="L132" i="78" s="1"/>
  <c r="I132" i="78"/>
  <c r="M132" i="78" s="1"/>
  <c r="K131" i="78"/>
  <c r="L131" i="78" s="1"/>
  <c r="I131" i="78"/>
  <c r="M131" i="78" s="1"/>
  <c r="K130" i="78"/>
  <c r="L130" i="78" s="1"/>
  <c r="I130" i="78"/>
  <c r="M130" i="78" s="1"/>
  <c r="K129" i="78"/>
  <c r="L129" i="78" s="1"/>
  <c r="I129" i="78"/>
  <c r="M129" i="78" s="1"/>
  <c r="K128" i="78"/>
  <c r="L128" i="78" s="1"/>
  <c r="I128" i="78"/>
  <c r="M128" i="78" s="1"/>
  <c r="K127" i="78"/>
  <c r="L127" i="78" s="1"/>
  <c r="I127" i="78"/>
  <c r="M127" i="78" s="1"/>
  <c r="K126" i="78"/>
  <c r="L126" i="78" s="1"/>
  <c r="I126" i="78"/>
  <c r="M126" i="78" s="1"/>
  <c r="K125" i="78"/>
  <c r="L125" i="78" s="1"/>
  <c r="I125" i="78"/>
  <c r="M125" i="78" s="1"/>
  <c r="K124" i="78"/>
  <c r="L124" i="78" s="1"/>
  <c r="I124" i="78"/>
  <c r="M124" i="78" s="1"/>
  <c r="K123" i="78"/>
  <c r="L123" i="78" s="1"/>
  <c r="I123" i="78"/>
  <c r="M123" i="78" s="1"/>
  <c r="K122" i="78"/>
  <c r="L122" i="78" s="1"/>
  <c r="I122" i="78"/>
  <c r="M122" i="78" s="1"/>
  <c r="K121" i="78"/>
  <c r="L121" i="78" s="1"/>
  <c r="I121" i="78"/>
  <c r="M121" i="78" s="1"/>
  <c r="K120" i="78"/>
  <c r="L120" i="78" s="1"/>
  <c r="I120" i="78"/>
  <c r="M120" i="78" s="1"/>
  <c r="K119" i="78"/>
  <c r="L119" i="78" s="1"/>
  <c r="I119" i="78"/>
  <c r="M119" i="78" s="1"/>
  <c r="K118" i="78"/>
  <c r="L118" i="78" s="1"/>
  <c r="I118" i="78"/>
  <c r="M118" i="78" s="1"/>
  <c r="K117" i="78"/>
  <c r="L117" i="78" s="1"/>
  <c r="I117" i="78"/>
  <c r="M117" i="78" s="1"/>
  <c r="K116" i="78"/>
  <c r="L116" i="78" s="1"/>
  <c r="I116" i="78"/>
  <c r="M116" i="78" s="1"/>
  <c r="K115" i="78"/>
  <c r="L115" i="78" s="1"/>
  <c r="I115" i="78"/>
  <c r="M115" i="78" s="1"/>
  <c r="K114" i="78"/>
  <c r="L114" i="78" s="1"/>
  <c r="I114" i="78"/>
  <c r="M114" i="78" s="1"/>
  <c r="K113" i="78"/>
  <c r="L113" i="78" s="1"/>
  <c r="I113" i="78"/>
  <c r="M113" i="78" s="1"/>
  <c r="K112" i="78"/>
  <c r="L112" i="78" s="1"/>
  <c r="I112" i="78"/>
  <c r="M112" i="78" s="1"/>
  <c r="K111" i="78"/>
  <c r="L111" i="78" s="1"/>
  <c r="I111" i="78"/>
  <c r="M111" i="78" s="1"/>
  <c r="K110" i="78"/>
  <c r="L110" i="78" s="1"/>
  <c r="I110" i="78"/>
  <c r="M110" i="78" s="1"/>
  <c r="K109" i="78"/>
  <c r="L109" i="78" s="1"/>
  <c r="I109" i="78"/>
  <c r="M109" i="78" s="1"/>
  <c r="K108" i="78"/>
  <c r="L108" i="78" s="1"/>
  <c r="I108" i="78"/>
  <c r="M108" i="78" s="1"/>
  <c r="K107" i="78"/>
  <c r="L107" i="78" s="1"/>
  <c r="I107" i="78"/>
  <c r="M107" i="78" s="1"/>
  <c r="K106" i="78"/>
  <c r="L106" i="78" s="1"/>
  <c r="K105" i="78"/>
  <c r="L105" i="78" s="1"/>
  <c r="I105" i="78"/>
  <c r="M105" i="78" s="1"/>
  <c r="K104" i="78"/>
  <c r="L104" i="78" s="1"/>
  <c r="I104" i="78"/>
  <c r="M104" i="78" s="1"/>
  <c r="K103" i="78"/>
  <c r="L103" i="78" s="1"/>
  <c r="K102" i="78"/>
  <c r="L102" i="78" s="1"/>
  <c r="I102" i="78"/>
  <c r="M102" i="78" s="1"/>
  <c r="K101" i="78"/>
  <c r="L101" i="78" s="1"/>
  <c r="I101" i="78"/>
  <c r="M101" i="78" s="1"/>
  <c r="K100" i="78"/>
  <c r="L100" i="78" s="1"/>
  <c r="I100" i="78"/>
  <c r="M100" i="78" s="1"/>
  <c r="K99" i="78"/>
  <c r="L99" i="78" s="1"/>
  <c r="I99" i="78"/>
  <c r="M99" i="78" s="1"/>
  <c r="K98" i="78"/>
  <c r="L98" i="78" s="1"/>
  <c r="I98" i="78"/>
  <c r="M98" i="78" s="1"/>
  <c r="K97" i="78"/>
  <c r="L97" i="78" s="1"/>
  <c r="I97" i="78"/>
  <c r="M97" i="78" s="1"/>
  <c r="K96" i="78"/>
  <c r="L96" i="78" s="1"/>
  <c r="I96" i="78"/>
  <c r="M96" i="78" s="1"/>
  <c r="K95" i="78"/>
  <c r="L95" i="78" s="1"/>
  <c r="I95" i="78"/>
  <c r="M95" i="78" s="1"/>
  <c r="K94" i="78"/>
  <c r="L94" i="78" s="1"/>
  <c r="I94" i="78"/>
  <c r="M94" i="78" s="1"/>
  <c r="K93" i="78"/>
  <c r="L93" i="78" s="1"/>
  <c r="I93" i="78"/>
  <c r="M93" i="78" s="1"/>
  <c r="K92" i="78"/>
  <c r="L92" i="78" s="1"/>
  <c r="K91" i="78"/>
  <c r="L91" i="78" s="1"/>
  <c r="I91" i="78"/>
  <c r="M91" i="78" s="1"/>
  <c r="K90" i="78"/>
  <c r="L90" i="78" s="1"/>
  <c r="I90" i="78"/>
  <c r="M90" i="78" s="1"/>
  <c r="K89" i="78"/>
  <c r="L89" i="78" s="1"/>
  <c r="I89" i="78"/>
  <c r="M89" i="78" s="1"/>
  <c r="K88" i="78"/>
  <c r="L88" i="78" s="1"/>
  <c r="I88" i="78"/>
  <c r="M88" i="78" s="1"/>
  <c r="K87" i="78"/>
  <c r="L87" i="78" s="1"/>
  <c r="I87" i="78"/>
  <c r="M87" i="78" s="1"/>
  <c r="K86" i="78"/>
  <c r="L86" i="78" s="1"/>
  <c r="I86" i="78"/>
  <c r="M86" i="78" s="1"/>
  <c r="K85" i="78"/>
  <c r="L85" i="78" s="1"/>
  <c r="I85" i="78"/>
  <c r="M85" i="78" s="1"/>
  <c r="K84" i="78"/>
  <c r="L84" i="78" s="1"/>
  <c r="I84" i="78"/>
  <c r="M84" i="78" s="1"/>
  <c r="K83" i="78"/>
  <c r="L83" i="78" s="1"/>
  <c r="I83" i="78"/>
  <c r="M83" i="78" s="1"/>
  <c r="K82" i="78"/>
  <c r="L82" i="78" s="1"/>
  <c r="I82" i="78"/>
  <c r="M82" i="78" s="1"/>
  <c r="K81" i="78"/>
  <c r="L81" i="78" s="1"/>
  <c r="I81" i="78"/>
  <c r="M81" i="78" s="1"/>
  <c r="K80" i="78"/>
  <c r="L80" i="78" s="1"/>
  <c r="I80" i="78"/>
  <c r="M80" i="78" s="1"/>
  <c r="K79" i="78"/>
  <c r="L79" i="78" s="1"/>
  <c r="K78" i="78"/>
  <c r="L78" i="78" s="1"/>
  <c r="I78" i="78"/>
  <c r="M78" i="78" s="1"/>
  <c r="K77" i="78"/>
  <c r="L77" i="78" s="1"/>
  <c r="I77" i="78"/>
  <c r="M77" i="78" s="1"/>
  <c r="K76" i="78"/>
  <c r="L76" i="78" s="1"/>
  <c r="I76" i="78"/>
  <c r="M76" i="78" s="1"/>
  <c r="K75" i="78"/>
  <c r="L75" i="78" s="1"/>
  <c r="I75" i="78"/>
  <c r="M75" i="78" s="1"/>
  <c r="K74" i="78"/>
  <c r="L74" i="78" s="1"/>
  <c r="I74" i="78"/>
  <c r="M74" i="78" s="1"/>
  <c r="K73" i="78"/>
  <c r="L73" i="78" s="1"/>
  <c r="I73" i="78"/>
  <c r="M73" i="78" s="1"/>
  <c r="K72" i="78"/>
  <c r="L72" i="78" s="1"/>
  <c r="I72" i="78"/>
  <c r="M72" i="78" s="1"/>
  <c r="K71" i="78"/>
  <c r="L71" i="78" s="1"/>
  <c r="I71" i="78"/>
  <c r="M71" i="78" s="1"/>
  <c r="K70" i="78"/>
  <c r="L70" i="78" s="1"/>
  <c r="I70" i="78"/>
  <c r="M70" i="78" s="1"/>
  <c r="K69" i="78"/>
  <c r="L69" i="78" s="1"/>
  <c r="I69" i="78"/>
  <c r="M69" i="78" s="1"/>
  <c r="K68" i="78"/>
  <c r="L68" i="78" s="1"/>
  <c r="K67" i="78"/>
  <c r="L67" i="78" s="1"/>
  <c r="I67" i="78"/>
  <c r="M67" i="78" s="1"/>
  <c r="K66" i="78"/>
  <c r="L66" i="78" s="1"/>
  <c r="I66" i="78"/>
  <c r="M66" i="78" s="1"/>
  <c r="K65" i="78"/>
  <c r="L65" i="78" s="1"/>
  <c r="I65" i="78"/>
  <c r="M65" i="78" s="1"/>
  <c r="K64" i="78"/>
  <c r="L64" i="78" s="1"/>
  <c r="I64" i="78"/>
  <c r="M64" i="78" s="1"/>
  <c r="K63" i="78"/>
  <c r="L63" i="78" s="1"/>
  <c r="I63" i="78"/>
  <c r="M63" i="78" s="1"/>
  <c r="K62" i="78"/>
  <c r="L62" i="78" s="1"/>
  <c r="I62" i="78"/>
  <c r="M62" i="78" s="1"/>
  <c r="K61" i="78"/>
  <c r="L61" i="78" s="1"/>
  <c r="I61" i="78"/>
  <c r="M61" i="78" s="1"/>
  <c r="K60" i="78"/>
  <c r="L60" i="78" s="1"/>
  <c r="I60" i="78"/>
  <c r="M60" i="78" s="1"/>
  <c r="K59" i="78"/>
  <c r="L59" i="78" s="1"/>
  <c r="I59" i="78"/>
  <c r="M59" i="78" s="1"/>
  <c r="K58" i="78"/>
  <c r="L58" i="78" s="1"/>
  <c r="I58" i="78"/>
  <c r="M58" i="78" s="1"/>
  <c r="K57" i="78"/>
  <c r="L57" i="78" s="1"/>
  <c r="I57" i="78"/>
  <c r="M57" i="78" s="1"/>
  <c r="K56" i="78"/>
  <c r="L56" i="78" s="1"/>
  <c r="I56" i="78"/>
  <c r="M56" i="78" s="1"/>
  <c r="K55" i="78"/>
  <c r="L55" i="78" s="1"/>
  <c r="I55" i="78"/>
  <c r="M55" i="78" s="1"/>
  <c r="L54" i="78"/>
  <c r="K53" i="78"/>
  <c r="L53" i="78" s="1"/>
  <c r="I53" i="78"/>
  <c r="M53" i="78" s="1"/>
  <c r="K52" i="78"/>
  <c r="L52" i="78" s="1"/>
  <c r="I52" i="78"/>
  <c r="M52" i="78" s="1"/>
  <c r="K51" i="78"/>
  <c r="L51" i="78" s="1"/>
  <c r="I51" i="78"/>
  <c r="M51" i="78" s="1"/>
  <c r="K50" i="78"/>
  <c r="L50" i="78" s="1"/>
  <c r="I50" i="78"/>
  <c r="M50" i="78" s="1"/>
  <c r="K49" i="78"/>
  <c r="L49" i="78" s="1"/>
  <c r="I49" i="78"/>
  <c r="M49" i="78" s="1"/>
  <c r="K48" i="78"/>
  <c r="L48" i="78" s="1"/>
  <c r="I48" i="78"/>
  <c r="M48" i="78" s="1"/>
  <c r="K47" i="78"/>
  <c r="L47" i="78" s="1"/>
  <c r="I47" i="78"/>
  <c r="M47" i="78" s="1"/>
  <c r="K46" i="78"/>
  <c r="L46" i="78" s="1"/>
  <c r="I46" i="78"/>
  <c r="M46" i="78" s="1"/>
  <c r="K45" i="78"/>
  <c r="L45" i="78" s="1"/>
  <c r="I45" i="78"/>
  <c r="M45" i="78" s="1"/>
  <c r="K44" i="78"/>
  <c r="L44" i="78" s="1"/>
  <c r="I44" i="78"/>
  <c r="M44" i="78" s="1"/>
  <c r="K43" i="78"/>
  <c r="L43" i="78" s="1"/>
  <c r="I43" i="78"/>
  <c r="M43" i="78" s="1"/>
  <c r="K42" i="78"/>
  <c r="L42" i="78" s="1"/>
  <c r="I42" i="78"/>
  <c r="M42" i="78" s="1"/>
  <c r="K41" i="78"/>
  <c r="L41" i="78" s="1"/>
  <c r="I41" i="78"/>
  <c r="M41" i="78" s="1"/>
  <c r="K40" i="78"/>
  <c r="L40" i="78" s="1"/>
  <c r="I40" i="78"/>
  <c r="M40" i="78" s="1"/>
  <c r="K39" i="78"/>
  <c r="L39" i="78" s="1"/>
  <c r="I39" i="78"/>
  <c r="M39" i="78" s="1"/>
  <c r="K38" i="78"/>
  <c r="L38" i="78" s="1"/>
  <c r="I38" i="78"/>
  <c r="M38" i="78" s="1"/>
  <c r="K37" i="78"/>
  <c r="L37" i="78" s="1"/>
  <c r="I37" i="78"/>
  <c r="M37" i="78" s="1"/>
  <c r="K36" i="78"/>
  <c r="L36" i="78" s="1"/>
  <c r="I36" i="78"/>
  <c r="M36" i="78" s="1"/>
  <c r="K35" i="78"/>
  <c r="L35" i="78" s="1"/>
  <c r="I35" i="78"/>
  <c r="M35" i="78" s="1"/>
  <c r="K34" i="78"/>
  <c r="L34" i="78" s="1"/>
  <c r="L143" i="78" s="1"/>
  <c r="I34" i="78"/>
  <c r="P18" i="78"/>
  <c r="Q17" i="78"/>
  <c r="O16" i="78"/>
  <c r="L16" i="78"/>
  <c r="O15" i="78"/>
  <c r="L15" i="78"/>
  <c r="O14" i="78"/>
  <c r="L14" i="78"/>
  <c r="O13" i="78"/>
  <c r="L13" i="78"/>
  <c r="O12" i="78"/>
  <c r="L12" i="78"/>
  <c r="O11" i="78"/>
  <c r="L11" i="78"/>
  <c r="O10" i="78"/>
  <c r="L10" i="78"/>
  <c r="O9" i="78"/>
  <c r="O18" i="78" s="1"/>
  <c r="L9" i="78"/>
  <c r="L18" i="78" s="1"/>
  <c r="K436" i="77"/>
  <c r="L436" i="77" s="1"/>
  <c r="H436" i="77"/>
  <c r="I436" i="77" s="1"/>
  <c r="M436" i="77" s="1"/>
  <c r="K435" i="77"/>
  <c r="L435" i="77" s="1"/>
  <c r="H435" i="77"/>
  <c r="I435" i="77" s="1"/>
  <c r="M435" i="77" s="1"/>
  <c r="K434" i="77"/>
  <c r="L434" i="77" s="1"/>
  <c r="H434" i="77"/>
  <c r="I434" i="77" s="1"/>
  <c r="M434" i="77" s="1"/>
  <c r="K433" i="77"/>
  <c r="L433" i="77" s="1"/>
  <c r="H433" i="77"/>
  <c r="I433" i="77" s="1"/>
  <c r="M433" i="77" s="1"/>
  <c r="K432" i="77"/>
  <c r="L432" i="77" s="1"/>
  <c r="H432" i="77"/>
  <c r="I432" i="77" s="1"/>
  <c r="M432" i="77" s="1"/>
  <c r="K431" i="77"/>
  <c r="L431" i="77" s="1"/>
  <c r="H431" i="77"/>
  <c r="I431" i="77" s="1"/>
  <c r="M431" i="77" s="1"/>
  <c r="K428" i="77"/>
  <c r="L428" i="77" s="1"/>
  <c r="H428" i="77"/>
  <c r="I428" i="77" s="1"/>
  <c r="M428" i="77" s="1"/>
  <c r="K427" i="77"/>
  <c r="L427" i="77" s="1"/>
  <c r="H427" i="77"/>
  <c r="I427" i="77" s="1"/>
  <c r="M427" i="77" s="1"/>
  <c r="K426" i="77"/>
  <c r="L426" i="77" s="1"/>
  <c r="H426" i="77"/>
  <c r="I426" i="77" s="1"/>
  <c r="M426" i="77" s="1"/>
  <c r="K425" i="77"/>
  <c r="L425" i="77" s="1"/>
  <c r="H425" i="77"/>
  <c r="I425" i="77" s="1"/>
  <c r="M425" i="77" s="1"/>
  <c r="K424" i="77"/>
  <c r="L424" i="77" s="1"/>
  <c r="H424" i="77"/>
  <c r="I424" i="77" s="1"/>
  <c r="M424" i="77" s="1"/>
  <c r="K423" i="77"/>
  <c r="L423" i="77" s="1"/>
  <c r="H423" i="77"/>
  <c r="I423" i="77" s="1"/>
  <c r="M423" i="77" s="1"/>
  <c r="K420" i="77"/>
  <c r="L420" i="77" s="1"/>
  <c r="H420" i="77"/>
  <c r="I420" i="77" s="1"/>
  <c r="M420" i="77" s="1"/>
  <c r="K419" i="77"/>
  <c r="L419" i="77" s="1"/>
  <c r="H419" i="77"/>
  <c r="I419" i="77" s="1"/>
  <c r="M419" i="77" s="1"/>
  <c r="K418" i="77"/>
  <c r="L418" i="77" s="1"/>
  <c r="H418" i="77"/>
  <c r="I418" i="77" s="1"/>
  <c r="M418" i="77" s="1"/>
  <c r="K417" i="77"/>
  <c r="L417" i="77" s="1"/>
  <c r="H417" i="77"/>
  <c r="I417" i="77" s="1"/>
  <c r="M417" i="77" s="1"/>
  <c r="K416" i="77"/>
  <c r="L416" i="77" s="1"/>
  <c r="H416" i="77"/>
  <c r="I416" i="77" s="1"/>
  <c r="M416" i="77" s="1"/>
  <c r="K413" i="77"/>
  <c r="L413" i="77" s="1"/>
  <c r="H413" i="77"/>
  <c r="I413" i="77" s="1"/>
  <c r="M413" i="77" s="1"/>
  <c r="K412" i="77"/>
  <c r="L412" i="77" s="1"/>
  <c r="H412" i="77"/>
  <c r="I412" i="77" s="1"/>
  <c r="M412" i="77" s="1"/>
  <c r="K411" i="77"/>
  <c r="L411" i="77" s="1"/>
  <c r="H411" i="77"/>
  <c r="I411" i="77" s="1"/>
  <c r="M411" i="77" s="1"/>
  <c r="K409" i="77"/>
  <c r="L409" i="77" s="1"/>
  <c r="H409" i="77"/>
  <c r="I409" i="77" s="1"/>
  <c r="M409" i="77" s="1"/>
  <c r="K407" i="77"/>
  <c r="L407" i="77" s="1"/>
  <c r="H407" i="77"/>
  <c r="I407" i="77" s="1"/>
  <c r="M407" i="77" s="1"/>
  <c r="K405" i="77"/>
  <c r="L405" i="77" s="1"/>
  <c r="H405" i="77"/>
  <c r="I405" i="77" s="1"/>
  <c r="M405" i="77" s="1"/>
  <c r="K403" i="77"/>
  <c r="L403" i="77" s="1"/>
  <c r="H403" i="77"/>
  <c r="I403" i="77" s="1"/>
  <c r="M403" i="77" s="1"/>
  <c r="K402" i="77"/>
  <c r="L402" i="77" s="1"/>
  <c r="H402" i="77"/>
  <c r="I402" i="77" s="1"/>
  <c r="M402" i="77" s="1"/>
  <c r="K401" i="77"/>
  <c r="L401" i="77" s="1"/>
  <c r="H401" i="77"/>
  <c r="I401" i="77" s="1"/>
  <c r="M401" i="77" s="1"/>
  <c r="K400" i="77"/>
  <c r="L400" i="77" s="1"/>
  <c r="H400" i="77"/>
  <c r="I400" i="77" s="1"/>
  <c r="M400" i="77" s="1"/>
  <c r="K398" i="77"/>
  <c r="L398" i="77" s="1"/>
  <c r="H398" i="77"/>
  <c r="I398" i="77" s="1"/>
  <c r="M398" i="77" s="1"/>
  <c r="K396" i="77"/>
  <c r="L396" i="77" s="1"/>
  <c r="H396" i="77"/>
  <c r="I396" i="77" s="1"/>
  <c r="M396" i="77" s="1"/>
  <c r="K395" i="77"/>
  <c r="L395" i="77" s="1"/>
  <c r="H395" i="77"/>
  <c r="I395" i="77" s="1"/>
  <c r="M395" i="77" s="1"/>
  <c r="K394" i="77"/>
  <c r="L394" i="77" s="1"/>
  <c r="H394" i="77"/>
  <c r="I394" i="77" s="1"/>
  <c r="M394" i="77" s="1"/>
  <c r="K392" i="77"/>
  <c r="L392" i="77" s="1"/>
  <c r="H392" i="77"/>
  <c r="I392" i="77" s="1"/>
  <c r="M392" i="77" s="1"/>
  <c r="K391" i="77"/>
  <c r="L391" i="77" s="1"/>
  <c r="H391" i="77"/>
  <c r="I391" i="77" s="1"/>
  <c r="M391" i="77" s="1"/>
  <c r="K389" i="77"/>
  <c r="L389" i="77" s="1"/>
  <c r="H389" i="77"/>
  <c r="I389" i="77" s="1"/>
  <c r="M389" i="77" s="1"/>
  <c r="K388" i="77"/>
  <c r="L388" i="77" s="1"/>
  <c r="H388" i="77"/>
  <c r="I388" i="77" s="1"/>
  <c r="M388" i="77" s="1"/>
  <c r="K386" i="77"/>
  <c r="L386" i="77" s="1"/>
  <c r="H386" i="77"/>
  <c r="I386" i="77" s="1"/>
  <c r="M386" i="77" s="1"/>
  <c r="K385" i="77"/>
  <c r="L385" i="77" s="1"/>
  <c r="H385" i="77"/>
  <c r="I385" i="77" s="1"/>
  <c r="M385" i="77" s="1"/>
  <c r="K383" i="77"/>
  <c r="L383" i="77" s="1"/>
  <c r="H383" i="77"/>
  <c r="I383" i="77" s="1"/>
  <c r="M383" i="77" s="1"/>
  <c r="K382" i="77"/>
  <c r="L382" i="77" s="1"/>
  <c r="H382" i="77"/>
  <c r="I382" i="77" s="1"/>
  <c r="M382" i="77" s="1"/>
  <c r="K380" i="77"/>
  <c r="L380" i="77" s="1"/>
  <c r="H380" i="77"/>
  <c r="I380" i="77" s="1"/>
  <c r="M380" i="77" s="1"/>
  <c r="K379" i="77"/>
  <c r="L379" i="77" s="1"/>
  <c r="H379" i="77"/>
  <c r="I379" i="77" s="1"/>
  <c r="M379" i="77" s="1"/>
  <c r="K378" i="77"/>
  <c r="L378" i="77" s="1"/>
  <c r="H378" i="77"/>
  <c r="I378" i="77" s="1"/>
  <c r="M378" i="77" s="1"/>
  <c r="K377" i="77"/>
  <c r="L377" i="77" s="1"/>
  <c r="H377" i="77"/>
  <c r="I377" i="77" s="1"/>
  <c r="M377" i="77" s="1"/>
  <c r="K376" i="77"/>
  <c r="L376" i="77" s="1"/>
  <c r="H376" i="77"/>
  <c r="I376" i="77" s="1"/>
  <c r="M376" i="77" s="1"/>
  <c r="K374" i="77"/>
  <c r="L374" i="77" s="1"/>
  <c r="H374" i="77"/>
  <c r="I374" i="77" s="1"/>
  <c r="M374" i="77" s="1"/>
  <c r="K373" i="77"/>
  <c r="L373" i="77" s="1"/>
  <c r="H373" i="77"/>
  <c r="I373" i="77" s="1"/>
  <c r="M373" i="77" s="1"/>
  <c r="K372" i="77"/>
  <c r="L372" i="77" s="1"/>
  <c r="H372" i="77"/>
  <c r="I372" i="77" s="1"/>
  <c r="M372" i="77" s="1"/>
  <c r="K370" i="77"/>
  <c r="L370" i="77" s="1"/>
  <c r="H370" i="77"/>
  <c r="I370" i="77" s="1"/>
  <c r="M370" i="77" s="1"/>
  <c r="K369" i="77"/>
  <c r="L369" i="77" s="1"/>
  <c r="H369" i="77"/>
  <c r="I369" i="77" s="1"/>
  <c r="M369" i="77" s="1"/>
  <c r="K368" i="77"/>
  <c r="L368" i="77" s="1"/>
  <c r="H368" i="77"/>
  <c r="I368" i="77" s="1"/>
  <c r="M368" i="77" s="1"/>
  <c r="K367" i="77"/>
  <c r="L367" i="77" s="1"/>
  <c r="H367" i="77"/>
  <c r="I367" i="77" s="1"/>
  <c r="M367" i="77" s="1"/>
  <c r="K366" i="77"/>
  <c r="L366" i="77" s="1"/>
  <c r="H366" i="77"/>
  <c r="I366" i="77" s="1"/>
  <c r="M366" i="77" s="1"/>
  <c r="K365" i="77"/>
  <c r="L365" i="77" s="1"/>
  <c r="H365" i="77"/>
  <c r="I365" i="77" s="1"/>
  <c r="M365" i="77" s="1"/>
  <c r="K363" i="77"/>
  <c r="L363" i="77" s="1"/>
  <c r="H363" i="77"/>
  <c r="I363" i="77" s="1"/>
  <c r="M363" i="77" s="1"/>
  <c r="K362" i="77"/>
  <c r="L362" i="77" s="1"/>
  <c r="H362" i="77"/>
  <c r="I362" i="77" s="1"/>
  <c r="M362" i="77" s="1"/>
  <c r="K361" i="77"/>
  <c r="L361" i="77" s="1"/>
  <c r="H361" i="77"/>
  <c r="I361" i="77" s="1"/>
  <c r="M361" i="77" s="1"/>
  <c r="K357" i="77"/>
  <c r="L357" i="77" s="1"/>
  <c r="H357" i="77"/>
  <c r="I357" i="77" s="1"/>
  <c r="M357" i="77" s="1"/>
  <c r="K356" i="77"/>
  <c r="L356" i="77" s="1"/>
  <c r="H356" i="77"/>
  <c r="I356" i="77" s="1"/>
  <c r="M356" i="77" s="1"/>
  <c r="K355" i="77"/>
  <c r="L355" i="77" s="1"/>
  <c r="H355" i="77"/>
  <c r="I355" i="77" s="1"/>
  <c r="M355" i="77" s="1"/>
  <c r="K354" i="77"/>
  <c r="L354" i="77" s="1"/>
  <c r="H354" i="77"/>
  <c r="I354" i="77" s="1"/>
  <c r="M354" i="77" s="1"/>
  <c r="K353" i="77"/>
  <c r="L353" i="77" s="1"/>
  <c r="H353" i="77"/>
  <c r="I353" i="77" s="1"/>
  <c r="M353" i="77" s="1"/>
  <c r="K351" i="77"/>
  <c r="L351" i="77" s="1"/>
  <c r="H351" i="77"/>
  <c r="I351" i="77" s="1"/>
  <c r="M351" i="77" s="1"/>
  <c r="K350" i="77"/>
  <c r="L350" i="77" s="1"/>
  <c r="H350" i="77"/>
  <c r="I350" i="77" s="1"/>
  <c r="M350" i="77" s="1"/>
  <c r="K348" i="77"/>
  <c r="L348" i="77" s="1"/>
  <c r="H348" i="77"/>
  <c r="I348" i="77" s="1"/>
  <c r="M348" i="77" s="1"/>
  <c r="K347" i="77"/>
  <c r="L347" i="77" s="1"/>
  <c r="H347" i="77"/>
  <c r="I347" i="77" s="1"/>
  <c r="M347" i="77" s="1"/>
  <c r="K346" i="77"/>
  <c r="L346" i="77" s="1"/>
  <c r="H346" i="77"/>
  <c r="I346" i="77" s="1"/>
  <c r="M346" i="77" s="1"/>
  <c r="K345" i="77"/>
  <c r="L345" i="77" s="1"/>
  <c r="H345" i="77"/>
  <c r="I345" i="77" s="1"/>
  <c r="M345" i="77" s="1"/>
  <c r="K344" i="77"/>
  <c r="L344" i="77" s="1"/>
  <c r="H344" i="77"/>
  <c r="I344" i="77" s="1"/>
  <c r="M344" i="77" s="1"/>
  <c r="K343" i="77"/>
  <c r="L343" i="77" s="1"/>
  <c r="H343" i="77"/>
  <c r="I343" i="77" s="1"/>
  <c r="M343" i="77" s="1"/>
  <c r="K342" i="77"/>
  <c r="L342" i="77" s="1"/>
  <c r="H342" i="77"/>
  <c r="I342" i="77" s="1"/>
  <c r="M342" i="77" s="1"/>
  <c r="K341" i="77"/>
  <c r="L341" i="77" s="1"/>
  <c r="H341" i="77"/>
  <c r="I341" i="77" s="1"/>
  <c r="M341" i="77" s="1"/>
  <c r="K340" i="77"/>
  <c r="L340" i="77" s="1"/>
  <c r="H340" i="77"/>
  <c r="I340" i="77" s="1"/>
  <c r="M340" i="77" s="1"/>
  <c r="K339" i="77"/>
  <c r="L339" i="77" s="1"/>
  <c r="H339" i="77"/>
  <c r="I339" i="77" s="1"/>
  <c r="M339" i="77" s="1"/>
  <c r="K335" i="77"/>
  <c r="L335" i="77" s="1"/>
  <c r="H335" i="77"/>
  <c r="I335" i="77" s="1"/>
  <c r="M335" i="77" s="1"/>
  <c r="K334" i="77"/>
  <c r="L334" i="77" s="1"/>
  <c r="L437" i="77" s="1"/>
  <c r="H334" i="77"/>
  <c r="I334" i="77" s="1"/>
  <c r="K329" i="77"/>
  <c r="L329" i="77" s="1"/>
  <c r="H329" i="77"/>
  <c r="I329" i="77" s="1"/>
  <c r="M329" i="77" s="1"/>
  <c r="K328" i="77"/>
  <c r="L328" i="77" s="1"/>
  <c r="H328" i="77"/>
  <c r="I328" i="77" s="1"/>
  <c r="M328" i="77" s="1"/>
  <c r="K326" i="77"/>
  <c r="L326" i="77" s="1"/>
  <c r="H326" i="77"/>
  <c r="I326" i="77" s="1"/>
  <c r="M326" i="77" s="1"/>
  <c r="K325" i="77"/>
  <c r="L325" i="77" s="1"/>
  <c r="H325" i="77"/>
  <c r="I325" i="77" s="1"/>
  <c r="M325" i="77" s="1"/>
  <c r="K324" i="77"/>
  <c r="L324" i="77" s="1"/>
  <c r="H324" i="77"/>
  <c r="I324" i="77" s="1"/>
  <c r="M324" i="77" s="1"/>
  <c r="K322" i="77"/>
  <c r="L322" i="77" s="1"/>
  <c r="H322" i="77"/>
  <c r="I322" i="77" s="1"/>
  <c r="M322" i="77" s="1"/>
  <c r="K321" i="77"/>
  <c r="L321" i="77" s="1"/>
  <c r="H321" i="77"/>
  <c r="I321" i="77" s="1"/>
  <c r="M321" i="77" s="1"/>
  <c r="K320" i="77"/>
  <c r="L320" i="77" s="1"/>
  <c r="H320" i="77"/>
  <c r="I320" i="77" s="1"/>
  <c r="M320" i="77" s="1"/>
  <c r="K318" i="77"/>
  <c r="L318" i="77" s="1"/>
  <c r="H318" i="77"/>
  <c r="I318" i="77" s="1"/>
  <c r="M318" i="77" s="1"/>
  <c r="K317" i="77"/>
  <c r="L317" i="77" s="1"/>
  <c r="H317" i="77"/>
  <c r="I317" i="77" s="1"/>
  <c r="M317" i="77" s="1"/>
  <c r="K316" i="77"/>
  <c r="L316" i="77" s="1"/>
  <c r="H316" i="77"/>
  <c r="I316" i="77" s="1"/>
  <c r="M316" i="77" s="1"/>
  <c r="K315" i="77"/>
  <c r="L315" i="77" s="1"/>
  <c r="H315" i="77"/>
  <c r="I315" i="77" s="1"/>
  <c r="M315" i="77" s="1"/>
  <c r="K314" i="77"/>
  <c r="L314" i="77" s="1"/>
  <c r="H314" i="77"/>
  <c r="I314" i="77" s="1"/>
  <c r="M314" i="77" s="1"/>
  <c r="K313" i="77"/>
  <c r="L313" i="77" s="1"/>
  <c r="H313" i="77"/>
  <c r="I313" i="77" s="1"/>
  <c r="M313" i="77" s="1"/>
  <c r="K311" i="77"/>
  <c r="L311" i="77" s="1"/>
  <c r="H311" i="77"/>
  <c r="I311" i="77" s="1"/>
  <c r="M311" i="77" s="1"/>
  <c r="K310" i="77"/>
  <c r="L310" i="77" s="1"/>
  <c r="H310" i="77"/>
  <c r="I310" i="77" s="1"/>
  <c r="M310" i="77" s="1"/>
  <c r="K308" i="77"/>
  <c r="L308" i="77" s="1"/>
  <c r="H308" i="77"/>
  <c r="I308" i="77" s="1"/>
  <c r="M308" i="77" s="1"/>
  <c r="K307" i="77"/>
  <c r="L307" i="77" s="1"/>
  <c r="H307" i="77"/>
  <c r="I307" i="77" s="1"/>
  <c r="M307" i="77" s="1"/>
  <c r="K306" i="77"/>
  <c r="L306" i="77" s="1"/>
  <c r="H306" i="77"/>
  <c r="I306" i="77" s="1"/>
  <c r="M306" i="77" s="1"/>
  <c r="K303" i="77"/>
  <c r="L303" i="77" s="1"/>
  <c r="H303" i="77"/>
  <c r="I303" i="77" s="1"/>
  <c r="M303" i="77" s="1"/>
  <c r="K302" i="77"/>
  <c r="L302" i="77" s="1"/>
  <c r="H302" i="77"/>
  <c r="I302" i="77" s="1"/>
  <c r="M302" i="77" s="1"/>
  <c r="K301" i="77"/>
  <c r="L301" i="77" s="1"/>
  <c r="H301" i="77"/>
  <c r="I301" i="77" s="1"/>
  <c r="M301" i="77" s="1"/>
  <c r="K300" i="77"/>
  <c r="L300" i="77" s="1"/>
  <c r="H300" i="77"/>
  <c r="I300" i="77" s="1"/>
  <c r="M300" i="77" s="1"/>
  <c r="K299" i="77"/>
  <c r="L299" i="77" s="1"/>
  <c r="H299" i="77"/>
  <c r="I299" i="77" s="1"/>
  <c r="M299" i="77" s="1"/>
  <c r="K298" i="77"/>
  <c r="L298" i="77" s="1"/>
  <c r="H298" i="77"/>
  <c r="I298" i="77" s="1"/>
  <c r="M298" i="77" s="1"/>
  <c r="K297" i="77"/>
  <c r="L297" i="77" s="1"/>
  <c r="H297" i="77"/>
  <c r="I297" i="77" s="1"/>
  <c r="M297" i="77" s="1"/>
  <c r="K296" i="77"/>
  <c r="L296" i="77" s="1"/>
  <c r="H296" i="77"/>
  <c r="I296" i="77" s="1"/>
  <c r="M296" i="77" s="1"/>
  <c r="K295" i="77"/>
  <c r="L295" i="77" s="1"/>
  <c r="H295" i="77"/>
  <c r="I295" i="77" s="1"/>
  <c r="M295" i="77" s="1"/>
  <c r="K294" i="77"/>
  <c r="L294" i="77" s="1"/>
  <c r="H294" i="77"/>
  <c r="I294" i="77" s="1"/>
  <c r="M294" i="77" s="1"/>
  <c r="K293" i="77"/>
  <c r="L293" i="77" s="1"/>
  <c r="H293" i="77"/>
  <c r="I293" i="77" s="1"/>
  <c r="M293" i="77" s="1"/>
  <c r="K291" i="77"/>
  <c r="L291" i="77" s="1"/>
  <c r="H291" i="77"/>
  <c r="I291" i="77" s="1"/>
  <c r="M291" i="77" s="1"/>
  <c r="K290" i="77"/>
  <c r="L290" i="77" s="1"/>
  <c r="H290" i="77"/>
  <c r="I290" i="77" s="1"/>
  <c r="M290" i="77" s="1"/>
  <c r="K289" i="77"/>
  <c r="L289" i="77" s="1"/>
  <c r="H289" i="77"/>
  <c r="I289" i="77" s="1"/>
  <c r="M289" i="77" s="1"/>
  <c r="K288" i="77"/>
  <c r="L288" i="77" s="1"/>
  <c r="H288" i="77"/>
  <c r="I288" i="77" s="1"/>
  <c r="M288" i="77" s="1"/>
  <c r="K287" i="77"/>
  <c r="L287" i="77" s="1"/>
  <c r="H287" i="77"/>
  <c r="I287" i="77" s="1"/>
  <c r="M287" i="77" s="1"/>
  <c r="K286" i="77"/>
  <c r="L286" i="77" s="1"/>
  <c r="H286" i="77"/>
  <c r="I286" i="77" s="1"/>
  <c r="M286" i="77" s="1"/>
  <c r="K285" i="77"/>
  <c r="L285" i="77" s="1"/>
  <c r="H285" i="77"/>
  <c r="I285" i="77" s="1"/>
  <c r="M285" i="77" s="1"/>
  <c r="K282" i="77"/>
  <c r="L282" i="77" s="1"/>
  <c r="H282" i="77"/>
  <c r="I282" i="77" s="1"/>
  <c r="M282" i="77" s="1"/>
  <c r="K281" i="77"/>
  <c r="L281" i="77" s="1"/>
  <c r="H281" i="77"/>
  <c r="I281" i="77" s="1"/>
  <c r="M281" i="77" s="1"/>
  <c r="K280" i="77"/>
  <c r="L280" i="77" s="1"/>
  <c r="H280" i="77"/>
  <c r="I280" i="77" s="1"/>
  <c r="M280" i="77" s="1"/>
  <c r="K279" i="77"/>
  <c r="L279" i="77" s="1"/>
  <c r="H279" i="77"/>
  <c r="I279" i="77" s="1"/>
  <c r="M279" i="77" s="1"/>
  <c r="K278" i="77"/>
  <c r="L278" i="77" s="1"/>
  <c r="L330" i="77" s="1"/>
  <c r="H278" i="77"/>
  <c r="I278" i="77" s="1"/>
  <c r="K270" i="77"/>
  <c r="L270" i="77" s="1"/>
  <c r="H270" i="77"/>
  <c r="I270" i="77" s="1"/>
  <c r="M270" i="77" s="1"/>
  <c r="K268" i="77"/>
  <c r="L268" i="77" s="1"/>
  <c r="H268" i="77"/>
  <c r="I268" i="77" s="1"/>
  <c r="M268" i="77" s="1"/>
  <c r="K265" i="77"/>
  <c r="L265" i="77" s="1"/>
  <c r="H265" i="77"/>
  <c r="I265" i="77" s="1"/>
  <c r="M265" i="77" s="1"/>
  <c r="K264" i="77"/>
  <c r="L264" i="77" s="1"/>
  <c r="H264" i="77"/>
  <c r="I264" i="77" s="1"/>
  <c r="M264" i="77" s="1"/>
  <c r="K261" i="77"/>
  <c r="L261" i="77" s="1"/>
  <c r="H261" i="77"/>
  <c r="I261" i="77" s="1"/>
  <c r="M261" i="77" s="1"/>
  <c r="K260" i="77"/>
  <c r="L260" i="77" s="1"/>
  <c r="H260" i="77"/>
  <c r="I260" i="77" s="1"/>
  <c r="M260" i="77" s="1"/>
  <c r="K259" i="77"/>
  <c r="L259" i="77" s="1"/>
  <c r="H259" i="77"/>
  <c r="I259" i="77" s="1"/>
  <c r="M259" i="77" s="1"/>
  <c r="K258" i="77"/>
  <c r="L258" i="77" s="1"/>
  <c r="H258" i="77"/>
  <c r="I258" i="77" s="1"/>
  <c r="M258" i="77" s="1"/>
  <c r="K257" i="77"/>
  <c r="L257" i="77" s="1"/>
  <c r="H257" i="77"/>
  <c r="I257" i="77" s="1"/>
  <c r="M257" i="77" s="1"/>
  <c r="K256" i="77"/>
  <c r="L256" i="77" s="1"/>
  <c r="H256" i="77"/>
  <c r="I256" i="77" s="1"/>
  <c r="M256" i="77" s="1"/>
  <c r="K255" i="77"/>
  <c r="L255" i="77" s="1"/>
  <c r="H255" i="77"/>
  <c r="I255" i="77" s="1"/>
  <c r="M255" i="77" s="1"/>
  <c r="K254" i="77"/>
  <c r="L254" i="77" s="1"/>
  <c r="H254" i="77"/>
  <c r="I254" i="77" s="1"/>
  <c r="M254" i="77" s="1"/>
  <c r="K251" i="77"/>
  <c r="L251" i="77" s="1"/>
  <c r="H251" i="77"/>
  <c r="I251" i="77" s="1"/>
  <c r="M251" i="77" s="1"/>
  <c r="K250" i="77"/>
  <c r="L250" i="77" s="1"/>
  <c r="H250" i="77"/>
  <c r="I250" i="77" s="1"/>
  <c r="M250" i="77" s="1"/>
  <c r="K249" i="77"/>
  <c r="L249" i="77" s="1"/>
  <c r="H249" i="77"/>
  <c r="I249" i="77" s="1"/>
  <c r="M249" i="77" s="1"/>
  <c r="K247" i="77"/>
  <c r="L247" i="77" s="1"/>
  <c r="H247" i="77"/>
  <c r="I247" i="77" s="1"/>
  <c r="M247" i="77" s="1"/>
  <c r="K246" i="77"/>
  <c r="L246" i="77" s="1"/>
  <c r="H246" i="77"/>
  <c r="I246" i="77" s="1"/>
  <c r="M246" i="77" s="1"/>
  <c r="K245" i="77"/>
  <c r="L245" i="77" s="1"/>
  <c r="H245" i="77"/>
  <c r="I245" i="77" s="1"/>
  <c r="M245" i="77" s="1"/>
  <c r="K244" i="77"/>
  <c r="L244" i="77" s="1"/>
  <c r="H244" i="77"/>
  <c r="I244" i="77" s="1"/>
  <c r="M244" i="77" s="1"/>
  <c r="K242" i="77"/>
  <c r="L242" i="77" s="1"/>
  <c r="H242" i="77"/>
  <c r="I242" i="77" s="1"/>
  <c r="M242" i="77" s="1"/>
  <c r="K241" i="77"/>
  <c r="L241" i="77" s="1"/>
  <c r="H241" i="77"/>
  <c r="I241" i="77" s="1"/>
  <c r="M241" i="77" s="1"/>
  <c r="K240" i="77"/>
  <c r="L240" i="77" s="1"/>
  <c r="H240" i="77"/>
  <c r="I240" i="77" s="1"/>
  <c r="M240" i="77" s="1"/>
  <c r="K239" i="77"/>
  <c r="L239" i="77" s="1"/>
  <c r="H239" i="77"/>
  <c r="I239" i="77" s="1"/>
  <c r="M239" i="77" s="1"/>
  <c r="K237" i="77"/>
  <c r="L237" i="77" s="1"/>
  <c r="H237" i="77"/>
  <c r="I237" i="77" s="1"/>
  <c r="M237" i="77" s="1"/>
  <c r="K236" i="77"/>
  <c r="L236" i="77" s="1"/>
  <c r="H236" i="77"/>
  <c r="I236" i="77" s="1"/>
  <c r="M236" i="77" s="1"/>
  <c r="K232" i="77"/>
  <c r="L232" i="77" s="1"/>
  <c r="H232" i="77"/>
  <c r="I232" i="77" s="1"/>
  <c r="M232" i="77" s="1"/>
  <c r="K231" i="77"/>
  <c r="L231" i="77" s="1"/>
  <c r="H231" i="77"/>
  <c r="I231" i="77" s="1"/>
  <c r="M231" i="77" s="1"/>
  <c r="K230" i="77"/>
  <c r="L230" i="77" s="1"/>
  <c r="H230" i="77"/>
  <c r="I230" i="77" s="1"/>
  <c r="M230" i="77" s="1"/>
  <c r="K229" i="77"/>
  <c r="L229" i="77" s="1"/>
  <c r="H229" i="77"/>
  <c r="I229" i="77" s="1"/>
  <c r="M229" i="77" s="1"/>
  <c r="K228" i="77"/>
  <c r="L228" i="77" s="1"/>
  <c r="H228" i="77"/>
  <c r="I228" i="77" s="1"/>
  <c r="M228" i="77" s="1"/>
  <c r="K227" i="77"/>
  <c r="L227" i="77" s="1"/>
  <c r="H227" i="77"/>
  <c r="I227" i="77" s="1"/>
  <c r="M227" i="77" s="1"/>
  <c r="K226" i="77"/>
  <c r="L226" i="77" s="1"/>
  <c r="H226" i="77"/>
  <c r="I226" i="77" s="1"/>
  <c r="M226" i="77" s="1"/>
  <c r="K225" i="77"/>
  <c r="L225" i="77" s="1"/>
  <c r="H225" i="77"/>
  <c r="I225" i="77" s="1"/>
  <c r="M225" i="77" s="1"/>
  <c r="K224" i="77"/>
  <c r="L224" i="77" s="1"/>
  <c r="H224" i="77"/>
  <c r="I224" i="77" s="1"/>
  <c r="M224" i="77" s="1"/>
  <c r="K222" i="77"/>
  <c r="L222" i="77" s="1"/>
  <c r="H222" i="77"/>
  <c r="I222" i="77" s="1"/>
  <c r="M222" i="77" s="1"/>
  <c r="K221" i="77"/>
  <c r="L221" i="77" s="1"/>
  <c r="H221" i="77"/>
  <c r="I221" i="77" s="1"/>
  <c r="M221" i="77" s="1"/>
  <c r="K220" i="77"/>
  <c r="L220" i="77" s="1"/>
  <c r="H220" i="77"/>
  <c r="I220" i="77" s="1"/>
  <c r="M220" i="77" s="1"/>
  <c r="K219" i="77"/>
  <c r="L219" i="77" s="1"/>
  <c r="H219" i="77"/>
  <c r="I219" i="77" s="1"/>
  <c r="M219" i="77" s="1"/>
  <c r="K218" i="77"/>
  <c r="L218" i="77" s="1"/>
  <c r="H218" i="77"/>
  <c r="I218" i="77" s="1"/>
  <c r="M218" i="77" s="1"/>
  <c r="K217" i="77"/>
  <c r="L217" i="77" s="1"/>
  <c r="H217" i="77"/>
  <c r="I217" i="77" s="1"/>
  <c r="M217" i="77" s="1"/>
  <c r="K216" i="77"/>
  <c r="L216" i="77" s="1"/>
  <c r="H216" i="77"/>
  <c r="I216" i="77" s="1"/>
  <c r="M216" i="77" s="1"/>
  <c r="K214" i="77"/>
  <c r="L214" i="77" s="1"/>
  <c r="H214" i="77"/>
  <c r="I214" i="77" s="1"/>
  <c r="M214" i="77" s="1"/>
  <c r="K213" i="77"/>
  <c r="L213" i="77" s="1"/>
  <c r="H213" i="77"/>
  <c r="I213" i="77" s="1"/>
  <c r="M213" i="77" s="1"/>
  <c r="K212" i="77"/>
  <c r="L212" i="77" s="1"/>
  <c r="H212" i="77"/>
  <c r="I212" i="77" s="1"/>
  <c r="M212" i="77" s="1"/>
  <c r="K211" i="77"/>
  <c r="L211" i="77" s="1"/>
  <c r="H211" i="77"/>
  <c r="I211" i="77" s="1"/>
  <c r="M211" i="77" s="1"/>
  <c r="K210" i="77"/>
  <c r="L210" i="77" s="1"/>
  <c r="H210" i="77"/>
  <c r="I210" i="77" s="1"/>
  <c r="M210" i="77" s="1"/>
  <c r="K209" i="77"/>
  <c r="L209" i="77" s="1"/>
  <c r="H209" i="77"/>
  <c r="I209" i="77" s="1"/>
  <c r="M209" i="77" s="1"/>
  <c r="K208" i="77"/>
  <c r="L208" i="77" s="1"/>
  <c r="H208" i="77"/>
  <c r="I208" i="77" s="1"/>
  <c r="M208" i="77" s="1"/>
  <c r="K204" i="77"/>
  <c r="L204" i="77" s="1"/>
  <c r="H204" i="77"/>
  <c r="I204" i="77" s="1"/>
  <c r="M204" i="77" s="1"/>
  <c r="K203" i="77"/>
  <c r="L203" i="77" s="1"/>
  <c r="H203" i="77"/>
  <c r="I203" i="77" s="1"/>
  <c r="M203" i="77" s="1"/>
  <c r="K202" i="77"/>
  <c r="L202" i="77" s="1"/>
  <c r="H202" i="77"/>
  <c r="I202" i="77" s="1"/>
  <c r="K201" i="77"/>
  <c r="L201" i="77" s="1"/>
  <c r="H201" i="77"/>
  <c r="I201" i="77" s="1"/>
  <c r="M201" i="77" s="1"/>
  <c r="K200" i="77"/>
  <c r="L200" i="77" s="1"/>
  <c r="H200" i="77"/>
  <c r="I200" i="77" s="1"/>
  <c r="M200" i="77" s="1"/>
  <c r="K199" i="77"/>
  <c r="L199" i="77" s="1"/>
  <c r="H199" i="77"/>
  <c r="I199" i="77" s="1"/>
  <c r="M199" i="77" s="1"/>
  <c r="K198" i="77"/>
  <c r="L198" i="77" s="1"/>
  <c r="H198" i="77"/>
  <c r="I198" i="77" s="1"/>
  <c r="M198" i="77" s="1"/>
  <c r="K195" i="77"/>
  <c r="L195" i="77" s="1"/>
  <c r="H195" i="77"/>
  <c r="I195" i="77" s="1"/>
  <c r="M195" i="77" s="1"/>
  <c r="K194" i="77"/>
  <c r="L194" i="77" s="1"/>
  <c r="H194" i="77"/>
  <c r="I194" i="77" s="1"/>
  <c r="M194" i="77" s="1"/>
  <c r="K193" i="77"/>
  <c r="L193" i="77" s="1"/>
  <c r="H193" i="77"/>
  <c r="I193" i="77" s="1"/>
  <c r="M193" i="77" s="1"/>
  <c r="K191" i="77"/>
  <c r="L191" i="77" s="1"/>
  <c r="H191" i="77"/>
  <c r="I191" i="77" s="1"/>
  <c r="M191" i="77" s="1"/>
  <c r="K190" i="77"/>
  <c r="L190" i="77" s="1"/>
  <c r="H190" i="77"/>
  <c r="I190" i="77" s="1"/>
  <c r="M190" i="77" s="1"/>
  <c r="K189" i="77"/>
  <c r="L189" i="77" s="1"/>
  <c r="H189" i="77"/>
  <c r="I189" i="77" s="1"/>
  <c r="M189" i="77" s="1"/>
  <c r="K188" i="77"/>
  <c r="L188" i="77" s="1"/>
  <c r="H188" i="77"/>
  <c r="I188" i="77" s="1"/>
  <c r="M188" i="77" s="1"/>
  <c r="K187" i="77"/>
  <c r="L187" i="77" s="1"/>
  <c r="H187" i="77"/>
  <c r="I187" i="77" s="1"/>
  <c r="M187" i="77" s="1"/>
  <c r="K186" i="77"/>
  <c r="L186" i="77" s="1"/>
  <c r="L271" i="77" s="1"/>
  <c r="H186" i="77"/>
  <c r="I186" i="77" s="1"/>
  <c r="K179" i="77"/>
  <c r="L179" i="77" s="1"/>
  <c r="H179" i="77"/>
  <c r="I179" i="77" s="1"/>
  <c r="M179" i="77" s="1"/>
  <c r="K178" i="77"/>
  <c r="L178" i="77" s="1"/>
  <c r="H178" i="77"/>
  <c r="I178" i="77" s="1"/>
  <c r="M178" i="77" s="1"/>
  <c r="K177" i="77"/>
  <c r="L177" i="77" s="1"/>
  <c r="H177" i="77"/>
  <c r="I177" i="77" s="1"/>
  <c r="M177" i="77" s="1"/>
  <c r="K175" i="77"/>
  <c r="L175" i="77" s="1"/>
  <c r="H175" i="77"/>
  <c r="I175" i="77" s="1"/>
  <c r="M175" i="77" s="1"/>
  <c r="K173" i="77"/>
  <c r="L173" i="77" s="1"/>
  <c r="H173" i="77"/>
  <c r="I173" i="77" s="1"/>
  <c r="M173" i="77" s="1"/>
  <c r="K171" i="77"/>
  <c r="L171" i="77" s="1"/>
  <c r="H171" i="77"/>
  <c r="I171" i="77" s="1"/>
  <c r="M171" i="77" s="1"/>
  <c r="K169" i="77"/>
  <c r="L169" i="77" s="1"/>
  <c r="H169" i="77"/>
  <c r="I169" i="77" s="1"/>
  <c r="M169" i="77" s="1"/>
  <c r="K168" i="77"/>
  <c r="L168" i="77" s="1"/>
  <c r="H168" i="77"/>
  <c r="I168" i="77" s="1"/>
  <c r="M168" i="77" s="1"/>
  <c r="K167" i="77"/>
  <c r="L167" i="77" s="1"/>
  <c r="H167" i="77"/>
  <c r="I167" i="77" s="1"/>
  <c r="M167" i="77" s="1"/>
  <c r="K166" i="77"/>
  <c r="L166" i="77" s="1"/>
  <c r="H166" i="77"/>
  <c r="I166" i="77" s="1"/>
  <c r="M166" i="77" s="1"/>
  <c r="K165" i="77"/>
  <c r="L165" i="77" s="1"/>
  <c r="H165" i="77"/>
  <c r="I165" i="77" s="1"/>
  <c r="M165" i="77" s="1"/>
  <c r="K164" i="77"/>
  <c r="L164" i="77" s="1"/>
  <c r="H164" i="77"/>
  <c r="I164" i="77" s="1"/>
  <c r="K163" i="77"/>
  <c r="L163" i="77" s="1"/>
  <c r="H163" i="77"/>
  <c r="I163" i="77" s="1"/>
  <c r="M163" i="77" s="1"/>
  <c r="K162" i="77"/>
  <c r="L162" i="77" s="1"/>
  <c r="H162" i="77"/>
  <c r="I162" i="77" s="1"/>
  <c r="M162" i="77" s="1"/>
  <c r="K161" i="77"/>
  <c r="L161" i="77" s="1"/>
  <c r="H161" i="77"/>
  <c r="I161" i="77" s="1"/>
  <c r="M161" i="77" s="1"/>
  <c r="K160" i="77"/>
  <c r="L160" i="77" s="1"/>
  <c r="H160" i="77"/>
  <c r="I160" i="77" s="1"/>
  <c r="M160" i="77" s="1"/>
  <c r="K159" i="77"/>
  <c r="L159" i="77" s="1"/>
  <c r="H159" i="77"/>
  <c r="I159" i="77" s="1"/>
  <c r="M159" i="77" s="1"/>
  <c r="K157" i="77"/>
  <c r="L157" i="77" s="1"/>
  <c r="H157" i="77"/>
  <c r="I157" i="77" s="1"/>
  <c r="M157" i="77" s="1"/>
  <c r="K156" i="77"/>
  <c r="L156" i="77" s="1"/>
  <c r="H156" i="77"/>
  <c r="I156" i="77" s="1"/>
  <c r="M156" i="77" s="1"/>
  <c r="K154" i="77"/>
  <c r="L154" i="77" s="1"/>
  <c r="H154" i="77"/>
  <c r="I154" i="77" s="1"/>
  <c r="M154" i="77" s="1"/>
  <c r="K153" i="77"/>
  <c r="L153" i="77" s="1"/>
  <c r="H153" i="77"/>
  <c r="I153" i="77" s="1"/>
  <c r="M153" i="77" s="1"/>
  <c r="K152" i="77"/>
  <c r="L152" i="77" s="1"/>
  <c r="H152" i="77"/>
  <c r="I152" i="77" s="1"/>
  <c r="M152" i="77" s="1"/>
  <c r="K151" i="77"/>
  <c r="L151" i="77" s="1"/>
  <c r="H151" i="77"/>
  <c r="I151" i="77" s="1"/>
  <c r="M151" i="77" s="1"/>
  <c r="K150" i="77"/>
  <c r="L150" i="77" s="1"/>
  <c r="H150" i="77"/>
  <c r="I150" i="77" s="1"/>
  <c r="M150" i="77" s="1"/>
  <c r="K149" i="77"/>
  <c r="L149" i="77" s="1"/>
  <c r="H149" i="77"/>
  <c r="I149" i="77" s="1"/>
  <c r="M149" i="77" s="1"/>
  <c r="K147" i="77"/>
  <c r="L147" i="77" s="1"/>
  <c r="H147" i="77"/>
  <c r="I147" i="77" s="1"/>
  <c r="M147" i="77" s="1"/>
  <c r="K146" i="77"/>
  <c r="L146" i="77" s="1"/>
  <c r="H146" i="77"/>
  <c r="I146" i="77" s="1"/>
  <c r="M146" i="77" s="1"/>
  <c r="K145" i="77"/>
  <c r="L145" i="77" s="1"/>
  <c r="H145" i="77"/>
  <c r="I145" i="77" s="1"/>
  <c r="M145" i="77" s="1"/>
  <c r="K143" i="77"/>
  <c r="L143" i="77" s="1"/>
  <c r="H143" i="77"/>
  <c r="I143" i="77" s="1"/>
  <c r="M143" i="77" s="1"/>
  <c r="K142" i="77"/>
  <c r="L142" i="77" s="1"/>
  <c r="H142" i="77"/>
  <c r="I142" i="77" s="1"/>
  <c r="M142" i="77" s="1"/>
  <c r="K141" i="77"/>
  <c r="L141" i="77" s="1"/>
  <c r="H141" i="77"/>
  <c r="I141" i="77" s="1"/>
  <c r="M141" i="77" s="1"/>
  <c r="K140" i="77"/>
  <c r="L140" i="77" s="1"/>
  <c r="H140" i="77"/>
  <c r="I140" i="77" s="1"/>
  <c r="M140" i="77" s="1"/>
  <c r="K139" i="77"/>
  <c r="L139" i="77" s="1"/>
  <c r="H139" i="77"/>
  <c r="I139" i="77" s="1"/>
  <c r="M139" i="77" s="1"/>
  <c r="K138" i="77"/>
  <c r="L138" i="77" s="1"/>
  <c r="H138" i="77"/>
  <c r="I138" i="77" s="1"/>
  <c r="M138" i="77" s="1"/>
  <c r="K136" i="77"/>
  <c r="L136" i="77" s="1"/>
  <c r="H136" i="77"/>
  <c r="I136" i="77" s="1"/>
  <c r="M136" i="77" s="1"/>
  <c r="K135" i="77"/>
  <c r="L135" i="77" s="1"/>
  <c r="H135" i="77"/>
  <c r="I135" i="77" s="1"/>
  <c r="M135" i="77" s="1"/>
  <c r="K134" i="77"/>
  <c r="L134" i="77" s="1"/>
  <c r="H134" i="77"/>
  <c r="I134" i="77" s="1"/>
  <c r="K133" i="77"/>
  <c r="L133" i="77" s="1"/>
  <c r="H133" i="77"/>
  <c r="I133" i="77" s="1"/>
  <c r="M133" i="77" s="1"/>
  <c r="K132" i="77"/>
  <c r="L132" i="77" s="1"/>
  <c r="H132" i="77"/>
  <c r="I132" i="77" s="1"/>
  <c r="M132" i="77" s="1"/>
  <c r="K131" i="77"/>
  <c r="L131" i="77" s="1"/>
  <c r="H131" i="77"/>
  <c r="I131" i="77" s="1"/>
  <c r="M131" i="77" s="1"/>
  <c r="K128" i="77"/>
  <c r="L128" i="77" s="1"/>
  <c r="H128" i="77"/>
  <c r="I128" i="77" s="1"/>
  <c r="M128" i="77" s="1"/>
  <c r="K127" i="77"/>
  <c r="L127" i="77" s="1"/>
  <c r="H127" i="77"/>
  <c r="I127" i="77" s="1"/>
  <c r="M127" i="77" s="1"/>
  <c r="K126" i="77"/>
  <c r="L126" i="77" s="1"/>
  <c r="H126" i="77"/>
  <c r="I126" i="77" s="1"/>
  <c r="M126" i="77" s="1"/>
  <c r="K125" i="77"/>
  <c r="L125" i="77" s="1"/>
  <c r="H125" i="77"/>
  <c r="I125" i="77" s="1"/>
  <c r="M125" i="77" s="1"/>
  <c r="K124" i="77"/>
  <c r="L124" i="77" s="1"/>
  <c r="H124" i="77"/>
  <c r="I124" i="77" s="1"/>
  <c r="M124" i="77" s="1"/>
  <c r="K123" i="77"/>
  <c r="L123" i="77" s="1"/>
  <c r="H123" i="77"/>
  <c r="I123" i="77" s="1"/>
  <c r="M123" i="77" s="1"/>
  <c r="K122" i="77"/>
  <c r="L122" i="77" s="1"/>
  <c r="H122" i="77"/>
  <c r="I122" i="77" s="1"/>
  <c r="M122" i="77" s="1"/>
  <c r="K121" i="77"/>
  <c r="L121" i="77" s="1"/>
  <c r="H121" i="77"/>
  <c r="I121" i="77" s="1"/>
  <c r="M121" i="77" s="1"/>
  <c r="K120" i="77"/>
  <c r="L120" i="77" s="1"/>
  <c r="H120" i="77"/>
  <c r="I120" i="77" s="1"/>
  <c r="M120" i="77" s="1"/>
  <c r="K118" i="77"/>
  <c r="L118" i="77" s="1"/>
  <c r="H118" i="77"/>
  <c r="I118" i="77" s="1"/>
  <c r="M118" i="77" s="1"/>
  <c r="K117" i="77"/>
  <c r="L117" i="77" s="1"/>
  <c r="H117" i="77"/>
  <c r="I117" i="77" s="1"/>
  <c r="M117" i="77" s="1"/>
  <c r="K116" i="77"/>
  <c r="L116" i="77" s="1"/>
  <c r="H116" i="77"/>
  <c r="I116" i="77" s="1"/>
  <c r="M116" i="77" s="1"/>
  <c r="K115" i="77"/>
  <c r="L115" i="77" s="1"/>
  <c r="H115" i="77"/>
  <c r="I115" i="77" s="1"/>
  <c r="M115" i="77" s="1"/>
  <c r="K114" i="77"/>
  <c r="L114" i="77" s="1"/>
  <c r="H114" i="77"/>
  <c r="I114" i="77" s="1"/>
  <c r="M114" i="77" s="1"/>
  <c r="K113" i="77"/>
  <c r="L113" i="77" s="1"/>
  <c r="H113" i="77"/>
  <c r="I113" i="77" s="1"/>
  <c r="M113" i="77" s="1"/>
  <c r="K112" i="77"/>
  <c r="L112" i="77" s="1"/>
  <c r="H112" i="77"/>
  <c r="I112" i="77" s="1"/>
  <c r="M112" i="77" s="1"/>
  <c r="K111" i="77"/>
  <c r="L111" i="77" s="1"/>
  <c r="H111" i="77"/>
  <c r="I111" i="77" s="1"/>
  <c r="M111" i="77" s="1"/>
  <c r="K110" i="77"/>
  <c r="L110" i="77" s="1"/>
  <c r="H110" i="77"/>
  <c r="I110" i="77" s="1"/>
  <c r="M110" i="77" s="1"/>
  <c r="K106" i="77"/>
  <c r="L106" i="77" s="1"/>
  <c r="H106" i="77"/>
  <c r="I106" i="77" s="1"/>
  <c r="M106" i="77" s="1"/>
  <c r="K105" i="77"/>
  <c r="L105" i="77" s="1"/>
  <c r="H105" i="77"/>
  <c r="I105" i="77" s="1"/>
  <c r="M105" i="77" s="1"/>
  <c r="K104" i="77"/>
  <c r="L104" i="77" s="1"/>
  <c r="H104" i="77"/>
  <c r="I104" i="77" s="1"/>
  <c r="M104" i="77" s="1"/>
  <c r="K103" i="77"/>
  <c r="L103" i="77" s="1"/>
  <c r="H103" i="77"/>
  <c r="I103" i="77" s="1"/>
  <c r="M103" i="77" s="1"/>
  <c r="K102" i="77"/>
  <c r="L102" i="77" s="1"/>
  <c r="H102" i="77"/>
  <c r="I102" i="77" s="1"/>
  <c r="K101" i="77"/>
  <c r="L101" i="77" s="1"/>
  <c r="L180" i="77" s="1"/>
  <c r="H101" i="77"/>
  <c r="I101" i="77" s="1"/>
  <c r="K95" i="77"/>
  <c r="L95" i="77" s="1"/>
  <c r="H95" i="77"/>
  <c r="I95" i="77" s="1"/>
  <c r="M95" i="77" s="1"/>
  <c r="K89" i="77"/>
  <c r="L89" i="77" s="1"/>
  <c r="H89" i="77"/>
  <c r="I89" i="77" s="1"/>
  <c r="M89" i="77" s="1"/>
  <c r="K88" i="77"/>
  <c r="L88" i="77" s="1"/>
  <c r="H88" i="77"/>
  <c r="I88" i="77" s="1"/>
  <c r="K87" i="77"/>
  <c r="L87" i="77" s="1"/>
  <c r="H87" i="77"/>
  <c r="I87" i="77" s="1"/>
  <c r="M87" i="77" s="1"/>
  <c r="K85" i="77"/>
  <c r="L85" i="77" s="1"/>
  <c r="H85" i="77"/>
  <c r="I85" i="77" s="1"/>
  <c r="M85" i="77" s="1"/>
  <c r="K83" i="77"/>
  <c r="L83" i="77" s="1"/>
  <c r="H83" i="77"/>
  <c r="I83" i="77" s="1"/>
  <c r="M83" i="77" s="1"/>
  <c r="K82" i="77"/>
  <c r="L82" i="77" s="1"/>
  <c r="H82" i="77"/>
  <c r="I82" i="77" s="1"/>
  <c r="M82" i="77" s="1"/>
  <c r="K81" i="77"/>
  <c r="L81" i="77" s="1"/>
  <c r="H81" i="77"/>
  <c r="I81" i="77" s="1"/>
  <c r="M81" i="77" s="1"/>
  <c r="K80" i="77"/>
  <c r="L80" i="77" s="1"/>
  <c r="H80" i="77"/>
  <c r="I80" i="77" s="1"/>
  <c r="M80" i="77" s="1"/>
  <c r="K79" i="77"/>
  <c r="L79" i="77" s="1"/>
  <c r="H79" i="77"/>
  <c r="I79" i="77" s="1"/>
  <c r="M79" i="77" s="1"/>
  <c r="K71" i="77"/>
  <c r="L71" i="77" s="1"/>
  <c r="H71" i="77"/>
  <c r="I71" i="77" s="1"/>
  <c r="M71" i="77" s="1"/>
  <c r="K70" i="77"/>
  <c r="L70" i="77" s="1"/>
  <c r="H70" i="77"/>
  <c r="I70" i="77" s="1"/>
  <c r="M70" i="77" s="1"/>
  <c r="K68" i="77"/>
  <c r="L68" i="77" s="1"/>
  <c r="H68" i="77"/>
  <c r="I68" i="77" s="1"/>
  <c r="M68" i="77" s="1"/>
  <c r="K67" i="77"/>
  <c r="L67" i="77" s="1"/>
  <c r="H67" i="77"/>
  <c r="I67" i="77" s="1"/>
  <c r="M67" i="77" s="1"/>
  <c r="K66" i="77"/>
  <c r="L66" i="77" s="1"/>
  <c r="H66" i="77"/>
  <c r="I66" i="77" s="1"/>
  <c r="M66" i="77" s="1"/>
  <c r="K65" i="77"/>
  <c r="L65" i="77" s="1"/>
  <c r="H65" i="77"/>
  <c r="I65" i="77" s="1"/>
  <c r="M65" i="77" s="1"/>
  <c r="K64" i="77"/>
  <c r="L64" i="77" s="1"/>
  <c r="H64" i="77"/>
  <c r="I64" i="77" s="1"/>
  <c r="M64" i="77" s="1"/>
  <c r="K63" i="77"/>
  <c r="L63" i="77" s="1"/>
  <c r="H63" i="77"/>
  <c r="I63" i="77" s="1"/>
  <c r="M63" i="77" s="1"/>
  <c r="K61" i="77"/>
  <c r="L61" i="77" s="1"/>
  <c r="H61" i="77"/>
  <c r="I61" i="77" s="1"/>
  <c r="M61" i="77" s="1"/>
  <c r="K59" i="77"/>
  <c r="L59" i="77" s="1"/>
  <c r="H59" i="77"/>
  <c r="I59" i="77" s="1"/>
  <c r="M59" i="77" s="1"/>
  <c r="K58" i="77"/>
  <c r="L58" i="77" s="1"/>
  <c r="H58" i="77"/>
  <c r="I58" i="77" s="1"/>
  <c r="M58" i="77" s="1"/>
  <c r="K57" i="77"/>
  <c r="L57" i="77" s="1"/>
  <c r="H57" i="77"/>
  <c r="I57" i="77" s="1"/>
  <c r="M57" i="77" s="1"/>
  <c r="K55" i="77"/>
  <c r="L55" i="77" s="1"/>
  <c r="H55" i="77"/>
  <c r="I55" i="77" s="1"/>
  <c r="M55" i="77" s="1"/>
  <c r="K54" i="77"/>
  <c r="L54" i="77" s="1"/>
  <c r="H54" i="77"/>
  <c r="I54" i="77" s="1"/>
  <c r="M54" i="77" s="1"/>
  <c r="K52" i="77"/>
  <c r="L52" i="77" s="1"/>
  <c r="H52" i="77"/>
  <c r="I52" i="77" s="1"/>
  <c r="M52" i="77" s="1"/>
  <c r="K50" i="77"/>
  <c r="L50" i="77" s="1"/>
  <c r="H50" i="77"/>
  <c r="I50" i="77" s="1"/>
  <c r="M50" i="77" s="1"/>
  <c r="K49" i="77"/>
  <c r="L49" i="77" s="1"/>
  <c r="H49" i="77"/>
  <c r="I49" i="77" s="1"/>
  <c r="M49" i="77" s="1"/>
  <c r="K44" i="77"/>
  <c r="L44" i="77" s="1"/>
  <c r="H44" i="77"/>
  <c r="I44" i="77" s="1"/>
  <c r="M44" i="77" s="1"/>
  <c r="K43" i="77"/>
  <c r="L43" i="77" s="1"/>
  <c r="H43" i="77"/>
  <c r="I43" i="77" s="1"/>
  <c r="M43" i="77" s="1"/>
  <c r="K42" i="77"/>
  <c r="L42" i="77" s="1"/>
  <c r="H42" i="77"/>
  <c r="I42" i="77" s="1"/>
  <c r="M42" i="77" s="1"/>
  <c r="K41" i="77"/>
  <c r="L41" i="77" s="1"/>
  <c r="H41" i="77"/>
  <c r="I41" i="77" s="1"/>
  <c r="M41" i="77" s="1"/>
  <c r="K40" i="77"/>
  <c r="L40" i="77" s="1"/>
  <c r="H40" i="77"/>
  <c r="I40" i="77" s="1"/>
  <c r="M40" i="77" s="1"/>
  <c r="K39" i="77"/>
  <c r="L39" i="77" s="1"/>
  <c r="H39" i="77"/>
  <c r="I39" i="77" s="1"/>
  <c r="M39" i="77" s="1"/>
  <c r="K38" i="77"/>
  <c r="L38" i="77" s="1"/>
  <c r="H38" i="77"/>
  <c r="I38" i="77" s="1"/>
  <c r="M38" i="77" s="1"/>
  <c r="K37" i="77"/>
  <c r="L37" i="77" s="1"/>
  <c r="H37" i="77"/>
  <c r="I37" i="77" s="1"/>
  <c r="M37" i="77" s="1"/>
  <c r="K35" i="77"/>
  <c r="L35" i="77" s="1"/>
  <c r="H35" i="77"/>
  <c r="I35" i="77" s="1"/>
  <c r="M35" i="77" s="1"/>
  <c r="K34" i="77"/>
  <c r="L34" i="77" s="1"/>
  <c r="H34" i="77"/>
  <c r="I34" i="77" s="1"/>
  <c r="M34" i="77" s="1"/>
  <c r="K33" i="77"/>
  <c r="L33" i="77" s="1"/>
  <c r="H33" i="77"/>
  <c r="I33" i="77" s="1"/>
  <c r="M33" i="77" s="1"/>
  <c r="K32" i="77"/>
  <c r="L32" i="77" s="1"/>
  <c r="H32" i="77"/>
  <c r="I32" i="77" s="1"/>
  <c r="M32" i="77" s="1"/>
  <c r="K31" i="77"/>
  <c r="L31" i="77" s="1"/>
  <c r="H31" i="77"/>
  <c r="I31" i="77" s="1"/>
  <c r="M31" i="77" s="1"/>
  <c r="K30" i="77"/>
  <c r="L30" i="77" s="1"/>
  <c r="H30" i="77"/>
  <c r="I30" i="77" s="1"/>
  <c r="M30" i="77" s="1"/>
  <c r="K29" i="77"/>
  <c r="L29" i="77" s="1"/>
  <c r="H29" i="77"/>
  <c r="I29" i="77" s="1"/>
  <c r="M29" i="77" s="1"/>
  <c r="K28" i="77"/>
  <c r="L28" i="77" s="1"/>
  <c r="H28" i="77"/>
  <c r="I28" i="77" s="1"/>
  <c r="M28" i="77" s="1"/>
  <c r="K27" i="77"/>
  <c r="L27" i="77" s="1"/>
  <c r="H27" i="77"/>
  <c r="I27" i="77" s="1"/>
  <c r="M27" i="77" s="1"/>
  <c r="K23" i="77"/>
  <c r="L23" i="77" s="1"/>
  <c r="L96" i="77" s="1"/>
  <c r="H23" i="77"/>
  <c r="I23" i="77" s="1"/>
  <c r="P16" i="77"/>
  <c r="Q15" i="77"/>
  <c r="O14" i="77"/>
  <c r="L14" i="77"/>
  <c r="O13" i="77"/>
  <c r="L13" i="77"/>
  <c r="O12" i="77"/>
  <c r="L12" i="77"/>
  <c r="O11" i="77"/>
  <c r="L11" i="77"/>
  <c r="O10" i="77"/>
  <c r="O16" i="77" s="1"/>
  <c r="L10" i="77"/>
  <c r="L1329" i="76"/>
  <c r="I1329" i="76"/>
  <c r="M1329" i="76" s="1"/>
  <c r="H1329" i="76"/>
  <c r="L1328" i="76"/>
  <c r="I1328" i="76"/>
  <c r="M1328" i="76" s="1"/>
  <c r="H1328" i="76"/>
  <c r="L1327" i="76"/>
  <c r="I1327" i="76"/>
  <c r="M1327" i="76" s="1"/>
  <c r="H1327" i="76"/>
  <c r="L1326" i="76"/>
  <c r="I1326" i="76"/>
  <c r="M1326" i="76" s="1"/>
  <c r="H1326" i="76"/>
  <c r="J1325" i="76"/>
  <c r="K1325" i="76" s="1"/>
  <c r="L1325" i="76" s="1"/>
  <c r="L1330" i="76" s="1"/>
  <c r="I1325" i="76"/>
  <c r="H1325" i="76"/>
  <c r="K1321" i="76"/>
  <c r="L1321" i="76" s="1"/>
  <c r="I1321" i="76"/>
  <c r="M1321" i="76" s="1"/>
  <c r="L1320" i="76"/>
  <c r="K1320" i="76"/>
  <c r="H1320" i="76"/>
  <c r="I1320" i="76" s="1"/>
  <c r="M1320" i="76" s="1"/>
  <c r="K1319" i="76"/>
  <c r="L1319" i="76" s="1"/>
  <c r="L1322" i="76" s="1"/>
  <c r="H1319" i="76"/>
  <c r="I1319" i="76" s="1"/>
  <c r="K1315" i="76"/>
  <c r="L1315" i="76" s="1"/>
  <c r="I1315" i="76"/>
  <c r="M1315" i="76" s="1"/>
  <c r="K1314" i="76"/>
  <c r="L1314" i="76" s="1"/>
  <c r="H1314" i="76"/>
  <c r="I1314" i="76" s="1"/>
  <c r="M1314" i="76" s="1"/>
  <c r="K1309" i="76"/>
  <c r="L1309" i="76" s="1"/>
  <c r="H1309" i="76"/>
  <c r="I1309" i="76" s="1"/>
  <c r="M1309" i="76" s="1"/>
  <c r="K1304" i="76"/>
  <c r="L1304" i="76" s="1"/>
  <c r="H1304" i="76"/>
  <c r="I1304" i="76" s="1"/>
  <c r="M1304" i="76" s="1"/>
  <c r="K1299" i="76"/>
  <c r="L1299" i="76" s="1"/>
  <c r="L1316" i="76" s="1"/>
  <c r="H1299" i="76"/>
  <c r="I1299" i="76" s="1"/>
  <c r="L1295" i="76"/>
  <c r="H1295" i="76"/>
  <c r="I1295" i="76" s="1"/>
  <c r="M1295" i="76" s="1"/>
  <c r="K1294" i="76"/>
  <c r="L1294" i="76" s="1"/>
  <c r="I1294" i="76"/>
  <c r="M1294" i="76" s="1"/>
  <c r="H1294" i="76"/>
  <c r="K1293" i="76"/>
  <c r="L1293" i="76" s="1"/>
  <c r="I1293" i="76"/>
  <c r="M1293" i="76" s="1"/>
  <c r="H1293" i="76"/>
  <c r="K1292" i="76"/>
  <c r="L1292" i="76" s="1"/>
  <c r="H1292" i="76"/>
  <c r="I1292" i="76" s="1"/>
  <c r="M1292" i="76" s="1"/>
  <c r="H1291" i="76"/>
  <c r="K1285" i="76"/>
  <c r="L1285" i="76" s="1"/>
  <c r="H1285" i="76"/>
  <c r="I1285" i="76" s="1"/>
  <c r="M1285" i="76" s="1"/>
  <c r="K1284" i="76"/>
  <c r="L1284" i="76" s="1"/>
  <c r="H1284" i="76"/>
  <c r="I1284" i="76" s="1"/>
  <c r="M1284" i="76" s="1"/>
  <c r="H1283" i="76"/>
  <c r="K1277" i="76"/>
  <c r="L1277" i="76" s="1"/>
  <c r="H1277" i="76"/>
  <c r="I1277" i="76" s="1"/>
  <c r="M1277" i="76" s="1"/>
  <c r="H1276" i="76"/>
  <c r="K1270" i="76"/>
  <c r="L1270" i="76" s="1"/>
  <c r="H1270" i="76"/>
  <c r="I1270" i="76" s="1"/>
  <c r="M1270" i="76" s="1"/>
  <c r="H1269" i="76"/>
  <c r="K1263" i="76"/>
  <c r="L1263" i="76" s="1"/>
  <c r="H1263" i="76"/>
  <c r="I1263" i="76" s="1"/>
  <c r="M1263" i="76" s="1"/>
  <c r="H1262" i="76"/>
  <c r="K1256" i="76"/>
  <c r="L1256" i="76" s="1"/>
  <c r="H1256" i="76"/>
  <c r="I1256" i="76" s="1"/>
  <c r="M1256" i="76" s="1"/>
  <c r="H1255" i="76"/>
  <c r="K1249" i="76"/>
  <c r="L1249" i="76" s="1"/>
  <c r="L1296" i="76" s="1"/>
  <c r="H1249" i="76"/>
  <c r="I1249" i="76" s="1"/>
  <c r="K1248" i="76"/>
  <c r="K1247" i="76"/>
  <c r="K1246" i="76"/>
  <c r="K1245" i="76"/>
  <c r="L1245" i="76" s="1"/>
  <c r="H1245" i="76"/>
  <c r="I1245" i="76" s="1"/>
  <c r="M1245" i="76" s="1"/>
  <c r="K1244" i="76"/>
  <c r="L1244" i="76" s="1"/>
  <c r="H1244" i="76"/>
  <c r="I1244" i="76" s="1"/>
  <c r="M1244" i="76" s="1"/>
  <c r="K1243" i="76"/>
  <c r="L1243" i="76" s="1"/>
  <c r="H1243" i="76"/>
  <c r="I1243" i="76" s="1"/>
  <c r="M1243" i="76" s="1"/>
  <c r="K1242" i="76"/>
  <c r="L1242" i="76" s="1"/>
  <c r="H1242" i="76"/>
  <c r="I1242" i="76" s="1"/>
  <c r="M1242" i="76" s="1"/>
  <c r="L1241" i="76"/>
  <c r="K1241" i="76"/>
  <c r="H1241" i="76"/>
  <c r="I1241" i="76" s="1"/>
  <c r="M1241" i="76" s="1"/>
  <c r="L1240" i="76"/>
  <c r="K1240" i="76"/>
  <c r="H1240" i="76"/>
  <c r="I1240" i="76" s="1"/>
  <c r="M1240" i="76" s="1"/>
  <c r="L1239" i="76"/>
  <c r="K1239" i="76"/>
  <c r="H1239" i="76"/>
  <c r="I1239" i="76" s="1"/>
  <c r="M1239" i="76" s="1"/>
  <c r="L1238" i="76"/>
  <c r="K1238" i="76"/>
  <c r="H1238" i="76"/>
  <c r="I1238" i="76" s="1"/>
  <c r="M1238" i="76" s="1"/>
  <c r="L1237" i="76"/>
  <c r="K1237" i="76"/>
  <c r="H1237" i="76"/>
  <c r="I1237" i="76" s="1"/>
  <c r="M1237" i="76" s="1"/>
  <c r="L1236" i="76"/>
  <c r="K1236" i="76"/>
  <c r="H1236" i="76"/>
  <c r="I1236" i="76" s="1"/>
  <c r="M1236" i="76" s="1"/>
  <c r="L1235" i="76"/>
  <c r="K1235" i="76"/>
  <c r="H1235" i="76"/>
  <c r="I1235" i="76" s="1"/>
  <c r="M1235" i="76" s="1"/>
  <c r="L1234" i="76"/>
  <c r="K1234" i="76"/>
  <c r="H1234" i="76"/>
  <c r="I1234" i="76" s="1"/>
  <c r="M1234" i="76" s="1"/>
  <c r="L1233" i="76"/>
  <c r="K1233" i="76"/>
  <c r="H1233" i="76"/>
  <c r="I1233" i="76" s="1"/>
  <c r="M1233" i="76" s="1"/>
  <c r="L1232" i="76"/>
  <c r="K1232" i="76"/>
  <c r="H1232" i="76"/>
  <c r="I1232" i="76" s="1"/>
  <c r="M1232" i="76" s="1"/>
  <c r="L1231" i="76"/>
  <c r="K1231" i="76"/>
  <c r="H1231" i="76"/>
  <c r="I1231" i="76" s="1"/>
  <c r="M1231" i="76" s="1"/>
  <c r="L1230" i="76"/>
  <c r="K1230" i="76"/>
  <c r="H1230" i="76"/>
  <c r="I1230" i="76" s="1"/>
  <c r="M1230" i="76" s="1"/>
  <c r="L1229" i="76"/>
  <c r="K1229" i="76"/>
  <c r="H1229" i="76"/>
  <c r="I1229" i="76" s="1"/>
  <c r="M1229" i="76" s="1"/>
  <c r="L1228" i="76"/>
  <c r="K1228" i="76"/>
  <c r="H1228" i="76"/>
  <c r="I1228" i="76" s="1"/>
  <c r="M1228" i="76" s="1"/>
  <c r="L1227" i="76"/>
  <c r="K1227" i="76"/>
  <c r="H1227" i="76"/>
  <c r="I1227" i="76" s="1"/>
  <c r="M1227" i="76" s="1"/>
  <c r="L1226" i="76"/>
  <c r="K1226" i="76"/>
  <c r="H1226" i="76"/>
  <c r="I1226" i="76" s="1"/>
  <c r="M1226" i="76" s="1"/>
  <c r="L1225" i="76"/>
  <c r="K1225" i="76"/>
  <c r="H1225" i="76"/>
  <c r="I1225" i="76" s="1"/>
  <c r="M1225" i="76" s="1"/>
  <c r="L1224" i="76"/>
  <c r="K1224" i="76"/>
  <c r="H1224" i="76"/>
  <c r="I1224" i="76" s="1"/>
  <c r="M1224" i="76" s="1"/>
  <c r="L1223" i="76"/>
  <c r="K1223" i="76"/>
  <c r="H1223" i="76"/>
  <c r="I1223" i="76" s="1"/>
  <c r="M1223" i="76" s="1"/>
  <c r="L1222" i="76"/>
  <c r="K1222" i="76"/>
  <c r="H1222" i="76"/>
  <c r="I1222" i="76" s="1"/>
  <c r="M1222" i="76" s="1"/>
  <c r="L1221" i="76"/>
  <c r="K1221" i="76"/>
  <c r="H1221" i="76"/>
  <c r="I1221" i="76" s="1"/>
  <c r="M1221" i="76" s="1"/>
  <c r="L1220" i="76"/>
  <c r="K1220" i="76"/>
  <c r="H1220" i="76"/>
  <c r="I1220" i="76" s="1"/>
  <c r="M1220" i="76" s="1"/>
  <c r="H1219" i="76"/>
  <c r="L1211" i="76"/>
  <c r="H1211" i="76"/>
  <c r="I1211" i="76" s="1"/>
  <c r="M1211" i="76" s="1"/>
  <c r="L1210" i="76"/>
  <c r="H1210" i="76"/>
  <c r="I1210" i="76" s="1"/>
  <c r="M1210" i="76" s="1"/>
  <c r="L1209" i="76"/>
  <c r="H1209" i="76"/>
  <c r="I1209" i="76" s="1"/>
  <c r="M1209" i="76" s="1"/>
  <c r="L1208" i="76"/>
  <c r="H1208" i="76"/>
  <c r="I1208" i="76" s="1"/>
  <c r="M1208" i="76" s="1"/>
  <c r="L1207" i="76"/>
  <c r="H1207" i="76"/>
  <c r="I1207" i="76" s="1"/>
  <c r="M1207" i="76" s="1"/>
  <c r="L1206" i="76"/>
  <c r="H1206" i="76"/>
  <c r="I1206" i="76" s="1"/>
  <c r="M1206" i="76" s="1"/>
  <c r="L1205" i="76"/>
  <c r="H1205" i="76"/>
  <c r="I1205" i="76" s="1"/>
  <c r="M1205" i="76" s="1"/>
  <c r="L1204" i="76"/>
  <c r="H1204" i="76"/>
  <c r="I1204" i="76" s="1"/>
  <c r="M1204" i="76" s="1"/>
  <c r="L1203" i="76"/>
  <c r="H1203" i="76"/>
  <c r="I1203" i="76" s="1"/>
  <c r="M1203" i="76" s="1"/>
  <c r="L1193" i="76"/>
  <c r="L1246" i="76" s="1"/>
  <c r="H1193" i="76"/>
  <c r="I1193" i="76" s="1"/>
  <c r="K1171" i="76"/>
  <c r="L1171" i="76" s="1"/>
  <c r="H1171" i="76"/>
  <c r="I1171" i="76" s="1"/>
  <c r="M1171" i="76" s="1"/>
  <c r="K1170" i="76"/>
  <c r="L1170" i="76" s="1"/>
  <c r="G1170" i="76"/>
  <c r="H1170" i="76" s="1"/>
  <c r="I1170" i="76" s="1"/>
  <c r="M1170" i="76" s="1"/>
  <c r="K1169" i="76"/>
  <c r="L1169" i="76" s="1"/>
  <c r="G1169" i="76"/>
  <c r="H1169" i="76" s="1"/>
  <c r="I1169" i="76" s="1"/>
  <c r="M1169" i="76" s="1"/>
  <c r="K1167" i="76"/>
  <c r="L1167" i="76" s="1"/>
  <c r="H1167" i="76"/>
  <c r="I1167" i="76" s="1"/>
  <c r="M1167" i="76" s="1"/>
  <c r="K1166" i="76"/>
  <c r="L1166" i="76" s="1"/>
  <c r="H1166" i="76"/>
  <c r="I1166" i="76" s="1"/>
  <c r="M1166" i="76" s="1"/>
  <c r="K1165" i="76"/>
  <c r="L1165" i="76" s="1"/>
  <c r="G1165" i="76"/>
  <c r="H1165" i="76" s="1"/>
  <c r="I1165" i="76" s="1"/>
  <c r="M1165" i="76" s="1"/>
  <c r="K1163" i="76"/>
  <c r="L1163" i="76" s="1"/>
  <c r="I1163" i="76"/>
  <c r="M1163" i="76" s="1"/>
  <c r="K1161" i="76"/>
  <c r="L1161" i="76" s="1"/>
  <c r="H1161" i="76"/>
  <c r="I1161" i="76" s="1"/>
  <c r="M1161" i="76" s="1"/>
  <c r="K1160" i="76"/>
  <c r="L1160" i="76" s="1"/>
  <c r="H1160" i="76"/>
  <c r="I1160" i="76" s="1"/>
  <c r="M1160" i="76" s="1"/>
  <c r="K1159" i="76"/>
  <c r="L1159" i="76" s="1"/>
  <c r="H1159" i="76"/>
  <c r="I1159" i="76" s="1"/>
  <c r="M1159" i="76" s="1"/>
  <c r="K1157" i="76"/>
  <c r="L1157" i="76" s="1"/>
  <c r="H1157" i="76"/>
  <c r="I1157" i="76" s="1"/>
  <c r="M1157" i="76" s="1"/>
  <c r="K1156" i="76"/>
  <c r="L1156" i="76" s="1"/>
  <c r="H1156" i="76"/>
  <c r="I1156" i="76" s="1"/>
  <c r="M1156" i="76" s="1"/>
  <c r="K1155" i="76"/>
  <c r="L1155" i="76" s="1"/>
  <c r="H1155" i="76"/>
  <c r="I1155" i="76" s="1"/>
  <c r="M1155" i="76" s="1"/>
  <c r="K1154" i="76"/>
  <c r="L1154" i="76" s="1"/>
  <c r="H1154" i="76"/>
  <c r="I1154" i="76" s="1"/>
  <c r="M1154" i="76" s="1"/>
  <c r="K1153" i="76"/>
  <c r="L1153" i="76" s="1"/>
  <c r="H1153" i="76"/>
  <c r="I1153" i="76" s="1"/>
  <c r="M1153" i="76" s="1"/>
  <c r="K1152" i="76"/>
  <c r="L1152" i="76" s="1"/>
  <c r="H1152" i="76"/>
  <c r="I1152" i="76" s="1"/>
  <c r="M1152" i="76" s="1"/>
  <c r="K1151" i="76"/>
  <c r="L1151" i="76" s="1"/>
  <c r="H1151" i="76"/>
  <c r="I1151" i="76" s="1"/>
  <c r="M1151" i="76" s="1"/>
  <c r="K1150" i="76"/>
  <c r="L1150" i="76" s="1"/>
  <c r="H1150" i="76"/>
  <c r="I1150" i="76" s="1"/>
  <c r="M1150" i="76" s="1"/>
  <c r="K1149" i="76"/>
  <c r="L1149" i="76" s="1"/>
  <c r="H1149" i="76"/>
  <c r="I1149" i="76" s="1"/>
  <c r="M1149" i="76" s="1"/>
  <c r="K1148" i="76"/>
  <c r="L1148" i="76" s="1"/>
  <c r="H1148" i="76"/>
  <c r="I1148" i="76" s="1"/>
  <c r="M1148" i="76" s="1"/>
  <c r="K1147" i="76"/>
  <c r="L1147" i="76" s="1"/>
  <c r="H1147" i="76"/>
  <c r="I1147" i="76" s="1"/>
  <c r="M1147" i="76" s="1"/>
  <c r="K1146" i="76"/>
  <c r="L1146" i="76" s="1"/>
  <c r="H1146" i="76"/>
  <c r="I1146" i="76" s="1"/>
  <c r="M1146" i="76" s="1"/>
  <c r="K1145" i="76"/>
  <c r="L1145" i="76" s="1"/>
  <c r="H1145" i="76"/>
  <c r="I1145" i="76" s="1"/>
  <c r="M1145" i="76" s="1"/>
  <c r="K1143" i="76"/>
  <c r="L1143" i="76" s="1"/>
  <c r="H1143" i="76"/>
  <c r="I1143" i="76" s="1"/>
  <c r="M1143" i="76" s="1"/>
  <c r="K1142" i="76"/>
  <c r="L1142" i="76" s="1"/>
  <c r="H1142" i="76"/>
  <c r="I1142" i="76" s="1"/>
  <c r="M1142" i="76" s="1"/>
  <c r="K1141" i="76"/>
  <c r="L1141" i="76" s="1"/>
  <c r="H1141" i="76"/>
  <c r="I1141" i="76" s="1"/>
  <c r="M1141" i="76" s="1"/>
  <c r="K1140" i="76"/>
  <c r="L1140" i="76" s="1"/>
  <c r="H1140" i="76"/>
  <c r="I1140" i="76" s="1"/>
  <c r="M1140" i="76" s="1"/>
  <c r="K1139" i="76"/>
  <c r="L1139" i="76" s="1"/>
  <c r="H1139" i="76"/>
  <c r="I1139" i="76" s="1"/>
  <c r="M1139" i="76" s="1"/>
  <c r="K1138" i="76"/>
  <c r="L1138" i="76" s="1"/>
  <c r="H1138" i="76"/>
  <c r="I1138" i="76" s="1"/>
  <c r="M1138" i="76" s="1"/>
  <c r="K1137" i="76"/>
  <c r="L1137" i="76" s="1"/>
  <c r="H1137" i="76"/>
  <c r="I1137" i="76" s="1"/>
  <c r="M1137" i="76" s="1"/>
  <c r="K1136" i="76"/>
  <c r="L1136" i="76" s="1"/>
  <c r="H1136" i="76"/>
  <c r="I1136" i="76" s="1"/>
  <c r="M1136" i="76" s="1"/>
  <c r="K1135" i="76"/>
  <c r="L1135" i="76" s="1"/>
  <c r="H1135" i="76"/>
  <c r="I1135" i="76" s="1"/>
  <c r="M1135" i="76" s="1"/>
  <c r="K1134" i="76"/>
  <c r="L1134" i="76" s="1"/>
  <c r="H1134" i="76"/>
  <c r="I1134" i="76" s="1"/>
  <c r="M1134" i="76" s="1"/>
  <c r="K1132" i="76"/>
  <c r="L1132" i="76" s="1"/>
  <c r="H1132" i="76"/>
  <c r="I1132" i="76" s="1"/>
  <c r="M1132" i="76" s="1"/>
  <c r="K1131" i="76"/>
  <c r="L1131" i="76" s="1"/>
  <c r="H1131" i="76"/>
  <c r="I1131" i="76" s="1"/>
  <c r="M1131" i="76" s="1"/>
  <c r="K1130" i="76"/>
  <c r="L1130" i="76" s="1"/>
  <c r="H1130" i="76"/>
  <c r="I1130" i="76" s="1"/>
  <c r="M1130" i="76" s="1"/>
  <c r="K1129" i="76"/>
  <c r="L1129" i="76" s="1"/>
  <c r="H1129" i="76"/>
  <c r="I1129" i="76" s="1"/>
  <c r="M1129" i="76" s="1"/>
  <c r="K1127" i="76"/>
  <c r="L1127" i="76" s="1"/>
  <c r="I1127" i="76"/>
  <c r="M1127" i="76" s="1"/>
  <c r="K1125" i="76"/>
  <c r="L1125" i="76" s="1"/>
  <c r="H1125" i="76"/>
  <c r="I1125" i="76" s="1"/>
  <c r="M1125" i="76" s="1"/>
  <c r="K1124" i="76"/>
  <c r="L1124" i="76" s="1"/>
  <c r="H1124" i="76"/>
  <c r="I1124" i="76" s="1"/>
  <c r="M1124" i="76" s="1"/>
  <c r="K1123" i="76"/>
  <c r="L1123" i="76" s="1"/>
  <c r="H1123" i="76"/>
  <c r="I1123" i="76" s="1"/>
  <c r="M1123" i="76" s="1"/>
  <c r="K1122" i="76"/>
  <c r="L1122" i="76" s="1"/>
  <c r="H1122" i="76"/>
  <c r="I1122" i="76" s="1"/>
  <c r="M1122" i="76" s="1"/>
  <c r="K1121" i="76"/>
  <c r="L1121" i="76" s="1"/>
  <c r="H1121" i="76"/>
  <c r="I1121" i="76" s="1"/>
  <c r="M1121" i="76" s="1"/>
  <c r="K1120" i="76"/>
  <c r="L1120" i="76" s="1"/>
  <c r="H1120" i="76"/>
  <c r="I1120" i="76" s="1"/>
  <c r="M1120" i="76" s="1"/>
  <c r="K1119" i="76"/>
  <c r="L1119" i="76" s="1"/>
  <c r="L1172" i="76" s="1"/>
  <c r="H1119" i="76"/>
  <c r="I1119" i="76" s="1"/>
  <c r="K1112" i="76"/>
  <c r="L1112" i="76" s="1"/>
  <c r="H1112" i="76"/>
  <c r="I1112" i="76" s="1"/>
  <c r="M1112" i="76" s="1"/>
  <c r="K1110" i="76"/>
  <c r="L1110" i="76" s="1"/>
  <c r="G1110" i="76"/>
  <c r="H1110" i="76" s="1"/>
  <c r="I1110" i="76" s="1"/>
  <c r="M1110" i="76" s="1"/>
  <c r="K1109" i="76"/>
  <c r="L1109" i="76" s="1"/>
  <c r="G1109" i="76"/>
  <c r="H1109" i="76" s="1"/>
  <c r="I1109" i="76" s="1"/>
  <c r="M1109" i="76" s="1"/>
  <c r="K1107" i="76"/>
  <c r="L1107" i="76" s="1"/>
  <c r="H1107" i="76"/>
  <c r="I1107" i="76" s="1"/>
  <c r="M1107" i="76" s="1"/>
  <c r="K1106" i="76"/>
  <c r="L1106" i="76" s="1"/>
  <c r="H1106" i="76"/>
  <c r="I1106" i="76" s="1"/>
  <c r="K1104" i="76"/>
  <c r="L1104" i="76" s="1"/>
  <c r="H1104" i="76"/>
  <c r="I1104" i="76" s="1"/>
  <c r="M1104" i="76" s="1"/>
  <c r="K1103" i="76"/>
  <c r="L1103" i="76" s="1"/>
  <c r="H1103" i="76"/>
  <c r="I1103" i="76" s="1"/>
  <c r="M1103" i="76" s="1"/>
  <c r="K1102" i="76"/>
  <c r="L1102" i="76" s="1"/>
  <c r="H1102" i="76"/>
  <c r="I1102" i="76" s="1"/>
  <c r="M1102" i="76" s="1"/>
  <c r="K1101" i="76"/>
  <c r="L1101" i="76" s="1"/>
  <c r="H1101" i="76"/>
  <c r="I1101" i="76" s="1"/>
  <c r="M1101" i="76" s="1"/>
  <c r="K1100" i="76"/>
  <c r="L1100" i="76" s="1"/>
  <c r="H1100" i="76"/>
  <c r="I1100" i="76" s="1"/>
  <c r="M1100" i="76" s="1"/>
  <c r="K1099" i="76"/>
  <c r="L1099" i="76" s="1"/>
  <c r="H1099" i="76"/>
  <c r="I1099" i="76" s="1"/>
  <c r="M1099" i="76" s="1"/>
  <c r="K1098" i="76"/>
  <c r="L1098" i="76" s="1"/>
  <c r="H1098" i="76"/>
  <c r="I1098" i="76" s="1"/>
  <c r="M1098" i="76" s="1"/>
  <c r="K1096" i="76"/>
  <c r="L1096" i="76" s="1"/>
  <c r="H1096" i="76"/>
  <c r="I1096" i="76" s="1"/>
  <c r="M1096" i="76" s="1"/>
  <c r="K1094" i="76"/>
  <c r="L1094" i="76" s="1"/>
  <c r="H1094" i="76"/>
  <c r="I1094" i="76" s="1"/>
  <c r="M1094" i="76" s="1"/>
  <c r="K1091" i="76"/>
  <c r="L1091" i="76" s="1"/>
  <c r="H1091" i="76"/>
  <c r="I1091" i="76" s="1"/>
  <c r="M1091" i="76" s="1"/>
  <c r="K1090" i="76"/>
  <c r="L1090" i="76" s="1"/>
  <c r="H1090" i="76"/>
  <c r="I1090" i="76" s="1"/>
  <c r="M1090" i="76" s="1"/>
  <c r="K1089" i="76"/>
  <c r="L1089" i="76" s="1"/>
  <c r="H1089" i="76"/>
  <c r="I1089" i="76" s="1"/>
  <c r="M1089" i="76" s="1"/>
  <c r="K1088" i="76"/>
  <c r="L1088" i="76" s="1"/>
  <c r="H1088" i="76"/>
  <c r="I1088" i="76" s="1"/>
  <c r="M1088" i="76" s="1"/>
  <c r="K1087" i="76"/>
  <c r="L1087" i="76" s="1"/>
  <c r="H1087" i="76"/>
  <c r="I1087" i="76" s="1"/>
  <c r="M1087" i="76" s="1"/>
  <c r="K1086" i="76"/>
  <c r="L1086" i="76" s="1"/>
  <c r="H1086" i="76"/>
  <c r="I1086" i="76" s="1"/>
  <c r="K1080" i="76"/>
  <c r="L1080" i="76" s="1"/>
  <c r="G1080" i="76"/>
  <c r="H1080" i="76" s="1"/>
  <c r="I1080" i="76" s="1"/>
  <c r="M1080" i="76" s="1"/>
  <c r="K1078" i="76"/>
  <c r="L1078" i="76" s="1"/>
  <c r="H1078" i="76"/>
  <c r="I1078" i="76" s="1"/>
  <c r="M1078" i="76" s="1"/>
  <c r="K1077" i="76"/>
  <c r="L1077" i="76" s="1"/>
  <c r="H1077" i="76"/>
  <c r="I1077" i="76" s="1"/>
  <c r="K1075" i="76"/>
  <c r="L1075" i="76" s="1"/>
  <c r="H1075" i="76"/>
  <c r="I1075" i="76" s="1"/>
  <c r="M1075" i="76" s="1"/>
  <c r="K1074" i="76"/>
  <c r="L1074" i="76" s="1"/>
  <c r="H1074" i="76"/>
  <c r="I1074" i="76" s="1"/>
  <c r="M1074" i="76" s="1"/>
  <c r="K1073" i="76"/>
  <c r="L1073" i="76" s="1"/>
  <c r="H1073" i="76"/>
  <c r="I1073" i="76" s="1"/>
  <c r="M1073" i="76" s="1"/>
  <c r="K1072" i="76"/>
  <c r="L1072" i="76" s="1"/>
  <c r="H1072" i="76"/>
  <c r="I1072" i="76" s="1"/>
  <c r="M1072" i="76" s="1"/>
  <c r="K1071" i="76"/>
  <c r="L1071" i="76" s="1"/>
  <c r="H1071" i="76"/>
  <c r="I1071" i="76" s="1"/>
  <c r="M1071" i="76" s="1"/>
  <c r="K1070" i="76"/>
  <c r="L1070" i="76" s="1"/>
  <c r="H1070" i="76"/>
  <c r="I1070" i="76" s="1"/>
  <c r="M1070" i="76" s="1"/>
  <c r="K1069" i="76"/>
  <c r="L1069" i="76" s="1"/>
  <c r="H1069" i="76"/>
  <c r="I1069" i="76" s="1"/>
  <c r="M1069" i="76" s="1"/>
  <c r="K1068" i="76"/>
  <c r="L1068" i="76" s="1"/>
  <c r="H1068" i="76"/>
  <c r="I1068" i="76" s="1"/>
  <c r="M1068" i="76" s="1"/>
  <c r="K1067" i="76"/>
  <c r="L1067" i="76" s="1"/>
  <c r="H1067" i="76"/>
  <c r="I1067" i="76" s="1"/>
  <c r="M1067" i="76" s="1"/>
  <c r="K1066" i="76"/>
  <c r="L1066" i="76" s="1"/>
  <c r="H1066" i="76"/>
  <c r="I1066" i="76" s="1"/>
  <c r="M1066" i="76" s="1"/>
  <c r="K1065" i="76"/>
  <c r="L1065" i="76" s="1"/>
  <c r="H1065" i="76"/>
  <c r="I1065" i="76" s="1"/>
  <c r="M1065" i="76" s="1"/>
  <c r="K1064" i="76"/>
  <c r="L1064" i="76" s="1"/>
  <c r="H1064" i="76"/>
  <c r="I1064" i="76" s="1"/>
  <c r="M1064" i="76" s="1"/>
  <c r="K1060" i="76"/>
  <c r="L1060" i="76" s="1"/>
  <c r="G1060" i="76"/>
  <c r="H1060" i="76" s="1"/>
  <c r="I1060" i="76" s="1"/>
  <c r="M1060" i="76" s="1"/>
  <c r="K1058" i="76"/>
  <c r="L1058" i="76" s="1"/>
  <c r="H1058" i="76"/>
  <c r="I1058" i="76" s="1"/>
  <c r="M1058" i="76" s="1"/>
  <c r="K1057" i="76"/>
  <c r="L1057" i="76" s="1"/>
  <c r="H1057" i="76"/>
  <c r="I1057" i="76" s="1"/>
  <c r="K1055" i="76"/>
  <c r="L1055" i="76" s="1"/>
  <c r="H1055" i="76"/>
  <c r="I1055" i="76" s="1"/>
  <c r="M1055" i="76" s="1"/>
  <c r="K1054" i="76"/>
  <c r="L1054" i="76" s="1"/>
  <c r="H1054" i="76"/>
  <c r="I1054" i="76" s="1"/>
  <c r="M1054" i="76" s="1"/>
  <c r="K1053" i="76"/>
  <c r="L1053" i="76" s="1"/>
  <c r="H1053" i="76"/>
  <c r="I1053" i="76" s="1"/>
  <c r="M1053" i="76" s="1"/>
  <c r="K1052" i="76"/>
  <c r="L1052" i="76" s="1"/>
  <c r="H1052" i="76"/>
  <c r="I1052" i="76" s="1"/>
  <c r="M1052" i="76" s="1"/>
  <c r="K1051" i="76"/>
  <c r="L1051" i="76" s="1"/>
  <c r="H1051" i="76"/>
  <c r="I1051" i="76" s="1"/>
  <c r="M1051" i="76" s="1"/>
  <c r="K1050" i="76"/>
  <c r="L1050" i="76" s="1"/>
  <c r="H1050" i="76"/>
  <c r="I1050" i="76" s="1"/>
  <c r="M1050" i="76" s="1"/>
  <c r="K1049" i="76"/>
  <c r="L1049" i="76" s="1"/>
  <c r="H1049" i="76"/>
  <c r="I1049" i="76" s="1"/>
  <c r="M1049" i="76" s="1"/>
  <c r="K1048" i="76"/>
  <c r="L1048" i="76" s="1"/>
  <c r="H1048" i="76"/>
  <c r="I1048" i="76" s="1"/>
  <c r="M1048" i="76" s="1"/>
  <c r="K1047" i="76"/>
  <c r="L1047" i="76" s="1"/>
  <c r="H1047" i="76"/>
  <c r="I1047" i="76" s="1"/>
  <c r="M1047" i="76" s="1"/>
  <c r="K1046" i="76"/>
  <c r="L1046" i="76" s="1"/>
  <c r="H1046" i="76"/>
  <c r="I1046" i="76" s="1"/>
  <c r="M1046" i="76" s="1"/>
  <c r="K1045" i="76"/>
  <c r="L1045" i="76" s="1"/>
  <c r="H1045" i="76"/>
  <c r="I1045" i="76" s="1"/>
  <c r="M1045" i="76" s="1"/>
  <c r="K1041" i="76"/>
  <c r="L1041" i="76" s="1"/>
  <c r="G1041" i="76"/>
  <c r="H1041" i="76" s="1"/>
  <c r="I1041" i="76" s="1"/>
  <c r="M1041" i="76" s="1"/>
  <c r="K1040" i="76"/>
  <c r="L1040" i="76" s="1"/>
  <c r="H1040" i="76"/>
  <c r="I1040" i="76" s="1"/>
  <c r="K1039" i="76"/>
  <c r="L1039" i="76" s="1"/>
  <c r="H1039" i="76"/>
  <c r="I1039" i="76" s="1"/>
  <c r="M1039" i="76" s="1"/>
  <c r="K1038" i="76"/>
  <c r="L1038" i="76" s="1"/>
  <c r="H1038" i="76"/>
  <c r="I1038" i="76" s="1"/>
  <c r="K1036" i="76"/>
  <c r="L1036" i="76" s="1"/>
  <c r="H1036" i="76"/>
  <c r="I1036" i="76" s="1"/>
  <c r="M1036" i="76" s="1"/>
  <c r="K1035" i="76"/>
  <c r="L1035" i="76" s="1"/>
  <c r="H1035" i="76"/>
  <c r="I1035" i="76" s="1"/>
  <c r="M1035" i="76" s="1"/>
  <c r="K1034" i="76"/>
  <c r="L1034" i="76" s="1"/>
  <c r="H1034" i="76"/>
  <c r="I1034" i="76" s="1"/>
  <c r="M1034" i="76" s="1"/>
  <c r="K1033" i="76"/>
  <c r="L1033" i="76" s="1"/>
  <c r="H1033" i="76"/>
  <c r="I1033" i="76" s="1"/>
  <c r="M1033" i="76" s="1"/>
  <c r="K1032" i="76"/>
  <c r="L1032" i="76" s="1"/>
  <c r="H1032" i="76"/>
  <c r="I1032" i="76" s="1"/>
  <c r="M1032" i="76" s="1"/>
  <c r="K1031" i="76"/>
  <c r="L1031" i="76" s="1"/>
  <c r="H1031" i="76"/>
  <c r="I1031" i="76" s="1"/>
  <c r="M1031" i="76" s="1"/>
  <c r="K1030" i="76"/>
  <c r="L1030" i="76" s="1"/>
  <c r="H1030" i="76"/>
  <c r="I1030" i="76" s="1"/>
  <c r="M1030" i="76" s="1"/>
  <c r="K1029" i="76"/>
  <c r="L1029" i="76" s="1"/>
  <c r="H1029" i="76"/>
  <c r="I1029" i="76" s="1"/>
  <c r="M1029" i="76" s="1"/>
  <c r="K1028" i="76"/>
  <c r="L1028" i="76" s="1"/>
  <c r="H1028" i="76"/>
  <c r="I1028" i="76" s="1"/>
  <c r="M1028" i="76" s="1"/>
  <c r="K1027" i="76"/>
  <c r="L1027" i="76" s="1"/>
  <c r="H1027" i="76"/>
  <c r="I1027" i="76" s="1"/>
  <c r="M1027" i="76" s="1"/>
  <c r="K1026" i="76"/>
  <c r="L1026" i="76" s="1"/>
  <c r="H1026" i="76"/>
  <c r="I1026" i="76" s="1"/>
  <c r="M1026" i="76" s="1"/>
  <c r="K1022" i="76"/>
  <c r="L1022" i="76" s="1"/>
  <c r="G1022" i="76"/>
  <c r="H1022" i="76" s="1"/>
  <c r="I1022" i="76" s="1"/>
  <c r="M1022" i="76" s="1"/>
  <c r="K1020" i="76"/>
  <c r="L1020" i="76" s="1"/>
  <c r="H1020" i="76"/>
  <c r="I1020" i="76" s="1"/>
  <c r="M1020" i="76" s="1"/>
  <c r="K1019" i="76"/>
  <c r="L1019" i="76" s="1"/>
  <c r="H1019" i="76"/>
  <c r="I1019" i="76" s="1"/>
  <c r="K1017" i="76"/>
  <c r="L1017" i="76" s="1"/>
  <c r="H1017" i="76"/>
  <c r="I1017" i="76" s="1"/>
  <c r="M1017" i="76" s="1"/>
  <c r="K1016" i="76"/>
  <c r="L1016" i="76" s="1"/>
  <c r="H1016" i="76"/>
  <c r="I1016" i="76" s="1"/>
  <c r="M1016" i="76" s="1"/>
  <c r="K1015" i="76"/>
  <c r="L1015" i="76" s="1"/>
  <c r="H1015" i="76"/>
  <c r="I1015" i="76" s="1"/>
  <c r="M1015" i="76" s="1"/>
  <c r="K1014" i="76"/>
  <c r="L1014" i="76" s="1"/>
  <c r="H1014" i="76"/>
  <c r="I1014" i="76" s="1"/>
  <c r="M1014" i="76" s="1"/>
  <c r="K1013" i="76"/>
  <c r="L1013" i="76" s="1"/>
  <c r="H1013" i="76"/>
  <c r="I1013" i="76" s="1"/>
  <c r="M1013" i="76" s="1"/>
  <c r="K1012" i="76"/>
  <c r="L1012" i="76" s="1"/>
  <c r="H1012" i="76"/>
  <c r="I1012" i="76" s="1"/>
  <c r="M1012" i="76" s="1"/>
  <c r="K1011" i="76"/>
  <c r="L1011" i="76" s="1"/>
  <c r="H1011" i="76"/>
  <c r="I1011" i="76" s="1"/>
  <c r="M1011" i="76" s="1"/>
  <c r="K1010" i="76"/>
  <c r="L1010" i="76" s="1"/>
  <c r="H1010" i="76"/>
  <c r="I1010" i="76" s="1"/>
  <c r="M1010" i="76" s="1"/>
  <c r="K1009" i="76"/>
  <c r="L1009" i="76" s="1"/>
  <c r="H1009" i="76"/>
  <c r="I1009" i="76" s="1"/>
  <c r="M1009" i="76" s="1"/>
  <c r="K1008" i="76"/>
  <c r="L1008" i="76" s="1"/>
  <c r="H1008" i="76"/>
  <c r="I1008" i="76" s="1"/>
  <c r="M1008" i="76" s="1"/>
  <c r="K1007" i="76"/>
  <c r="L1007" i="76" s="1"/>
  <c r="H1007" i="76"/>
  <c r="I1007" i="76" s="1"/>
  <c r="M1007" i="76" s="1"/>
  <c r="K1006" i="76"/>
  <c r="L1006" i="76" s="1"/>
  <c r="H1006" i="76"/>
  <c r="I1006" i="76" s="1"/>
  <c r="M1006" i="76" s="1"/>
  <c r="K1002" i="76"/>
  <c r="L1002" i="76" s="1"/>
  <c r="G1002" i="76"/>
  <c r="H1002" i="76" s="1"/>
  <c r="I1002" i="76" s="1"/>
  <c r="M1002" i="76" s="1"/>
  <c r="K1000" i="76"/>
  <c r="L1000" i="76" s="1"/>
  <c r="H1000" i="76"/>
  <c r="I1000" i="76" s="1"/>
  <c r="M1000" i="76" s="1"/>
  <c r="K999" i="76"/>
  <c r="L999" i="76" s="1"/>
  <c r="H999" i="76"/>
  <c r="I999" i="76" s="1"/>
  <c r="K997" i="76"/>
  <c r="L997" i="76" s="1"/>
  <c r="H997" i="76"/>
  <c r="I997" i="76" s="1"/>
  <c r="M997" i="76" s="1"/>
  <c r="K996" i="76"/>
  <c r="L996" i="76" s="1"/>
  <c r="H996" i="76"/>
  <c r="I996" i="76" s="1"/>
  <c r="M996" i="76" s="1"/>
  <c r="K995" i="76"/>
  <c r="L995" i="76" s="1"/>
  <c r="H995" i="76"/>
  <c r="I995" i="76" s="1"/>
  <c r="M995" i="76" s="1"/>
  <c r="K994" i="76"/>
  <c r="L994" i="76" s="1"/>
  <c r="H994" i="76"/>
  <c r="I994" i="76" s="1"/>
  <c r="M994" i="76" s="1"/>
  <c r="K993" i="76"/>
  <c r="L993" i="76" s="1"/>
  <c r="H993" i="76"/>
  <c r="I993" i="76" s="1"/>
  <c r="M993" i="76" s="1"/>
  <c r="K992" i="76"/>
  <c r="L992" i="76" s="1"/>
  <c r="H992" i="76"/>
  <c r="I992" i="76" s="1"/>
  <c r="M992" i="76" s="1"/>
  <c r="K991" i="76"/>
  <c r="L991" i="76" s="1"/>
  <c r="H991" i="76"/>
  <c r="I991" i="76" s="1"/>
  <c r="M991" i="76" s="1"/>
  <c r="K990" i="76"/>
  <c r="L990" i="76" s="1"/>
  <c r="H990" i="76"/>
  <c r="I990" i="76" s="1"/>
  <c r="M990" i="76" s="1"/>
  <c r="K989" i="76"/>
  <c r="L989" i="76" s="1"/>
  <c r="H989" i="76"/>
  <c r="I989" i="76" s="1"/>
  <c r="M989" i="76" s="1"/>
  <c r="K988" i="76"/>
  <c r="L988" i="76" s="1"/>
  <c r="H988" i="76"/>
  <c r="I988" i="76" s="1"/>
  <c r="M988" i="76" s="1"/>
  <c r="K987" i="76"/>
  <c r="L987" i="76" s="1"/>
  <c r="H987" i="76"/>
  <c r="I987" i="76" s="1"/>
  <c r="M987" i="76" s="1"/>
  <c r="K986" i="76"/>
  <c r="L986" i="76" s="1"/>
  <c r="H986" i="76"/>
  <c r="I986" i="76" s="1"/>
  <c r="M986" i="76" s="1"/>
  <c r="K985" i="76"/>
  <c r="L985" i="76" s="1"/>
  <c r="H985" i="76"/>
  <c r="I985" i="76" s="1"/>
  <c r="M985" i="76" s="1"/>
  <c r="K984" i="76"/>
  <c r="L984" i="76" s="1"/>
  <c r="H984" i="76"/>
  <c r="I984" i="76" s="1"/>
  <c r="M984" i="76" s="1"/>
  <c r="K983" i="76"/>
  <c r="L983" i="76" s="1"/>
  <c r="H983" i="76"/>
  <c r="I983" i="76" s="1"/>
  <c r="M983" i="76" s="1"/>
  <c r="K982" i="76"/>
  <c r="L982" i="76" s="1"/>
  <c r="H982" i="76"/>
  <c r="I982" i="76" s="1"/>
  <c r="M982" i="76" s="1"/>
  <c r="K981" i="76"/>
  <c r="L981" i="76" s="1"/>
  <c r="H981" i="76"/>
  <c r="I981" i="76" s="1"/>
  <c r="M981" i="76" s="1"/>
  <c r="K980" i="76"/>
  <c r="L980" i="76" s="1"/>
  <c r="H980" i="76"/>
  <c r="I980" i="76" s="1"/>
  <c r="M980" i="76" s="1"/>
  <c r="K979" i="76"/>
  <c r="L979" i="76" s="1"/>
  <c r="H979" i="76"/>
  <c r="I979" i="76" s="1"/>
  <c r="M979" i="76" s="1"/>
  <c r="K978" i="76"/>
  <c r="L978" i="76" s="1"/>
  <c r="H978" i="76"/>
  <c r="I978" i="76" s="1"/>
  <c r="K972" i="76"/>
  <c r="L972" i="76" s="1"/>
  <c r="G972" i="76"/>
  <c r="H972" i="76" s="1"/>
  <c r="I972" i="76" s="1"/>
  <c r="M972" i="76" s="1"/>
  <c r="K971" i="76"/>
  <c r="L971" i="76" s="1"/>
  <c r="G971" i="76"/>
  <c r="H971" i="76" s="1"/>
  <c r="I971" i="76" s="1"/>
  <c r="M971" i="76" s="1"/>
  <c r="K969" i="76"/>
  <c r="L969" i="76" s="1"/>
  <c r="H969" i="76"/>
  <c r="I969" i="76" s="1"/>
  <c r="M969" i="76" s="1"/>
  <c r="K968" i="76"/>
  <c r="L968" i="76" s="1"/>
  <c r="G968" i="76"/>
  <c r="H968" i="76" s="1"/>
  <c r="I968" i="76" s="1"/>
  <c r="K966" i="76"/>
  <c r="L966" i="76" s="1"/>
  <c r="H966" i="76"/>
  <c r="I966" i="76" s="1"/>
  <c r="M966" i="76" s="1"/>
  <c r="K965" i="76"/>
  <c r="L965" i="76" s="1"/>
  <c r="H965" i="76"/>
  <c r="I965" i="76" s="1"/>
  <c r="M965" i="76" s="1"/>
  <c r="K964" i="76"/>
  <c r="L964" i="76" s="1"/>
  <c r="H964" i="76"/>
  <c r="I964" i="76" s="1"/>
  <c r="M964" i="76" s="1"/>
  <c r="K963" i="76"/>
  <c r="L963" i="76" s="1"/>
  <c r="H963" i="76"/>
  <c r="I963" i="76" s="1"/>
  <c r="M963" i="76" s="1"/>
  <c r="K962" i="76"/>
  <c r="L962" i="76" s="1"/>
  <c r="G962" i="76"/>
  <c r="H962" i="76" s="1"/>
  <c r="I962" i="76" s="1"/>
  <c r="M962" i="76" s="1"/>
  <c r="K961" i="76"/>
  <c r="L961" i="76" s="1"/>
  <c r="H961" i="76"/>
  <c r="I961" i="76" s="1"/>
  <c r="M961" i="76" s="1"/>
  <c r="K960" i="76"/>
  <c r="L960" i="76" s="1"/>
  <c r="H960" i="76"/>
  <c r="I960" i="76" s="1"/>
  <c r="M960" i="76" s="1"/>
  <c r="K959" i="76"/>
  <c r="L959" i="76" s="1"/>
  <c r="H959" i="76"/>
  <c r="I959" i="76" s="1"/>
  <c r="M959" i="76" s="1"/>
  <c r="K958" i="76"/>
  <c r="L958" i="76" s="1"/>
  <c r="H958" i="76"/>
  <c r="I958" i="76" s="1"/>
  <c r="M958" i="76" s="1"/>
  <c r="K957" i="76"/>
  <c r="L957" i="76" s="1"/>
  <c r="H957" i="76"/>
  <c r="I957" i="76" s="1"/>
  <c r="M957" i="76" s="1"/>
  <c r="K953" i="76"/>
  <c r="G953" i="76"/>
  <c r="H953" i="76" s="1"/>
  <c r="E953" i="76"/>
  <c r="K952" i="76"/>
  <c r="G952" i="76"/>
  <c r="H952" i="76" s="1"/>
  <c r="E952" i="76"/>
  <c r="K950" i="76"/>
  <c r="H950" i="76"/>
  <c r="E950" i="76"/>
  <c r="K949" i="76"/>
  <c r="G949" i="76"/>
  <c r="H949" i="76" s="1"/>
  <c r="E949" i="76"/>
  <c r="K947" i="76"/>
  <c r="L947" i="76" s="1"/>
  <c r="H947" i="76"/>
  <c r="I947" i="76" s="1"/>
  <c r="M947" i="76" s="1"/>
  <c r="K946" i="76"/>
  <c r="L946" i="76" s="1"/>
  <c r="H946" i="76"/>
  <c r="I946" i="76" s="1"/>
  <c r="M946" i="76" s="1"/>
  <c r="K945" i="76"/>
  <c r="L945" i="76" s="1"/>
  <c r="H945" i="76"/>
  <c r="I945" i="76" s="1"/>
  <c r="M945" i="76" s="1"/>
  <c r="K944" i="76"/>
  <c r="L944" i="76" s="1"/>
  <c r="H944" i="76"/>
  <c r="I944" i="76" s="1"/>
  <c r="M944" i="76" s="1"/>
  <c r="K943" i="76"/>
  <c r="L943" i="76" s="1"/>
  <c r="G943" i="76"/>
  <c r="H943" i="76" s="1"/>
  <c r="I943" i="76" s="1"/>
  <c r="M943" i="76" s="1"/>
  <c r="K942" i="76"/>
  <c r="L942" i="76" s="1"/>
  <c r="H942" i="76"/>
  <c r="I942" i="76" s="1"/>
  <c r="M942" i="76" s="1"/>
  <c r="K941" i="76"/>
  <c r="L941" i="76" s="1"/>
  <c r="H941" i="76"/>
  <c r="I941" i="76" s="1"/>
  <c r="M941" i="76" s="1"/>
  <c r="K940" i="76"/>
  <c r="L940" i="76" s="1"/>
  <c r="H940" i="76"/>
  <c r="I940" i="76" s="1"/>
  <c r="M940" i="76" s="1"/>
  <c r="K939" i="76"/>
  <c r="L939" i="76" s="1"/>
  <c r="H939" i="76"/>
  <c r="I939" i="76" s="1"/>
  <c r="M939" i="76" s="1"/>
  <c r="K938" i="76"/>
  <c r="L938" i="76" s="1"/>
  <c r="H938" i="76"/>
  <c r="I938" i="76" s="1"/>
  <c r="M938" i="76" s="1"/>
  <c r="K934" i="76"/>
  <c r="G934" i="76"/>
  <c r="H934" i="76" s="1"/>
  <c r="E934" i="76"/>
  <c r="K933" i="76"/>
  <c r="G933" i="76"/>
  <c r="H933" i="76" s="1"/>
  <c r="E933" i="76"/>
  <c r="I932" i="76"/>
  <c r="K931" i="76"/>
  <c r="H931" i="76"/>
  <c r="E931" i="76"/>
  <c r="K930" i="76"/>
  <c r="G930" i="76"/>
  <c r="H930" i="76" s="1"/>
  <c r="E930" i="76"/>
  <c r="I929" i="76"/>
  <c r="K928" i="76"/>
  <c r="L928" i="76" s="1"/>
  <c r="H928" i="76"/>
  <c r="I928" i="76" s="1"/>
  <c r="M928" i="76" s="1"/>
  <c r="K927" i="76"/>
  <c r="L927" i="76" s="1"/>
  <c r="H927" i="76"/>
  <c r="I927" i="76" s="1"/>
  <c r="M927" i="76" s="1"/>
  <c r="K926" i="76"/>
  <c r="L926" i="76" s="1"/>
  <c r="H926" i="76"/>
  <c r="I926" i="76" s="1"/>
  <c r="M926" i="76" s="1"/>
  <c r="K925" i="76"/>
  <c r="L925" i="76" s="1"/>
  <c r="H925" i="76"/>
  <c r="I925" i="76" s="1"/>
  <c r="M925" i="76" s="1"/>
  <c r="K924" i="76"/>
  <c r="L924" i="76" s="1"/>
  <c r="G924" i="76"/>
  <c r="H924" i="76" s="1"/>
  <c r="I924" i="76" s="1"/>
  <c r="M924" i="76" s="1"/>
  <c r="K923" i="76"/>
  <c r="L923" i="76" s="1"/>
  <c r="H923" i="76"/>
  <c r="I923" i="76" s="1"/>
  <c r="M923" i="76" s="1"/>
  <c r="K922" i="76"/>
  <c r="L922" i="76" s="1"/>
  <c r="H922" i="76"/>
  <c r="I922" i="76" s="1"/>
  <c r="M922" i="76" s="1"/>
  <c r="K921" i="76"/>
  <c r="L921" i="76" s="1"/>
  <c r="H921" i="76"/>
  <c r="I921" i="76" s="1"/>
  <c r="M921" i="76" s="1"/>
  <c r="K920" i="76"/>
  <c r="L920" i="76" s="1"/>
  <c r="H920" i="76"/>
  <c r="I920" i="76" s="1"/>
  <c r="M920" i="76" s="1"/>
  <c r="K919" i="76"/>
  <c r="L919" i="76" s="1"/>
  <c r="H919" i="76"/>
  <c r="I919" i="76" s="1"/>
  <c r="M919" i="76" s="1"/>
  <c r="K915" i="76"/>
  <c r="G915" i="76"/>
  <c r="H915" i="76" s="1"/>
  <c r="E915" i="76"/>
  <c r="K914" i="76"/>
  <c r="G914" i="76"/>
  <c r="H914" i="76" s="1"/>
  <c r="E914" i="76"/>
  <c r="K912" i="76"/>
  <c r="H912" i="76"/>
  <c r="E912" i="76"/>
  <c r="K911" i="76"/>
  <c r="G911" i="76"/>
  <c r="H911" i="76" s="1"/>
  <c r="E911" i="76"/>
  <c r="K909" i="76"/>
  <c r="L909" i="76" s="1"/>
  <c r="H909" i="76"/>
  <c r="I909" i="76" s="1"/>
  <c r="M909" i="76" s="1"/>
  <c r="K908" i="76"/>
  <c r="L908" i="76" s="1"/>
  <c r="H908" i="76"/>
  <c r="I908" i="76" s="1"/>
  <c r="M908" i="76" s="1"/>
  <c r="K907" i="76"/>
  <c r="L907" i="76" s="1"/>
  <c r="H907" i="76"/>
  <c r="I907" i="76" s="1"/>
  <c r="M907" i="76" s="1"/>
  <c r="K906" i="76"/>
  <c r="L906" i="76" s="1"/>
  <c r="H906" i="76"/>
  <c r="I906" i="76" s="1"/>
  <c r="M906" i="76" s="1"/>
  <c r="K905" i="76"/>
  <c r="L905" i="76" s="1"/>
  <c r="G905" i="76"/>
  <c r="H905" i="76" s="1"/>
  <c r="I905" i="76" s="1"/>
  <c r="M905" i="76" s="1"/>
  <c r="K904" i="76"/>
  <c r="L904" i="76" s="1"/>
  <c r="H904" i="76"/>
  <c r="I904" i="76" s="1"/>
  <c r="M904" i="76" s="1"/>
  <c r="K903" i="76"/>
  <c r="L903" i="76" s="1"/>
  <c r="H903" i="76"/>
  <c r="I903" i="76" s="1"/>
  <c r="M903" i="76" s="1"/>
  <c r="K902" i="76"/>
  <c r="L902" i="76" s="1"/>
  <c r="H902" i="76"/>
  <c r="I902" i="76" s="1"/>
  <c r="M902" i="76" s="1"/>
  <c r="K901" i="76"/>
  <c r="L901" i="76" s="1"/>
  <c r="H901" i="76"/>
  <c r="I901" i="76" s="1"/>
  <c r="M901" i="76" s="1"/>
  <c r="K900" i="76"/>
  <c r="L900" i="76" s="1"/>
  <c r="H900" i="76"/>
  <c r="I900" i="76" s="1"/>
  <c r="M900" i="76" s="1"/>
  <c r="K896" i="76"/>
  <c r="G896" i="76"/>
  <c r="H896" i="76" s="1"/>
  <c r="E896" i="76"/>
  <c r="K895" i="76"/>
  <c r="G895" i="76"/>
  <c r="H895" i="76" s="1"/>
  <c r="E895" i="76"/>
  <c r="K893" i="76"/>
  <c r="L893" i="76" s="1"/>
  <c r="H893" i="76"/>
  <c r="I893" i="76" s="1"/>
  <c r="M893" i="76" s="1"/>
  <c r="K892" i="76"/>
  <c r="H892" i="76"/>
  <c r="E892" i="76"/>
  <c r="K891" i="76"/>
  <c r="G891" i="76"/>
  <c r="H891" i="76" s="1"/>
  <c r="E891" i="76"/>
  <c r="J889" i="76"/>
  <c r="K889" i="76" s="1"/>
  <c r="L889" i="76" s="1"/>
  <c r="I889" i="76"/>
  <c r="M889" i="76" s="1"/>
  <c r="K888" i="76"/>
  <c r="L888" i="76" s="1"/>
  <c r="G888" i="76"/>
  <c r="H888" i="76" s="1"/>
  <c r="I888" i="76" s="1"/>
  <c r="M888" i="76" s="1"/>
  <c r="K887" i="76"/>
  <c r="L887" i="76" s="1"/>
  <c r="G887" i="76"/>
  <c r="H887" i="76" s="1"/>
  <c r="I887" i="76" s="1"/>
  <c r="M887" i="76" s="1"/>
  <c r="K886" i="76"/>
  <c r="L886" i="76" s="1"/>
  <c r="G886" i="76"/>
  <c r="H886" i="76" s="1"/>
  <c r="I886" i="76" s="1"/>
  <c r="M886" i="76" s="1"/>
  <c r="K885" i="76"/>
  <c r="L885" i="76" s="1"/>
  <c r="G885" i="76"/>
  <c r="H885" i="76" s="1"/>
  <c r="I885" i="76" s="1"/>
  <c r="M885" i="76" s="1"/>
  <c r="K884" i="76"/>
  <c r="L884" i="76" s="1"/>
  <c r="H884" i="76"/>
  <c r="I884" i="76" s="1"/>
  <c r="M884" i="76" s="1"/>
  <c r="K883" i="76"/>
  <c r="L883" i="76" s="1"/>
  <c r="G883" i="76"/>
  <c r="H883" i="76" s="1"/>
  <c r="I883" i="76" s="1"/>
  <c r="M883" i="76" s="1"/>
  <c r="K882" i="76"/>
  <c r="L882" i="76" s="1"/>
  <c r="G882" i="76"/>
  <c r="H882" i="76" s="1"/>
  <c r="I882" i="76" s="1"/>
  <c r="M882" i="76" s="1"/>
  <c r="K881" i="76"/>
  <c r="L881" i="76" s="1"/>
  <c r="G881" i="76"/>
  <c r="H881" i="76" s="1"/>
  <c r="I881" i="76" s="1"/>
  <c r="M881" i="76" s="1"/>
  <c r="K880" i="76"/>
  <c r="L880" i="76" s="1"/>
  <c r="G880" i="76"/>
  <c r="H880" i="76" s="1"/>
  <c r="I880" i="76" s="1"/>
  <c r="M880" i="76" s="1"/>
  <c r="K879" i="76"/>
  <c r="L879" i="76" s="1"/>
  <c r="G879" i="76"/>
  <c r="H879" i="76" s="1"/>
  <c r="I879" i="76" s="1"/>
  <c r="M879" i="76" s="1"/>
  <c r="K878" i="76"/>
  <c r="L878" i="76" s="1"/>
  <c r="H878" i="76"/>
  <c r="I878" i="76" s="1"/>
  <c r="M878" i="76" s="1"/>
  <c r="K877" i="76"/>
  <c r="L877" i="76" s="1"/>
  <c r="G877" i="76"/>
  <c r="H877" i="76" s="1"/>
  <c r="I877" i="76" s="1"/>
  <c r="M877" i="76" s="1"/>
  <c r="K876" i="76"/>
  <c r="L876" i="76" s="1"/>
  <c r="G876" i="76"/>
  <c r="H876" i="76" s="1"/>
  <c r="I876" i="76" s="1"/>
  <c r="M876" i="76" s="1"/>
  <c r="K875" i="76"/>
  <c r="L875" i="76" s="1"/>
  <c r="G875" i="76"/>
  <c r="H875" i="76" s="1"/>
  <c r="I875" i="76" s="1"/>
  <c r="M875" i="76" s="1"/>
  <c r="K874" i="76"/>
  <c r="L874" i="76" s="1"/>
  <c r="G874" i="76"/>
  <c r="H874" i="76" s="1"/>
  <c r="I874" i="76" s="1"/>
  <c r="K866" i="76"/>
  <c r="L866" i="76" s="1"/>
  <c r="G866" i="76"/>
  <c r="H866" i="76" s="1"/>
  <c r="I866" i="76" s="1"/>
  <c r="M866" i="76" s="1"/>
  <c r="K864" i="76"/>
  <c r="L864" i="76" s="1"/>
  <c r="H864" i="76"/>
  <c r="I864" i="76" s="1"/>
  <c r="M864" i="76" s="1"/>
  <c r="K863" i="76"/>
  <c r="L863" i="76" s="1"/>
  <c r="H863" i="76"/>
  <c r="I863" i="76" s="1"/>
  <c r="M863" i="76" s="1"/>
  <c r="K862" i="76"/>
  <c r="L862" i="76" s="1"/>
  <c r="G862" i="76"/>
  <c r="H862" i="76" s="1"/>
  <c r="I862" i="76" s="1"/>
  <c r="K860" i="76"/>
  <c r="L860" i="76" s="1"/>
  <c r="H860" i="76"/>
  <c r="I860" i="76" s="1"/>
  <c r="M860" i="76" s="1"/>
  <c r="K859" i="76"/>
  <c r="L859" i="76" s="1"/>
  <c r="H859" i="76"/>
  <c r="I859" i="76" s="1"/>
  <c r="M859" i="76" s="1"/>
  <c r="K858" i="76"/>
  <c r="L858" i="76" s="1"/>
  <c r="H858" i="76"/>
  <c r="I858" i="76" s="1"/>
  <c r="M858" i="76" s="1"/>
  <c r="K857" i="76"/>
  <c r="L857" i="76" s="1"/>
  <c r="H857" i="76"/>
  <c r="I857" i="76" s="1"/>
  <c r="M857" i="76" s="1"/>
  <c r="K856" i="76"/>
  <c r="L856" i="76" s="1"/>
  <c r="H856" i="76"/>
  <c r="I856" i="76" s="1"/>
  <c r="M856" i="76" s="1"/>
  <c r="K855" i="76"/>
  <c r="L855" i="76" s="1"/>
  <c r="H855" i="76"/>
  <c r="I855" i="76" s="1"/>
  <c r="M855" i="76" s="1"/>
  <c r="K854" i="76"/>
  <c r="L854" i="76" s="1"/>
  <c r="H854" i="76"/>
  <c r="I854" i="76" s="1"/>
  <c r="M854" i="76" s="1"/>
  <c r="K853" i="76"/>
  <c r="L853" i="76" s="1"/>
  <c r="H853" i="76"/>
  <c r="I853" i="76" s="1"/>
  <c r="M853" i="76" s="1"/>
  <c r="K849" i="76"/>
  <c r="L849" i="76" s="1"/>
  <c r="G849" i="76"/>
  <c r="H849" i="76" s="1"/>
  <c r="I849" i="76" s="1"/>
  <c r="M849" i="76" s="1"/>
  <c r="K847" i="76"/>
  <c r="L847" i="76" s="1"/>
  <c r="H847" i="76"/>
  <c r="I847" i="76" s="1"/>
  <c r="M847" i="76" s="1"/>
  <c r="K846" i="76"/>
  <c r="L846" i="76" s="1"/>
  <c r="H846" i="76"/>
  <c r="I846" i="76" s="1"/>
  <c r="M846" i="76" s="1"/>
  <c r="K845" i="76"/>
  <c r="L845" i="76" s="1"/>
  <c r="G845" i="76"/>
  <c r="H845" i="76" s="1"/>
  <c r="I845" i="76" s="1"/>
  <c r="K843" i="76"/>
  <c r="L843" i="76" s="1"/>
  <c r="H843" i="76"/>
  <c r="I843" i="76" s="1"/>
  <c r="M843" i="76" s="1"/>
  <c r="K842" i="76"/>
  <c r="L842" i="76" s="1"/>
  <c r="H842" i="76"/>
  <c r="I842" i="76" s="1"/>
  <c r="M842" i="76" s="1"/>
  <c r="K841" i="76"/>
  <c r="L841" i="76" s="1"/>
  <c r="H841" i="76"/>
  <c r="I841" i="76" s="1"/>
  <c r="M841" i="76" s="1"/>
  <c r="K840" i="76"/>
  <c r="L840" i="76" s="1"/>
  <c r="H840" i="76"/>
  <c r="I840" i="76" s="1"/>
  <c r="M840" i="76" s="1"/>
  <c r="K839" i="76"/>
  <c r="L839" i="76" s="1"/>
  <c r="H839" i="76"/>
  <c r="I839" i="76" s="1"/>
  <c r="M839" i="76" s="1"/>
  <c r="K838" i="76"/>
  <c r="L838" i="76" s="1"/>
  <c r="H838" i="76"/>
  <c r="I838" i="76" s="1"/>
  <c r="M838" i="76" s="1"/>
  <c r="K837" i="76"/>
  <c r="L837" i="76" s="1"/>
  <c r="H837" i="76"/>
  <c r="I837" i="76" s="1"/>
  <c r="M837" i="76" s="1"/>
  <c r="K836" i="76"/>
  <c r="L836" i="76" s="1"/>
  <c r="H836" i="76"/>
  <c r="I836" i="76" s="1"/>
  <c r="M836" i="76" s="1"/>
  <c r="K832" i="76"/>
  <c r="L832" i="76" s="1"/>
  <c r="G832" i="76"/>
  <c r="H832" i="76" s="1"/>
  <c r="I832" i="76" s="1"/>
  <c r="M832" i="76" s="1"/>
  <c r="K830" i="76"/>
  <c r="L830" i="76" s="1"/>
  <c r="H830" i="76"/>
  <c r="I830" i="76" s="1"/>
  <c r="M830" i="76" s="1"/>
  <c r="K829" i="76"/>
  <c r="L829" i="76" s="1"/>
  <c r="H829" i="76"/>
  <c r="I829" i="76" s="1"/>
  <c r="K827" i="76"/>
  <c r="L827" i="76" s="1"/>
  <c r="G827" i="76"/>
  <c r="H827" i="76" s="1"/>
  <c r="I827" i="76" s="1"/>
  <c r="M827" i="76" s="1"/>
  <c r="K825" i="76"/>
  <c r="L825" i="76" s="1"/>
  <c r="H825" i="76"/>
  <c r="I825" i="76" s="1"/>
  <c r="M825" i="76" s="1"/>
  <c r="K824" i="76"/>
  <c r="L824" i="76" s="1"/>
  <c r="H824" i="76"/>
  <c r="I824" i="76" s="1"/>
  <c r="M824" i="76" s="1"/>
  <c r="K823" i="76"/>
  <c r="L823" i="76" s="1"/>
  <c r="H823" i="76"/>
  <c r="I823" i="76" s="1"/>
  <c r="M823" i="76" s="1"/>
  <c r="K822" i="76"/>
  <c r="L822" i="76" s="1"/>
  <c r="H822" i="76"/>
  <c r="I822" i="76" s="1"/>
  <c r="M822" i="76" s="1"/>
  <c r="K821" i="76"/>
  <c r="L821" i="76" s="1"/>
  <c r="H821" i="76"/>
  <c r="I821" i="76" s="1"/>
  <c r="M821" i="76" s="1"/>
  <c r="K820" i="76"/>
  <c r="L820" i="76" s="1"/>
  <c r="H820" i="76"/>
  <c r="I820" i="76" s="1"/>
  <c r="M820" i="76" s="1"/>
  <c r="K819" i="76"/>
  <c r="L819" i="76" s="1"/>
  <c r="H819" i="76"/>
  <c r="I819" i="76" s="1"/>
  <c r="M819" i="76" s="1"/>
  <c r="K818" i="76"/>
  <c r="L818" i="76" s="1"/>
  <c r="H818" i="76"/>
  <c r="I818" i="76" s="1"/>
  <c r="M818" i="76" s="1"/>
  <c r="K814" i="76"/>
  <c r="L814" i="76" s="1"/>
  <c r="G814" i="76"/>
  <c r="H814" i="76" s="1"/>
  <c r="I814" i="76" s="1"/>
  <c r="M814" i="76" s="1"/>
  <c r="K813" i="76"/>
  <c r="L813" i="76" s="1"/>
  <c r="I813" i="76"/>
  <c r="K812" i="76"/>
  <c r="L812" i="76" s="1"/>
  <c r="H812" i="76"/>
  <c r="I812" i="76" s="1"/>
  <c r="M812" i="76" s="1"/>
  <c r="K811" i="76"/>
  <c r="L811" i="76" s="1"/>
  <c r="H811" i="76"/>
  <c r="I811" i="76" s="1"/>
  <c r="M811" i="76" s="1"/>
  <c r="K810" i="76"/>
  <c r="L810" i="76" s="1"/>
  <c r="G810" i="76"/>
  <c r="H810" i="76" s="1"/>
  <c r="I810" i="76" s="1"/>
  <c r="K808" i="76"/>
  <c r="L808" i="76" s="1"/>
  <c r="H808" i="76"/>
  <c r="I808" i="76" s="1"/>
  <c r="M808" i="76" s="1"/>
  <c r="K807" i="76"/>
  <c r="L807" i="76" s="1"/>
  <c r="H807" i="76"/>
  <c r="I807" i="76" s="1"/>
  <c r="M807" i="76" s="1"/>
  <c r="K806" i="76"/>
  <c r="L806" i="76" s="1"/>
  <c r="H806" i="76"/>
  <c r="I806" i="76" s="1"/>
  <c r="M806" i="76" s="1"/>
  <c r="K805" i="76"/>
  <c r="L805" i="76" s="1"/>
  <c r="H805" i="76"/>
  <c r="I805" i="76" s="1"/>
  <c r="M805" i="76" s="1"/>
  <c r="K804" i="76"/>
  <c r="L804" i="76" s="1"/>
  <c r="H804" i="76"/>
  <c r="I804" i="76" s="1"/>
  <c r="M804" i="76" s="1"/>
  <c r="K803" i="76"/>
  <c r="L803" i="76" s="1"/>
  <c r="H803" i="76"/>
  <c r="I803" i="76" s="1"/>
  <c r="M803" i="76" s="1"/>
  <c r="K802" i="76"/>
  <c r="L802" i="76" s="1"/>
  <c r="H802" i="76"/>
  <c r="I802" i="76" s="1"/>
  <c r="M802" i="76" s="1"/>
  <c r="K801" i="76"/>
  <c r="L801" i="76" s="1"/>
  <c r="H801" i="76"/>
  <c r="I801" i="76" s="1"/>
  <c r="M801" i="76" s="1"/>
  <c r="K800" i="76"/>
  <c r="L800" i="76" s="1"/>
  <c r="H800" i="76"/>
  <c r="I800" i="76" s="1"/>
  <c r="M800" i="76" s="1"/>
  <c r="K799" i="76"/>
  <c r="L799" i="76" s="1"/>
  <c r="H799" i="76"/>
  <c r="I799" i="76" s="1"/>
  <c r="M799" i="76" s="1"/>
  <c r="K795" i="76"/>
  <c r="L795" i="76" s="1"/>
  <c r="G795" i="76"/>
  <c r="H795" i="76" s="1"/>
  <c r="I795" i="76" s="1"/>
  <c r="M795" i="76" s="1"/>
  <c r="K793" i="76"/>
  <c r="L793" i="76" s="1"/>
  <c r="H793" i="76"/>
  <c r="I793" i="76" s="1"/>
  <c r="M793" i="76" s="1"/>
  <c r="K792" i="76"/>
  <c r="L792" i="76" s="1"/>
  <c r="H792" i="76"/>
  <c r="I792" i="76" s="1"/>
  <c r="M792" i="76" s="1"/>
  <c r="K791" i="76"/>
  <c r="L791" i="76" s="1"/>
  <c r="G791" i="76"/>
  <c r="H791" i="76" s="1"/>
  <c r="I791" i="76" s="1"/>
  <c r="J789" i="76"/>
  <c r="K789" i="76" s="1"/>
  <c r="L789" i="76" s="1"/>
  <c r="I789" i="76"/>
  <c r="M789" i="76" s="1"/>
  <c r="K788" i="76"/>
  <c r="L788" i="76" s="1"/>
  <c r="H788" i="76"/>
  <c r="I788" i="76" s="1"/>
  <c r="M788" i="76" s="1"/>
  <c r="K787" i="76"/>
  <c r="L787" i="76" s="1"/>
  <c r="H787" i="76"/>
  <c r="I787" i="76" s="1"/>
  <c r="M787" i="76" s="1"/>
  <c r="K786" i="76"/>
  <c r="L786" i="76" s="1"/>
  <c r="H786" i="76"/>
  <c r="I786" i="76" s="1"/>
  <c r="M786" i="76" s="1"/>
  <c r="K785" i="76"/>
  <c r="L785" i="76" s="1"/>
  <c r="H785" i="76"/>
  <c r="I785" i="76" s="1"/>
  <c r="M785" i="76" s="1"/>
  <c r="K784" i="76"/>
  <c r="L784" i="76" s="1"/>
  <c r="H784" i="76"/>
  <c r="I784" i="76" s="1"/>
  <c r="M784" i="76" s="1"/>
  <c r="K783" i="76"/>
  <c r="L783" i="76" s="1"/>
  <c r="H783" i="76"/>
  <c r="I783" i="76" s="1"/>
  <c r="M783" i="76" s="1"/>
  <c r="K782" i="76"/>
  <c r="L782" i="76" s="1"/>
  <c r="H782" i="76"/>
  <c r="I782" i="76" s="1"/>
  <c r="M782" i="76" s="1"/>
  <c r="K781" i="76"/>
  <c r="L781" i="76" s="1"/>
  <c r="H781" i="76"/>
  <c r="I781" i="76" s="1"/>
  <c r="M781" i="76" s="1"/>
  <c r="K780" i="76"/>
  <c r="L780" i="76" s="1"/>
  <c r="H780" i="76"/>
  <c r="I780" i="76" s="1"/>
  <c r="M780" i="76" s="1"/>
  <c r="K779" i="76"/>
  <c r="L779" i="76" s="1"/>
  <c r="H779" i="76"/>
  <c r="I779" i="76" s="1"/>
  <c r="M779" i="76" s="1"/>
  <c r="K778" i="76"/>
  <c r="L778" i="76" s="1"/>
  <c r="H778" i="76"/>
  <c r="I778" i="76" s="1"/>
  <c r="M778" i="76" s="1"/>
  <c r="K777" i="76"/>
  <c r="L777" i="76" s="1"/>
  <c r="H777" i="76"/>
  <c r="I777" i="76" s="1"/>
  <c r="M777" i="76" s="1"/>
  <c r="K776" i="76"/>
  <c r="L776" i="76" s="1"/>
  <c r="H776" i="76"/>
  <c r="I776" i="76" s="1"/>
  <c r="M776" i="76" s="1"/>
  <c r="K775" i="76"/>
  <c r="L775" i="76" s="1"/>
  <c r="H775" i="76"/>
  <c r="I775" i="76" s="1"/>
  <c r="M775" i="76" s="1"/>
  <c r="K774" i="76"/>
  <c r="L774" i="76" s="1"/>
  <c r="H774" i="76"/>
  <c r="I774" i="76" s="1"/>
  <c r="M774" i="76" s="1"/>
  <c r="K773" i="76"/>
  <c r="L773" i="76" s="1"/>
  <c r="H773" i="76"/>
  <c r="I773" i="76" s="1"/>
  <c r="M773" i="76" s="1"/>
  <c r="K772" i="76"/>
  <c r="L772" i="76" s="1"/>
  <c r="H772" i="76"/>
  <c r="I772" i="76" s="1"/>
  <c r="M772" i="76" s="1"/>
  <c r="K771" i="76"/>
  <c r="L771" i="76" s="1"/>
  <c r="H771" i="76"/>
  <c r="I771" i="76" s="1"/>
  <c r="L770" i="76"/>
  <c r="L769" i="76"/>
  <c r="L767" i="76"/>
  <c r="K766" i="76"/>
  <c r="L766" i="76" s="1"/>
  <c r="H766" i="76"/>
  <c r="I766" i="76" s="1"/>
  <c r="M766" i="76" s="1"/>
  <c r="K765" i="76"/>
  <c r="L765" i="76" s="1"/>
  <c r="G765" i="76"/>
  <c r="H765" i="76" s="1"/>
  <c r="I765" i="76" s="1"/>
  <c r="M765" i="76" s="1"/>
  <c r="K763" i="76"/>
  <c r="L763" i="76" s="1"/>
  <c r="H763" i="76"/>
  <c r="I763" i="76" s="1"/>
  <c r="M763" i="76" s="1"/>
  <c r="K761" i="76"/>
  <c r="L761" i="76" s="1"/>
  <c r="G761" i="76"/>
  <c r="H761" i="76" s="1"/>
  <c r="I761" i="76" s="1"/>
  <c r="M761" i="76" s="1"/>
  <c r="K760" i="76"/>
  <c r="L760" i="76" s="1"/>
  <c r="H760" i="76"/>
  <c r="I760" i="76" s="1"/>
  <c r="M760" i="76" s="1"/>
  <c r="K758" i="76"/>
  <c r="L758" i="76" s="1"/>
  <c r="H758" i="76"/>
  <c r="I758" i="76" s="1"/>
  <c r="M758" i="76" s="1"/>
  <c r="K757" i="76"/>
  <c r="L757" i="76" s="1"/>
  <c r="H757" i="76"/>
  <c r="I757" i="76" s="1"/>
  <c r="M757" i="76" s="1"/>
  <c r="K756" i="76"/>
  <c r="L756" i="76" s="1"/>
  <c r="G756" i="76"/>
  <c r="H756" i="76" s="1"/>
  <c r="I756" i="76" s="1"/>
  <c r="M756" i="76" s="1"/>
  <c r="L755" i="76"/>
  <c r="K754" i="76"/>
  <c r="L754" i="76" s="1"/>
  <c r="H754" i="76"/>
  <c r="I754" i="76" s="1"/>
  <c r="M754" i="76" s="1"/>
  <c r="K753" i="76"/>
  <c r="L753" i="76" s="1"/>
  <c r="H753" i="76"/>
  <c r="I753" i="76" s="1"/>
  <c r="M753" i="76" s="1"/>
  <c r="K752" i="76"/>
  <c r="L752" i="76" s="1"/>
  <c r="H752" i="76"/>
  <c r="I752" i="76" s="1"/>
  <c r="M752" i="76" s="1"/>
  <c r="K751" i="76"/>
  <c r="L751" i="76" s="1"/>
  <c r="H751" i="76"/>
  <c r="I751" i="76" s="1"/>
  <c r="M751" i="76" s="1"/>
  <c r="K750" i="76"/>
  <c r="L750" i="76" s="1"/>
  <c r="H750" i="76"/>
  <c r="I750" i="76" s="1"/>
  <c r="M750" i="76" s="1"/>
  <c r="L749" i="76"/>
  <c r="K748" i="76"/>
  <c r="L748" i="76" s="1"/>
  <c r="H748" i="76"/>
  <c r="I748" i="76" s="1"/>
  <c r="M748" i="76" s="1"/>
  <c r="K747" i="76"/>
  <c r="L747" i="76" s="1"/>
  <c r="H747" i="76"/>
  <c r="I747" i="76" s="1"/>
  <c r="M747" i="76" s="1"/>
  <c r="K746" i="76"/>
  <c r="L746" i="76" s="1"/>
  <c r="H746" i="76"/>
  <c r="I746" i="76" s="1"/>
  <c r="M746" i="76" s="1"/>
  <c r="K745" i="76"/>
  <c r="L745" i="76" s="1"/>
  <c r="H745" i="76"/>
  <c r="I745" i="76" s="1"/>
  <c r="M745" i="76" s="1"/>
  <c r="K744" i="76"/>
  <c r="L744" i="76" s="1"/>
  <c r="H744" i="76"/>
  <c r="I744" i="76" s="1"/>
  <c r="M744" i="76" s="1"/>
  <c r="L743" i="76"/>
  <c r="K742" i="76"/>
  <c r="L742" i="76" s="1"/>
  <c r="H742" i="76"/>
  <c r="I742" i="76" s="1"/>
  <c r="M742" i="76" s="1"/>
  <c r="K741" i="76"/>
  <c r="L741" i="76" s="1"/>
  <c r="H741" i="76"/>
  <c r="I741" i="76" s="1"/>
  <c r="M741" i="76" s="1"/>
  <c r="K740" i="76"/>
  <c r="L740" i="76" s="1"/>
  <c r="H740" i="76"/>
  <c r="I740" i="76" s="1"/>
  <c r="M740" i="76" s="1"/>
  <c r="K739" i="76"/>
  <c r="L739" i="76" s="1"/>
  <c r="H739" i="76"/>
  <c r="I739" i="76" s="1"/>
  <c r="M739" i="76" s="1"/>
  <c r="L738" i="76"/>
  <c r="K737" i="76"/>
  <c r="L737" i="76" s="1"/>
  <c r="H737" i="76"/>
  <c r="I737" i="76" s="1"/>
  <c r="M737" i="76" s="1"/>
  <c r="K736" i="76"/>
  <c r="L736" i="76" s="1"/>
  <c r="H736" i="76"/>
  <c r="I736" i="76" s="1"/>
  <c r="M736" i="76" s="1"/>
  <c r="K735" i="76"/>
  <c r="L735" i="76" s="1"/>
  <c r="G735" i="76"/>
  <c r="H735" i="76" s="1"/>
  <c r="I735" i="76" s="1"/>
  <c r="M735" i="76" s="1"/>
  <c r="K734" i="76"/>
  <c r="L734" i="76" s="1"/>
  <c r="H734" i="76"/>
  <c r="I734" i="76" s="1"/>
  <c r="M734" i="76" s="1"/>
  <c r="K733" i="76"/>
  <c r="L733" i="76" s="1"/>
  <c r="H733" i="76"/>
  <c r="I733" i="76" s="1"/>
  <c r="M733" i="76" s="1"/>
  <c r="K732" i="76"/>
  <c r="L732" i="76" s="1"/>
  <c r="H732" i="76"/>
  <c r="I732" i="76" s="1"/>
  <c r="M732" i="76" s="1"/>
  <c r="L731" i="76"/>
  <c r="K730" i="76"/>
  <c r="L730" i="76" s="1"/>
  <c r="H730" i="76"/>
  <c r="I730" i="76" s="1"/>
  <c r="M730" i="76" s="1"/>
  <c r="K729" i="76"/>
  <c r="L729" i="76" s="1"/>
  <c r="H729" i="76"/>
  <c r="I729" i="76" s="1"/>
  <c r="M729" i="76" s="1"/>
  <c r="K728" i="76"/>
  <c r="L728" i="76" s="1"/>
  <c r="H728" i="76"/>
  <c r="I728" i="76" s="1"/>
  <c r="M728" i="76" s="1"/>
  <c r="K727" i="76"/>
  <c r="L727" i="76" s="1"/>
  <c r="H727" i="76"/>
  <c r="I727" i="76" s="1"/>
  <c r="M727" i="76" s="1"/>
  <c r="L726" i="76"/>
  <c r="K725" i="76"/>
  <c r="L725" i="76" s="1"/>
  <c r="H725" i="76"/>
  <c r="I725" i="76" s="1"/>
  <c r="M725" i="76" s="1"/>
  <c r="K724" i="76"/>
  <c r="L724" i="76" s="1"/>
  <c r="H724" i="76"/>
  <c r="I724" i="76" s="1"/>
  <c r="M724" i="76" s="1"/>
  <c r="K723" i="76"/>
  <c r="L723" i="76" s="1"/>
  <c r="H723" i="76"/>
  <c r="I723" i="76" s="1"/>
  <c r="M723" i="76" s="1"/>
  <c r="K722" i="76"/>
  <c r="L722" i="76" s="1"/>
  <c r="H722" i="76"/>
  <c r="I722" i="76" s="1"/>
  <c r="M722" i="76" s="1"/>
  <c r="L721" i="76"/>
  <c r="K720" i="76"/>
  <c r="L720" i="76" s="1"/>
  <c r="H720" i="76"/>
  <c r="I720" i="76" s="1"/>
  <c r="M720" i="76" s="1"/>
  <c r="K719" i="76"/>
  <c r="L719" i="76" s="1"/>
  <c r="H719" i="76"/>
  <c r="I719" i="76" s="1"/>
  <c r="M719" i="76" s="1"/>
  <c r="K718" i="76"/>
  <c r="L718" i="76" s="1"/>
  <c r="H718" i="76"/>
  <c r="I718" i="76" s="1"/>
  <c r="M718" i="76" s="1"/>
  <c r="K717" i="76"/>
  <c r="L717" i="76" s="1"/>
  <c r="H717" i="76"/>
  <c r="I717" i="76" s="1"/>
  <c r="M717" i="76" s="1"/>
  <c r="K716" i="76"/>
  <c r="L716" i="76" s="1"/>
  <c r="H716" i="76"/>
  <c r="I716" i="76" s="1"/>
  <c r="M716" i="76" s="1"/>
  <c r="L715" i="76"/>
  <c r="K714" i="76"/>
  <c r="L714" i="76" s="1"/>
  <c r="H714" i="76"/>
  <c r="I714" i="76" s="1"/>
  <c r="M714" i="76" s="1"/>
  <c r="K713" i="76"/>
  <c r="L713" i="76" s="1"/>
  <c r="H713" i="76"/>
  <c r="I713" i="76" s="1"/>
  <c r="M713" i="76" s="1"/>
  <c r="K712" i="76"/>
  <c r="L712" i="76" s="1"/>
  <c r="G712" i="76"/>
  <c r="H712" i="76" s="1"/>
  <c r="I712" i="76" s="1"/>
  <c r="M712" i="76" s="1"/>
  <c r="L711" i="76"/>
  <c r="K710" i="76"/>
  <c r="L710" i="76" s="1"/>
  <c r="H710" i="76"/>
  <c r="I710" i="76" s="1"/>
  <c r="M710" i="76" s="1"/>
  <c r="K709" i="76"/>
  <c r="L709" i="76" s="1"/>
  <c r="H709" i="76"/>
  <c r="I709" i="76" s="1"/>
  <c r="M709" i="76" s="1"/>
  <c r="K708" i="76"/>
  <c r="L708" i="76" s="1"/>
  <c r="H708" i="76"/>
  <c r="I708" i="76" s="1"/>
  <c r="M708" i="76" s="1"/>
  <c r="L707" i="76"/>
  <c r="K706" i="76"/>
  <c r="L706" i="76" s="1"/>
  <c r="H706" i="76"/>
  <c r="I706" i="76" s="1"/>
  <c r="M706" i="76" s="1"/>
  <c r="K705" i="76"/>
  <c r="L705" i="76" s="1"/>
  <c r="H705" i="76"/>
  <c r="I705" i="76" s="1"/>
  <c r="M705" i="76" s="1"/>
  <c r="K704" i="76"/>
  <c r="L704" i="76" s="1"/>
  <c r="G704" i="76"/>
  <c r="H704" i="76" s="1"/>
  <c r="I704" i="76" s="1"/>
  <c r="M704" i="76" s="1"/>
  <c r="K703" i="76"/>
  <c r="L703" i="76" s="1"/>
  <c r="H703" i="76"/>
  <c r="I703" i="76" s="1"/>
  <c r="M703" i="76" s="1"/>
  <c r="K702" i="76"/>
  <c r="L702" i="76" s="1"/>
  <c r="H702" i="76"/>
  <c r="I702" i="76" s="1"/>
  <c r="M702" i="76" s="1"/>
  <c r="K701" i="76"/>
  <c r="L701" i="76" s="1"/>
  <c r="H701" i="76"/>
  <c r="I701" i="76" s="1"/>
  <c r="M701" i="76" s="1"/>
  <c r="L700" i="76"/>
  <c r="K699" i="76"/>
  <c r="L699" i="76" s="1"/>
  <c r="H699" i="76"/>
  <c r="I699" i="76" s="1"/>
  <c r="M699" i="76" s="1"/>
  <c r="K698" i="76"/>
  <c r="L698" i="76" s="1"/>
  <c r="H698" i="76"/>
  <c r="I698" i="76" s="1"/>
  <c r="M698" i="76" s="1"/>
  <c r="K697" i="76"/>
  <c r="L697" i="76" s="1"/>
  <c r="H697" i="76"/>
  <c r="I697" i="76" s="1"/>
  <c r="M697" i="76" s="1"/>
  <c r="K696" i="76"/>
  <c r="L696" i="76" s="1"/>
  <c r="H696" i="76"/>
  <c r="I696" i="76" s="1"/>
  <c r="M696" i="76" s="1"/>
  <c r="K695" i="76"/>
  <c r="L695" i="76" s="1"/>
  <c r="H695" i="76"/>
  <c r="I695" i="76" s="1"/>
  <c r="M695" i="76" s="1"/>
  <c r="L694" i="76"/>
  <c r="K693" i="76"/>
  <c r="L693" i="76" s="1"/>
  <c r="H693" i="76"/>
  <c r="I693" i="76" s="1"/>
  <c r="M693" i="76" s="1"/>
  <c r="K692" i="76"/>
  <c r="L692" i="76" s="1"/>
  <c r="H692" i="76"/>
  <c r="I692" i="76" s="1"/>
  <c r="M692" i="76" s="1"/>
  <c r="K691" i="76"/>
  <c r="L691" i="76" s="1"/>
  <c r="H691" i="76"/>
  <c r="I691" i="76" s="1"/>
  <c r="M691" i="76" s="1"/>
  <c r="K690" i="76"/>
  <c r="L690" i="76" s="1"/>
  <c r="H690" i="76"/>
  <c r="I690" i="76" s="1"/>
  <c r="M690" i="76" s="1"/>
  <c r="L689" i="76"/>
  <c r="K688" i="76"/>
  <c r="L688" i="76" s="1"/>
  <c r="H688" i="76"/>
  <c r="I688" i="76" s="1"/>
  <c r="M688" i="76" s="1"/>
  <c r="K687" i="76"/>
  <c r="L687" i="76" s="1"/>
  <c r="H687" i="76"/>
  <c r="I687" i="76" s="1"/>
  <c r="M687" i="76" s="1"/>
  <c r="K686" i="76"/>
  <c r="L686" i="76" s="1"/>
  <c r="H686" i="76"/>
  <c r="I686" i="76" s="1"/>
  <c r="M686" i="76" s="1"/>
  <c r="K685" i="76"/>
  <c r="L685" i="76" s="1"/>
  <c r="H685" i="76"/>
  <c r="I685" i="76" s="1"/>
  <c r="M685" i="76" s="1"/>
  <c r="K684" i="76"/>
  <c r="L684" i="76" s="1"/>
  <c r="H684" i="76"/>
  <c r="I684" i="76" s="1"/>
  <c r="M684" i="76" s="1"/>
  <c r="K682" i="76"/>
  <c r="L682" i="76" s="1"/>
  <c r="H682" i="76"/>
  <c r="I682" i="76" s="1"/>
  <c r="M682" i="76" s="1"/>
  <c r="K681" i="76"/>
  <c r="L681" i="76" s="1"/>
  <c r="H681" i="76"/>
  <c r="I681" i="76" s="1"/>
  <c r="M681" i="76" s="1"/>
  <c r="K680" i="76"/>
  <c r="L680" i="76" s="1"/>
  <c r="H680" i="76"/>
  <c r="I680" i="76" s="1"/>
  <c r="M680" i="76" s="1"/>
  <c r="K676" i="76"/>
  <c r="L676" i="76" s="1"/>
  <c r="H676" i="76"/>
  <c r="I676" i="76" s="1"/>
  <c r="M676" i="76" s="1"/>
  <c r="K675" i="76"/>
  <c r="L675" i="76" s="1"/>
  <c r="H675" i="76"/>
  <c r="I675" i="76" s="1"/>
  <c r="M675" i="76" s="1"/>
  <c r="K674" i="76"/>
  <c r="L674" i="76" s="1"/>
  <c r="H674" i="76"/>
  <c r="I674" i="76" s="1"/>
  <c r="M674" i="76" s="1"/>
  <c r="K673" i="76"/>
  <c r="L673" i="76" s="1"/>
  <c r="H673" i="76"/>
  <c r="I673" i="76" s="1"/>
  <c r="M673" i="76" s="1"/>
  <c r="K672" i="76"/>
  <c r="L672" i="76" s="1"/>
  <c r="H672" i="76"/>
  <c r="I672" i="76" s="1"/>
  <c r="M672" i="76" s="1"/>
  <c r="K671" i="76"/>
  <c r="L671" i="76" s="1"/>
  <c r="G671" i="76"/>
  <c r="H671" i="76" s="1"/>
  <c r="I671" i="76" s="1"/>
  <c r="M671" i="76" s="1"/>
  <c r="K670" i="76"/>
  <c r="L670" i="76" s="1"/>
  <c r="H670" i="76"/>
  <c r="I670" i="76" s="1"/>
  <c r="M670" i="76" s="1"/>
  <c r="K669" i="76"/>
  <c r="L669" i="76" s="1"/>
  <c r="G669" i="76"/>
  <c r="H669" i="76" s="1"/>
  <c r="I669" i="76" s="1"/>
  <c r="M669" i="76" s="1"/>
  <c r="K668" i="76"/>
  <c r="L668" i="76" s="1"/>
  <c r="H668" i="76"/>
  <c r="I668" i="76" s="1"/>
  <c r="M668" i="76" s="1"/>
  <c r="K667" i="76"/>
  <c r="L667" i="76" s="1"/>
  <c r="L768" i="76" s="1"/>
  <c r="H667" i="76"/>
  <c r="I667" i="76" s="1"/>
  <c r="K662" i="76"/>
  <c r="L662" i="76" s="1"/>
  <c r="L663" i="76" s="1"/>
  <c r="H662" i="76"/>
  <c r="I662" i="76" s="1"/>
  <c r="K658" i="76"/>
  <c r="L658" i="76" s="1"/>
  <c r="H658" i="76"/>
  <c r="I658" i="76" s="1"/>
  <c r="M658" i="76" s="1"/>
  <c r="K657" i="76"/>
  <c r="L657" i="76" s="1"/>
  <c r="H657" i="76"/>
  <c r="I657" i="76" s="1"/>
  <c r="M657" i="76" s="1"/>
  <c r="K655" i="76"/>
  <c r="L655" i="76" s="1"/>
  <c r="G655" i="76"/>
  <c r="H655" i="76" s="1"/>
  <c r="I655" i="76" s="1"/>
  <c r="M655" i="76" s="1"/>
  <c r="K652" i="76"/>
  <c r="L652" i="76" s="1"/>
  <c r="H652" i="76"/>
  <c r="I652" i="76" s="1"/>
  <c r="M652" i="76" s="1"/>
  <c r="K651" i="76"/>
  <c r="L651" i="76" s="1"/>
  <c r="H651" i="76"/>
  <c r="I651" i="76" s="1"/>
  <c r="M651" i="76" s="1"/>
  <c r="K650" i="76"/>
  <c r="L650" i="76" s="1"/>
  <c r="H650" i="76"/>
  <c r="I650" i="76" s="1"/>
  <c r="M650" i="76" s="1"/>
  <c r="K649" i="76"/>
  <c r="L649" i="76" s="1"/>
  <c r="H649" i="76"/>
  <c r="I649" i="76" s="1"/>
  <c r="M649" i="76" s="1"/>
  <c r="K648" i="76"/>
  <c r="L648" i="76" s="1"/>
  <c r="H648" i="76"/>
  <c r="I648" i="76" s="1"/>
  <c r="M648" i="76" s="1"/>
  <c r="K647" i="76"/>
  <c r="L647" i="76" s="1"/>
  <c r="H647" i="76"/>
  <c r="I647" i="76" s="1"/>
  <c r="M647" i="76" s="1"/>
  <c r="K646" i="76"/>
  <c r="L646" i="76" s="1"/>
  <c r="H646" i="76"/>
  <c r="I646" i="76" s="1"/>
  <c r="M646" i="76" s="1"/>
  <c r="K644" i="76"/>
  <c r="L644" i="76" s="1"/>
  <c r="G644" i="76"/>
  <c r="H644" i="76" s="1"/>
  <c r="I644" i="76" s="1"/>
  <c r="M644" i="76" s="1"/>
  <c r="K642" i="76"/>
  <c r="L642" i="76" s="1"/>
  <c r="L659" i="76" s="1"/>
  <c r="H642" i="76"/>
  <c r="I642" i="76" s="1"/>
  <c r="K638" i="76"/>
  <c r="L638" i="76" s="1"/>
  <c r="H638" i="76"/>
  <c r="I638" i="76" s="1"/>
  <c r="M638" i="76" s="1"/>
  <c r="K637" i="76"/>
  <c r="L637" i="76" s="1"/>
  <c r="H637" i="76"/>
  <c r="I637" i="76" s="1"/>
  <c r="M637" i="76" s="1"/>
  <c r="K636" i="76"/>
  <c r="L636" i="76" s="1"/>
  <c r="H636" i="76"/>
  <c r="I636" i="76" s="1"/>
  <c r="M636" i="76" s="1"/>
  <c r="K635" i="76"/>
  <c r="L635" i="76" s="1"/>
  <c r="H635" i="76"/>
  <c r="I635" i="76" s="1"/>
  <c r="M635" i="76" s="1"/>
  <c r="K633" i="76"/>
  <c r="L633" i="76" s="1"/>
  <c r="H633" i="76"/>
  <c r="I633" i="76" s="1"/>
  <c r="M633" i="76" s="1"/>
  <c r="K631" i="76"/>
  <c r="L631" i="76" s="1"/>
  <c r="H631" i="76"/>
  <c r="I631" i="76" s="1"/>
  <c r="M631" i="76" s="1"/>
  <c r="K630" i="76"/>
  <c r="L630" i="76" s="1"/>
  <c r="H630" i="76"/>
  <c r="I630" i="76" s="1"/>
  <c r="M630" i="76" s="1"/>
  <c r="K629" i="76"/>
  <c r="L629" i="76" s="1"/>
  <c r="H629" i="76"/>
  <c r="I629" i="76" s="1"/>
  <c r="M629" i="76" s="1"/>
  <c r="K627" i="76"/>
  <c r="L627" i="76" s="1"/>
  <c r="H627" i="76"/>
  <c r="I627" i="76" s="1"/>
  <c r="M627" i="76" s="1"/>
  <c r="K626" i="76"/>
  <c r="L626" i="76" s="1"/>
  <c r="H626" i="76"/>
  <c r="I626" i="76" s="1"/>
  <c r="M626" i="76" s="1"/>
  <c r="K625" i="76"/>
  <c r="L625" i="76" s="1"/>
  <c r="H625" i="76"/>
  <c r="I625" i="76" s="1"/>
  <c r="M625" i="76" s="1"/>
  <c r="K624" i="76"/>
  <c r="L624" i="76" s="1"/>
  <c r="H624" i="76"/>
  <c r="I624" i="76" s="1"/>
  <c r="M624" i="76" s="1"/>
  <c r="K623" i="76"/>
  <c r="L623" i="76" s="1"/>
  <c r="H623" i="76"/>
  <c r="I623" i="76" s="1"/>
  <c r="K618" i="76"/>
  <c r="L618" i="76" s="1"/>
  <c r="H618" i="76"/>
  <c r="I618" i="76" s="1"/>
  <c r="M618" i="76" s="1"/>
  <c r="K617" i="76"/>
  <c r="L617" i="76" s="1"/>
  <c r="H617" i="76"/>
  <c r="I617" i="76" s="1"/>
  <c r="M617" i="76" s="1"/>
  <c r="K616" i="76"/>
  <c r="L616" i="76" s="1"/>
  <c r="H616" i="76"/>
  <c r="I616" i="76" s="1"/>
  <c r="M616" i="76" s="1"/>
  <c r="K615" i="76"/>
  <c r="L615" i="76" s="1"/>
  <c r="H615" i="76"/>
  <c r="I615" i="76" s="1"/>
  <c r="M615" i="76" s="1"/>
  <c r="K614" i="76"/>
  <c r="L614" i="76" s="1"/>
  <c r="H614" i="76"/>
  <c r="I614" i="76" s="1"/>
  <c r="M614" i="76" s="1"/>
  <c r="K613" i="76"/>
  <c r="L613" i="76" s="1"/>
  <c r="H613" i="76"/>
  <c r="I613" i="76" s="1"/>
  <c r="L612" i="76"/>
  <c r="L611" i="76"/>
  <c r="K608" i="76"/>
  <c r="L608" i="76" s="1"/>
  <c r="H608" i="76"/>
  <c r="I608" i="76" s="1"/>
  <c r="M608" i="76" s="1"/>
  <c r="K607" i="76"/>
  <c r="L607" i="76" s="1"/>
  <c r="G607" i="76"/>
  <c r="H607" i="76" s="1"/>
  <c r="I607" i="76" s="1"/>
  <c r="M607" i="76" s="1"/>
  <c r="K606" i="76"/>
  <c r="L606" i="76" s="1"/>
  <c r="G606" i="76"/>
  <c r="H606" i="76" s="1"/>
  <c r="I606" i="76" s="1"/>
  <c r="M606" i="76" s="1"/>
  <c r="K605" i="76"/>
  <c r="L605" i="76" s="1"/>
  <c r="H605" i="76"/>
  <c r="I605" i="76" s="1"/>
  <c r="M605" i="76" s="1"/>
  <c r="K604" i="76"/>
  <c r="L604" i="76" s="1"/>
  <c r="H604" i="76"/>
  <c r="I604" i="76" s="1"/>
  <c r="M604" i="76" s="1"/>
  <c r="K603" i="76"/>
  <c r="L603" i="76" s="1"/>
  <c r="H603" i="76"/>
  <c r="I603" i="76" s="1"/>
  <c r="M603" i="76" s="1"/>
  <c r="K602" i="76"/>
  <c r="L602" i="76" s="1"/>
  <c r="H602" i="76"/>
  <c r="I602" i="76" s="1"/>
  <c r="M602" i="76" s="1"/>
  <c r="K601" i="76"/>
  <c r="L601" i="76" s="1"/>
  <c r="H601" i="76"/>
  <c r="I601" i="76" s="1"/>
  <c r="M601" i="76" s="1"/>
  <c r="K600" i="76"/>
  <c r="L600" i="76" s="1"/>
  <c r="G600" i="76"/>
  <c r="H600" i="76" s="1"/>
  <c r="I600" i="76" s="1"/>
  <c r="M600" i="76" s="1"/>
  <c r="K599" i="76"/>
  <c r="L599" i="76" s="1"/>
  <c r="H599" i="76"/>
  <c r="I599" i="76" s="1"/>
  <c r="M599" i="76" s="1"/>
  <c r="K598" i="76"/>
  <c r="L598" i="76" s="1"/>
  <c r="H598" i="76"/>
  <c r="I598" i="76" s="1"/>
  <c r="M598" i="76" s="1"/>
  <c r="K597" i="76"/>
  <c r="L597" i="76" s="1"/>
  <c r="G597" i="76"/>
  <c r="H597" i="76" s="1"/>
  <c r="I597" i="76" s="1"/>
  <c r="M597" i="76" s="1"/>
  <c r="K596" i="76"/>
  <c r="L596" i="76" s="1"/>
  <c r="G596" i="76"/>
  <c r="H596" i="76" s="1"/>
  <c r="I596" i="76" s="1"/>
  <c r="M596" i="76" s="1"/>
  <c r="K595" i="76"/>
  <c r="L595" i="76" s="1"/>
  <c r="G595" i="76"/>
  <c r="H595" i="76" s="1"/>
  <c r="I595" i="76" s="1"/>
  <c r="M595" i="76" s="1"/>
  <c r="K594" i="76"/>
  <c r="L594" i="76" s="1"/>
  <c r="G594" i="76"/>
  <c r="H594" i="76" s="1"/>
  <c r="I594" i="76" s="1"/>
  <c r="M594" i="76" s="1"/>
  <c r="K593" i="76"/>
  <c r="L593" i="76" s="1"/>
  <c r="G593" i="76"/>
  <c r="H593" i="76" s="1"/>
  <c r="I593" i="76" s="1"/>
  <c r="M593" i="76" s="1"/>
  <c r="K592" i="76"/>
  <c r="L592" i="76" s="1"/>
  <c r="G592" i="76"/>
  <c r="H592" i="76" s="1"/>
  <c r="I592" i="76" s="1"/>
  <c r="M592" i="76" s="1"/>
  <c r="K591" i="76"/>
  <c r="L591" i="76" s="1"/>
  <c r="G591" i="76"/>
  <c r="H591" i="76" s="1"/>
  <c r="I591" i="76" s="1"/>
  <c r="M591" i="76" s="1"/>
  <c r="K590" i="76"/>
  <c r="L590" i="76" s="1"/>
  <c r="H590" i="76"/>
  <c r="I590" i="76" s="1"/>
  <c r="M590" i="76" s="1"/>
  <c r="K589" i="76"/>
  <c r="L589" i="76" s="1"/>
  <c r="H589" i="76"/>
  <c r="I589" i="76" s="1"/>
  <c r="M589" i="76" s="1"/>
  <c r="K588" i="76"/>
  <c r="L588" i="76" s="1"/>
  <c r="H588" i="76"/>
  <c r="I588" i="76" s="1"/>
  <c r="M588" i="76" s="1"/>
  <c r="K587" i="76"/>
  <c r="L587" i="76" s="1"/>
  <c r="H587" i="76"/>
  <c r="I587" i="76" s="1"/>
  <c r="M587" i="76" s="1"/>
  <c r="K586" i="76"/>
  <c r="L586" i="76" s="1"/>
  <c r="H586" i="76"/>
  <c r="I586" i="76" s="1"/>
  <c r="M586" i="76" s="1"/>
  <c r="K585" i="76"/>
  <c r="L585" i="76" s="1"/>
  <c r="H585" i="76"/>
  <c r="I585" i="76" s="1"/>
  <c r="M585" i="76" s="1"/>
  <c r="K584" i="76"/>
  <c r="L584" i="76" s="1"/>
  <c r="H584" i="76"/>
  <c r="I584" i="76" s="1"/>
  <c r="M584" i="76" s="1"/>
  <c r="K583" i="76"/>
  <c r="L583" i="76" s="1"/>
  <c r="G583" i="76"/>
  <c r="H583" i="76" s="1"/>
  <c r="I583" i="76" s="1"/>
  <c r="M583" i="76" s="1"/>
  <c r="K582" i="76"/>
  <c r="L582" i="76" s="1"/>
  <c r="G582" i="76"/>
  <c r="H582" i="76" s="1"/>
  <c r="I582" i="76" s="1"/>
  <c r="M582" i="76" s="1"/>
  <c r="K581" i="76"/>
  <c r="L581" i="76" s="1"/>
  <c r="H581" i="76"/>
  <c r="I581" i="76" s="1"/>
  <c r="M581" i="76" s="1"/>
  <c r="K580" i="76"/>
  <c r="L580" i="76" s="1"/>
  <c r="G580" i="76"/>
  <c r="H580" i="76" s="1"/>
  <c r="I580" i="76" s="1"/>
  <c r="M580" i="76" s="1"/>
  <c r="K579" i="76"/>
  <c r="L579" i="76" s="1"/>
  <c r="H579" i="76"/>
  <c r="I579" i="76" s="1"/>
  <c r="M579" i="76" s="1"/>
  <c r="K578" i="76"/>
  <c r="L578" i="76" s="1"/>
  <c r="H578" i="76"/>
  <c r="I578" i="76" s="1"/>
  <c r="M578" i="76" s="1"/>
  <c r="K577" i="76"/>
  <c r="L577" i="76" s="1"/>
  <c r="H577" i="76"/>
  <c r="I577" i="76" s="1"/>
  <c r="M577" i="76" s="1"/>
  <c r="K576" i="76"/>
  <c r="L576" i="76" s="1"/>
  <c r="H576" i="76"/>
  <c r="I576" i="76" s="1"/>
  <c r="M576" i="76" s="1"/>
  <c r="K575" i="76"/>
  <c r="L575" i="76" s="1"/>
  <c r="H575" i="76"/>
  <c r="I575" i="76" s="1"/>
  <c r="M575" i="76" s="1"/>
  <c r="K574" i="76"/>
  <c r="L574" i="76" s="1"/>
  <c r="H574" i="76"/>
  <c r="I574" i="76" s="1"/>
  <c r="M574" i="76" s="1"/>
  <c r="K573" i="76"/>
  <c r="L573" i="76" s="1"/>
  <c r="H573" i="76"/>
  <c r="I573" i="76" s="1"/>
  <c r="M573" i="76" s="1"/>
  <c r="K572" i="76"/>
  <c r="L572" i="76" s="1"/>
  <c r="H572" i="76"/>
  <c r="I572" i="76" s="1"/>
  <c r="M572" i="76" s="1"/>
  <c r="K571" i="76"/>
  <c r="L571" i="76" s="1"/>
  <c r="H571" i="76"/>
  <c r="I571" i="76" s="1"/>
  <c r="M571" i="76" s="1"/>
  <c r="K568" i="76"/>
  <c r="L568" i="76" s="1"/>
  <c r="G568" i="76"/>
  <c r="H568" i="76" s="1"/>
  <c r="I568" i="76" s="1"/>
  <c r="M568" i="76" s="1"/>
  <c r="K567" i="76"/>
  <c r="L567" i="76" s="1"/>
  <c r="H567" i="76"/>
  <c r="I567" i="76" s="1"/>
  <c r="M567" i="76" s="1"/>
  <c r="K566" i="76"/>
  <c r="L566" i="76" s="1"/>
  <c r="G566" i="76"/>
  <c r="H566" i="76" s="1"/>
  <c r="I566" i="76" s="1"/>
  <c r="M566" i="76" s="1"/>
  <c r="K565" i="76"/>
  <c r="L565" i="76" s="1"/>
  <c r="H565" i="76"/>
  <c r="I565" i="76" s="1"/>
  <c r="M565" i="76" s="1"/>
  <c r="K564" i="76"/>
  <c r="L564" i="76" s="1"/>
  <c r="H564" i="76"/>
  <c r="I564" i="76" s="1"/>
  <c r="M564" i="76" s="1"/>
  <c r="K563" i="76"/>
  <c r="L563" i="76" s="1"/>
  <c r="H563" i="76"/>
  <c r="I563" i="76" s="1"/>
  <c r="M563" i="76" s="1"/>
  <c r="K562" i="76"/>
  <c r="L562" i="76" s="1"/>
  <c r="H562" i="76"/>
  <c r="I562" i="76" s="1"/>
  <c r="M562" i="76" s="1"/>
  <c r="K561" i="76"/>
  <c r="L561" i="76" s="1"/>
  <c r="H561" i="76"/>
  <c r="I561" i="76" s="1"/>
  <c r="M561" i="76" s="1"/>
  <c r="K560" i="76"/>
  <c r="L560" i="76" s="1"/>
  <c r="G560" i="76"/>
  <c r="H560" i="76" s="1"/>
  <c r="I560" i="76" s="1"/>
  <c r="M560" i="76" s="1"/>
  <c r="K559" i="76"/>
  <c r="L559" i="76" s="1"/>
  <c r="H559" i="76"/>
  <c r="I559" i="76" s="1"/>
  <c r="M559" i="76" s="1"/>
  <c r="K558" i="76"/>
  <c r="L558" i="76" s="1"/>
  <c r="H558" i="76"/>
  <c r="I558" i="76" s="1"/>
  <c r="M558" i="76" s="1"/>
  <c r="K557" i="76"/>
  <c r="L557" i="76" s="1"/>
  <c r="H557" i="76"/>
  <c r="I557" i="76" s="1"/>
  <c r="M557" i="76" s="1"/>
  <c r="K556" i="76"/>
  <c r="L556" i="76" s="1"/>
  <c r="H556" i="76"/>
  <c r="I556" i="76" s="1"/>
  <c r="M556" i="76" s="1"/>
  <c r="K555" i="76"/>
  <c r="L555" i="76" s="1"/>
  <c r="H555" i="76"/>
  <c r="I555" i="76" s="1"/>
  <c r="M555" i="76" s="1"/>
  <c r="K554" i="76"/>
  <c r="L554" i="76" s="1"/>
  <c r="H554" i="76"/>
  <c r="I554" i="76" s="1"/>
  <c r="M554" i="76" s="1"/>
  <c r="K553" i="76"/>
  <c r="L553" i="76" s="1"/>
  <c r="H553" i="76"/>
  <c r="I553" i="76" s="1"/>
  <c r="M553" i="76" s="1"/>
  <c r="K552" i="76"/>
  <c r="L552" i="76" s="1"/>
  <c r="H552" i="76"/>
  <c r="I552" i="76" s="1"/>
  <c r="M552" i="76" s="1"/>
  <c r="K551" i="76"/>
  <c r="L551" i="76" s="1"/>
  <c r="H551" i="76"/>
  <c r="I551" i="76" s="1"/>
  <c r="M551" i="76" s="1"/>
  <c r="K550" i="76"/>
  <c r="L550" i="76" s="1"/>
  <c r="H550" i="76"/>
  <c r="I550" i="76" s="1"/>
  <c r="M550" i="76" s="1"/>
  <c r="K549" i="76"/>
  <c r="L549" i="76" s="1"/>
  <c r="H549" i="76"/>
  <c r="I549" i="76" s="1"/>
  <c r="M549" i="76" s="1"/>
  <c r="K548" i="76"/>
  <c r="L548" i="76" s="1"/>
  <c r="H548" i="76"/>
  <c r="I548" i="76" s="1"/>
  <c r="M548" i="76" s="1"/>
  <c r="K547" i="76"/>
  <c r="L547" i="76" s="1"/>
  <c r="H547" i="76"/>
  <c r="I547" i="76" s="1"/>
  <c r="M547" i="76" s="1"/>
  <c r="K546" i="76"/>
  <c r="L546" i="76" s="1"/>
  <c r="G546" i="76"/>
  <c r="H546" i="76" s="1"/>
  <c r="I546" i="76" s="1"/>
  <c r="M546" i="76" s="1"/>
  <c r="K545" i="76"/>
  <c r="L545" i="76" s="1"/>
  <c r="H545" i="76"/>
  <c r="I545" i="76" s="1"/>
  <c r="M545" i="76" s="1"/>
  <c r="K544" i="76"/>
  <c r="L544" i="76" s="1"/>
  <c r="G544" i="76"/>
  <c r="H544" i="76" s="1"/>
  <c r="I544" i="76" s="1"/>
  <c r="M544" i="76" s="1"/>
  <c r="K543" i="76"/>
  <c r="L543" i="76" s="1"/>
  <c r="H543" i="76"/>
  <c r="I543" i="76" s="1"/>
  <c r="M543" i="76" s="1"/>
  <c r="K542" i="76"/>
  <c r="L542" i="76" s="1"/>
  <c r="H542" i="76"/>
  <c r="I542" i="76" s="1"/>
  <c r="M542" i="76" s="1"/>
  <c r="K541" i="76"/>
  <c r="L541" i="76" s="1"/>
  <c r="H541" i="76"/>
  <c r="I541" i="76" s="1"/>
  <c r="M541" i="76" s="1"/>
  <c r="K540" i="76"/>
  <c r="L540" i="76" s="1"/>
  <c r="H540" i="76"/>
  <c r="I540" i="76" s="1"/>
  <c r="M540" i="76" s="1"/>
  <c r="K539" i="76"/>
  <c r="L539" i="76" s="1"/>
  <c r="H539" i="76"/>
  <c r="I539" i="76" s="1"/>
  <c r="M539" i="76" s="1"/>
  <c r="K538" i="76"/>
  <c r="L538" i="76" s="1"/>
  <c r="H538" i="76"/>
  <c r="I538" i="76" s="1"/>
  <c r="M538" i="76" s="1"/>
  <c r="K537" i="76"/>
  <c r="L537" i="76" s="1"/>
  <c r="H537" i="76"/>
  <c r="I537" i="76" s="1"/>
  <c r="M537" i="76" s="1"/>
  <c r="K536" i="76"/>
  <c r="L536" i="76" s="1"/>
  <c r="H536" i="76"/>
  <c r="I536" i="76" s="1"/>
  <c r="M536" i="76" s="1"/>
  <c r="K535" i="76"/>
  <c r="L535" i="76" s="1"/>
  <c r="H535" i="76"/>
  <c r="I535" i="76" s="1"/>
  <c r="M535" i="76" s="1"/>
  <c r="K534" i="76"/>
  <c r="L534" i="76" s="1"/>
  <c r="H534" i="76"/>
  <c r="I534" i="76" s="1"/>
  <c r="M534" i="76" s="1"/>
  <c r="K533" i="76"/>
  <c r="L533" i="76" s="1"/>
  <c r="G533" i="76"/>
  <c r="H533" i="76" s="1"/>
  <c r="I533" i="76" s="1"/>
  <c r="M533" i="76" s="1"/>
  <c r="K532" i="76"/>
  <c r="L532" i="76" s="1"/>
  <c r="H532" i="76"/>
  <c r="I532" i="76" s="1"/>
  <c r="M532" i="76" s="1"/>
  <c r="K531" i="76"/>
  <c r="L531" i="76" s="1"/>
  <c r="H531" i="76"/>
  <c r="I531" i="76" s="1"/>
  <c r="M531" i="76" s="1"/>
  <c r="K530" i="76"/>
  <c r="L530" i="76" s="1"/>
  <c r="H530" i="76"/>
  <c r="I530" i="76" s="1"/>
  <c r="M530" i="76" s="1"/>
  <c r="K529" i="76"/>
  <c r="L529" i="76" s="1"/>
  <c r="H529" i="76"/>
  <c r="I529" i="76" s="1"/>
  <c r="M529" i="76" s="1"/>
  <c r="K528" i="76"/>
  <c r="L528" i="76" s="1"/>
  <c r="H528" i="76"/>
  <c r="I528" i="76" s="1"/>
  <c r="M528" i="76" s="1"/>
  <c r="K527" i="76"/>
  <c r="L527" i="76" s="1"/>
  <c r="G527" i="76"/>
  <c r="H527" i="76" s="1"/>
  <c r="I527" i="76" s="1"/>
  <c r="M527" i="76" s="1"/>
  <c r="K526" i="76"/>
  <c r="L526" i="76" s="1"/>
  <c r="H526" i="76"/>
  <c r="I526" i="76" s="1"/>
  <c r="M526" i="76" s="1"/>
  <c r="K525" i="76"/>
  <c r="L525" i="76" s="1"/>
  <c r="G525" i="76"/>
  <c r="H525" i="76" s="1"/>
  <c r="I525" i="76" s="1"/>
  <c r="M525" i="76" s="1"/>
  <c r="K524" i="76"/>
  <c r="L524" i="76" s="1"/>
  <c r="H524" i="76"/>
  <c r="I524" i="76" s="1"/>
  <c r="M524" i="76" s="1"/>
  <c r="K523" i="76"/>
  <c r="L523" i="76" s="1"/>
  <c r="H523" i="76"/>
  <c r="I523" i="76" s="1"/>
  <c r="M523" i="76" s="1"/>
  <c r="K522" i="76"/>
  <c r="L522" i="76" s="1"/>
  <c r="G522" i="76"/>
  <c r="H522" i="76" s="1"/>
  <c r="I522" i="76" s="1"/>
  <c r="M522" i="76" s="1"/>
  <c r="K521" i="76"/>
  <c r="L521" i="76" s="1"/>
  <c r="G521" i="76"/>
  <c r="H521" i="76" s="1"/>
  <c r="I521" i="76" s="1"/>
  <c r="M521" i="76" s="1"/>
  <c r="K520" i="76"/>
  <c r="L520" i="76" s="1"/>
  <c r="G520" i="76"/>
  <c r="H520" i="76" s="1"/>
  <c r="I520" i="76" s="1"/>
  <c r="M520" i="76" s="1"/>
  <c r="K519" i="76"/>
  <c r="L519" i="76" s="1"/>
  <c r="G519" i="76"/>
  <c r="H519" i="76" s="1"/>
  <c r="I519" i="76" s="1"/>
  <c r="M519" i="76" s="1"/>
  <c r="K518" i="76"/>
  <c r="L518" i="76" s="1"/>
  <c r="G518" i="76"/>
  <c r="H518" i="76" s="1"/>
  <c r="I518" i="76" s="1"/>
  <c r="M518" i="76" s="1"/>
  <c r="K517" i="76"/>
  <c r="L517" i="76" s="1"/>
  <c r="G517" i="76"/>
  <c r="H517" i="76" s="1"/>
  <c r="I517" i="76" s="1"/>
  <c r="M517" i="76" s="1"/>
  <c r="K516" i="76"/>
  <c r="L516" i="76" s="1"/>
  <c r="H516" i="76"/>
  <c r="I516" i="76" s="1"/>
  <c r="M516" i="76" s="1"/>
  <c r="K515" i="76"/>
  <c r="L515" i="76" s="1"/>
  <c r="H515" i="76"/>
  <c r="I515" i="76" s="1"/>
  <c r="M515" i="76" s="1"/>
  <c r="K514" i="76"/>
  <c r="L514" i="76" s="1"/>
  <c r="H514" i="76"/>
  <c r="I514" i="76" s="1"/>
  <c r="M514" i="76" s="1"/>
  <c r="K511" i="76"/>
  <c r="L511" i="76" s="1"/>
  <c r="G511" i="76"/>
  <c r="H511" i="76" s="1"/>
  <c r="I511" i="76" s="1"/>
  <c r="M511" i="76" s="1"/>
  <c r="K510" i="76"/>
  <c r="L510" i="76" s="1"/>
  <c r="H510" i="76"/>
  <c r="I510" i="76" s="1"/>
  <c r="M510" i="76" s="1"/>
  <c r="K509" i="76"/>
  <c r="L509" i="76" s="1"/>
  <c r="H509" i="76"/>
  <c r="I509" i="76" s="1"/>
  <c r="M509" i="76" s="1"/>
  <c r="K508" i="76"/>
  <c r="L508" i="76" s="1"/>
  <c r="G508" i="76"/>
  <c r="H508" i="76" s="1"/>
  <c r="I508" i="76" s="1"/>
  <c r="M508" i="76" s="1"/>
  <c r="K507" i="76"/>
  <c r="L507" i="76" s="1"/>
  <c r="H507" i="76"/>
  <c r="I507" i="76" s="1"/>
  <c r="M507" i="76" s="1"/>
  <c r="K506" i="76"/>
  <c r="H506" i="76"/>
  <c r="E506" i="76"/>
  <c r="K505" i="76"/>
  <c r="L505" i="76" s="1"/>
  <c r="H505" i="76"/>
  <c r="I505" i="76" s="1"/>
  <c r="M505" i="76" s="1"/>
  <c r="K504" i="76"/>
  <c r="L504" i="76" s="1"/>
  <c r="H504" i="76"/>
  <c r="I504" i="76" s="1"/>
  <c r="M504" i="76" s="1"/>
  <c r="K503" i="76"/>
  <c r="L503" i="76" s="1"/>
  <c r="H503" i="76"/>
  <c r="I503" i="76" s="1"/>
  <c r="M503" i="76" s="1"/>
  <c r="K502" i="76"/>
  <c r="L502" i="76" s="1"/>
  <c r="H502" i="76"/>
  <c r="I502" i="76" s="1"/>
  <c r="M502" i="76" s="1"/>
  <c r="K501" i="76"/>
  <c r="L501" i="76" s="1"/>
  <c r="H501" i="76"/>
  <c r="I501" i="76" s="1"/>
  <c r="M501" i="76" s="1"/>
  <c r="K500" i="76"/>
  <c r="L500" i="76" s="1"/>
  <c r="H500" i="76"/>
  <c r="I500" i="76" s="1"/>
  <c r="M500" i="76" s="1"/>
  <c r="K499" i="76"/>
  <c r="L499" i="76" s="1"/>
  <c r="G499" i="76"/>
  <c r="H499" i="76" s="1"/>
  <c r="I499" i="76" s="1"/>
  <c r="M499" i="76" s="1"/>
  <c r="K498" i="76"/>
  <c r="L498" i="76" s="1"/>
  <c r="H498" i="76"/>
  <c r="I498" i="76" s="1"/>
  <c r="M498" i="76" s="1"/>
  <c r="K497" i="76"/>
  <c r="L497" i="76" s="1"/>
  <c r="H497" i="76"/>
  <c r="I497" i="76" s="1"/>
  <c r="M497" i="76" s="1"/>
  <c r="K496" i="76"/>
  <c r="L496" i="76" s="1"/>
  <c r="G496" i="76"/>
  <c r="H496" i="76" s="1"/>
  <c r="I496" i="76" s="1"/>
  <c r="M496" i="76" s="1"/>
  <c r="K495" i="76"/>
  <c r="L495" i="76" s="1"/>
  <c r="G495" i="76"/>
  <c r="H495" i="76" s="1"/>
  <c r="I495" i="76" s="1"/>
  <c r="M495" i="76" s="1"/>
  <c r="K494" i="76"/>
  <c r="L494" i="76" s="1"/>
  <c r="G494" i="76"/>
  <c r="H494" i="76" s="1"/>
  <c r="I494" i="76" s="1"/>
  <c r="M494" i="76" s="1"/>
  <c r="K493" i="76"/>
  <c r="L493" i="76" s="1"/>
  <c r="H493" i="76"/>
  <c r="I493" i="76" s="1"/>
  <c r="M493" i="76" s="1"/>
  <c r="K492" i="76"/>
  <c r="L492" i="76" s="1"/>
  <c r="H492" i="76"/>
  <c r="I492" i="76" s="1"/>
  <c r="M492" i="76" s="1"/>
  <c r="K491" i="76"/>
  <c r="L491" i="76" s="1"/>
  <c r="H491" i="76"/>
  <c r="I491" i="76" s="1"/>
  <c r="M491" i="76" s="1"/>
  <c r="K490" i="76"/>
  <c r="L490" i="76" s="1"/>
  <c r="H490" i="76"/>
  <c r="I490" i="76" s="1"/>
  <c r="M490" i="76" s="1"/>
  <c r="K489" i="76"/>
  <c r="L489" i="76" s="1"/>
  <c r="H489" i="76"/>
  <c r="I489" i="76" s="1"/>
  <c r="M489" i="76" s="1"/>
  <c r="K488" i="76"/>
  <c r="L488" i="76" s="1"/>
  <c r="H488" i="76"/>
  <c r="I488" i="76" s="1"/>
  <c r="M488" i="76" s="1"/>
  <c r="K487" i="76"/>
  <c r="L487" i="76" s="1"/>
  <c r="H487" i="76"/>
  <c r="I487" i="76" s="1"/>
  <c r="M487" i="76" s="1"/>
  <c r="K486" i="76"/>
  <c r="L486" i="76" s="1"/>
  <c r="H486" i="76"/>
  <c r="I486" i="76" s="1"/>
  <c r="M486" i="76" s="1"/>
  <c r="K485" i="76"/>
  <c r="L485" i="76" s="1"/>
  <c r="H485" i="76"/>
  <c r="I485" i="76" s="1"/>
  <c r="M485" i="76" s="1"/>
  <c r="K484" i="76"/>
  <c r="L484" i="76" s="1"/>
  <c r="H484" i="76"/>
  <c r="I484" i="76" s="1"/>
  <c r="M484" i="76" s="1"/>
  <c r="K483" i="76"/>
  <c r="L483" i="76" s="1"/>
  <c r="H483" i="76"/>
  <c r="I483" i="76" s="1"/>
  <c r="M483" i="76" s="1"/>
  <c r="K482" i="76"/>
  <c r="L482" i="76" s="1"/>
  <c r="H482" i="76"/>
  <c r="I482" i="76" s="1"/>
  <c r="M482" i="76" s="1"/>
  <c r="K481" i="76"/>
  <c r="L481" i="76" s="1"/>
  <c r="H481" i="76"/>
  <c r="I481" i="76" s="1"/>
  <c r="M481" i="76" s="1"/>
  <c r="K480" i="76"/>
  <c r="L480" i="76" s="1"/>
  <c r="G480" i="76"/>
  <c r="H480" i="76" s="1"/>
  <c r="I480" i="76" s="1"/>
  <c r="M480" i="76" s="1"/>
  <c r="K479" i="76"/>
  <c r="L479" i="76" s="1"/>
  <c r="G479" i="76"/>
  <c r="H479" i="76" s="1"/>
  <c r="I479" i="76" s="1"/>
  <c r="M479" i="76" s="1"/>
  <c r="K478" i="76"/>
  <c r="L478" i="76" s="1"/>
  <c r="G478" i="76"/>
  <c r="H478" i="76" s="1"/>
  <c r="I478" i="76" s="1"/>
  <c r="M478" i="76" s="1"/>
  <c r="K477" i="76"/>
  <c r="L477" i="76" s="1"/>
  <c r="G477" i="76"/>
  <c r="H477" i="76" s="1"/>
  <c r="I477" i="76" s="1"/>
  <c r="M477" i="76" s="1"/>
  <c r="K476" i="76"/>
  <c r="L476" i="76" s="1"/>
  <c r="G476" i="76"/>
  <c r="H476" i="76" s="1"/>
  <c r="I476" i="76" s="1"/>
  <c r="M476" i="76" s="1"/>
  <c r="K475" i="76"/>
  <c r="L475" i="76" s="1"/>
  <c r="G475" i="76"/>
  <c r="H475" i="76" s="1"/>
  <c r="I475" i="76" s="1"/>
  <c r="M475" i="76" s="1"/>
  <c r="K474" i="76"/>
  <c r="L474" i="76" s="1"/>
  <c r="G474" i="76"/>
  <c r="H474" i="76" s="1"/>
  <c r="I474" i="76" s="1"/>
  <c r="M474" i="76" s="1"/>
  <c r="K473" i="76"/>
  <c r="L473" i="76" s="1"/>
  <c r="G473" i="76"/>
  <c r="H473" i="76" s="1"/>
  <c r="I473" i="76" s="1"/>
  <c r="M473" i="76" s="1"/>
  <c r="K472" i="76"/>
  <c r="L472" i="76" s="1"/>
  <c r="G472" i="76"/>
  <c r="H472" i="76" s="1"/>
  <c r="I472" i="76" s="1"/>
  <c r="M472" i="76" s="1"/>
  <c r="K471" i="76"/>
  <c r="L471" i="76" s="1"/>
  <c r="G471" i="76"/>
  <c r="H471" i="76" s="1"/>
  <c r="I471" i="76" s="1"/>
  <c r="M471" i="76" s="1"/>
  <c r="K468" i="76"/>
  <c r="L468" i="76" s="1"/>
  <c r="H468" i="76"/>
  <c r="I468" i="76" s="1"/>
  <c r="M468" i="76" s="1"/>
  <c r="K467" i="76"/>
  <c r="L467" i="76" s="1"/>
  <c r="G467" i="76"/>
  <c r="H467" i="76" s="1"/>
  <c r="I467" i="76" s="1"/>
  <c r="M467" i="76" s="1"/>
  <c r="K466" i="76"/>
  <c r="L466" i="76" s="1"/>
  <c r="G466" i="76"/>
  <c r="H466" i="76" s="1"/>
  <c r="I466" i="76" s="1"/>
  <c r="M466" i="76" s="1"/>
  <c r="K465" i="76"/>
  <c r="L465" i="76" s="1"/>
  <c r="G465" i="76"/>
  <c r="H465" i="76" s="1"/>
  <c r="I465" i="76" s="1"/>
  <c r="M465" i="76" s="1"/>
  <c r="K464" i="76"/>
  <c r="L464" i="76" s="1"/>
  <c r="G464" i="76"/>
  <c r="H464" i="76" s="1"/>
  <c r="I464" i="76" s="1"/>
  <c r="M464" i="76" s="1"/>
  <c r="K463" i="76"/>
  <c r="L463" i="76" s="1"/>
  <c r="G463" i="76"/>
  <c r="H463" i="76" s="1"/>
  <c r="I463" i="76" s="1"/>
  <c r="M463" i="76" s="1"/>
  <c r="K462" i="76"/>
  <c r="L462" i="76" s="1"/>
  <c r="H462" i="76"/>
  <c r="I462" i="76" s="1"/>
  <c r="M462" i="76" s="1"/>
  <c r="K461" i="76"/>
  <c r="L461" i="76" s="1"/>
  <c r="H461" i="76"/>
  <c r="I461" i="76" s="1"/>
  <c r="M461" i="76" s="1"/>
  <c r="K460" i="76"/>
  <c r="L460" i="76" s="1"/>
  <c r="H460" i="76"/>
  <c r="I460" i="76" s="1"/>
  <c r="M460" i="76" s="1"/>
  <c r="K459" i="76"/>
  <c r="L459" i="76" s="1"/>
  <c r="H459" i="76"/>
  <c r="I459" i="76" s="1"/>
  <c r="M459" i="76" s="1"/>
  <c r="K458" i="76"/>
  <c r="L458" i="76" s="1"/>
  <c r="G458" i="76"/>
  <c r="H458" i="76" s="1"/>
  <c r="I458" i="76" s="1"/>
  <c r="M458" i="76" s="1"/>
  <c r="K457" i="76"/>
  <c r="L457" i="76" s="1"/>
  <c r="G457" i="76"/>
  <c r="H457" i="76" s="1"/>
  <c r="I457" i="76" s="1"/>
  <c r="M457" i="76" s="1"/>
  <c r="K456" i="76"/>
  <c r="L456" i="76" s="1"/>
  <c r="G456" i="76"/>
  <c r="H456" i="76" s="1"/>
  <c r="I456" i="76" s="1"/>
  <c r="M456" i="76" s="1"/>
  <c r="K455" i="76"/>
  <c r="L455" i="76" s="1"/>
  <c r="H455" i="76"/>
  <c r="I455" i="76" s="1"/>
  <c r="M455" i="76" s="1"/>
  <c r="K454" i="76"/>
  <c r="L454" i="76" s="1"/>
  <c r="H454" i="76"/>
  <c r="I454" i="76" s="1"/>
  <c r="M454" i="76" s="1"/>
  <c r="K453" i="76"/>
  <c r="L453" i="76" s="1"/>
  <c r="H453" i="76"/>
  <c r="I453" i="76" s="1"/>
  <c r="M453" i="76" s="1"/>
  <c r="K452" i="76"/>
  <c r="L452" i="76" s="1"/>
  <c r="H452" i="76"/>
  <c r="I452" i="76" s="1"/>
  <c r="M452" i="76" s="1"/>
  <c r="K451" i="76"/>
  <c r="L451" i="76" s="1"/>
  <c r="H451" i="76"/>
  <c r="I451" i="76" s="1"/>
  <c r="M451" i="76" s="1"/>
  <c r="K450" i="76"/>
  <c r="L450" i="76" s="1"/>
  <c r="H450" i="76"/>
  <c r="I450" i="76" s="1"/>
  <c r="M450" i="76" s="1"/>
  <c r="K449" i="76"/>
  <c r="L449" i="76" s="1"/>
  <c r="H449" i="76"/>
  <c r="I449" i="76" s="1"/>
  <c r="M449" i="76" s="1"/>
  <c r="K448" i="76"/>
  <c r="L448" i="76" s="1"/>
  <c r="G448" i="76"/>
  <c r="H448" i="76" s="1"/>
  <c r="I448" i="76" s="1"/>
  <c r="M448" i="76" s="1"/>
  <c r="K447" i="76"/>
  <c r="L447" i="76" s="1"/>
  <c r="G447" i="76"/>
  <c r="H447" i="76" s="1"/>
  <c r="I447" i="76" s="1"/>
  <c r="M447" i="76" s="1"/>
  <c r="K446" i="76"/>
  <c r="L446" i="76" s="1"/>
  <c r="G446" i="76"/>
  <c r="H446" i="76" s="1"/>
  <c r="I446" i="76" s="1"/>
  <c r="M446" i="76" s="1"/>
  <c r="K445" i="76"/>
  <c r="L445" i="76" s="1"/>
  <c r="G445" i="76"/>
  <c r="H445" i="76" s="1"/>
  <c r="I445" i="76" s="1"/>
  <c r="M445" i="76" s="1"/>
  <c r="K444" i="76"/>
  <c r="L444" i="76" s="1"/>
  <c r="G444" i="76"/>
  <c r="H444" i="76" s="1"/>
  <c r="I444" i="76" s="1"/>
  <c r="M444" i="76" s="1"/>
  <c r="K443" i="76"/>
  <c r="L443" i="76" s="1"/>
  <c r="G443" i="76"/>
  <c r="H443" i="76" s="1"/>
  <c r="I443" i="76" s="1"/>
  <c r="M443" i="76" s="1"/>
  <c r="K442" i="76"/>
  <c r="L442" i="76" s="1"/>
  <c r="G442" i="76"/>
  <c r="H442" i="76" s="1"/>
  <c r="I442" i="76" s="1"/>
  <c r="M442" i="76" s="1"/>
  <c r="K441" i="76"/>
  <c r="L441" i="76" s="1"/>
  <c r="G441" i="76"/>
  <c r="H441" i="76" s="1"/>
  <c r="I441" i="76" s="1"/>
  <c r="M441" i="76" s="1"/>
  <c r="K440" i="76"/>
  <c r="L440" i="76" s="1"/>
  <c r="G440" i="76"/>
  <c r="H440" i="76" s="1"/>
  <c r="I440" i="76" s="1"/>
  <c r="M440" i="76" s="1"/>
  <c r="K439" i="76"/>
  <c r="L439" i="76" s="1"/>
  <c r="G439" i="76"/>
  <c r="H439" i="76" s="1"/>
  <c r="I439" i="76" s="1"/>
  <c r="M439" i="76" s="1"/>
  <c r="K438" i="76"/>
  <c r="L438" i="76" s="1"/>
  <c r="H438" i="76"/>
  <c r="I438" i="76" s="1"/>
  <c r="M438" i="76" s="1"/>
  <c r="K437" i="76"/>
  <c r="L437" i="76" s="1"/>
  <c r="H437" i="76"/>
  <c r="I437" i="76" s="1"/>
  <c r="M437" i="76" s="1"/>
  <c r="K436" i="76"/>
  <c r="L436" i="76" s="1"/>
  <c r="H436" i="76"/>
  <c r="I436" i="76" s="1"/>
  <c r="M436" i="76" s="1"/>
  <c r="K435" i="76"/>
  <c r="L435" i="76" s="1"/>
  <c r="H435" i="76"/>
  <c r="I435" i="76" s="1"/>
  <c r="M435" i="76" s="1"/>
  <c r="K434" i="76"/>
  <c r="L434" i="76" s="1"/>
  <c r="H434" i="76"/>
  <c r="I434" i="76" s="1"/>
  <c r="M434" i="76" s="1"/>
  <c r="K433" i="76"/>
  <c r="L433" i="76" s="1"/>
  <c r="H433" i="76"/>
  <c r="I433" i="76" s="1"/>
  <c r="M433" i="76" s="1"/>
  <c r="K432" i="76"/>
  <c r="L432" i="76" s="1"/>
  <c r="G432" i="76"/>
  <c r="H432" i="76" s="1"/>
  <c r="I432" i="76" s="1"/>
  <c r="M432" i="76" s="1"/>
  <c r="K431" i="76"/>
  <c r="L431" i="76" s="1"/>
  <c r="H431" i="76"/>
  <c r="I431" i="76" s="1"/>
  <c r="M431" i="76" s="1"/>
  <c r="K430" i="76"/>
  <c r="L430" i="76" s="1"/>
  <c r="G430" i="76"/>
  <c r="H430" i="76" s="1"/>
  <c r="I430" i="76" s="1"/>
  <c r="M430" i="76" s="1"/>
  <c r="K429" i="76"/>
  <c r="L429" i="76" s="1"/>
  <c r="G429" i="76"/>
  <c r="H429" i="76" s="1"/>
  <c r="I429" i="76" s="1"/>
  <c r="M429" i="76" s="1"/>
  <c r="K428" i="76"/>
  <c r="L428" i="76" s="1"/>
  <c r="G428" i="76"/>
  <c r="H428" i="76" s="1"/>
  <c r="I428" i="76" s="1"/>
  <c r="M428" i="76" s="1"/>
  <c r="K427" i="76"/>
  <c r="L427" i="76" s="1"/>
  <c r="G427" i="76"/>
  <c r="H427" i="76" s="1"/>
  <c r="I427" i="76" s="1"/>
  <c r="M427" i="76" s="1"/>
  <c r="K426" i="76"/>
  <c r="L426" i="76" s="1"/>
  <c r="K425" i="76"/>
  <c r="L425" i="76" s="1"/>
  <c r="K424" i="76"/>
  <c r="L424" i="76" s="1"/>
  <c r="H424" i="76"/>
  <c r="I424" i="76" s="1"/>
  <c r="M424" i="76" s="1"/>
  <c r="K423" i="76"/>
  <c r="L423" i="76" s="1"/>
  <c r="H423" i="76"/>
  <c r="I423" i="76" s="1"/>
  <c r="M423" i="76" s="1"/>
  <c r="K422" i="76"/>
  <c r="L422" i="76" s="1"/>
  <c r="H422" i="76"/>
  <c r="I422" i="76" s="1"/>
  <c r="M422" i="76" s="1"/>
  <c r="K421" i="76"/>
  <c r="L421" i="76" s="1"/>
  <c r="G421" i="76"/>
  <c r="H421" i="76" s="1"/>
  <c r="I421" i="76" s="1"/>
  <c r="M421" i="76" s="1"/>
  <c r="K420" i="76"/>
  <c r="L420" i="76" s="1"/>
  <c r="H420" i="76"/>
  <c r="I420" i="76" s="1"/>
  <c r="M420" i="76" s="1"/>
  <c r="K419" i="76"/>
  <c r="L419" i="76" s="1"/>
  <c r="H419" i="76"/>
  <c r="I419" i="76" s="1"/>
  <c r="M419" i="76" s="1"/>
  <c r="K418" i="76"/>
  <c r="L418" i="76" s="1"/>
  <c r="H418" i="76"/>
  <c r="I418" i="76" s="1"/>
  <c r="M418" i="76" s="1"/>
  <c r="K417" i="76"/>
  <c r="L417" i="76" s="1"/>
  <c r="H417" i="76"/>
  <c r="I417" i="76" s="1"/>
  <c r="M417" i="76" s="1"/>
  <c r="K416" i="76"/>
  <c r="L416" i="76" s="1"/>
  <c r="H416" i="76"/>
  <c r="I416" i="76" s="1"/>
  <c r="M416" i="76" s="1"/>
  <c r="K415" i="76"/>
  <c r="L415" i="76" s="1"/>
  <c r="H415" i="76"/>
  <c r="I415" i="76" s="1"/>
  <c r="M415" i="76" s="1"/>
  <c r="K414" i="76"/>
  <c r="L414" i="76" s="1"/>
  <c r="H414" i="76"/>
  <c r="I414" i="76" s="1"/>
  <c r="M414" i="76" s="1"/>
  <c r="K413" i="76"/>
  <c r="L413" i="76" s="1"/>
  <c r="H413" i="76"/>
  <c r="I413" i="76" s="1"/>
  <c r="M413" i="76" s="1"/>
  <c r="K412" i="76"/>
  <c r="L412" i="76" s="1"/>
  <c r="H412" i="76"/>
  <c r="I412" i="76" s="1"/>
  <c r="M412" i="76" s="1"/>
  <c r="K411" i="76"/>
  <c r="L411" i="76" s="1"/>
  <c r="H411" i="76"/>
  <c r="I411" i="76" s="1"/>
  <c r="M411" i="76" s="1"/>
  <c r="K410" i="76"/>
  <c r="L410" i="76" s="1"/>
  <c r="H410" i="76"/>
  <c r="I410" i="76" s="1"/>
  <c r="M410" i="76" s="1"/>
  <c r="K409" i="76"/>
  <c r="L409" i="76" s="1"/>
  <c r="H409" i="76"/>
  <c r="I409" i="76" s="1"/>
  <c r="M409" i="76" s="1"/>
  <c r="K408" i="76"/>
  <c r="L408" i="76" s="1"/>
  <c r="H408" i="76"/>
  <c r="I408" i="76" s="1"/>
  <c r="M408" i="76" s="1"/>
  <c r="K407" i="76"/>
  <c r="L407" i="76" s="1"/>
  <c r="H407" i="76"/>
  <c r="I407" i="76" s="1"/>
  <c r="M407" i="76" s="1"/>
  <c r="K406" i="76"/>
  <c r="L406" i="76" s="1"/>
  <c r="H406" i="76"/>
  <c r="I406" i="76" s="1"/>
  <c r="M406" i="76" s="1"/>
  <c r="K405" i="76"/>
  <c r="L405" i="76" s="1"/>
  <c r="H405" i="76"/>
  <c r="I405" i="76" s="1"/>
  <c r="M405" i="76" s="1"/>
  <c r="K404" i="76"/>
  <c r="L404" i="76" s="1"/>
  <c r="H404" i="76"/>
  <c r="I404" i="76" s="1"/>
  <c r="M404" i="76" s="1"/>
  <c r="K403" i="76"/>
  <c r="L403" i="76" s="1"/>
  <c r="H403" i="76"/>
  <c r="I403" i="76" s="1"/>
  <c r="M403" i="76" s="1"/>
  <c r="K402" i="76"/>
  <c r="L402" i="76" s="1"/>
  <c r="H402" i="76"/>
  <c r="I402" i="76" s="1"/>
  <c r="M402" i="76" s="1"/>
  <c r="K401" i="76"/>
  <c r="L401" i="76" s="1"/>
  <c r="H401" i="76"/>
  <c r="I401" i="76" s="1"/>
  <c r="M401" i="76" s="1"/>
  <c r="K400" i="76"/>
  <c r="L400" i="76" s="1"/>
  <c r="H400" i="76"/>
  <c r="I400" i="76" s="1"/>
  <c r="M400" i="76" s="1"/>
  <c r="K399" i="76"/>
  <c r="L399" i="76" s="1"/>
  <c r="H399" i="76"/>
  <c r="I399" i="76" s="1"/>
  <c r="M399" i="76" s="1"/>
  <c r="K398" i="76"/>
  <c r="L398" i="76" s="1"/>
  <c r="H398" i="76"/>
  <c r="I398" i="76" s="1"/>
  <c r="M398" i="76" s="1"/>
  <c r="K397" i="76"/>
  <c r="L397" i="76" s="1"/>
  <c r="H397" i="76"/>
  <c r="I397" i="76" s="1"/>
  <c r="M397" i="76" s="1"/>
  <c r="K396" i="76"/>
  <c r="L396" i="76" s="1"/>
  <c r="H396" i="76"/>
  <c r="I396" i="76" s="1"/>
  <c r="M396" i="76" s="1"/>
  <c r="K395" i="76"/>
  <c r="L395" i="76" s="1"/>
  <c r="K394" i="76"/>
  <c r="L394" i="76" s="1"/>
  <c r="G394" i="76"/>
  <c r="H394" i="76" s="1"/>
  <c r="I394" i="76" s="1"/>
  <c r="M394" i="76" s="1"/>
  <c r="K393" i="76"/>
  <c r="L393" i="76" s="1"/>
  <c r="H393" i="76"/>
  <c r="I393" i="76" s="1"/>
  <c r="M393" i="76" s="1"/>
  <c r="K392" i="76"/>
  <c r="L392" i="76" s="1"/>
  <c r="H392" i="76"/>
  <c r="I392" i="76" s="1"/>
  <c r="M392" i="76" s="1"/>
  <c r="K391" i="76"/>
  <c r="L391" i="76" s="1"/>
  <c r="G391" i="76"/>
  <c r="H391" i="76" s="1"/>
  <c r="I391" i="76" s="1"/>
  <c r="M391" i="76" s="1"/>
  <c r="K390" i="76"/>
  <c r="L390" i="76" s="1"/>
  <c r="G390" i="76"/>
  <c r="H390" i="76" s="1"/>
  <c r="I390" i="76" s="1"/>
  <c r="M390" i="76" s="1"/>
  <c r="K389" i="76"/>
  <c r="L389" i="76" s="1"/>
  <c r="H389" i="76"/>
  <c r="I389" i="76" s="1"/>
  <c r="M389" i="76" s="1"/>
  <c r="K388" i="76"/>
  <c r="L388" i="76" s="1"/>
  <c r="H388" i="76"/>
  <c r="I388" i="76" s="1"/>
  <c r="M388" i="76" s="1"/>
  <c r="K387" i="76"/>
  <c r="L387" i="76" s="1"/>
  <c r="H387" i="76"/>
  <c r="I387" i="76" s="1"/>
  <c r="M387" i="76" s="1"/>
  <c r="K386" i="76"/>
  <c r="L386" i="76" s="1"/>
  <c r="H386" i="76"/>
  <c r="I386" i="76" s="1"/>
  <c r="M386" i="76" s="1"/>
  <c r="K385" i="76"/>
  <c r="L385" i="76" s="1"/>
  <c r="H385" i="76"/>
  <c r="I385" i="76" s="1"/>
  <c r="M385" i="76" s="1"/>
  <c r="K384" i="76"/>
  <c r="L384" i="76" s="1"/>
  <c r="H384" i="76"/>
  <c r="I384" i="76" s="1"/>
  <c r="M384" i="76" s="1"/>
  <c r="K383" i="76"/>
  <c r="L383" i="76" s="1"/>
  <c r="H383" i="76"/>
  <c r="I383" i="76" s="1"/>
  <c r="M383" i="76" s="1"/>
  <c r="K382" i="76"/>
  <c r="L382" i="76" s="1"/>
  <c r="H382" i="76"/>
  <c r="I382" i="76" s="1"/>
  <c r="G377" i="76"/>
  <c r="K376" i="76"/>
  <c r="L376" i="76" s="1"/>
  <c r="H376" i="76"/>
  <c r="I376" i="76" s="1"/>
  <c r="M376" i="76" s="1"/>
  <c r="K375" i="76"/>
  <c r="L375" i="76" s="1"/>
  <c r="H375" i="76"/>
  <c r="I375" i="76" s="1"/>
  <c r="M375" i="76" s="1"/>
  <c r="K374" i="76"/>
  <c r="L374" i="76" s="1"/>
  <c r="H374" i="76"/>
  <c r="I374" i="76" s="1"/>
  <c r="M374" i="76" s="1"/>
  <c r="K373" i="76"/>
  <c r="L373" i="76" s="1"/>
  <c r="H373" i="76"/>
  <c r="I373" i="76" s="1"/>
  <c r="M373" i="76" s="1"/>
  <c r="K372" i="76"/>
  <c r="L372" i="76" s="1"/>
  <c r="H372" i="76"/>
  <c r="I372" i="76" s="1"/>
  <c r="M372" i="76" s="1"/>
  <c r="K371" i="76"/>
  <c r="L371" i="76" s="1"/>
  <c r="H371" i="76"/>
  <c r="I371" i="76" s="1"/>
  <c r="M371" i="76" s="1"/>
  <c r="K370" i="76"/>
  <c r="L370" i="76" s="1"/>
  <c r="H370" i="76"/>
  <c r="I370" i="76" s="1"/>
  <c r="M370" i="76" s="1"/>
  <c r="K368" i="76"/>
  <c r="L368" i="76" s="1"/>
  <c r="H368" i="76"/>
  <c r="I368" i="76" s="1"/>
  <c r="M368" i="76" s="1"/>
  <c r="K366" i="76"/>
  <c r="L366" i="76" s="1"/>
  <c r="H366" i="76"/>
  <c r="I366" i="76" s="1"/>
  <c r="M366" i="76" s="1"/>
  <c r="K365" i="76"/>
  <c r="L365" i="76" s="1"/>
  <c r="H365" i="76"/>
  <c r="I365" i="76" s="1"/>
  <c r="M365" i="76" s="1"/>
  <c r="K363" i="76"/>
  <c r="L363" i="76" s="1"/>
  <c r="H363" i="76"/>
  <c r="I363" i="76" s="1"/>
  <c r="M363" i="76" s="1"/>
  <c r="K362" i="76"/>
  <c r="L362" i="76" s="1"/>
  <c r="H362" i="76"/>
  <c r="I362" i="76" s="1"/>
  <c r="M362" i="76" s="1"/>
  <c r="K360" i="76"/>
  <c r="L360" i="76" s="1"/>
  <c r="H360" i="76"/>
  <c r="I360" i="76" s="1"/>
  <c r="M360" i="76" s="1"/>
  <c r="K359" i="76"/>
  <c r="L359" i="76" s="1"/>
  <c r="H359" i="76"/>
  <c r="I359" i="76" s="1"/>
  <c r="M359" i="76" s="1"/>
  <c r="K358" i="76"/>
  <c r="L358" i="76" s="1"/>
  <c r="H358" i="76"/>
  <c r="I358" i="76" s="1"/>
  <c r="M358" i="76" s="1"/>
  <c r="K357" i="76"/>
  <c r="L357" i="76" s="1"/>
  <c r="H357" i="76"/>
  <c r="I357" i="76" s="1"/>
  <c r="M357" i="76" s="1"/>
  <c r="K356" i="76"/>
  <c r="L356" i="76" s="1"/>
  <c r="G356" i="76"/>
  <c r="H356" i="76" s="1"/>
  <c r="I356" i="76" s="1"/>
  <c r="M356" i="76" s="1"/>
  <c r="K355" i="76"/>
  <c r="L355" i="76" s="1"/>
  <c r="G355" i="76"/>
  <c r="H355" i="76" s="1"/>
  <c r="I355" i="76" s="1"/>
  <c r="M355" i="76" s="1"/>
  <c r="K354" i="76"/>
  <c r="L354" i="76" s="1"/>
  <c r="G354" i="76"/>
  <c r="H354" i="76" s="1"/>
  <c r="I354" i="76" s="1"/>
  <c r="M354" i="76" s="1"/>
  <c r="K353" i="76"/>
  <c r="L353" i="76" s="1"/>
  <c r="G353" i="76"/>
  <c r="H353" i="76" s="1"/>
  <c r="I353" i="76" s="1"/>
  <c r="M353" i="76" s="1"/>
  <c r="K351" i="76"/>
  <c r="L351" i="76" s="1"/>
  <c r="G351" i="76"/>
  <c r="H351" i="76" s="1"/>
  <c r="I351" i="76" s="1"/>
  <c r="M351" i="76" s="1"/>
  <c r="K350" i="76"/>
  <c r="G350" i="76"/>
  <c r="H350" i="76" s="1"/>
  <c r="E350" i="76"/>
  <c r="K349" i="76"/>
  <c r="G349" i="76"/>
  <c r="H349" i="76" s="1"/>
  <c r="E349" i="76"/>
  <c r="K343" i="76"/>
  <c r="L343" i="76" s="1"/>
  <c r="H343" i="76"/>
  <c r="I343" i="76" s="1"/>
  <c r="M343" i="76" s="1"/>
  <c r="K342" i="76"/>
  <c r="L342" i="76" s="1"/>
  <c r="H342" i="76"/>
  <c r="I342" i="76" s="1"/>
  <c r="M342" i="76" s="1"/>
  <c r="K341" i="76"/>
  <c r="L341" i="76" s="1"/>
  <c r="H341" i="76"/>
  <c r="I341" i="76" s="1"/>
  <c r="M341" i="76" s="1"/>
  <c r="K340" i="76"/>
  <c r="L340" i="76" s="1"/>
  <c r="H340" i="76"/>
  <c r="I340" i="76" s="1"/>
  <c r="M340" i="76" s="1"/>
  <c r="K338" i="76"/>
  <c r="L338" i="76" s="1"/>
  <c r="H338" i="76"/>
  <c r="I338" i="76" s="1"/>
  <c r="M338" i="76" s="1"/>
  <c r="K336" i="76"/>
  <c r="L336" i="76" s="1"/>
  <c r="H336" i="76"/>
  <c r="I336" i="76" s="1"/>
  <c r="M336" i="76" s="1"/>
  <c r="K334" i="76"/>
  <c r="L334" i="76" s="1"/>
  <c r="H334" i="76"/>
  <c r="I334" i="76" s="1"/>
  <c r="M334" i="76" s="1"/>
  <c r="K333" i="76"/>
  <c r="L333" i="76" s="1"/>
  <c r="H333" i="76"/>
  <c r="I333" i="76" s="1"/>
  <c r="M333" i="76" s="1"/>
  <c r="K331" i="76"/>
  <c r="L331" i="76" s="1"/>
  <c r="G331" i="76"/>
  <c r="H331" i="76" s="1"/>
  <c r="I331" i="76" s="1"/>
  <c r="M331" i="76" s="1"/>
  <c r="K330" i="76"/>
  <c r="L330" i="76" s="1"/>
  <c r="G330" i="76"/>
  <c r="H330" i="76" s="1"/>
  <c r="I330" i="76" s="1"/>
  <c r="M330" i="76" s="1"/>
  <c r="K328" i="76"/>
  <c r="L328" i="76" s="1"/>
  <c r="H328" i="76"/>
  <c r="I328" i="76" s="1"/>
  <c r="M328" i="76" s="1"/>
  <c r="K327" i="76"/>
  <c r="L327" i="76" s="1"/>
  <c r="H327" i="76"/>
  <c r="I327" i="76" s="1"/>
  <c r="M327" i="76" s="1"/>
  <c r="K326" i="76"/>
  <c r="L326" i="76" s="1"/>
  <c r="H326" i="76"/>
  <c r="I326" i="76" s="1"/>
  <c r="M326" i="76" s="1"/>
  <c r="K325" i="76"/>
  <c r="L325" i="76" s="1"/>
  <c r="H325" i="76"/>
  <c r="I325" i="76" s="1"/>
  <c r="M325" i="76" s="1"/>
  <c r="K324" i="76"/>
  <c r="L324" i="76" s="1"/>
  <c r="H324" i="76"/>
  <c r="I324" i="76" s="1"/>
  <c r="M324" i="76" s="1"/>
  <c r="K323" i="76"/>
  <c r="L323" i="76" s="1"/>
  <c r="H323" i="76"/>
  <c r="I323" i="76" s="1"/>
  <c r="M323" i="76" s="1"/>
  <c r="K322" i="76"/>
  <c r="L322" i="76" s="1"/>
  <c r="H322" i="76"/>
  <c r="I322" i="76" s="1"/>
  <c r="M322" i="76" s="1"/>
  <c r="K320" i="76"/>
  <c r="L320" i="76" s="1"/>
  <c r="G320" i="76"/>
  <c r="H320" i="76" s="1"/>
  <c r="I320" i="76" s="1"/>
  <c r="M320" i="76" s="1"/>
  <c r="K319" i="76"/>
  <c r="L319" i="76" s="1"/>
  <c r="G319" i="76"/>
  <c r="H319" i="76" s="1"/>
  <c r="I319" i="76" s="1"/>
  <c r="M319" i="76" s="1"/>
  <c r="K318" i="76"/>
  <c r="L318" i="76" s="1"/>
  <c r="G318" i="76"/>
  <c r="H318" i="76" s="1"/>
  <c r="I318" i="76" s="1"/>
  <c r="M318" i="76" s="1"/>
  <c r="K317" i="76"/>
  <c r="L317" i="76" s="1"/>
  <c r="G317" i="76"/>
  <c r="H317" i="76" s="1"/>
  <c r="I317" i="76" s="1"/>
  <c r="M317" i="76" s="1"/>
  <c r="K316" i="76"/>
  <c r="L316" i="76" s="1"/>
  <c r="G316" i="76"/>
  <c r="H316" i="76" s="1"/>
  <c r="I316" i="76" s="1"/>
  <c r="M316" i="76" s="1"/>
  <c r="K315" i="76"/>
  <c r="L315" i="76" s="1"/>
  <c r="G315" i="76"/>
  <c r="H315" i="76" s="1"/>
  <c r="I315" i="76" s="1"/>
  <c r="M315" i="76" s="1"/>
  <c r="K314" i="76"/>
  <c r="L314" i="76" s="1"/>
  <c r="G314" i="76"/>
  <c r="H314" i="76" s="1"/>
  <c r="I314" i="76" s="1"/>
  <c r="M314" i="76" s="1"/>
  <c r="K313" i="76"/>
  <c r="L313" i="76" s="1"/>
  <c r="G313" i="76"/>
  <c r="H313" i="76" s="1"/>
  <c r="I313" i="76" s="1"/>
  <c r="M313" i="76" s="1"/>
  <c r="K312" i="76"/>
  <c r="G312" i="76"/>
  <c r="H312" i="76" s="1"/>
  <c r="E312" i="76"/>
  <c r="K311" i="76"/>
  <c r="G311" i="76"/>
  <c r="H311" i="76" s="1"/>
  <c r="E311" i="76"/>
  <c r="K309" i="76"/>
  <c r="L309" i="76" s="1"/>
  <c r="G309" i="76"/>
  <c r="H309" i="76" s="1"/>
  <c r="I309" i="76" s="1"/>
  <c r="M309" i="76" s="1"/>
  <c r="K308" i="76"/>
  <c r="L308" i="76" s="1"/>
  <c r="H308" i="76"/>
  <c r="I308" i="76" s="1"/>
  <c r="M308" i="76" s="1"/>
  <c r="K307" i="76"/>
  <c r="L307" i="76" s="1"/>
  <c r="G307" i="76"/>
  <c r="H307" i="76" s="1"/>
  <c r="I307" i="76" s="1"/>
  <c r="M307" i="76" s="1"/>
  <c r="K305" i="76"/>
  <c r="L305" i="76" s="1"/>
  <c r="G305" i="76"/>
  <c r="H305" i="76" s="1"/>
  <c r="I305" i="76" s="1"/>
  <c r="M305" i="76" s="1"/>
  <c r="K304" i="76"/>
  <c r="L304" i="76" s="1"/>
  <c r="G304" i="76"/>
  <c r="H304" i="76" s="1"/>
  <c r="I304" i="76" s="1"/>
  <c r="M304" i="76" s="1"/>
  <c r="K303" i="76"/>
  <c r="L303" i="76" s="1"/>
  <c r="G303" i="76"/>
  <c r="H303" i="76" s="1"/>
  <c r="I303" i="76" s="1"/>
  <c r="M303" i="76" s="1"/>
  <c r="K301" i="76"/>
  <c r="L301" i="76" s="1"/>
  <c r="G301" i="76"/>
  <c r="H301" i="76" s="1"/>
  <c r="I301" i="76" s="1"/>
  <c r="M301" i="76" s="1"/>
  <c r="K300" i="76"/>
  <c r="L300" i="76" s="1"/>
  <c r="G300" i="76"/>
  <c r="H300" i="76" s="1"/>
  <c r="I300" i="76" s="1"/>
  <c r="M300" i="76" s="1"/>
  <c r="K299" i="76"/>
  <c r="L299" i="76" s="1"/>
  <c r="G299" i="76"/>
  <c r="H299" i="76" s="1"/>
  <c r="I299" i="76" s="1"/>
  <c r="M299" i="76" s="1"/>
  <c r="K297" i="76"/>
  <c r="L297" i="76" s="1"/>
  <c r="H297" i="76"/>
  <c r="I297" i="76" s="1"/>
  <c r="M297" i="76" s="1"/>
  <c r="K296" i="76"/>
  <c r="L296" i="76" s="1"/>
  <c r="H296" i="76"/>
  <c r="I296" i="76" s="1"/>
  <c r="M296" i="76" s="1"/>
  <c r="K295" i="76"/>
  <c r="L295" i="76" s="1"/>
  <c r="G295" i="76"/>
  <c r="H295" i="76" s="1"/>
  <c r="I295" i="76" s="1"/>
  <c r="M295" i="76" s="1"/>
  <c r="K294" i="76"/>
  <c r="L294" i="76" s="1"/>
  <c r="G294" i="76"/>
  <c r="H294" i="76" s="1"/>
  <c r="I294" i="76" s="1"/>
  <c r="M294" i="76" s="1"/>
  <c r="K293" i="76"/>
  <c r="L293" i="76" s="1"/>
  <c r="G293" i="76"/>
  <c r="H293" i="76" s="1"/>
  <c r="I293" i="76" s="1"/>
  <c r="M293" i="76" s="1"/>
  <c r="K291" i="76"/>
  <c r="L291" i="76" s="1"/>
  <c r="G291" i="76"/>
  <c r="H291" i="76" s="1"/>
  <c r="I291" i="76" s="1"/>
  <c r="M291" i="76" s="1"/>
  <c r="K289" i="76"/>
  <c r="L289" i="76" s="1"/>
  <c r="G289" i="76"/>
  <c r="H289" i="76" s="1"/>
  <c r="I289" i="76" s="1"/>
  <c r="M289" i="76" s="1"/>
  <c r="K287" i="76"/>
  <c r="L287" i="76" s="1"/>
  <c r="G287" i="76"/>
  <c r="H287" i="76" s="1"/>
  <c r="I287" i="76" s="1"/>
  <c r="M287" i="76" s="1"/>
  <c r="K285" i="76"/>
  <c r="L285" i="76" s="1"/>
  <c r="G285" i="76"/>
  <c r="H285" i="76" s="1"/>
  <c r="I285" i="76" s="1"/>
  <c r="K278" i="76"/>
  <c r="L278" i="76" s="1"/>
  <c r="G278" i="76"/>
  <c r="H278" i="76" s="1"/>
  <c r="I278" i="76" s="1"/>
  <c r="M278" i="76" s="1"/>
  <c r="K277" i="76"/>
  <c r="L277" i="76" s="1"/>
  <c r="G277" i="76"/>
  <c r="H277" i="76" s="1"/>
  <c r="I277" i="76" s="1"/>
  <c r="M277" i="76" s="1"/>
  <c r="K276" i="76"/>
  <c r="L276" i="76" s="1"/>
  <c r="G276" i="76"/>
  <c r="H276" i="76" s="1"/>
  <c r="I276" i="76" s="1"/>
  <c r="M276" i="76" s="1"/>
  <c r="K275" i="76"/>
  <c r="L275" i="76" s="1"/>
  <c r="G275" i="76"/>
  <c r="H275" i="76" s="1"/>
  <c r="I275" i="76" s="1"/>
  <c r="M275" i="76" s="1"/>
  <c r="L274" i="76"/>
  <c r="I274" i="76"/>
  <c r="K273" i="76"/>
  <c r="L273" i="76" s="1"/>
  <c r="H273" i="76"/>
  <c r="I273" i="76" s="1"/>
  <c r="M273" i="76" s="1"/>
  <c r="L270" i="76"/>
  <c r="G270" i="76"/>
  <c r="H270" i="76" s="1"/>
  <c r="I270" i="76" s="1"/>
  <c r="M270" i="76" s="1"/>
  <c r="L269" i="76"/>
  <c r="G269" i="76"/>
  <c r="H269" i="76" s="1"/>
  <c r="I269" i="76" s="1"/>
  <c r="M269" i="76" s="1"/>
  <c r="K268" i="76"/>
  <c r="L268" i="76" s="1"/>
  <c r="G268" i="76"/>
  <c r="H268" i="76" s="1"/>
  <c r="I268" i="76" s="1"/>
  <c r="M268" i="76" s="1"/>
  <c r="L266" i="76"/>
  <c r="G266" i="76"/>
  <c r="H266" i="76" s="1"/>
  <c r="I266" i="76" s="1"/>
  <c r="M266" i="76" s="1"/>
  <c r="L265" i="76"/>
  <c r="G265" i="76"/>
  <c r="H265" i="76" s="1"/>
  <c r="I265" i="76" s="1"/>
  <c r="M265" i="76" s="1"/>
  <c r="K264" i="76"/>
  <c r="L264" i="76" s="1"/>
  <c r="G264" i="76"/>
  <c r="H264" i="76" s="1"/>
  <c r="I264" i="76" s="1"/>
  <c r="M264" i="76" s="1"/>
  <c r="L262" i="76"/>
  <c r="G262" i="76"/>
  <c r="H262" i="76" s="1"/>
  <c r="I262" i="76" s="1"/>
  <c r="M262" i="76" s="1"/>
  <c r="L261" i="76"/>
  <c r="G261" i="76"/>
  <c r="H261" i="76" s="1"/>
  <c r="I261" i="76" s="1"/>
  <c r="M261" i="76" s="1"/>
  <c r="K260" i="76"/>
  <c r="L260" i="76" s="1"/>
  <c r="G260" i="76"/>
  <c r="H260" i="76" s="1"/>
  <c r="I260" i="76" s="1"/>
  <c r="M260" i="76" s="1"/>
  <c r="L258" i="76"/>
  <c r="G258" i="76"/>
  <c r="H258" i="76" s="1"/>
  <c r="I258" i="76" s="1"/>
  <c r="M258" i="76" s="1"/>
  <c r="L257" i="76"/>
  <c r="G257" i="76"/>
  <c r="H257" i="76" s="1"/>
  <c r="I257" i="76" s="1"/>
  <c r="M257" i="76" s="1"/>
  <c r="K256" i="76"/>
  <c r="L256" i="76" s="1"/>
  <c r="G256" i="76"/>
  <c r="H256" i="76" s="1"/>
  <c r="I256" i="76" s="1"/>
  <c r="M256" i="76" s="1"/>
  <c r="L254" i="76"/>
  <c r="G254" i="76"/>
  <c r="H254" i="76" s="1"/>
  <c r="I254" i="76" s="1"/>
  <c r="M254" i="76" s="1"/>
  <c r="L253" i="76"/>
  <c r="G253" i="76"/>
  <c r="H253" i="76" s="1"/>
  <c r="I253" i="76" s="1"/>
  <c r="M253" i="76" s="1"/>
  <c r="K252" i="76"/>
  <c r="L252" i="76" s="1"/>
  <c r="G252" i="76"/>
  <c r="H252" i="76" s="1"/>
  <c r="I252" i="76" s="1"/>
  <c r="M252" i="76" s="1"/>
  <c r="L249" i="76"/>
  <c r="G249" i="76"/>
  <c r="H249" i="76" s="1"/>
  <c r="I249" i="76" s="1"/>
  <c r="M249" i="76" s="1"/>
  <c r="L248" i="76"/>
  <c r="G248" i="76"/>
  <c r="H248" i="76" s="1"/>
  <c r="I248" i="76" s="1"/>
  <c r="M248" i="76" s="1"/>
  <c r="K247" i="76"/>
  <c r="L247" i="76" s="1"/>
  <c r="G247" i="76"/>
  <c r="H247" i="76" s="1"/>
  <c r="I247" i="76" s="1"/>
  <c r="M247" i="76" s="1"/>
  <c r="L245" i="76"/>
  <c r="G245" i="76"/>
  <c r="H245" i="76" s="1"/>
  <c r="I245" i="76" s="1"/>
  <c r="M245" i="76" s="1"/>
  <c r="L244" i="76"/>
  <c r="G244" i="76"/>
  <c r="H244" i="76" s="1"/>
  <c r="I244" i="76" s="1"/>
  <c r="M244" i="76" s="1"/>
  <c r="K243" i="76"/>
  <c r="L243" i="76" s="1"/>
  <c r="I243" i="76"/>
  <c r="M243" i="76" s="1"/>
  <c r="L241" i="76"/>
  <c r="G241" i="76"/>
  <c r="H241" i="76" s="1"/>
  <c r="I241" i="76" s="1"/>
  <c r="M241" i="76" s="1"/>
  <c r="K240" i="76"/>
  <c r="L240" i="76" s="1"/>
  <c r="G240" i="76"/>
  <c r="H240" i="76" s="1"/>
  <c r="I240" i="76" s="1"/>
  <c r="M240" i="76" s="1"/>
  <c r="L238" i="76"/>
  <c r="G238" i="76"/>
  <c r="H238" i="76" s="1"/>
  <c r="I238" i="76" s="1"/>
  <c r="M238" i="76" s="1"/>
  <c r="L237" i="76"/>
  <c r="G237" i="76"/>
  <c r="H237" i="76" s="1"/>
  <c r="I237" i="76" s="1"/>
  <c r="M237" i="76" s="1"/>
  <c r="L236" i="76"/>
  <c r="G236" i="76"/>
  <c r="H236" i="76" s="1"/>
  <c r="I236" i="76" s="1"/>
  <c r="M236" i="76" s="1"/>
  <c r="K235" i="76"/>
  <c r="L235" i="76" s="1"/>
  <c r="G235" i="76"/>
  <c r="H235" i="76" s="1"/>
  <c r="I235" i="76" s="1"/>
  <c r="M235" i="76" s="1"/>
  <c r="L233" i="76"/>
  <c r="G233" i="76"/>
  <c r="H233" i="76" s="1"/>
  <c r="I233" i="76" s="1"/>
  <c r="M233" i="76" s="1"/>
  <c r="L232" i="76"/>
  <c r="G232" i="76"/>
  <c r="H232" i="76" s="1"/>
  <c r="I232" i="76" s="1"/>
  <c r="M232" i="76" s="1"/>
  <c r="L231" i="76"/>
  <c r="G231" i="76"/>
  <c r="H231" i="76" s="1"/>
  <c r="I231" i="76" s="1"/>
  <c r="M231" i="76" s="1"/>
  <c r="K230" i="76"/>
  <c r="L230" i="76" s="1"/>
  <c r="G230" i="76"/>
  <c r="H230" i="76" s="1"/>
  <c r="I230" i="76" s="1"/>
  <c r="M230" i="76" s="1"/>
  <c r="L228" i="76"/>
  <c r="G228" i="76"/>
  <c r="H228" i="76" s="1"/>
  <c r="I228" i="76" s="1"/>
  <c r="M228" i="76" s="1"/>
  <c r="L227" i="76"/>
  <c r="G227" i="76"/>
  <c r="H227" i="76" s="1"/>
  <c r="I227" i="76" s="1"/>
  <c r="M227" i="76" s="1"/>
  <c r="L226" i="76"/>
  <c r="G226" i="76"/>
  <c r="H226" i="76" s="1"/>
  <c r="I226" i="76" s="1"/>
  <c r="M226" i="76" s="1"/>
  <c r="K225" i="76"/>
  <c r="L225" i="76" s="1"/>
  <c r="G225" i="76"/>
  <c r="H225" i="76" s="1"/>
  <c r="I225" i="76" s="1"/>
  <c r="M225" i="76" s="1"/>
  <c r="L223" i="76"/>
  <c r="G223" i="76"/>
  <c r="H223" i="76" s="1"/>
  <c r="I223" i="76" s="1"/>
  <c r="M223" i="76" s="1"/>
  <c r="L222" i="76"/>
  <c r="G222" i="76"/>
  <c r="H222" i="76" s="1"/>
  <c r="I222" i="76" s="1"/>
  <c r="M222" i="76" s="1"/>
  <c r="L221" i="76"/>
  <c r="G221" i="76"/>
  <c r="H221" i="76" s="1"/>
  <c r="I221" i="76" s="1"/>
  <c r="M221" i="76" s="1"/>
  <c r="K220" i="76"/>
  <c r="L220" i="76" s="1"/>
  <c r="G220" i="76"/>
  <c r="H220" i="76" s="1"/>
  <c r="I220" i="76" s="1"/>
  <c r="M220" i="76" s="1"/>
  <c r="L217" i="76"/>
  <c r="G217" i="76"/>
  <c r="H217" i="76" s="1"/>
  <c r="I217" i="76" s="1"/>
  <c r="M217" i="76" s="1"/>
  <c r="L216" i="76"/>
  <c r="G216" i="76"/>
  <c r="H216" i="76" s="1"/>
  <c r="I216" i="76" s="1"/>
  <c r="M216" i="76" s="1"/>
  <c r="L215" i="76"/>
  <c r="G215" i="76"/>
  <c r="H215" i="76" s="1"/>
  <c r="I215" i="76" s="1"/>
  <c r="M215" i="76" s="1"/>
  <c r="K214" i="76"/>
  <c r="L214" i="76" s="1"/>
  <c r="G214" i="76"/>
  <c r="H214" i="76" s="1"/>
  <c r="I214" i="76" s="1"/>
  <c r="M214" i="76" s="1"/>
  <c r="L212" i="76"/>
  <c r="G212" i="76"/>
  <c r="H212" i="76" s="1"/>
  <c r="I212" i="76" s="1"/>
  <c r="M212" i="76" s="1"/>
  <c r="L211" i="76"/>
  <c r="G211" i="76"/>
  <c r="H211" i="76" s="1"/>
  <c r="I211" i="76" s="1"/>
  <c r="M211" i="76" s="1"/>
  <c r="L210" i="76"/>
  <c r="G210" i="76"/>
  <c r="H210" i="76" s="1"/>
  <c r="I210" i="76" s="1"/>
  <c r="M210" i="76" s="1"/>
  <c r="K209" i="76"/>
  <c r="L209" i="76" s="1"/>
  <c r="G209" i="76"/>
  <c r="H209" i="76" s="1"/>
  <c r="I209" i="76" s="1"/>
  <c r="M209" i="76" s="1"/>
  <c r="L207" i="76"/>
  <c r="G207" i="76"/>
  <c r="H207" i="76" s="1"/>
  <c r="I207" i="76" s="1"/>
  <c r="M207" i="76" s="1"/>
  <c r="L206" i="76"/>
  <c r="G206" i="76"/>
  <c r="H206" i="76" s="1"/>
  <c r="I206" i="76" s="1"/>
  <c r="M206" i="76" s="1"/>
  <c r="L205" i="76"/>
  <c r="G205" i="76"/>
  <c r="H205" i="76" s="1"/>
  <c r="I205" i="76" s="1"/>
  <c r="M205" i="76" s="1"/>
  <c r="L204" i="76"/>
  <c r="G204" i="76"/>
  <c r="H204" i="76" s="1"/>
  <c r="I204" i="76" s="1"/>
  <c r="M204" i="76" s="1"/>
  <c r="K203" i="76"/>
  <c r="L203" i="76" s="1"/>
  <c r="G203" i="76"/>
  <c r="H203" i="76" s="1"/>
  <c r="I203" i="76" s="1"/>
  <c r="M203" i="76" s="1"/>
  <c r="L201" i="76"/>
  <c r="G201" i="76"/>
  <c r="H201" i="76" s="1"/>
  <c r="I201" i="76" s="1"/>
  <c r="M201" i="76" s="1"/>
  <c r="L200" i="76"/>
  <c r="G200" i="76"/>
  <c r="H200" i="76" s="1"/>
  <c r="I200" i="76" s="1"/>
  <c r="M200" i="76" s="1"/>
  <c r="L199" i="76"/>
  <c r="G199" i="76"/>
  <c r="H199" i="76" s="1"/>
  <c r="I199" i="76" s="1"/>
  <c r="M199" i="76" s="1"/>
  <c r="K198" i="76"/>
  <c r="L198" i="76" s="1"/>
  <c r="G198" i="76"/>
  <c r="H198" i="76" s="1"/>
  <c r="I198" i="76" s="1"/>
  <c r="M198" i="76" s="1"/>
  <c r="L196" i="76"/>
  <c r="G196" i="76"/>
  <c r="H196" i="76" s="1"/>
  <c r="I196" i="76" s="1"/>
  <c r="M196" i="76" s="1"/>
  <c r="L195" i="76"/>
  <c r="G195" i="76"/>
  <c r="H195" i="76" s="1"/>
  <c r="I195" i="76" s="1"/>
  <c r="M195" i="76" s="1"/>
  <c r="K194" i="76"/>
  <c r="L194" i="76" s="1"/>
  <c r="G194" i="76"/>
  <c r="H194" i="76" s="1"/>
  <c r="I194" i="76" s="1"/>
  <c r="M194" i="76" s="1"/>
  <c r="L192" i="76"/>
  <c r="G192" i="76"/>
  <c r="H192" i="76" s="1"/>
  <c r="I192" i="76" s="1"/>
  <c r="M192" i="76" s="1"/>
  <c r="L191" i="76"/>
  <c r="G191" i="76"/>
  <c r="H191" i="76" s="1"/>
  <c r="I191" i="76" s="1"/>
  <c r="M191" i="76" s="1"/>
  <c r="K190" i="76"/>
  <c r="L190" i="76" s="1"/>
  <c r="G190" i="76"/>
  <c r="H190" i="76" s="1"/>
  <c r="I190" i="76" s="1"/>
  <c r="M190" i="76" s="1"/>
  <c r="L188" i="76"/>
  <c r="G188" i="76"/>
  <c r="H188" i="76" s="1"/>
  <c r="I188" i="76" s="1"/>
  <c r="M188" i="76" s="1"/>
  <c r="L187" i="76"/>
  <c r="G187" i="76"/>
  <c r="H187" i="76" s="1"/>
  <c r="I187" i="76" s="1"/>
  <c r="M187" i="76" s="1"/>
  <c r="K186" i="76"/>
  <c r="L186" i="76" s="1"/>
  <c r="G186" i="76"/>
  <c r="H186" i="76" s="1"/>
  <c r="I186" i="76" s="1"/>
  <c r="M186" i="76" s="1"/>
  <c r="L183" i="76"/>
  <c r="G183" i="76"/>
  <c r="H183" i="76" s="1"/>
  <c r="I183" i="76" s="1"/>
  <c r="M183" i="76" s="1"/>
  <c r="L182" i="76"/>
  <c r="G182" i="76"/>
  <c r="H182" i="76" s="1"/>
  <c r="I182" i="76" s="1"/>
  <c r="M182" i="76" s="1"/>
  <c r="K181" i="76"/>
  <c r="L181" i="76" s="1"/>
  <c r="G181" i="76"/>
  <c r="H181" i="76" s="1"/>
  <c r="I181" i="76" s="1"/>
  <c r="M181" i="76" s="1"/>
  <c r="L179" i="76"/>
  <c r="G179" i="76"/>
  <c r="H179" i="76" s="1"/>
  <c r="I179" i="76" s="1"/>
  <c r="M179" i="76" s="1"/>
  <c r="L178" i="76"/>
  <c r="G178" i="76"/>
  <c r="H178" i="76" s="1"/>
  <c r="I178" i="76" s="1"/>
  <c r="M178" i="76" s="1"/>
  <c r="K177" i="76"/>
  <c r="L177" i="76" s="1"/>
  <c r="G177" i="76"/>
  <c r="H177" i="76" s="1"/>
  <c r="I177" i="76" s="1"/>
  <c r="M177" i="76" s="1"/>
  <c r="L175" i="76"/>
  <c r="G175" i="76"/>
  <c r="H175" i="76" s="1"/>
  <c r="I175" i="76" s="1"/>
  <c r="M175" i="76" s="1"/>
  <c r="L174" i="76"/>
  <c r="G174" i="76"/>
  <c r="H174" i="76" s="1"/>
  <c r="I174" i="76" s="1"/>
  <c r="M174" i="76" s="1"/>
  <c r="K173" i="76"/>
  <c r="L173" i="76" s="1"/>
  <c r="G173" i="76"/>
  <c r="H173" i="76" s="1"/>
  <c r="I173" i="76" s="1"/>
  <c r="M173" i="76" s="1"/>
  <c r="L171" i="76"/>
  <c r="G171" i="76"/>
  <c r="H171" i="76" s="1"/>
  <c r="I171" i="76" s="1"/>
  <c r="M171" i="76" s="1"/>
  <c r="L170" i="76"/>
  <c r="G170" i="76"/>
  <c r="H170" i="76" s="1"/>
  <c r="I170" i="76" s="1"/>
  <c r="M170" i="76" s="1"/>
  <c r="K169" i="76"/>
  <c r="L169" i="76" s="1"/>
  <c r="G169" i="76"/>
  <c r="H169" i="76" s="1"/>
  <c r="I169" i="76" s="1"/>
  <c r="M169" i="76" s="1"/>
  <c r="L167" i="76"/>
  <c r="G167" i="76"/>
  <c r="H167" i="76" s="1"/>
  <c r="I167" i="76" s="1"/>
  <c r="M167" i="76" s="1"/>
  <c r="L166" i="76"/>
  <c r="G166" i="76"/>
  <c r="H166" i="76" s="1"/>
  <c r="I166" i="76" s="1"/>
  <c r="M166" i="76" s="1"/>
  <c r="K165" i="76"/>
  <c r="L165" i="76" s="1"/>
  <c r="G165" i="76"/>
  <c r="H165" i="76" s="1"/>
  <c r="I165" i="76" s="1"/>
  <c r="M165" i="76" s="1"/>
  <c r="L163" i="76"/>
  <c r="G163" i="76"/>
  <c r="H163" i="76" s="1"/>
  <c r="I163" i="76" s="1"/>
  <c r="M163" i="76" s="1"/>
  <c r="L162" i="76"/>
  <c r="G162" i="76"/>
  <c r="H162" i="76" s="1"/>
  <c r="I162" i="76" s="1"/>
  <c r="M162" i="76" s="1"/>
  <c r="K161" i="76"/>
  <c r="L161" i="76" s="1"/>
  <c r="G161" i="76"/>
  <c r="H161" i="76" s="1"/>
  <c r="I161" i="76" s="1"/>
  <c r="M161" i="76" s="1"/>
  <c r="L159" i="76"/>
  <c r="G159" i="76"/>
  <c r="H159" i="76" s="1"/>
  <c r="I159" i="76" s="1"/>
  <c r="M159" i="76" s="1"/>
  <c r="L158" i="76"/>
  <c r="G158" i="76"/>
  <c r="H158" i="76" s="1"/>
  <c r="I158" i="76" s="1"/>
  <c r="M158" i="76" s="1"/>
  <c r="L157" i="76"/>
  <c r="G157" i="76"/>
  <c r="H157" i="76" s="1"/>
  <c r="I157" i="76" s="1"/>
  <c r="M157" i="76" s="1"/>
  <c r="K156" i="76"/>
  <c r="L156" i="76" s="1"/>
  <c r="G156" i="76"/>
  <c r="H156" i="76" s="1"/>
  <c r="I156" i="76" s="1"/>
  <c r="M156" i="76" s="1"/>
  <c r="K152" i="76"/>
  <c r="L152" i="76" s="1"/>
  <c r="G152" i="76"/>
  <c r="H152" i="76" s="1"/>
  <c r="I152" i="76" s="1"/>
  <c r="M152" i="76" s="1"/>
  <c r="K151" i="76"/>
  <c r="L151" i="76" s="1"/>
  <c r="G151" i="76"/>
  <c r="H151" i="76" s="1"/>
  <c r="I151" i="76" s="1"/>
  <c r="M151" i="76" s="1"/>
  <c r="K150" i="76"/>
  <c r="L150" i="76" s="1"/>
  <c r="G150" i="76"/>
  <c r="H150" i="76" s="1"/>
  <c r="I150" i="76" s="1"/>
  <c r="M150" i="76" s="1"/>
  <c r="K149" i="76"/>
  <c r="L149" i="76" s="1"/>
  <c r="G149" i="76"/>
  <c r="H149" i="76" s="1"/>
  <c r="I149" i="76" s="1"/>
  <c r="M149" i="76" s="1"/>
  <c r="K148" i="76"/>
  <c r="L148" i="76" s="1"/>
  <c r="G148" i="76"/>
  <c r="H148" i="76" s="1"/>
  <c r="I148" i="76" s="1"/>
  <c r="M148" i="76" s="1"/>
  <c r="K147" i="76"/>
  <c r="L147" i="76" s="1"/>
  <c r="G147" i="76"/>
  <c r="H147" i="76" s="1"/>
  <c r="I147" i="76" s="1"/>
  <c r="M147" i="76" s="1"/>
  <c r="K146" i="76"/>
  <c r="L146" i="76" s="1"/>
  <c r="G146" i="76"/>
  <c r="H146" i="76" s="1"/>
  <c r="I146" i="76" s="1"/>
  <c r="M146" i="76" s="1"/>
  <c r="K145" i="76"/>
  <c r="L145" i="76" s="1"/>
  <c r="G145" i="76"/>
  <c r="H145" i="76" s="1"/>
  <c r="I145" i="76" s="1"/>
  <c r="M145" i="76" s="1"/>
  <c r="K144" i="76"/>
  <c r="L144" i="76" s="1"/>
  <c r="G144" i="76"/>
  <c r="H144" i="76" s="1"/>
  <c r="I144" i="76" s="1"/>
  <c r="M144" i="76" s="1"/>
  <c r="K143" i="76"/>
  <c r="L143" i="76" s="1"/>
  <c r="G143" i="76"/>
  <c r="H143" i="76" s="1"/>
  <c r="I143" i="76" s="1"/>
  <c r="M143" i="76" s="1"/>
  <c r="K142" i="76"/>
  <c r="L142" i="76" s="1"/>
  <c r="H142" i="76"/>
  <c r="I142" i="76" s="1"/>
  <c r="M142" i="76" s="1"/>
  <c r="I138" i="76"/>
  <c r="K137" i="76"/>
  <c r="L137" i="76" s="1"/>
  <c r="G137" i="76"/>
  <c r="H137" i="76" s="1"/>
  <c r="I137" i="76" s="1"/>
  <c r="M137" i="76" s="1"/>
  <c r="K136" i="76"/>
  <c r="L136" i="76" s="1"/>
  <c r="G136" i="76"/>
  <c r="H136" i="76" s="1"/>
  <c r="I136" i="76" s="1"/>
  <c r="M136" i="76" s="1"/>
  <c r="K135" i="76"/>
  <c r="L135" i="76" s="1"/>
  <c r="G135" i="76"/>
  <c r="H135" i="76" s="1"/>
  <c r="I135" i="76" s="1"/>
  <c r="M135" i="76" s="1"/>
  <c r="K134" i="76"/>
  <c r="L134" i="76" s="1"/>
  <c r="G134" i="76"/>
  <c r="H134" i="76" s="1"/>
  <c r="I134" i="76" s="1"/>
  <c r="M134" i="76" s="1"/>
  <c r="K133" i="76"/>
  <c r="L133" i="76" s="1"/>
  <c r="G133" i="76"/>
  <c r="H133" i="76" s="1"/>
  <c r="I133" i="76" s="1"/>
  <c r="M133" i="76" s="1"/>
  <c r="K132" i="76"/>
  <c r="L132" i="76" s="1"/>
  <c r="G132" i="76"/>
  <c r="H132" i="76" s="1"/>
  <c r="I132" i="76" s="1"/>
  <c r="M132" i="76" s="1"/>
  <c r="K131" i="76"/>
  <c r="L131" i="76" s="1"/>
  <c r="G131" i="76"/>
  <c r="H131" i="76" s="1"/>
  <c r="I131" i="76" s="1"/>
  <c r="M131" i="76" s="1"/>
  <c r="K130" i="76"/>
  <c r="L130" i="76" s="1"/>
  <c r="G130" i="76"/>
  <c r="H130" i="76" s="1"/>
  <c r="I130" i="76" s="1"/>
  <c r="M130" i="76" s="1"/>
  <c r="L123" i="76"/>
  <c r="M123" i="76" s="1"/>
  <c r="K113" i="76"/>
  <c r="L113" i="76" s="1"/>
  <c r="G113" i="76"/>
  <c r="H113" i="76" s="1"/>
  <c r="I113" i="76" s="1"/>
  <c r="M113" i="76" s="1"/>
  <c r="L111" i="76"/>
  <c r="G111" i="76"/>
  <c r="H111" i="76" s="1"/>
  <c r="I111" i="76" s="1"/>
  <c r="M111" i="76" s="1"/>
  <c r="L110" i="76"/>
  <c r="G110" i="76"/>
  <c r="H110" i="76" s="1"/>
  <c r="I110" i="76" s="1"/>
  <c r="M110" i="76" s="1"/>
  <c r="L109" i="76"/>
  <c r="G109" i="76"/>
  <c r="H109" i="76" s="1"/>
  <c r="I109" i="76" s="1"/>
  <c r="M109" i="76" s="1"/>
  <c r="K74" i="76"/>
  <c r="L74" i="76" s="1"/>
  <c r="L280" i="76" s="1"/>
  <c r="G74" i="76"/>
  <c r="H74" i="76" s="1"/>
  <c r="I74" i="76" s="1"/>
  <c r="L69" i="76"/>
  <c r="H69" i="76"/>
  <c r="I69" i="76" s="1"/>
  <c r="M69" i="76" s="1"/>
  <c r="K68" i="76"/>
  <c r="L68" i="76" s="1"/>
  <c r="H68" i="76"/>
  <c r="I68" i="76" s="1"/>
  <c r="M68" i="76" s="1"/>
  <c r="L67" i="76"/>
  <c r="K66" i="76"/>
  <c r="L66" i="76" s="1"/>
  <c r="L70" i="76" s="1"/>
  <c r="H66" i="76"/>
  <c r="I66" i="76" s="1"/>
  <c r="L63" i="76"/>
  <c r="H63" i="76"/>
  <c r="I63" i="76" s="1"/>
  <c r="M63" i="76" s="1"/>
  <c r="L62" i="76"/>
  <c r="H62" i="76"/>
  <c r="I62" i="76" s="1"/>
  <c r="M62" i="76" s="1"/>
  <c r="L61" i="76"/>
  <c r="G61" i="76"/>
  <c r="H61" i="76" s="1"/>
  <c r="I61" i="76" s="1"/>
  <c r="M61" i="76" s="1"/>
  <c r="L60" i="76"/>
  <c r="M60" i="76" s="1"/>
  <c r="L57" i="76"/>
  <c r="G57" i="76"/>
  <c r="H57" i="76" s="1"/>
  <c r="I57" i="76" s="1"/>
  <c r="M57" i="76" s="1"/>
  <c r="K56" i="76"/>
  <c r="L56" i="76" s="1"/>
  <c r="L64" i="76" s="1"/>
  <c r="I56" i="76"/>
  <c r="L53" i="76"/>
  <c r="H53" i="76"/>
  <c r="I53" i="76" s="1"/>
  <c r="M53" i="76" s="1"/>
  <c r="K52" i="76"/>
  <c r="L52" i="76" s="1"/>
  <c r="L54" i="76" s="1"/>
  <c r="I52" i="76"/>
  <c r="K49" i="76"/>
  <c r="L49" i="76" s="1"/>
  <c r="H49" i="76"/>
  <c r="I49" i="76" s="1"/>
  <c r="M49" i="76" s="1"/>
  <c r="K48" i="76"/>
  <c r="L48" i="76" s="1"/>
  <c r="H48" i="76"/>
  <c r="I48" i="76" s="1"/>
  <c r="M48" i="76" s="1"/>
  <c r="K47" i="76"/>
  <c r="L47" i="76" s="1"/>
  <c r="G47" i="76"/>
  <c r="H47" i="76" s="1"/>
  <c r="I47" i="76" s="1"/>
  <c r="M47" i="76" s="1"/>
  <c r="K46" i="76"/>
  <c r="L46" i="76" s="1"/>
  <c r="G46" i="76"/>
  <c r="H46" i="76" s="1"/>
  <c r="I46" i="76" s="1"/>
  <c r="M46" i="76" s="1"/>
  <c r="K45" i="76"/>
  <c r="L45" i="76" s="1"/>
  <c r="H45" i="76"/>
  <c r="I45" i="76" s="1"/>
  <c r="M45" i="76" s="1"/>
  <c r="K44" i="76"/>
  <c r="L44" i="76" s="1"/>
  <c r="H44" i="76"/>
  <c r="I44" i="76" s="1"/>
  <c r="M44" i="76" s="1"/>
  <c r="K43" i="76"/>
  <c r="L43" i="76" s="1"/>
  <c r="H43" i="76"/>
  <c r="I43" i="76" s="1"/>
  <c r="M43" i="76" s="1"/>
  <c r="K41" i="76"/>
  <c r="L41" i="76" s="1"/>
  <c r="G41" i="76"/>
  <c r="H41" i="76" s="1"/>
  <c r="I41" i="76" s="1"/>
  <c r="M41" i="76" s="1"/>
  <c r="K40" i="76"/>
  <c r="L40" i="76" s="1"/>
  <c r="L50" i="76" s="1"/>
  <c r="G40" i="76"/>
  <c r="H40" i="76" s="1"/>
  <c r="I40" i="76" s="1"/>
  <c r="P34" i="76"/>
  <c r="O32" i="76"/>
  <c r="L32" i="76"/>
  <c r="O31" i="76"/>
  <c r="L31" i="76"/>
  <c r="B31" i="76"/>
  <c r="O30" i="76"/>
  <c r="L30" i="76"/>
  <c r="B30" i="76"/>
  <c r="O29" i="76"/>
  <c r="L29" i="76"/>
  <c r="B29" i="76"/>
  <c r="O28" i="76"/>
  <c r="L28" i="76"/>
  <c r="B28" i="76"/>
  <c r="O27" i="76"/>
  <c r="L27" i="76"/>
  <c r="O26" i="76"/>
  <c r="O25" i="76"/>
  <c r="O24" i="76"/>
  <c r="O23" i="76"/>
  <c r="O22" i="76"/>
  <c r="L22" i="76"/>
  <c r="O21" i="76"/>
  <c r="L21" i="76"/>
  <c r="O20" i="76"/>
  <c r="L20" i="76"/>
  <c r="O19" i="76"/>
  <c r="O18" i="76"/>
  <c r="O17" i="76"/>
  <c r="O16" i="76"/>
  <c r="O15" i="76"/>
  <c r="O14" i="76"/>
  <c r="L14" i="76"/>
  <c r="O13" i="76"/>
  <c r="L13" i="76"/>
  <c r="O12" i="76"/>
  <c r="L12" i="76"/>
  <c r="O11" i="76"/>
  <c r="L11" i="76"/>
  <c r="O10" i="76"/>
  <c r="O34" i="76" s="1"/>
  <c r="L10" i="76"/>
  <c r="K915" i="64"/>
  <c r="L915" i="64" s="1"/>
  <c r="H915" i="64"/>
  <c r="I915" i="64" s="1"/>
  <c r="K914" i="64"/>
  <c r="L914" i="64" s="1"/>
  <c r="H914" i="64"/>
  <c r="I914" i="64" s="1"/>
  <c r="K913" i="64"/>
  <c r="L913" i="64" s="1"/>
  <c r="H913" i="64"/>
  <c r="I913" i="64" s="1"/>
  <c r="K912" i="64"/>
  <c r="L912" i="64" s="1"/>
  <c r="H912" i="64"/>
  <c r="I912" i="64" s="1"/>
  <c r="K911" i="64"/>
  <c r="L911" i="64" s="1"/>
  <c r="H911" i="64"/>
  <c r="I911" i="64" s="1"/>
  <c r="K910" i="64"/>
  <c r="L910" i="64" s="1"/>
  <c r="H910" i="64"/>
  <c r="I910" i="64" s="1"/>
  <c r="K909" i="64"/>
  <c r="L909" i="64" s="1"/>
  <c r="H909" i="64"/>
  <c r="I909" i="64" s="1"/>
  <c r="K908" i="64"/>
  <c r="L908" i="64" s="1"/>
  <c r="H908" i="64"/>
  <c r="I908" i="64" s="1"/>
  <c r="K907" i="64"/>
  <c r="L907" i="64" s="1"/>
  <c r="H907" i="64"/>
  <c r="I907" i="64" s="1"/>
  <c r="K901" i="64"/>
  <c r="L901" i="64" s="1"/>
  <c r="H901" i="64"/>
  <c r="I901" i="64" s="1"/>
  <c r="K900" i="64"/>
  <c r="L900" i="64" s="1"/>
  <c r="H900" i="64"/>
  <c r="I900" i="64" s="1"/>
  <c r="K899" i="64"/>
  <c r="L899" i="64" s="1"/>
  <c r="H899" i="64"/>
  <c r="I899" i="64" s="1"/>
  <c r="K898" i="64"/>
  <c r="L898" i="64" s="1"/>
  <c r="H898" i="64"/>
  <c r="I898" i="64" s="1"/>
  <c r="K897" i="64"/>
  <c r="L897" i="64" s="1"/>
  <c r="H897" i="64"/>
  <c r="I897" i="64" s="1"/>
  <c r="K896" i="64"/>
  <c r="L896" i="64" s="1"/>
  <c r="H896" i="64"/>
  <c r="I896" i="64" s="1"/>
  <c r="K894" i="64"/>
  <c r="L894" i="64" s="1"/>
  <c r="H894" i="64"/>
  <c r="I894" i="64" s="1"/>
  <c r="K893" i="64"/>
  <c r="L893" i="64" s="1"/>
  <c r="H893" i="64"/>
  <c r="I893" i="64" s="1"/>
  <c r="K892" i="64"/>
  <c r="L892" i="64" s="1"/>
  <c r="H892" i="64"/>
  <c r="I892" i="64" s="1"/>
  <c r="K891" i="64"/>
  <c r="L891" i="64" s="1"/>
  <c r="H891" i="64"/>
  <c r="I891" i="64" s="1"/>
  <c r="K890" i="64"/>
  <c r="L890" i="64" s="1"/>
  <c r="H890" i="64"/>
  <c r="I890" i="64" s="1"/>
  <c r="K889" i="64"/>
  <c r="L889" i="64" s="1"/>
  <c r="H889" i="64"/>
  <c r="I889" i="64" s="1"/>
  <c r="K888" i="64"/>
  <c r="L888" i="64" s="1"/>
  <c r="H888" i="64"/>
  <c r="I888" i="64" s="1"/>
  <c r="K887" i="64"/>
  <c r="L887" i="64" s="1"/>
  <c r="H887" i="64"/>
  <c r="I887" i="64" s="1"/>
  <c r="K885" i="64"/>
  <c r="L885" i="64" s="1"/>
  <c r="H885" i="64"/>
  <c r="I885" i="64" s="1"/>
  <c r="K884" i="64"/>
  <c r="L884" i="64" s="1"/>
  <c r="H884" i="64"/>
  <c r="I884" i="64" s="1"/>
  <c r="K883" i="64"/>
  <c r="L883" i="64" s="1"/>
  <c r="H883" i="64"/>
  <c r="I883" i="64" s="1"/>
  <c r="K882" i="64"/>
  <c r="L882" i="64" s="1"/>
  <c r="H882" i="64"/>
  <c r="I882" i="64" s="1"/>
  <c r="K881" i="64"/>
  <c r="L881" i="64" s="1"/>
  <c r="H881" i="64"/>
  <c r="I881" i="64" s="1"/>
  <c r="K880" i="64"/>
  <c r="L880" i="64" s="1"/>
  <c r="H880" i="64"/>
  <c r="I880" i="64" s="1"/>
  <c r="K879" i="64"/>
  <c r="L879" i="64" s="1"/>
  <c r="H879" i="64"/>
  <c r="I879" i="64" s="1"/>
  <c r="K878" i="64"/>
  <c r="L878" i="64" s="1"/>
  <c r="H878" i="64"/>
  <c r="I878" i="64" s="1"/>
  <c r="K877" i="64"/>
  <c r="L877" i="64" s="1"/>
  <c r="H877" i="64"/>
  <c r="I877" i="64" s="1"/>
  <c r="K875" i="64"/>
  <c r="L875" i="64" s="1"/>
  <c r="H875" i="64"/>
  <c r="I875" i="64" s="1"/>
  <c r="K874" i="64"/>
  <c r="L874" i="64" s="1"/>
  <c r="H874" i="64"/>
  <c r="I874" i="64" s="1"/>
  <c r="K873" i="64"/>
  <c r="L873" i="64" s="1"/>
  <c r="H873" i="64"/>
  <c r="I873" i="64" s="1"/>
  <c r="K872" i="64"/>
  <c r="L872" i="64" s="1"/>
  <c r="H872" i="64"/>
  <c r="I872" i="64" s="1"/>
  <c r="K871" i="64"/>
  <c r="L871" i="64" s="1"/>
  <c r="H871" i="64"/>
  <c r="I871" i="64" s="1"/>
  <c r="K870" i="64"/>
  <c r="L870" i="64" s="1"/>
  <c r="H870" i="64"/>
  <c r="I870" i="64" s="1"/>
  <c r="K869" i="64"/>
  <c r="L869" i="64" s="1"/>
  <c r="H869" i="64"/>
  <c r="I869" i="64" s="1"/>
  <c r="K867" i="64"/>
  <c r="L867" i="64" s="1"/>
  <c r="H867" i="64"/>
  <c r="I867" i="64" s="1"/>
  <c r="K866" i="64"/>
  <c r="L866" i="64" s="1"/>
  <c r="H866" i="64"/>
  <c r="I866" i="64" s="1"/>
  <c r="K865" i="64"/>
  <c r="L865" i="64" s="1"/>
  <c r="H865" i="64"/>
  <c r="I865" i="64" s="1"/>
  <c r="K864" i="64"/>
  <c r="L864" i="64" s="1"/>
  <c r="H864" i="64"/>
  <c r="I864" i="64" s="1"/>
  <c r="K863" i="64"/>
  <c r="L863" i="64" s="1"/>
  <c r="H863" i="64"/>
  <c r="I863" i="64" s="1"/>
  <c r="K862" i="64"/>
  <c r="L862" i="64" s="1"/>
  <c r="H862" i="64"/>
  <c r="I862" i="64" s="1"/>
  <c r="K860" i="64"/>
  <c r="L860" i="64" s="1"/>
  <c r="H860" i="64"/>
  <c r="I860" i="64" s="1"/>
  <c r="K859" i="64"/>
  <c r="L859" i="64" s="1"/>
  <c r="H859" i="64"/>
  <c r="I859" i="64" s="1"/>
  <c r="K858" i="64"/>
  <c r="L858" i="64" s="1"/>
  <c r="H858" i="64"/>
  <c r="I858" i="64" s="1"/>
  <c r="K857" i="64"/>
  <c r="L857" i="64" s="1"/>
  <c r="H857" i="64"/>
  <c r="I857" i="64" s="1"/>
  <c r="K856" i="64"/>
  <c r="L856" i="64" s="1"/>
  <c r="H856" i="64"/>
  <c r="I856" i="64" s="1"/>
  <c r="K855" i="64"/>
  <c r="L855" i="64" s="1"/>
  <c r="H855" i="64"/>
  <c r="I855" i="64" s="1"/>
  <c r="K854" i="64"/>
  <c r="L854" i="64" s="1"/>
  <c r="H854" i="64"/>
  <c r="I854" i="64" s="1"/>
  <c r="K853" i="64"/>
  <c r="L853" i="64" s="1"/>
  <c r="H853" i="64"/>
  <c r="I853" i="64" s="1"/>
  <c r="K852" i="64"/>
  <c r="L852" i="64" s="1"/>
  <c r="H852" i="64"/>
  <c r="I852" i="64" s="1"/>
  <c r="K850" i="64"/>
  <c r="L850" i="64" s="1"/>
  <c r="H850" i="64"/>
  <c r="I850" i="64" s="1"/>
  <c r="K849" i="64"/>
  <c r="L849" i="64" s="1"/>
  <c r="H849" i="64"/>
  <c r="I849" i="64" s="1"/>
  <c r="K848" i="64"/>
  <c r="L848" i="64" s="1"/>
  <c r="H848" i="64"/>
  <c r="I848" i="64" s="1"/>
  <c r="K847" i="64"/>
  <c r="L847" i="64" s="1"/>
  <c r="H847" i="64"/>
  <c r="I847" i="64" s="1"/>
  <c r="K846" i="64"/>
  <c r="L846" i="64" s="1"/>
  <c r="H846" i="64"/>
  <c r="I846" i="64" s="1"/>
  <c r="K845" i="64"/>
  <c r="L845" i="64" s="1"/>
  <c r="H845" i="64"/>
  <c r="I845" i="64" s="1"/>
  <c r="K844" i="64"/>
  <c r="L844" i="64" s="1"/>
  <c r="H844" i="64"/>
  <c r="I844" i="64" s="1"/>
  <c r="K843" i="64"/>
  <c r="L843" i="64" s="1"/>
  <c r="H843" i="64"/>
  <c r="I843" i="64" s="1"/>
  <c r="K842" i="64"/>
  <c r="L842" i="64" s="1"/>
  <c r="H842" i="64"/>
  <c r="I842" i="64" s="1"/>
  <c r="K841" i="64"/>
  <c r="L841" i="64" s="1"/>
  <c r="H841" i="64"/>
  <c r="I841" i="64" s="1"/>
  <c r="K840" i="64"/>
  <c r="L840" i="64" s="1"/>
  <c r="H840" i="64"/>
  <c r="I840" i="64" s="1"/>
  <c r="K839" i="64"/>
  <c r="L839" i="64" s="1"/>
  <c r="H839" i="64"/>
  <c r="I839" i="64" s="1"/>
  <c r="K838" i="64"/>
  <c r="L838" i="64" s="1"/>
  <c r="H838" i="64"/>
  <c r="I838" i="64" s="1"/>
  <c r="K837" i="64"/>
  <c r="L837" i="64" s="1"/>
  <c r="H837" i="64"/>
  <c r="I837" i="64" s="1"/>
  <c r="K831" i="64"/>
  <c r="L831" i="64" s="1"/>
  <c r="H831" i="64"/>
  <c r="I831" i="64" s="1"/>
  <c r="K829" i="64"/>
  <c r="L829" i="64" s="1"/>
  <c r="H829" i="64"/>
  <c r="I829" i="64" s="1"/>
  <c r="K828" i="64"/>
  <c r="L828" i="64" s="1"/>
  <c r="H828" i="64"/>
  <c r="I828" i="64" s="1"/>
  <c r="K827" i="64"/>
  <c r="L827" i="64" s="1"/>
  <c r="H827" i="64"/>
  <c r="I827" i="64" s="1"/>
  <c r="K826" i="64"/>
  <c r="L826" i="64" s="1"/>
  <c r="H826" i="64"/>
  <c r="I826" i="64" s="1"/>
  <c r="K824" i="64"/>
  <c r="L824" i="64" s="1"/>
  <c r="H824" i="64"/>
  <c r="I824" i="64" s="1"/>
  <c r="K823" i="64"/>
  <c r="L823" i="64" s="1"/>
  <c r="H823" i="64"/>
  <c r="I823" i="64" s="1"/>
  <c r="K822" i="64"/>
  <c r="L822" i="64" s="1"/>
  <c r="H822" i="64"/>
  <c r="I822" i="64" s="1"/>
  <c r="K819" i="64"/>
  <c r="L819" i="64" s="1"/>
  <c r="H819" i="64"/>
  <c r="I819" i="64" s="1"/>
  <c r="K817" i="64"/>
  <c r="L817" i="64" s="1"/>
  <c r="H817" i="64"/>
  <c r="I817" i="64" s="1"/>
  <c r="K816" i="64"/>
  <c r="L816" i="64" s="1"/>
  <c r="H816" i="64"/>
  <c r="I816" i="64" s="1"/>
  <c r="K815" i="64"/>
  <c r="L815" i="64" s="1"/>
  <c r="H815" i="64"/>
  <c r="I815" i="64" s="1"/>
  <c r="K814" i="64"/>
  <c r="L814" i="64" s="1"/>
  <c r="H814" i="64"/>
  <c r="I814" i="64" s="1"/>
  <c r="K812" i="64"/>
  <c r="L812" i="64" s="1"/>
  <c r="H812" i="64"/>
  <c r="I812" i="64" s="1"/>
  <c r="K811" i="64"/>
  <c r="L811" i="64" s="1"/>
  <c r="H811" i="64"/>
  <c r="I811" i="64" s="1"/>
  <c r="K810" i="64"/>
  <c r="L810" i="64" s="1"/>
  <c r="H810" i="64"/>
  <c r="I810" i="64" s="1"/>
  <c r="K809" i="64"/>
  <c r="L809" i="64" s="1"/>
  <c r="H809" i="64"/>
  <c r="I809" i="64" s="1"/>
  <c r="K806" i="64"/>
  <c r="L806" i="64" s="1"/>
  <c r="H806" i="64"/>
  <c r="I806" i="64" s="1"/>
  <c r="K804" i="64"/>
  <c r="L804" i="64" s="1"/>
  <c r="H804" i="64"/>
  <c r="I804" i="64" s="1"/>
  <c r="K803" i="64"/>
  <c r="L803" i="64" s="1"/>
  <c r="H803" i="64"/>
  <c r="I803" i="64" s="1"/>
  <c r="K802" i="64"/>
  <c r="L802" i="64" s="1"/>
  <c r="H802" i="64"/>
  <c r="I802" i="64" s="1"/>
  <c r="K801" i="64"/>
  <c r="L801" i="64" s="1"/>
  <c r="H801" i="64"/>
  <c r="I801" i="64" s="1"/>
  <c r="K799" i="64"/>
  <c r="L799" i="64" s="1"/>
  <c r="H799" i="64"/>
  <c r="I799" i="64" s="1"/>
  <c r="K798" i="64"/>
  <c r="L798" i="64" s="1"/>
  <c r="H798" i="64"/>
  <c r="I798" i="64" s="1"/>
  <c r="K797" i="64"/>
  <c r="L797" i="64" s="1"/>
  <c r="H797" i="64"/>
  <c r="I797" i="64" s="1"/>
  <c r="K796" i="64"/>
  <c r="L796" i="64" s="1"/>
  <c r="H796" i="64"/>
  <c r="I796" i="64" s="1"/>
  <c r="K793" i="64"/>
  <c r="L793" i="64" s="1"/>
  <c r="H793" i="64"/>
  <c r="I793" i="64" s="1"/>
  <c r="K791" i="64"/>
  <c r="L791" i="64" s="1"/>
  <c r="H791" i="64"/>
  <c r="I791" i="64" s="1"/>
  <c r="K790" i="64"/>
  <c r="L790" i="64" s="1"/>
  <c r="H790" i="64"/>
  <c r="I790" i="64" s="1"/>
  <c r="K789" i="64"/>
  <c r="L789" i="64" s="1"/>
  <c r="H789" i="64"/>
  <c r="I789" i="64" s="1"/>
  <c r="K788" i="64"/>
  <c r="L788" i="64" s="1"/>
  <c r="H788" i="64"/>
  <c r="I788" i="64" s="1"/>
  <c r="K786" i="64"/>
  <c r="L786" i="64" s="1"/>
  <c r="H786" i="64"/>
  <c r="I786" i="64" s="1"/>
  <c r="K785" i="64"/>
  <c r="L785" i="64" s="1"/>
  <c r="H785" i="64"/>
  <c r="I785" i="64" s="1"/>
  <c r="K784" i="64"/>
  <c r="L784" i="64" s="1"/>
  <c r="H784" i="64"/>
  <c r="I784" i="64" s="1"/>
  <c r="K781" i="64"/>
  <c r="L781" i="64" s="1"/>
  <c r="H781" i="64"/>
  <c r="I781" i="64" s="1"/>
  <c r="K779" i="64"/>
  <c r="L779" i="64" s="1"/>
  <c r="H779" i="64"/>
  <c r="I779" i="64" s="1"/>
  <c r="K778" i="64"/>
  <c r="L778" i="64" s="1"/>
  <c r="H778" i="64"/>
  <c r="I778" i="64" s="1"/>
  <c r="K777" i="64"/>
  <c r="L777" i="64" s="1"/>
  <c r="H777" i="64"/>
  <c r="I777" i="64" s="1"/>
  <c r="K776" i="64"/>
  <c r="L776" i="64" s="1"/>
  <c r="H776" i="64"/>
  <c r="I776" i="64" s="1"/>
  <c r="K774" i="64"/>
  <c r="L774" i="64" s="1"/>
  <c r="H774" i="64"/>
  <c r="I774" i="64" s="1"/>
  <c r="K773" i="64"/>
  <c r="L773" i="64" s="1"/>
  <c r="H773" i="64"/>
  <c r="I773" i="64" s="1"/>
  <c r="K772" i="64"/>
  <c r="L772" i="64" s="1"/>
  <c r="H772" i="64"/>
  <c r="I772" i="64" s="1"/>
  <c r="K771" i="64"/>
  <c r="L771" i="64" s="1"/>
  <c r="H771" i="64"/>
  <c r="I771" i="64" s="1"/>
  <c r="K768" i="64"/>
  <c r="L768" i="64" s="1"/>
  <c r="H768" i="64"/>
  <c r="I768" i="64" s="1"/>
  <c r="K766" i="64"/>
  <c r="L766" i="64" s="1"/>
  <c r="H766" i="64"/>
  <c r="I766" i="64" s="1"/>
  <c r="K765" i="64"/>
  <c r="L765" i="64" s="1"/>
  <c r="H765" i="64"/>
  <c r="I765" i="64" s="1"/>
  <c r="K764" i="64"/>
  <c r="L764" i="64" s="1"/>
  <c r="H764" i="64"/>
  <c r="I764" i="64" s="1"/>
  <c r="K763" i="64"/>
  <c r="L763" i="64" s="1"/>
  <c r="H763" i="64"/>
  <c r="I763" i="64" s="1"/>
  <c r="K761" i="64"/>
  <c r="L761" i="64" s="1"/>
  <c r="H761" i="64"/>
  <c r="I761" i="64" s="1"/>
  <c r="K760" i="64"/>
  <c r="L760" i="64" s="1"/>
  <c r="H760" i="64"/>
  <c r="I760" i="64" s="1"/>
  <c r="K759" i="64"/>
  <c r="L759" i="64" s="1"/>
  <c r="H759" i="64"/>
  <c r="I759" i="64" s="1"/>
  <c r="K758" i="64"/>
  <c r="L758" i="64" s="1"/>
  <c r="H758" i="64"/>
  <c r="I758" i="64" s="1"/>
  <c r="K755" i="64"/>
  <c r="L755" i="64" s="1"/>
  <c r="H755" i="64"/>
  <c r="I755" i="64" s="1"/>
  <c r="K753" i="64"/>
  <c r="L753" i="64" s="1"/>
  <c r="H753" i="64"/>
  <c r="I753" i="64" s="1"/>
  <c r="K752" i="64"/>
  <c r="L752" i="64" s="1"/>
  <c r="H752" i="64"/>
  <c r="I752" i="64" s="1"/>
  <c r="K751" i="64"/>
  <c r="L751" i="64" s="1"/>
  <c r="H751" i="64"/>
  <c r="I751" i="64" s="1"/>
  <c r="K750" i="64"/>
  <c r="L750" i="64" s="1"/>
  <c r="H750" i="64"/>
  <c r="I750" i="64" s="1"/>
  <c r="K748" i="64"/>
  <c r="L748" i="64" s="1"/>
  <c r="H748" i="64"/>
  <c r="I748" i="64" s="1"/>
  <c r="K747" i="64"/>
  <c r="L747" i="64" s="1"/>
  <c r="H747" i="64"/>
  <c r="I747" i="64" s="1"/>
  <c r="K746" i="64"/>
  <c r="L746" i="64" s="1"/>
  <c r="H746" i="64"/>
  <c r="I746" i="64" s="1"/>
  <c r="K745" i="64"/>
  <c r="L745" i="64" s="1"/>
  <c r="H745" i="64"/>
  <c r="I745" i="64" s="1"/>
  <c r="K742" i="64"/>
  <c r="L742" i="64" s="1"/>
  <c r="H742" i="64"/>
  <c r="I742" i="64" s="1"/>
  <c r="K740" i="64"/>
  <c r="L740" i="64" s="1"/>
  <c r="H740" i="64"/>
  <c r="I740" i="64" s="1"/>
  <c r="K739" i="64"/>
  <c r="L739" i="64" s="1"/>
  <c r="H739" i="64"/>
  <c r="I739" i="64" s="1"/>
  <c r="K738" i="64"/>
  <c r="L738" i="64" s="1"/>
  <c r="H738" i="64"/>
  <c r="I738" i="64" s="1"/>
  <c r="K737" i="64"/>
  <c r="L737" i="64" s="1"/>
  <c r="H737" i="64"/>
  <c r="I737" i="64" s="1"/>
  <c r="K735" i="64"/>
  <c r="L735" i="64" s="1"/>
  <c r="H735" i="64"/>
  <c r="I735" i="64" s="1"/>
  <c r="K734" i="64"/>
  <c r="L734" i="64" s="1"/>
  <c r="H734" i="64"/>
  <c r="I734" i="64" s="1"/>
  <c r="K733" i="64"/>
  <c r="L733" i="64" s="1"/>
  <c r="H733" i="64"/>
  <c r="I733" i="64" s="1"/>
  <c r="K732" i="64"/>
  <c r="L732" i="64" s="1"/>
  <c r="H732" i="64"/>
  <c r="I732" i="64" s="1"/>
  <c r="K729" i="64"/>
  <c r="L729" i="64" s="1"/>
  <c r="H729" i="64"/>
  <c r="I729" i="64" s="1"/>
  <c r="K727" i="64"/>
  <c r="L727" i="64" s="1"/>
  <c r="H727" i="64"/>
  <c r="I727" i="64" s="1"/>
  <c r="K726" i="64"/>
  <c r="L726" i="64" s="1"/>
  <c r="H726" i="64"/>
  <c r="I726" i="64" s="1"/>
  <c r="K725" i="64"/>
  <c r="L725" i="64" s="1"/>
  <c r="H725" i="64"/>
  <c r="I725" i="64" s="1"/>
  <c r="K724" i="64"/>
  <c r="L724" i="64" s="1"/>
  <c r="H724" i="64"/>
  <c r="I724" i="64" s="1"/>
  <c r="K722" i="64"/>
  <c r="L722" i="64" s="1"/>
  <c r="H722" i="64"/>
  <c r="I722" i="64" s="1"/>
  <c r="K721" i="64"/>
  <c r="L721" i="64" s="1"/>
  <c r="H721" i="64"/>
  <c r="I721" i="64" s="1"/>
  <c r="K720" i="64"/>
  <c r="L720" i="64" s="1"/>
  <c r="H720" i="64"/>
  <c r="I720" i="64" s="1"/>
  <c r="K719" i="64"/>
  <c r="L719" i="64" s="1"/>
  <c r="H719" i="64"/>
  <c r="I719" i="64" s="1"/>
  <c r="K713" i="64"/>
  <c r="L713" i="64" s="1"/>
  <c r="H713" i="64"/>
  <c r="I713" i="64" s="1"/>
  <c r="K712" i="64"/>
  <c r="L712" i="64" s="1"/>
  <c r="H712" i="64"/>
  <c r="I712" i="64" s="1"/>
  <c r="K711" i="64"/>
  <c r="L711" i="64" s="1"/>
  <c r="H711" i="64"/>
  <c r="I711" i="64" s="1"/>
  <c r="K710" i="64"/>
  <c r="L710" i="64" s="1"/>
  <c r="H710" i="64"/>
  <c r="I710" i="64" s="1"/>
  <c r="K709" i="64"/>
  <c r="L709" i="64" s="1"/>
  <c r="H709" i="64"/>
  <c r="I709" i="64" s="1"/>
  <c r="K708" i="64"/>
  <c r="L708" i="64" s="1"/>
  <c r="H708" i="64"/>
  <c r="I708" i="64" s="1"/>
  <c r="K707" i="64"/>
  <c r="L707" i="64" s="1"/>
  <c r="H707" i="64"/>
  <c r="I707" i="64" s="1"/>
  <c r="K706" i="64"/>
  <c r="L706" i="64" s="1"/>
  <c r="H706" i="64"/>
  <c r="I706" i="64" s="1"/>
  <c r="K705" i="64"/>
  <c r="L705" i="64" s="1"/>
  <c r="H705" i="64"/>
  <c r="I705" i="64" s="1"/>
  <c r="K704" i="64"/>
  <c r="L704" i="64" s="1"/>
  <c r="H704" i="64"/>
  <c r="I704" i="64" s="1"/>
  <c r="K703" i="64"/>
  <c r="L703" i="64" s="1"/>
  <c r="H703" i="64"/>
  <c r="I703" i="64" s="1"/>
  <c r="K702" i="64"/>
  <c r="L702" i="64" s="1"/>
  <c r="H702" i="64"/>
  <c r="I702" i="64" s="1"/>
  <c r="K701" i="64"/>
  <c r="L701" i="64" s="1"/>
  <c r="H701" i="64"/>
  <c r="I701" i="64" s="1"/>
  <c r="K700" i="64"/>
  <c r="L700" i="64" s="1"/>
  <c r="H700" i="64"/>
  <c r="I700" i="64" s="1"/>
  <c r="K699" i="64"/>
  <c r="L699" i="64" s="1"/>
  <c r="H699" i="64"/>
  <c r="I699" i="64" s="1"/>
  <c r="K698" i="64"/>
  <c r="L698" i="64" s="1"/>
  <c r="H698" i="64"/>
  <c r="I698" i="64" s="1"/>
  <c r="K697" i="64"/>
  <c r="L697" i="64" s="1"/>
  <c r="H697" i="64"/>
  <c r="I697" i="64" s="1"/>
  <c r="K696" i="64"/>
  <c r="L696" i="64" s="1"/>
  <c r="H696" i="64"/>
  <c r="I696" i="64" s="1"/>
  <c r="K695" i="64"/>
  <c r="L695" i="64" s="1"/>
  <c r="H695" i="64"/>
  <c r="I695" i="64" s="1"/>
  <c r="K694" i="64"/>
  <c r="L694" i="64" s="1"/>
  <c r="H694" i="64"/>
  <c r="I694" i="64" s="1"/>
  <c r="K693" i="64"/>
  <c r="L693" i="64" s="1"/>
  <c r="H693" i="64"/>
  <c r="I693" i="64" s="1"/>
  <c r="K691" i="64"/>
  <c r="L691" i="64" s="1"/>
  <c r="H691" i="64"/>
  <c r="I691" i="64" s="1"/>
  <c r="K690" i="64"/>
  <c r="L690" i="64" s="1"/>
  <c r="H690" i="64"/>
  <c r="I690" i="64" s="1"/>
  <c r="K689" i="64"/>
  <c r="L689" i="64" s="1"/>
  <c r="H689" i="64"/>
  <c r="I689" i="64" s="1"/>
  <c r="K688" i="64"/>
  <c r="L688" i="64" s="1"/>
  <c r="H688" i="64"/>
  <c r="I688" i="64" s="1"/>
  <c r="K687" i="64"/>
  <c r="L687" i="64" s="1"/>
  <c r="H687" i="64"/>
  <c r="I687" i="64" s="1"/>
  <c r="K685" i="64"/>
  <c r="L685" i="64" s="1"/>
  <c r="H685" i="64"/>
  <c r="I685" i="64" s="1"/>
  <c r="K684" i="64"/>
  <c r="L684" i="64" s="1"/>
  <c r="H684" i="64"/>
  <c r="I684" i="64" s="1"/>
  <c r="K683" i="64"/>
  <c r="L683" i="64" s="1"/>
  <c r="H683" i="64"/>
  <c r="I683" i="64" s="1"/>
  <c r="K682" i="64"/>
  <c r="L682" i="64" s="1"/>
  <c r="H682" i="64"/>
  <c r="I682" i="64" s="1"/>
  <c r="K681" i="64"/>
  <c r="L681" i="64" s="1"/>
  <c r="H681" i="64"/>
  <c r="I681" i="64" s="1"/>
  <c r="K679" i="64"/>
  <c r="L679" i="64" s="1"/>
  <c r="H679" i="64"/>
  <c r="I679" i="64" s="1"/>
  <c r="K678" i="64"/>
  <c r="L678" i="64" s="1"/>
  <c r="H678" i="64"/>
  <c r="I678" i="64" s="1"/>
  <c r="K677" i="64"/>
  <c r="L677" i="64" s="1"/>
  <c r="H677" i="64"/>
  <c r="I677" i="64" s="1"/>
  <c r="K676" i="64"/>
  <c r="L676" i="64" s="1"/>
  <c r="H676" i="64"/>
  <c r="I676" i="64" s="1"/>
  <c r="K675" i="64"/>
  <c r="L675" i="64" s="1"/>
  <c r="H675" i="64"/>
  <c r="I675" i="64" s="1"/>
  <c r="K674" i="64"/>
  <c r="L674" i="64" s="1"/>
  <c r="H674" i="64"/>
  <c r="I674" i="64" s="1"/>
  <c r="K672" i="64"/>
  <c r="L672" i="64" s="1"/>
  <c r="H672" i="64"/>
  <c r="I672" i="64" s="1"/>
  <c r="K671" i="64"/>
  <c r="L671" i="64" s="1"/>
  <c r="H671" i="64"/>
  <c r="I671" i="64" s="1"/>
  <c r="K670" i="64"/>
  <c r="L670" i="64" s="1"/>
  <c r="H670" i="64"/>
  <c r="I670" i="64" s="1"/>
  <c r="K669" i="64"/>
  <c r="L669" i="64" s="1"/>
  <c r="H669" i="64"/>
  <c r="I669" i="64" s="1"/>
  <c r="K668" i="64"/>
  <c r="L668" i="64" s="1"/>
  <c r="H668" i="64"/>
  <c r="I668" i="64" s="1"/>
  <c r="K667" i="64"/>
  <c r="L667" i="64" s="1"/>
  <c r="H667" i="64"/>
  <c r="I667" i="64" s="1"/>
  <c r="K665" i="64"/>
  <c r="L665" i="64" s="1"/>
  <c r="H665" i="64"/>
  <c r="I665" i="64" s="1"/>
  <c r="K664" i="64"/>
  <c r="L664" i="64" s="1"/>
  <c r="H664" i="64"/>
  <c r="I664" i="64" s="1"/>
  <c r="K663" i="64"/>
  <c r="L663" i="64" s="1"/>
  <c r="H663" i="64"/>
  <c r="I663" i="64" s="1"/>
  <c r="K662" i="64"/>
  <c r="L662" i="64" s="1"/>
  <c r="H662" i="64"/>
  <c r="I662" i="64" s="1"/>
  <c r="K661" i="64"/>
  <c r="L661" i="64" s="1"/>
  <c r="H661" i="64"/>
  <c r="I661" i="64" s="1"/>
  <c r="K660" i="64"/>
  <c r="L660" i="64" s="1"/>
  <c r="H660" i="64"/>
  <c r="I660" i="64" s="1"/>
  <c r="K659" i="64"/>
  <c r="L659" i="64" s="1"/>
  <c r="H659" i="64"/>
  <c r="I659" i="64" s="1"/>
  <c r="K658" i="64"/>
  <c r="L658" i="64" s="1"/>
  <c r="H658" i="64"/>
  <c r="I658" i="64" s="1"/>
  <c r="K657" i="64"/>
  <c r="L657" i="64" s="1"/>
  <c r="H657" i="64"/>
  <c r="I657" i="64" s="1"/>
  <c r="K656" i="64"/>
  <c r="L656" i="64" s="1"/>
  <c r="H656" i="64"/>
  <c r="I656" i="64" s="1"/>
  <c r="K655" i="64"/>
  <c r="L655" i="64" s="1"/>
  <c r="H655" i="64"/>
  <c r="I655" i="64" s="1"/>
  <c r="K654" i="64"/>
  <c r="L654" i="64" s="1"/>
  <c r="H654" i="64"/>
  <c r="I654" i="64" s="1"/>
  <c r="K653" i="64"/>
  <c r="L653" i="64" s="1"/>
  <c r="H653" i="64"/>
  <c r="I653" i="64" s="1"/>
  <c r="K652" i="64"/>
  <c r="L652" i="64" s="1"/>
  <c r="H652" i="64"/>
  <c r="I652" i="64" s="1"/>
  <c r="K646" i="64"/>
  <c r="L646" i="64" s="1"/>
  <c r="H646" i="64"/>
  <c r="I646" i="64" s="1"/>
  <c r="K644" i="64"/>
  <c r="L644" i="64" s="1"/>
  <c r="H644" i="64"/>
  <c r="I644" i="64" s="1"/>
  <c r="K643" i="64"/>
  <c r="L643" i="64" s="1"/>
  <c r="H643" i="64"/>
  <c r="I643" i="64" s="1"/>
  <c r="K642" i="64"/>
  <c r="L642" i="64" s="1"/>
  <c r="H642" i="64"/>
  <c r="I642" i="64" s="1"/>
  <c r="K641" i="64"/>
  <c r="L641" i="64" s="1"/>
  <c r="H641" i="64"/>
  <c r="I641" i="64" s="1"/>
  <c r="K639" i="64"/>
  <c r="L639" i="64" s="1"/>
  <c r="H639" i="64"/>
  <c r="I639" i="64" s="1"/>
  <c r="K638" i="64"/>
  <c r="L638" i="64" s="1"/>
  <c r="H638" i="64"/>
  <c r="I638" i="64" s="1"/>
  <c r="K637" i="64"/>
  <c r="L637" i="64" s="1"/>
  <c r="H637" i="64"/>
  <c r="I637" i="64" s="1"/>
  <c r="K636" i="64"/>
  <c r="L636" i="64" s="1"/>
  <c r="H636" i="64"/>
  <c r="I636" i="64" s="1"/>
  <c r="K631" i="64"/>
  <c r="L631" i="64" s="1"/>
  <c r="H631" i="64"/>
  <c r="I631" i="64" s="1"/>
  <c r="K629" i="64"/>
  <c r="L629" i="64" s="1"/>
  <c r="H629" i="64"/>
  <c r="I629" i="64" s="1"/>
  <c r="K628" i="64"/>
  <c r="L628" i="64" s="1"/>
  <c r="H628" i="64"/>
  <c r="I628" i="64" s="1"/>
  <c r="K627" i="64"/>
  <c r="L627" i="64" s="1"/>
  <c r="H627" i="64"/>
  <c r="I627" i="64" s="1"/>
  <c r="K626" i="64"/>
  <c r="L626" i="64" s="1"/>
  <c r="H626" i="64"/>
  <c r="I626" i="64" s="1"/>
  <c r="K624" i="64"/>
  <c r="L624" i="64" s="1"/>
  <c r="H624" i="64"/>
  <c r="I624" i="64" s="1"/>
  <c r="K623" i="64"/>
  <c r="L623" i="64" s="1"/>
  <c r="H623" i="64"/>
  <c r="I623" i="64" s="1"/>
  <c r="K622" i="64"/>
  <c r="L622" i="64" s="1"/>
  <c r="H622" i="64"/>
  <c r="I622" i="64" s="1"/>
  <c r="K621" i="64"/>
  <c r="L621" i="64" s="1"/>
  <c r="H621" i="64"/>
  <c r="I621" i="64" s="1"/>
  <c r="K618" i="64"/>
  <c r="L618" i="64" s="1"/>
  <c r="H618" i="64"/>
  <c r="I618" i="64" s="1"/>
  <c r="K616" i="64"/>
  <c r="L616" i="64" s="1"/>
  <c r="H616" i="64"/>
  <c r="I616" i="64" s="1"/>
  <c r="K615" i="64"/>
  <c r="L615" i="64" s="1"/>
  <c r="H615" i="64"/>
  <c r="I615" i="64" s="1"/>
  <c r="K614" i="64"/>
  <c r="L614" i="64" s="1"/>
  <c r="H614" i="64"/>
  <c r="I614" i="64" s="1"/>
  <c r="K613" i="64"/>
  <c r="L613" i="64" s="1"/>
  <c r="H613" i="64"/>
  <c r="I613" i="64" s="1"/>
  <c r="K611" i="64"/>
  <c r="L611" i="64" s="1"/>
  <c r="H611" i="64"/>
  <c r="I611" i="64" s="1"/>
  <c r="K610" i="64"/>
  <c r="L610" i="64" s="1"/>
  <c r="H610" i="64"/>
  <c r="I610" i="64" s="1"/>
  <c r="K609" i="64"/>
  <c r="L609" i="64" s="1"/>
  <c r="H609" i="64"/>
  <c r="I609" i="64" s="1"/>
  <c r="K603" i="64"/>
  <c r="L603" i="64" s="1"/>
  <c r="H603" i="64"/>
  <c r="I603" i="64" s="1"/>
  <c r="K602" i="64"/>
  <c r="L602" i="64" s="1"/>
  <c r="H602" i="64"/>
  <c r="I602" i="64" s="1"/>
  <c r="K601" i="64"/>
  <c r="L601" i="64" s="1"/>
  <c r="H601" i="64"/>
  <c r="I601" i="64" s="1"/>
  <c r="K600" i="64"/>
  <c r="L600" i="64" s="1"/>
  <c r="H600" i="64"/>
  <c r="I600" i="64" s="1"/>
  <c r="K599" i="64"/>
  <c r="L599" i="64" s="1"/>
  <c r="H599" i="64"/>
  <c r="I599" i="64" s="1"/>
  <c r="K598" i="64"/>
  <c r="L598" i="64" s="1"/>
  <c r="H598" i="64"/>
  <c r="I598" i="64" s="1"/>
  <c r="K596" i="64"/>
  <c r="L596" i="64" s="1"/>
  <c r="H596" i="64"/>
  <c r="I596" i="64" s="1"/>
  <c r="K595" i="64"/>
  <c r="L595" i="64" s="1"/>
  <c r="H595" i="64"/>
  <c r="I595" i="64" s="1"/>
  <c r="K594" i="64"/>
  <c r="L594" i="64" s="1"/>
  <c r="H594" i="64"/>
  <c r="I594" i="64" s="1"/>
  <c r="K591" i="64"/>
  <c r="L591" i="64" s="1"/>
  <c r="H591" i="64"/>
  <c r="I591" i="64" s="1"/>
  <c r="K589" i="64"/>
  <c r="L589" i="64" s="1"/>
  <c r="H589" i="64"/>
  <c r="I589" i="64" s="1"/>
  <c r="K588" i="64"/>
  <c r="L588" i="64" s="1"/>
  <c r="H588" i="64"/>
  <c r="I588" i="64" s="1"/>
  <c r="K587" i="64"/>
  <c r="L587" i="64" s="1"/>
  <c r="H587" i="64"/>
  <c r="I587" i="64" s="1"/>
  <c r="K585" i="64"/>
  <c r="L585" i="64" s="1"/>
  <c r="H585" i="64"/>
  <c r="I585" i="64" s="1"/>
  <c r="K584" i="64"/>
  <c r="L584" i="64" s="1"/>
  <c r="H584" i="64"/>
  <c r="I584" i="64" s="1"/>
  <c r="K583" i="64"/>
  <c r="L583" i="64" s="1"/>
  <c r="H583" i="64"/>
  <c r="I583" i="64" s="1"/>
  <c r="K582" i="64"/>
  <c r="L582" i="64" s="1"/>
  <c r="H582" i="64"/>
  <c r="I582" i="64" s="1"/>
  <c r="K580" i="64"/>
  <c r="L580" i="64" s="1"/>
  <c r="H580" i="64"/>
  <c r="I580" i="64" s="1"/>
  <c r="K579" i="64"/>
  <c r="L579" i="64" s="1"/>
  <c r="H579" i="64"/>
  <c r="I579" i="64" s="1"/>
  <c r="K578" i="64"/>
  <c r="L578" i="64" s="1"/>
  <c r="H578" i="64"/>
  <c r="I578" i="64" s="1"/>
  <c r="K577" i="64"/>
  <c r="L577" i="64" s="1"/>
  <c r="H577" i="64"/>
  <c r="I577" i="64" s="1"/>
  <c r="K576" i="64"/>
  <c r="L576" i="64" s="1"/>
  <c r="H576" i="64"/>
  <c r="I576" i="64" s="1"/>
  <c r="K575" i="64"/>
  <c r="L575" i="64" s="1"/>
  <c r="H575" i="64"/>
  <c r="I575" i="64" s="1"/>
  <c r="K574" i="64"/>
  <c r="L574" i="64" s="1"/>
  <c r="H574" i="64"/>
  <c r="I574" i="64" s="1"/>
  <c r="K569" i="64"/>
  <c r="L569" i="64" s="1"/>
  <c r="H569" i="64"/>
  <c r="I569" i="64" s="1"/>
  <c r="K568" i="64"/>
  <c r="L568" i="64" s="1"/>
  <c r="H568" i="64"/>
  <c r="I568" i="64" s="1"/>
  <c r="K566" i="64"/>
  <c r="L566" i="64" s="1"/>
  <c r="H566" i="64"/>
  <c r="I566" i="64" s="1"/>
  <c r="K565" i="64"/>
  <c r="L565" i="64" s="1"/>
  <c r="H565" i="64"/>
  <c r="I565" i="64" s="1"/>
  <c r="K564" i="64"/>
  <c r="L564" i="64" s="1"/>
  <c r="H564" i="64"/>
  <c r="I564" i="64" s="1"/>
  <c r="K563" i="64"/>
  <c r="L563" i="64" s="1"/>
  <c r="H563" i="64"/>
  <c r="I563" i="64" s="1"/>
  <c r="K561" i="64"/>
  <c r="L561" i="64" s="1"/>
  <c r="H561" i="64"/>
  <c r="I561" i="64" s="1"/>
  <c r="K560" i="64"/>
  <c r="L560" i="64" s="1"/>
  <c r="H560" i="64"/>
  <c r="I560" i="64" s="1"/>
  <c r="K559" i="64"/>
  <c r="L559" i="64" s="1"/>
  <c r="H559" i="64"/>
  <c r="I559" i="64" s="1"/>
  <c r="K558" i="64"/>
  <c r="L558" i="64" s="1"/>
  <c r="H558" i="64"/>
  <c r="I558" i="64" s="1"/>
  <c r="K555" i="64"/>
  <c r="L555" i="64" s="1"/>
  <c r="H555" i="64"/>
  <c r="I555" i="64" s="1"/>
  <c r="K553" i="64"/>
  <c r="L553" i="64" s="1"/>
  <c r="H553" i="64"/>
  <c r="I553" i="64" s="1"/>
  <c r="K552" i="64"/>
  <c r="L552" i="64" s="1"/>
  <c r="H552" i="64"/>
  <c r="I552" i="64" s="1"/>
  <c r="K551" i="64"/>
  <c r="L551" i="64" s="1"/>
  <c r="H551" i="64"/>
  <c r="I551" i="64" s="1"/>
  <c r="K550" i="64"/>
  <c r="L550" i="64" s="1"/>
  <c r="H550" i="64"/>
  <c r="I550" i="64" s="1"/>
  <c r="K548" i="64"/>
  <c r="L548" i="64" s="1"/>
  <c r="H548" i="64"/>
  <c r="I548" i="64" s="1"/>
  <c r="K547" i="64"/>
  <c r="L547" i="64" s="1"/>
  <c r="H547" i="64"/>
  <c r="I547" i="64" s="1"/>
  <c r="K546" i="64"/>
  <c r="L546" i="64" s="1"/>
  <c r="H546" i="64"/>
  <c r="I546" i="64" s="1"/>
  <c r="K545" i="64"/>
  <c r="L545" i="64" s="1"/>
  <c r="H545" i="64"/>
  <c r="I545" i="64" s="1"/>
  <c r="K544" i="64"/>
  <c r="L544" i="64" s="1"/>
  <c r="H544" i="64"/>
  <c r="I544" i="64" s="1"/>
  <c r="K543" i="64"/>
  <c r="L543" i="64" s="1"/>
  <c r="H543" i="64"/>
  <c r="I543" i="64" s="1"/>
  <c r="K520" i="64"/>
  <c r="L520" i="64" s="1"/>
  <c r="H520" i="64"/>
  <c r="I520" i="64" s="1"/>
  <c r="K519" i="64"/>
  <c r="L519" i="64" s="1"/>
  <c r="H519" i="64"/>
  <c r="I519" i="64" s="1"/>
  <c r="K518" i="64"/>
  <c r="L518" i="64" s="1"/>
  <c r="H518" i="64"/>
  <c r="I518" i="64" s="1"/>
  <c r="K517" i="64"/>
  <c r="L517" i="64" s="1"/>
  <c r="H517" i="64"/>
  <c r="I517" i="64" s="1"/>
  <c r="K516" i="64"/>
  <c r="L516" i="64" s="1"/>
  <c r="H516" i="64"/>
  <c r="I516" i="64" s="1"/>
  <c r="K515" i="64"/>
  <c r="L515" i="64" s="1"/>
  <c r="H515" i="64"/>
  <c r="I515" i="64" s="1"/>
  <c r="K513" i="64"/>
  <c r="L513" i="64" s="1"/>
  <c r="H513" i="64"/>
  <c r="I513" i="64" s="1"/>
  <c r="K511" i="64"/>
  <c r="L511" i="64" s="1"/>
  <c r="H511" i="64"/>
  <c r="I511" i="64" s="1"/>
  <c r="K510" i="64"/>
  <c r="L510" i="64" s="1"/>
  <c r="H510" i="64"/>
  <c r="I510" i="64" s="1"/>
  <c r="K509" i="64"/>
  <c r="L509" i="64" s="1"/>
  <c r="H509" i="64"/>
  <c r="I509" i="64" s="1"/>
  <c r="K508" i="64"/>
  <c r="L508" i="64" s="1"/>
  <c r="H508" i="64"/>
  <c r="I508" i="64" s="1"/>
  <c r="K506" i="64"/>
  <c r="L506" i="64" s="1"/>
  <c r="H506" i="64"/>
  <c r="I506" i="64" s="1"/>
  <c r="K505" i="64"/>
  <c r="L505" i="64" s="1"/>
  <c r="H505" i="64"/>
  <c r="I505" i="64" s="1"/>
  <c r="K504" i="64"/>
  <c r="L504" i="64" s="1"/>
  <c r="H504" i="64"/>
  <c r="I504" i="64" s="1"/>
  <c r="K501" i="64"/>
  <c r="L501" i="64" s="1"/>
  <c r="H501" i="64"/>
  <c r="I501" i="64" s="1"/>
  <c r="K499" i="64"/>
  <c r="L499" i="64" s="1"/>
  <c r="H499" i="64"/>
  <c r="I499" i="64" s="1"/>
  <c r="K498" i="64"/>
  <c r="L498" i="64" s="1"/>
  <c r="H498" i="64"/>
  <c r="I498" i="64" s="1"/>
  <c r="K497" i="64"/>
  <c r="L497" i="64" s="1"/>
  <c r="H497" i="64"/>
  <c r="I497" i="64" s="1"/>
  <c r="K495" i="64"/>
  <c r="L495" i="64" s="1"/>
  <c r="H495" i="64"/>
  <c r="I495" i="64" s="1"/>
  <c r="K494" i="64"/>
  <c r="L494" i="64" s="1"/>
  <c r="H494" i="64"/>
  <c r="I494" i="64" s="1"/>
  <c r="K493" i="64"/>
  <c r="L493" i="64" s="1"/>
  <c r="H493" i="64"/>
  <c r="I493" i="64" s="1"/>
  <c r="K492" i="64"/>
  <c r="L492" i="64" s="1"/>
  <c r="H492" i="64"/>
  <c r="I492" i="64" s="1"/>
  <c r="K490" i="64"/>
  <c r="L490" i="64" s="1"/>
  <c r="H490" i="64"/>
  <c r="I490" i="64" s="1"/>
  <c r="K489" i="64"/>
  <c r="L489" i="64" s="1"/>
  <c r="H489" i="64"/>
  <c r="I489" i="64" s="1"/>
  <c r="K488" i="64"/>
  <c r="L488" i="64" s="1"/>
  <c r="H488" i="64"/>
  <c r="I488" i="64" s="1"/>
  <c r="K487" i="64"/>
  <c r="L487" i="64" s="1"/>
  <c r="H487" i="64"/>
  <c r="I487" i="64" s="1"/>
  <c r="K486" i="64"/>
  <c r="L486" i="64" s="1"/>
  <c r="H486" i="64"/>
  <c r="I486" i="64" s="1"/>
  <c r="K485" i="64"/>
  <c r="L485" i="64" s="1"/>
  <c r="H485" i="64"/>
  <c r="I485" i="64" s="1"/>
  <c r="K484" i="64"/>
  <c r="L484" i="64" s="1"/>
  <c r="H484" i="64"/>
  <c r="I484" i="64" s="1"/>
  <c r="K483" i="64"/>
  <c r="L483" i="64" s="1"/>
  <c r="H483" i="64"/>
  <c r="I483" i="64" s="1"/>
  <c r="K479" i="64"/>
  <c r="L479" i="64" s="1"/>
  <c r="H479" i="64"/>
  <c r="I479" i="64" s="1"/>
  <c r="K478" i="64"/>
  <c r="L478" i="64" s="1"/>
  <c r="H478" i="64"/>
  <c r="I478" i="64" s="1"/>
  <c r="K476" i="64"/>
  <c r="L476" i="64" s="1"/>
  <c r="H476" i="64"/>
  <c r="I476" i="64" s="1"/>
  <c r="K475" i="64"/>
  <c r="L475" i="64" s="1"/>
  <c r="H475" i="64"/>
  <c r="I475" i="64" s="1"/>
  <c r="K474" i="64"/>
  <c r="L474" i="64" s="1"/>
  <c r="H474" i="64"/>
  <c r="I474" i="64" s="1"/>
  <c r="K473" i="64"/>
  <c r="L473" i="64" s="1"/>
  <c r="H473" i="64"/>
  <c r="I473" i="64" s="1"/>
  <c r="K471" i="64"/>
  <c r="L471" i="64" s="1"/>
  <c r="H471" i="64"/>
  <c r="I471" i="64" s="1"/>
  <c r="K470" i="64"/>
  <c r="L470" i="64" s="1"/>
  <c r="H470" i="64"/>
  <c r="I470" i="64" s="1"/>
  <c r="K469" i="64"/>
  <c r="L469" i="64" s="1"/>
  <c r="H469" i="64"/>
  <c r="I469" i="64" s="1"/>
  <c r="K468" i="64"/>
  <c r="L468" i="64" s="1"/>
  <c r="H468" i="64"/>
  <c r="I468" i="64" s="1"/>
  <c r="K465" i="64"/>
  <c r="L465" i="64" s="1"/>
  <c r="H465" i="64"/>
  <c r="I465" i="64" s="1"/>
  <c r="K463" i="64"/>
  <c r="L463" i="64" s="1"/>
  <c r="H463" i="64"/>
  <c r="I463" i="64" s="1"/>
  <c r="K462" i="64"/>
  <c r="L462" i="64" s="1"/>
  <c r="H462" i="64"/>
  <c r="I462" i="64" s="1"/>
  <c r="K461" i="64"/>
  <c r="L461" i="64" s="1"/>
  <c r="H461" i="64"/>
  <c r="I461" i="64" s="1"/>
  <c r="K460" i="64"/>
  <c r="L460" i="64" s="1"/>
  <c r="H460" i="64"/>
  <c r="I460" i="64" s="1"/>
  <c r="K458" i="64"/>
  <c r="L458" i="64" s="1"/>
  <c r="H458" i="64"/>
  <c r="I458" i="64" s="1"/>
  <c r="K457" i="64"/>
  <c r="L457" i="64" s="1"/>
  <c r="H457" i="64"/>
  <c r="I457" i="64" s="1"/>
  <c r="K456" i="64"/>
  <c r="L456" i="64" s="1"/>
  <c r="H456" i="64"/>
  <c r="I456" i="64" s="1"/>
  <c r="K455" i="64"/>
  <c r="L455" i="64" s="1"/>
  <c r="H455" i="64"/>
  <c r="I455" i="64" s="1"/>
  <c r="K454" i="64"/>
  <c r="L454" i="64" s="1"/>
  <c r="H454" i="64"/>
  <c r="I454" i="64" s="1"/>
  <c r="K453" i="64"/>
  <c r="L453" i="64" s="1"/>
  <c r="H453" i="64"/>
  <c r="I453" i="64" s="1"/>
  <c r="K428" i="64"/>
  <c r="L428" i="64" s="1"/>
  <c r="H428" i="64"/>
  <c r="I428" i="64" s="1"/>
  <c r="K427" i="64"/>
  <c r="L427" i="64" s="1"/>
  <c r="H427" i="64"/>
  <c r="I427" i="64" s="1"/>
  <c r="K426" i="64"/>
  <c r="L426" i="64" s="1"/>
  <c r="H426" i="64"/>
  <c r="I426" i="64" s="1"/>
  <c r="K425" i="64"/>
  <c r="L425" i="64" s="1"/>
  <c r="H425" i="64"/>
  <c r="I425" i="64" s="1"/>
  <c r="K424" i="64"/>
  <c r="L424" i="64" s="1"/>
  <c r="H424" i="64"/>
  <c r="I424" i="64" s="1"/>
  <c r="K423" i="64"/>
  <c r="L423" i="64" s="1"/>
  <c r="H423" i="64"/>
  <c r="I423" i="64" s="1"/>
  <c r="K421" i="64"/>
  <c r="L421" i="64" s="1"/>
  <c r="H421" i="64"/>
  <c r="I421" i="64" s="1"/>
  <c r="K419" i="64"/>
  <c r="L419" i="64" s="1"/>
  <c r="H419" i="64"/>
  <c r="I419" i="64" s="1"/>
  <c r="K418" i="64"/>
  <c r="L418" i="64" s="1"/>
  <c r="H418" i="64"/>
  <c r="I418" i="64" s="1"/>
  <c r="K417" i="64"/>
  <c r="L417" i="64" s="1"/>
  <c r="H417" i="64"/>
  <c r="I417" i="64" s="1"/>
  <c r="K416" i="64"/>
  <c r="L416" i="64" s="1"/>
  <c r="H416" i="64"/>
  <c r="I416" i="64" s="1"/>
  <c r="K414" i="64"/>
  <c r="L414" i="64" s="1"/>
  <c r="H414" i="64"/>
  <c r="I414" i="64" s="1"/>
  <c r="K413" i="64"/>
  <c r="L413" i="64" s="1"/>
  <c r="H413" i="64"/>
  <c r="I413" i="64" s="1"/>
  <c r="K412" i="64"/>
  <c r="L412" i="64" s="1"/>
  <c r="H412" i="64"/>
  <c r="I412" i="64" s="1"/>
  <c r="K409" i="64"/>
  <c r="L409" i="64" s="1"/>
  <c r="H409" i="64"/>
  <c r="I409" i="64" s="1"/>
  <c r="K407" i="64"/>
  <c r="L407" i="64" s="1"/>
  <c r="H407" i="64"/>
  <c r="I407" i="64" s="1"/>
  <c r="K406" i="64"/>
  <c r="L406" i="64" s="1"/>
  <c r="H406" i="64"/>
  <c r="I406" i="64" s="1"/>
  <c r="K404" i="64"/>
  <c r="L404" i="64" s="1"/>
  <c r="H404" i="64"/>
  <c r="I404" i="64" s="1"/>
  <c r="K403" i="64"/>
  <c r="L403" i="64" s="1"/>
  <c r="H403" i="64"/>
  <c r="I403" i="64" s="1"/>
  <c r="K402" i="64"/>
  <c r="L402" i="64" s="1"/>
  <c r="H402" i="64"/>
  <c r="I402" i="64" s="1"/>
  <c r="K401" i="64"/>
  <c r="L401" i="64" s="1"/>
  <c r="H401" i="64"/>
  <c r="I401" i="64" s="1"/>
  <c r="K399" i="64"/>
  <c r="L399" i="64" s="1"/>
  <c r="H399" i="64"/>
  <c r="I399" i="64" s="1"/>
  <c r="K398" i="64"/>
  <c r="L398" i="64" s="1"/>
  <c r="H398" i="64"/>
  <c r="I398" i="64" s="1"/>
  <c r="K397" i="64"/>
  <c r="L397" i="64" s="1"/>
  <c r="H397" i="64"/>
  <c r="I397" i="64" s="1"/>
  <c r="K396" i="64"/>
  <c r="L396" i="64" s="1"/>
  <c r="H396" i="64"/>
  <c r="I396" i="64" s="1"/>
  <c r="K395" i="64"/>
  <c r="L395" i="64" s="1"/>
  <c r="H395" i="64"/>
  <c r="I395" i="64" s="1"/>
  <c r="K394" i="64"/>
  <c r="L394" i="64" s="1"/>
  <c r="H394" i="64"/>
  <c r="I394" i="64" s="1"/>
  <c r="K393" i="64"/>
  <c r="L393" i="64" s="1"/>
  <c r="H393" i="64"/>
  <c r="I393" i="64" s="1"/>
  <c r="K390" i="64"/>
  <c r="L390" i="64" s="1"/>
  <c r="H390" i="64"/>
  <c r="I390" i="64" s="1"/>
  <c r="K389" i="64"/>
  <c r="L389" i="64" s="1"/>
  <c r="H389" i="64"/>
  <c r="I389" i="64" s="1"/>
  <c r="K387" i="64"/>
  <c r="L387" i="64" s="1"/>
  <c r="H387" i="64"/>
  <c r="I387" i="64" s="1"/>
  <c r="K386" i="64"/>
  <c r="L386" i="64" s="1"/>
  <c r="H386" i="64"/>
  <c r="I386" i="64" s="1"/>
  <c r="K385" i="64"/>
  <c r="L385" i="64" s="1"/>
  <c r="H385" i="64"/>
  <c r="I385" i="64" s="1"/>
  <c r="K384" i="64"/>
  <c r="L384" i="64" s="1"/>
  <c r="H384" i="64"/>
  <c r="I384" i="64" s="1"/>
  <c r="K382" i="64"/>
  <c r="L382" i="64" s="1"/>
  <c r="H382" i="64"/>
  <c r="I382" i="64" s="1"/>
  <c r="K381" i="64"/>
  <c r="L381" i="64" s="1"/>
  <c r="H381" i="64"/>
  <c r="I381" i="64" s="1"/>
  <c r="K380" i="64"/>
  <c r="L380" i="64" s="1"/>
  <c r="H380" i="64"/>
  <c r="I380" i="64" s="1"/>
  <c r="K379" i="64"/>
  <c r="L379" i="64" s="1"/>
  <c r="H379" i="64"/>
  <c r="I379" i="64" s="1"/>
  <c r="K376" i="64"/>
  <c r="L376" i="64" s="1"/>
  <c r="H376" i="64"/>
  <c r="I376" i="64" s="1"/>
  <c r="K374" i="64"/>
  <c r="L374" i="64" s="1"/>
  <c r="H374" i="64"/>
  <c r="I374" i="64" s="1"/>
  <c r="K373" i="64"/>
  <c r="L373" i="64" s="1"/>
  <c r="H373" i="64"/>
  <c r="I373" i="64" s="1"/>
  <c r="K372" i="64"/>
  <c r="L372" i="64" s="1"/>
  <c r="H372" i="64"/>
  <c r="I372" i="64" s="1"/>
  <c r="K371" i="64"/>
  <c r="L371" i="64" s="1"/>
  <c r="H371" i="64"/>
  <c r="I371" i="64" s="1"/>
  <c r="K369" i="64"/>
  <c r="L369" i="64" s="1"/>
  <c r="H369" i="64"/>
  <c r="I369" i="64" s="1"/>
  <c r="K368" i="64"/>
  <c r="L368" i="64" s="1"/>
  <c r="H368" i="64"/>
  <c r="I368" i="64" s="1"/>
  <c r="K367" i="64"/>
  <c r="L367" i="64" s="1"/>
  <c r="H367" i="64"/>
  <c r="I367" i="64" s="1"/>
  <c r="K366" i="64"/>
  <c r="L366" i="64" s="1"/>
  <c r="H366" i="64"/>
  <c r="I366" i="64" s="1"/>
  <c r="K365" i="64"/>
  <c r="L365" i="64" s="1"/>
  <c r="H365" i="64"/>
  <c r="I365" i="64" s="1"/>
  <c r="K364" i="64"/>
  <c r="L364" i="64" s="1"/>
  <c r="H364" i="64"/>
  <c r="I364" i="64" s="1"/>
  <c r="K363" i="64"/>
  <c r="L363" i="64" s="1"/>
  <c r="H363" i="64"/>
  <c r="I363" i="64" s="1"/>
  <c r="K362" i="64"/>
  <c r="L362" i="64" s="1"/>
  <c r="H362" i="64"/>
  <c r="I362" i="64" s="1"/>
  <c r="K345" i="64"/>
  <c r="L345" i="64" s="1"/>
  <c r="H345" i="64"/>
  <c r="I345" i="64" s="1"/>
  <c r="K343" i="64"/>
  <c r="L343" i="64" s="1"/>
  <c r="H343" i="64"/>
  <c r="I343" i="64" s="1"/>
  <c r="K342" i="64"/>
  <c r="L342" i="64" s="1"/>
  <c r="H342" i="64"/>
  <c r="I342" i="64" s="1"/>
  <c r="K341" i="64"/>
  <c r="L341" i="64" s="1"/>
  <c r="H341" i="64"/>
  <c r="I341" i="64" s="1"/>
  <c r="K340" i="64"/>
  <c r="L340" i="64" s="1"/>
  <c r="H340" i="64"/>
  <c r="I340" i="64" s="1"/>
  <c r="K338" i="64"/>
  <c r="L338" i="64" s="1"/>
  <c r="H338" i="64"/>
  <c r="I338" i="64" s="1"/>
  <c r="K337" i="64"/>
  <c r="L337" i="64" s="1"/>
  <c r="H337" i="64"/>
  <c r="I337" i="64" s="1"/>
  <c r="K336" i="64"/>
  <c r="L336" i="64" s="1"/>
  <c r="H336" i="64"/>
  <c r="I336" i="64" s="1"/>
  <c r="K335" i="64"/>
  <c r="L335" i="64" s="1"/>
  <c r="H335" i="64"/>
  <c r="I335" i="64" s="1"/>
  <c r="K334" i="64"/>
  <c r="L334" i="64" s="1"/>
  <c r="H334" i="64"/>
  <c r="I334" i="64" s="1"/>
  <c r="K331" i="64"/>
  <c r="L331" i="64" s="1"/>
  <c r="H331" i="64"/>
  <c r="I331" i="64" s="1"/>
  <c r="K329" i="64"/>
  <c r="L329" i="64" s="1"/>
  <c r="H329" i="64"/>
  <c r="I329" i="64" s="1"/>
  <c r="K328" i="64"/>
  <c r="L328" i="64" s="1"/>
  <c r="H328" i="64"/>
  <c r="I328" i="64" s="1"/>
  <c r="K327" i="64"/>
  <c r="L327" i="64" s="1"/>
  <c r="H327" i="64"/>
  <c r="I327" i="64" s="1"/>
  <c r="K326" i="64"/>
  <c r="L326" i="64" s="1"/>
  <c r="H326" i="64"/>
  <c r="I326" i="64" s="1"/>
  <c r="K324" i="64"/>
  <c r="L324" i="64" s="1"/>
  <c r="H324" i="64"/>
  <c r="I324" i="64" s="1"/>
  <c r="K323" i="64"/>
  <c r="L323" i="64" s="1"/>
  <c r="H323" i="64"/>
  <c r="I323" i="64" s="1"/>
  <c r="K321" i="64"/>
  <c r="L321" i="64" s="1"/>
  <c r="H321" i="64"/>
  <c r="I321" i="64" s="1"/>
  <c r="K320" i="64"/>
  <c r="L320" i="64" s="1"/>
  <c r="H320" i="64"/>
  <c r="I320" i="64" s="1"/>
  <c r="K319" i="64"/>
  <c r="L319" i="64" s="1"/>
  <c r="H319" i="64"/>
  <c r="I319" i="64" s="1"/>
  <c r="K318" i="64"/>
  <c r="L318" i="64" s="1"/>
  <c r="H318" i="64"/>
  <c r="I318" i="64" s="1"/>
  <c r="K317" i="64"/>
  <c r="L317" i="64" s="1"/>
  <c r="H317" i="64"/>
  <c r="I317" i="64" s="1"/>
  <c r="K315" i="64"/>
  <c r="L315" i="64" s="1"/>
  <c r="H315" i="64"/>
  <c r="I315" i="64" s="1"/>
  <c r="K314" i="64"/>
  <c r="L314" i="64" s="1"/>
  <c r="H314" i="64"/>
  <c r="I314" i="64" s="1"/>
  <c r="K313" i="64"/>
  <c r="L313" i="64" s="1"/>
  <c r="H313" i="64"/>
  <c r="I313" i="64" s="1"/>
  <c r="K312" i="64"/>
  <c r="L312" i="64" s="1"/>
  <c r="H312" i="64"/>
  <c r="I312" i="64" s="1"/>
  <c r="K310" i="64"/>
  <c r="L310" i="64" s="1"/>
  <c r="H310" i="64"/>
  <c r="I310" i="64" s="1"/>
  <c r="K309" i="64"/>
  <c r="L309" i="64" s="1"/>
  <c r="H309" i="64"/>
  <c r="I309" i="64" s="1"/>
  <c r="K308" i="64"/>
  <c r="L308" i="64" s="1"/>
  <c r="H308" i="64"/>
  <c r="I308" i="64" s="1"/>
  <c r="K307" i="64"/>
  <c r="L307" i="64" s="1"/>
  <c r="H307" i="64"/>
  <c r="I307" i="64" s="1"/>
  <c r="K302" i="64"/>
  <c r="L302" i="64" s="1"/>
  <c r="H302" i="64"/>
  <c r="I302" i="64" s="1"/>
  <c r="K300" i="64"/>
  <c r="L300" i="64" s="1"/>
  <c r="H300" i="64"/>
  <c r="I300" i="64" s="1"/>
  <c r="K299" i="64"/>
  <c r="L299" i="64" s="1"/>
  <c r="H299" i="64"/>
  <c r="I299" i="64" s="1"/>
  <c r="K297" i="64"/>
  <c r="L297" i="64" s="1"/>
  <c r="H297" i="64"/>
  <c r="I297" i="64" s="1"/>
  <c r="K296" i="64"/>
  <c r="L296" i="64" s="1"/>
  <c r="H296" i="64"/>
  <c r="I296" i="64" s="1"/>
  <c r="K295" i="64"/>
  <c r="L295" i="64" s="1"/>
  <c r="H295" i="64"/>
  <c r="I295" i="64" s="1"/>
  <c r="K294" i="64"/>
  <c r="L294" i="64" s="1"/>
  <c r="H294" i="64"/>
  <c r="I294" i="64" s="1"/>
  <c r="K292" i="64"/>
  <c r="L292" i="64" s="1"/>
  <c r="H292" i="64"/>
  <c r="I292" i="64" s="1"/>
  <c r="K291" i="64"/>
  <c r="L291" i="64" s="1"/>
  <c r="H291" i="64"/>
  <c r="I291" i="64" s="1"/>
  <c r="K290" i="64"/>
  <c r="L290" i="64" s="1"/>
  <c r="H290" i="64"/>
  <c r="I290" i="64" s="1"/>
  <c r="K289" i="64"/>
  <c r="L289" i="64" s="1"/>
  <c r="H289" i="64"/>
  <c r="I289" i="64" s="1"/>
  <c r="K288" i="64"/>
  <c r="L288" i="64" s="1"/>
  <c r="H288" i="64"/>
  <c r="I288" i="64" s="1"/>
  <c r="K287" i="64"/>
  <c r="L287" i="64" s="1"/>
  <c r="H287" i="64"/>
  <c r="I287" i="64" s="1"/>
  <c r="K286" i="64"/>
  <c r="L286" i="64" s="1"/>
  <c r="H286" i="64"/>
  <c r="I286" i="64" s="1"/>
  <c r="K285" i="64"/>
  <c r="L285" i="64" s="1"/>
  <c r="H285" i="64"/>
  <c r="I285" i="64" s="1"/>
  <c r="K281" i="64"/>
  <c r="L281" i="64" s="1"/>
  <c r="H281" i="64"/>
  <c r="I281" i="64" s="1"/>
  <c r="K280" i="64"/>
  <c r="L280" i="64" s="1"/>
  <c r="H280" i="64"/>
  <c r="I280" i="64" s="1"/>
  <c r="K278" i="64"/>
  <c r="L278" i="64" s="1"/>
  <c r="H278" i="64"/>
  <c r="I278" i="64" s="1"/>
  <c r="K277" i="64"/>
  <c r="L277" i="64" s="1"/>
  <c r="H277" i="64"/>
  <c r="I277" i="64" s="1"/>
  <c r="K276" i="64"/>
  <c r="L276" i="64" s="1"/>
  <c r="H276" i="64"/>
  <c r="I276" i="64" s="1"/>
  <c r="K275" i="64"/>
  <c r="L275" i="64" s="1"/>
  <c r="H275" i="64"/>
  <c r="I275" i="64" s="1"/>
  <c r="K273" i="64"/>
  <c r="L273" i="64" s="1"/>
  <c r="H273" i="64"/>
  <c r="I273" i="64" s="1"/>
  <c r="K272" i="64"/>
  <c r="L272" i="64" s="1"/>
  <c r="H272" i="64"/>
  <c r="I272" i="64" s="1"/>
  <c r="K271" i="64"/>
  <c r="L271" i="64" s="1"/>
  <c r="H271" i="64"/>
  <c r="I271" i="64" s="1"/>
  <c r="K270" i="64"/>
  <c r="L270" i="64" s="1"/>
  <c r="H270" i="64"/>
  <c r="I270" i="64" s="1"/>
  <c r="K269" i="64"/>
  <c r="L269" i="64" s="1"/>
  <c r="H269" i="64"/>
  <c r="I269" i="64" s="1"/>
  <c r="K268" i="64"/>
  <c r="L268" i="64" s="1"/>
  <c r="H268" i="64"/>
  <c r="I268" i="64" s="1"/>
  <c r="K267" i="64"/>
  <c r="L267" i="64" s="1"/>
  <c r="H267" i="64"/>
  <c r="I267" i="64" s="1"/>
  <c r="K264" i="64"/>
  <c r="L264" i="64" s="1"/>
  <c r="H264" i="64"/>
  <c r="I264" i="64" s="1"/>
  <c r="K262" i="64"/>
  <c r="L262" i="64" s="1"/>
  <c r="H262" i="64"/>
  <c r="I262" i="64" s="1"/>
  <c r="K261" i="64"/>
  <c r="L261" i="64" s="1"/>
  <c r="H261" i="64"/>
  <c r="I261" i="64" s="1"/>
  <c r="K260" i="64"/>
  <c r="L260" i="64" s="1"/>
  <c r="H260" i="64"/>
  <c r="I260" i="64" s="1"/>
  <c r="K259" i="64"/>
  <c r="L259" i="64" s="1"/>
  <c r="H259" i="64"/>
  <c r="I259" i="64" s="1"/>
  <c r="K257" i="64"/>
  <c r="L257" i="64" s="1"/>
  <c r="H257" i="64"/>
  <c r="I257" i="64" s="1"/>
  <c r="K256" i="64"/>
  <c r="L256" i="64" s="1"/>
  <c r="H256" i="64"/>
  <c r="I256" i="64" s="1"/>
  <c r="K255" i="64"/>
  <c r="L255" i="64" s="1"/>
  <c r="H255" i="64"/>
  <c r="I255" i="64" s="1"/>
  <c r="K254" i="64"/>
  <c r="L254" i="64" s="1"/>
  <c r="H254" i="64"/>
  <c r="I254" i="64" s="1"/>
  <c r="K253" i="64"/>
  <c r="L253" i="64" s="1"/>
  <c r="H253" i="64"/>
  <c r="I253" i="64" s="1"/>
  <c r="K252" i="64"/>
  <c r="L252" i="64" s="1"/>
  <c r="H252" i="64"/>
  <c r="I252" i="64" s="1"/>
  <c r="K250" i="64"/>
  <c r="L250" i="64" s="1"/>
  <c r="H250" i="64"/>
  <c r="I250" i="64" s="1"/>
  <c r="K249" i="64"/>
  <c r="L249" i="64" s="1"/>
  <c r="H249" i="64"/>
  <c r="I249" i="64" s="1"/>
  <c r="K248" i="64"/>
  <c r="L248" i="64" s="1"/>
  <c r="H248" i="64"/>
  <c r="I248" i="64" s="1"/>
  <c r="K228" i="64"/>
  <c r="L228" i="64" s="1"/>
  <c r="H228" i="64"/>
  <c r="I228" i="64" s="1"/>
  <c r="K226" i="64"/>
  <c r="L226" i="64" s="1"/>
  <c r="H226" i="64"/>
  <c r="I226" i="64" s="1"/>
  <c r="K225" i="64"/>
  <c r="L225" i="64" s="1"/>
  <c r="H225" i="64"/>
  <c r="I225" i="64" s="1"/>
  <c r="K224" i="64"/>
  <c r="L224" i="64" s="1"/>
  <c r="H224" i="64"/>
  <c r="I224" i="64" s="1"/>
  <c r="K223" i="64"/>
  <c r="L223" i="64" s="1"/>
  <c r="H223" i="64"/>
  <c r="I223" i="64" s="1"/>
  <c r="K221" i="64"/>
  <c r="L221" i="64" s="1"/>
  <c r="H221" i="64"/>
  <c r="I221" i="64" s="1"/>
  <c r="K220" i="64"/>
  <c r="L220" i="64" s="1"/>
  <c r="H220" i="64"/>
  <c r="I220" i="64" s="1"/>
  <c r="K218" i="64"/>
  <c r="L218" i="64" s="1"/>
  <c r="H218" i="64"/>
  <c r="I218" i="64" s="1"/>
  <c r="K217" i="64"/>
  <c r="L217" i="64" s="1"/>
  <c r="H217" i="64"/>
  <c r="I217" i="64" s="1"/>
  <c r="K216" i="64"/>
  <c r="L216" i="64" s="1"/>
  <c r="H216" i="64"/>
  <c r="I216" i="64" s="1"/>
  <c r="K213" i="64"/>
  <c r="L213" i="64" s="1"/>
  <c r="H213" i="64"/>
  <c r="I213" i="64" s="1"/>
  <c r="K211" i="64"/>
  <c r="L211" i="64" s="1"/>
  <c r="H211" i="64"/>
  <c r="I211" i="64" s="1"/>
  <c r="K210" i="64"/>
  <c r="L210" i="64" s="1"/>
  <c r="H210" i="64"/>
  <c r="I210" i="64" s="1"/>
  <c r="K209" i="64"/>
  <c r="L209" i="64" s="1"/>
  <c r="H209" i="64"/>
  <c r="I209" i="64" s="1"/>
  <c r="K208" i="64"/>
  <c r="L208" i="64" s="1"/>
  <c r="H208" i="64"/>
  <c r="I208" i="64" s="1"/>
  <c r="K206" i="64"/>
  <c r="L206" i="64" s="1"/>
  <c r="H206" i="64"/>
  <c r="I206" i="64" s="1"/>
  <c r="K205" i="64"/>
  <c r="L205" i="64" s="1"/>
  <c r="H205" i="64"/>
  <c r="I205" i="64" s="1"/>
  <c r="K204" i="64"/>
  <c r="L204" i="64" s="1"/>
  <c r="H204" i="64"/>
  <c r="I204" i="64" s="1"/>
  <c r="K202" i="64"/>
  <c r="L202" i="64" s="1"/>
  <c r="H202" i="64"/>
  <c r="I202" i="64" s="1"/>
  <c r="K201" i="64"/>
  <c r="L201" i="64" s="1"/>
  <c r="H201" i="64"/>
  <c r="I201" i="64" s="1"/>
  <c r="K200" i="64"/>
  <c r="L200" i="64" s="1"/>
  <c r="H200" i="64"/>
  <c r="I200" i="64" s="1"/>
  <c r="K198" i="64"/>
  <c r="L198" i="64" s="1"/>
  <c r="H198" i="64"/>
  <c r="I198" i="64" s="1"/>
  <c r="K196" i="64"/>
  <c r="L196" i="64" s="1"/>
  <c r="H196" i="64"/>
  <c r="I196" i="64" s="1"/>
  <c r="K194" i="64"/>
  <c r="L194" i="64" s="1"/>
  <c r="H194" i="64"/>
  <c r="I194" i="64" s="1"/>
  <c r="K192" i="64"/>
  <c r="L192" i="64" s="1"/>
  <c r="H192" i="64"/>
  <c r="I192" i="64" s="1"/>
  <c r="K191" i="64"/>
  <c r="L191" i="64" s="1"/>
  <c r="H191" i="64"/>
  <c r="I191" i="64" s="1"/>
  <c r="K190" i="64"/>
  <c r="L190" i="64" s="1"/>
  <c r="H190" i="64"/>
  <c r="I190" i="64" s="1"/>
  <c r="K189" i="64"/>
  <c r="L189" i="64" s="1"/>
  <c r="H189" i="64"/>
  <c r="I189" i="64" s="1"/>
  <c r="K187" i="64"/>
  <c r="L187" i="64" s="1"/>
  <c r="H187" i="64"/>
  <c r="I187" i="64" s="1"/>
  <c r="K186" i="64"/>
  <c r="L186" i="64" s="1"/>
  <c r="H186" i="64"/>
  <c r="I186" i="64" s="1"/>
  <c r="K185" i="64"/>
  <c r="L185" i="64" s="1"/>
  <c r="H185" i="64"/>
  <c r="I185" i="64" s="1"/>
  <c r="K181" i="64"/>
  <c r="L181" i="64" s="1"/>
  <c r="H181" i="64"/>
  <c r="I181" i="64" s="1"/>
  <c r="K180" i="64"/>
  <c r="L180" i="64" s="1"/>
  <c r="H180" i="64"/>
  <c r="I180" i="64" s="1"/>
  <c r="K179" i="64"/>
  <c r="L179" i="64" s="1"/>
  <c r="H179" i="64"/>
  <c r="I179" i="64" s="1"/>
  <c r="K178" i="64"/>
  <c r="L178" i="64" s="1"/>
  <c r="H178" i="64"/>
  <c r="I178" i="64" s="1"/>
  <c r="K176" i="64"/>
  <c r="L176" i="64" s="1"/>
  <c r="H176" i="64"/>
  <c r="I176" i="64" s="1"/>
  <c r="K174" i="64"/>
  <c r="L174" i="64" s="1"/>
  <c r="H174" i="64"/>
  <c r="I174" i="64" s="1"/>
  <c r="K172" i="64"/>
  <c r="L172" i="64" s="1"/>
  <c r="H172" i="64"/>
  <c r="I172" i="64" s="1"/>
  <c r="K170" i="64"/>
  <c r="L170" i="64" s="1"/>
  <c r="H170" i="64"/>
  <c r="I170" i="64" s="1"/>
  <c r="K169" i="64"/>
  <c r="L169" i="64" s="1"/>
  <c r="H169" i="64"/>
  <c r="I169" i="64" s="1"/>
  <c r="K168" i="64"/>
  <c r="L168" i="64" s="1"/>
  <c r="H168" i="64"/>
  <c r="I168" i="64" s="1"/>
  <c r="K167" i="64"/>
  <c r="L167" i="64" s="1"/>
  <c r="H167" i="64"/>
  <c r="I167" i="64" s="1"/>
  <c r="K165" i="64"/>
  <c r="L165" i="64" s="1"/>
  <c r="H165" i="64"/>
  <c r="I165" i="64" s="1"/>
  <c r="K164" i="64"/>
  <c r="L164" i="64" s="1"/>
  <c r="H164" i="64"/>
  <c r="I164" i="64" s="1"/>
  <c r="K163" i="64"/>
  <c r="L163" i="64" s="1"/>
  <c r="H163" i="64"/>
  <c r="I163" i="64" s="1"/>
  <c r="K162" i="64"/>
  <c r="L162" i="64" s="1"/>
  <c r="H162" i="64"/>
  <c r="I162" i="64" s="1"/>
  <c r="K160" i="64"/>
  <c r="L160" i="64" s="1"/>
  <c r="H160" i="64"/>
  <c r="I160" i="64" s="1"/>
  <c r="K159" i="64"/>
  <c r="L159" i="64" s="1"/>
  <c r="H159" i="64"/>
  <c r="I159" i="64" s="1"/>
  <c r="K158" i="64"/>
  <c r="L158" i="64" s="1"/>
  <c r="H158" i="64"/>
  <c r="I158" i="64" s="1"/>
  <c r="K157" i="64"/>
  <c r="L157" i="64" s="1"/>
  <c r="H157" i="64"/>
  <c r="I157" i="64" s="1"/>
  <c r="K155" i="64"/>
  <c r="L155" i="64" s="1"/>
  <c r="H155" i="64"/>
  <c r="I155" i="64" s="1"/>
  <c r="K154" i="64"/>
  <c r="L154" i="64" s="1"/>
  <c r="H154" i="64"/>
  <c r="I154" i="64" s="1"/>
  <c r="K153" i="64"/>
  <c r="L153" i="64" s="1"/>
  <c r="H153" i="64"/>
  <c r="I153" i="64" s="1"/>
  <c r="K152" i="64"/>
  <c r="L152" i="64" s="1"/>
  <c r="H152" i="64"/>
  <c r="I152" i="64" s="1"/>
  <c r="K151" i="64"/>
  <c r="L151" i="64" s="1"/>
  <c r="H151" i="64"/>
  <c r="I151" i="64" s="1"/>
  <c r="K150" i="64"/>
  <c r="L150" i="64" s="1"/>
  <c r="H150" i="64"/>
  <c r="I150" i="64" s="1"/>
  <c r="K149" i="64"/>
  <c r="L149" i="64" s="1"/>
  <c r="H149" i="64"/>
  <c r="I149" i="64" s="1"/>
  <c r="K148" i="64"/>
  <c r="L148" i="64" s="1"/>
  <c r="H148" i="64"/>
  <c r="I148" i="64" s="1"/>
  <c r="K147" i="64"/>
  <c r="L147" i="64" s="1"/>
  <c r="H147" i="64"/>
  <c r="I147" i="64" s="1"/>
  <c r="K145" i="64"/>
  <c r="L145" i="64" s="1"/>
  <c r="H145" i="64"/>
  <c r="I145" i="64" s="1"/>
  <c r="K143" i="64"/>
  <c r="L143" i="64" s="1"/>
  <c r="H143" i="64"/>
  <c r="I143" i="64" s="1"/>
  <c r="K141" i="64"/>
  <c r="L141" i="64" s="1"/>
  <c r="H141" i="64"/>
  <c r="I141" i="64" s="1"/>
  <c r="K139" i="64"/>
  <c r="L139" i="64" s="1"/>
  <c r="H139" i="64"/>
  <c r="I139" i="64" s="1"/>
  <c r="K138" i="64"/>
  <c r="L138" i="64" s="1"/>
  <c r="H138" i="64"/>
  <c r="I138" i="64" s="1"/>
  <c r="K137" i="64"/>
  <c r="L137" i="64" s="1"/>
  <c r="H137" i="64"/>
  <c r="I137" i="64" s="1"/>
  <c r="K136" i="64"/>
  <c r="L136" i="64" s="1"/>
  <c r="H136" i="64"/>
  <c r="I136" i="64" s="1"/>
  <c r="K134" i="64"/>
  <c r="L134" i="64" s="1"/>
  <c r="H134" i="64"/>
  <c r="I134" i="64" s="1"/>
  <c r="K133" i="64"/>
  <c r="L133" i="64" s="1"/>
  <c r="H133" i="64"/>
  <c r="I133" i="64" s="1"/>
  <c r="K132" i="64"/>
  <c r="L132" i="64" s="1"/>
  <c r="H132" i="64"/>
  <c r="I132" i="64" s="1"/>
  <c r="K131" i="64"/>
  <c r="L131" i="64" s="1"/>
  <c r="H131" i="64"/>
  <c r="I131" i="64" s="1"/>
  <c r="K130" i="64"/>
  <c r="L130" i="64" s="1"/>
  <c r="H130" i="64"/>
  <c r="I130" i="64" s="1"/>
  <c r="K127" i="64"/>
  <c r="L127" i="64" s="1"/>
  <c r="H127" i="64"/>
  <c r="I127" i="64" s="1"/>
  <c r="K125" i="64"/>
  <c r="L125" i="64" s="1"/>
  <c r="H125" i="64"/>
  <c r="I125" i="64" s="1"/>
  <c r="K124" i="64"/>
  <c r="L124" i="64" s="1"/>
  <c r="H124" i="64"/>
  <c r="I124" i="64" s="1"/>
  <c r="K122" i="64"/>
  <c r="L122" i="64" s="1"/>
  <c r="H122" i="64"/>
  <c r="I122" i="64" s="1"/>
  <c r="K121" i="64"/>
  <c r="L121" i="64" s="1"/>
  <c r="H121" i="64"/>
  <c r="I121" i="64" s="1"/>
  <c r="K120" i="64"/>
  <c r="L120" i="64" s="1"/>
  <c r="H120" i="64"/>
  <c r="I120" i="64" s="1"/>
  <c r="K119" i="64"/>
  <c r="L119" i="64" s="1"/>
  <c r="H119" i="64"/>
  <c r="I119" i="64" s="1"/>
  <c r="K117" i="64"/>
  <c r="L117" i="64" s="1"/>
  <c r="H117" i="64"/>
  <c r="I117" i="64" s="1"/>
  <c r="K116" i="64"/>
  <c r="L116" i="64" s="1"/>
  <c r="H116" i="64"/>
  <c r="I116" i="64" s="1"/>
  <c r="K115" i="64"/>
  <c r="L115" i="64" s="1"/>
  <c r="H115" i="64"/>
  <c r="I115" i="64" s="1"/>
  <c r="K114" i="64"/>
  <c r="L114" i="64" s="1"/>
  <c r="H114" i="64"/>
  <c r="I114" i="64" s="1"/>
  <c r="K113" i="64"/>
  <c r="L113" i="64" s="1"/>
  <c r="H113" i="64"/>
  <c r="I113" i="64" s="1"/>
  <c r="K112" i="64"/>
  <c r="L112" i="64" s="1"/>
  <c r="H112" i="64"/>
  <c r="I112" i="64" s="1"/>
  <c r="K111" i="64"/>
  <c r="L111" i="64" s="1"/>
  <c r="H111" i="64"/>
  <c r="I111" i="64" s="1"/>
  <c r="K110" i="64"/>
  <c r="L110" i="64" s="1"/>
  <c r="H110" i="64"/>
  <c r="I110" i="64" s="1"/>
  <c r="K107" i="64"/>
  <c r="L107" i="64" s="1"/>
  <c r="H107" i="64"/>
  <c r="I107" i="64" s="1"/>
  <c r="K105" i="64"/>
  <c r="L105" i="64" s="1"/>
  <c r="H105" i="64"/>
  <c r="I105" i="64" s="1"/>
  <c r="K104" i="64"/>
  <c r="L104" i="64" s="1"/>
  <c r="H104" i="64"/>
  <c r="I104" i="64" s="1"/>
  <c r="K103" i="64"/>
  <c r="L103" i="64" s="1"/>
  <c r="H103" i="64"/>
  <c r="I103" i="64" s="1"/>
  <c r="K102" i="64"/>
  <c r="L102" i="64" s="1"/>
  <c r="H102" i="64"/>
  <c r="I102" i="64" s="1"/>
  <c r="K100" i="64"/>
  <c r="L100" i="64" s="1"/>
  <c r="H100" i="64"/>
  <c r="I100" i="64" s="1"/>
  <c r="K99" i="64"/>
  <c r="L99" i="64" s="1"/>
  <c r="H99" i="64"/>
  <c r="I99" i="64" s="1"/>
  <c r="K98" i="64"/>
  <c r="L98" i="64" s="1"/>
  <c r="H98" i="64"/>
  <c r="I98" i="64" s="1"/>
  <c r="K96" i="64"/>
  <c r="L96" i="64" s="1"/>
  <c r="H96" i="64"/>
  <c r="I96" i="64" s="1"/>
  <c r="K95" i="64"/>
  <c r="L95" i="64" s="1"/>
  <c r="H95" i="64"/>
  <c r="I95" i="64" s="1"/>
  <c r="K94" i="64"/>
  <c r="L94" i="64" s="1"/>
  <c r="H94" i="64"/>
  <c r="I94" i="64" s="1"/>
  <c r="K92" i="64"/>
  <c r="L92" i="64" s="1"/>
  <c r="H92" i="64"/>
  <c r="I92" i="64" s="1"/>
  <c r="K90" i="64"/>
  <c r="L90" i="64" s="1"/>
  <c r="H90" i="64"/>
  <c r="I90" i="64" s="1"/>
  <c r="K89" i="64"/>
  <c r="L89" i="64" s="1"/>
  <c r="H89" i="64"/>
  <c r="I89" i="64" s="1"/>
  <c r="K88" i="64"/>
  <c r="L88" i="64" s="1"/>
  <c r="H88" i="64"/>
  <c r="I88" i="64" s="1"/>
  <c r="K87" i="64"/>
  <c r="L87" i="64" s="1"/>
  <c r="H87" i="64"/>
  <c r="I87" i="64" s="1"/>
  <c r="K85" i="64"/>
  <c r="L85" i="64" s="1"/>
  <c r="H85" i="64"/>
  <c r="I85" i="64" s="1"/>
  <c r="K84" i="64"/>
  <c r="L84" i="64" s="1"/>
  <c r="H84" i="64"/>
  <c r="I84" i="64" s="1"/>
  <c r="K83" i="64"/>
  <c r="L83" i="64" s="1"/>
  <c r="H83" i="64"/>
  <c r="I83" i="64" s="1"/>
  <c r="K81" i="64"/>
  <c r="L81" i="64" s="1"/>
  <c r="H81" i="64"/>
  <c r="I81" i="64" s="1"/>
  <c r="K80" i="64"/>
  <c r="L80" i="64" s="1"/>
  <c r="H80" i="64"/>
  <c r="I80" i="64" s="1"/>
  <c r="K79" i="64"/>
  <c r="L79" i="64" s="1"/>
  <c r="H79" i="64"/>
  <c r="I79" i="64" s="1"/>
  <c r="K77" i="64"/>
  <c r="L77" i="64" s="1"/>
  <c r="H77" i="64"/>
  <c r="I77" i="64" s="1"/>
  <c r="K75" i="64"/>
  <c r="L75" i="64" s="1"/>
  <c r="H75" i="64"/>
  <c r="I75" i="64" s="1"/>
  <c r="K74" i="64"/>
  <c r="L74" i="64" s="1"/>
  <c r="H74" i="64"/>
  <c r="I74" i="64" s="1"/>
  <c r="K73" i="64"/>
  <c r="L73" i="64" s="1"/>
  <c r="H73" i="64"/>
  <c r="I73" i="64" s="1"/>
  <c r="K72" i="64"/>
  <c r="L72" i="64" s="1"/>
  <c r="H72" i="64"/>
  <c r="I72" i="64" s="1"/>
  <c r="Q70" i="64"/>
  <c r="K70" i="64"/>
  <c r="L70" i="64" s="1"/>
  <c r="H70" i="64"/>
  <c r="I70" i="64" s="1"/>
  <c r="K69" i="64"/>
  <c r="L69" i="64" s="1"/>
  <c r="H69" i="64"/>
  <c r="I69" i="64" s="1"/>
  <c r="K68" i="64"/>
  <c r="L68" i="64" s="1"/>
  <c r="H68" i="64"/>
  <c r="I68" i="64" s="1"/>
  <c r="K67" i="64"/>
  <c r="L67" i="64" s="1"/>
  <c r="H67" i="64"/>
  <c r="I67" i="64" s="1"/>
  <c r="K66" i="64"/>
  <c r="L66" i="64" s="1"/>
  <c r="H66" i="64"/>
  <c r="I66" i="64" s="1"/>
  <c r="K65" i="64"/>
  <c r="L65" i="64" s="1"/>
  <c r="H65" i="64"/>
  <c r="I65" i="64" s="1"/>
  <c r="K63" i="64"/>
  <c r="L63" i="64" s="1"/>
  <c r="H63" i="64"/>
  <c r="I63" i="64" s="1"/>
  <c r="K62" i="64"/>
  <c r="L62" i="64" s="1"/>
  <c r="H62" i="64"/>
  <c r="I62" i="64" s="1"/>
  <c r="K61" i="64"/>
  <c r="L61" i="64" s="1"/>
  <c r="H61" i="64"/>
  <c r="I61" i="64" s="1"/>
  <c r="K41" i="64"/>
  <c r="L41" i="64" s="1"/>
  <c r="H41" i="64"/>
  <c r="I41" i="64" s="1"/>
  <c r="K40" i="64"/>
  <c r="L40" i="64" s="1"/>
  <c r="H40" i="64"/>
  <c r="I40" i="64" s="1"/>
  <c r="K39" i="64"/>
  <c r="L39" i="64" s="1"/>
  <c r="H39" i="64"/>
  <c r="I39" i="64" s="1"/>
  <c r="K38" i="64"/>
  <c r="L38" i="64" s="1"/>
  <c r="H38" i="64"/>
  <c r="I38" i="64" s="1"/>
  <c r="K37" i="64"/>
  <c r="L37" i="64" s="1"/>
  <c r="H37" i="64"/>
  <c r="I37" i="64" s="1"/>
  <c r="K36" i="64"/>
  <c r="L36" i="64" s="1"/>
  <c r="H36" i="64"/>
  <c r="I36" i="64" s="1"/>
  <c r="K35" i="64"/>
  <c r="L35" i="64" s="1"/>
  <c r="H35" i="64"/>
  <c r="I35" i="64" s="1"/>
  <c r="K34" i="64"/>
  <c r="L34" i="64" s="1"/>
  <c r="H34" i="64"/>
  <c r="I34" i="64" s="1"/>
  <c r="K33" i="64"/>
  <c r="L33" i="64" s="1"/>
  <c r="H33" i="64"/>
  <c r="I33" i="64" s="1"/>
  <c r="P21" i="64"/>
  <c r="O19" i="64"/>
  <c r="O18" i="64"/>
  <c r="O17" i="64"/>
  <c r="O16" i="64"/>
  <c r="O15" i="64"/>
  <c r="O14" i="64"/>
  <c r="O13" i="64"/>
  <c r="O12" i="64"/>
  <c r="O11" i="64"/>
  <c r="O10" i="64"/>
  <c r="O9" i="64"/>
  <c r="O21" i="64" s="1"/>
  <c r="L684" i="70"/>
  <c r="K684" i="70"/>
  <c r="H684" i="70"/>
  <c r="I684" i="70" s="1"/>
  <c r="M684" i="70" s="1"/>
  <c r="L683" i="70"/>
  <c r="K683" i="70"/>
  <c r="H683" i="70"/>
  <c r="I683" i="70" s="1"/>
  <c r="M683" i="70" s="1"/>
  <c r="K682" i="70"/>
  <c r="L682" i="70" s="1"/>
  <c r="H682" i="70"/>
  <c r="I682" i="70" s="1"/>
  <c r="M682" i="70" s="1"/>
  <c r="K681" i="70"/>
  <c r="H681" i="70"/>
  <c r="I681" i="70" s="1"/>
  <c r="M681" i="70" s="1"/>
  <c r="K680" i="70"/>
  <c r="H680" i="70"/>
  <c r="I680" i="70" s="1"/>
  <c r="M680" i="70" s="1"/>
  <c r="L677" i="70"/>
  <c r="K677" i="70"/>
  <c r="H677" i="70"/>
  <c r="I677" i="70" s="1"/>
  <c r="M677" i="70" s="1"/>
  <c r="L676" i="70"/>
  <c r="K676" i="70"/>
  <c r="H676" i="70"/>
  <c r="I676" i="70" s="1"/>
  <c r="M676" i="70" s="1"/>
  <c r="K675" i="70"/>
  <c r="L675" i="70" s="1"/>
  <c r="H675" i="70"/>
  <c r="I675" i="70" s="1"/>
  <c r="M675" i="70" s="1"/>
  <c r="K674" i="70"/>
  <c r="H674" i="70"/>
  <c r="I674" i="70" s="1"/>
  <c r="M674" i="70" s="1"/>
  <c r="K673" i="70"/>
  <c r="H673" i="70"/>
  <c r="I673" i="70" s="1"/>
  <c r="M673" i="70" s="1"/>
  <c r="P672" i="70"/>
  <c r="L670" i="70"/>
  <c r="K670" i="70"/>
  <c r="H670" i="70"/>
  <c r="I670" i="70" s="1"/>
  <c r="M670" i="70" s="1"/>
  <c r="L668" i="70"/>
  <c r="K668" i="70"/>
  <c r="H668" i="70"/>
  <c r="I668" i="70" s="1"/>
  <c r="M668" i="70" s="1"/>
  <c r="K667" i="70"/>
  <c r="L667" i="70" s="1"/>
  <c r="L685" i="70" s="1"/>
  <c r="H667" i="70"/>
  <c r="I667" i="70" s="1"/>
  <c r="M667" i="70" s="1"/>
  <c r="K666" i="70"/>
  <c r="H666" i="70"/>
  <c r="I666" i="70" s="1"/>
  <c r="M666" i="70" s="1"/>
  <c r="K665" i="70"/>
  <c r="H665" i="70"/>
  <c r="I665" i="70" s="1"/>
  <c r="P664" i="70"/>
  <c r="K659" i="70"/>
  <c r="L659" i="70" s="1"/>
  <c r="H659" i="70"/>
  <c r="I659" i="70" s="1"/>
  <c r="M659" i="70" s="1"/>
  <c r="K657" i="70"/>
  <c r="L657" i="70" s="1"/>
  <c r="H657" i="70"/>
  <c r="I657" i="70" s="1"/>
  <c r="M657" i="70" s="1"/>
  <c r="K656" i="70"/>
  <c r="L656" i="70" s="1"/>
  <c r="H656" i="70"/>
  <c r="I656" i="70" s="1"/>
  <c r="M656" i="70" s="1"/>
  <c r="K654" i="70"/>
  <c r="L654" i="70" s="1"/>
  <c r="H654" i="70"/>
  <c r="I654" i="70" s="1"/>
  <c r="M654" i="70" s="1"/>
  <c r="K652" i="70"/>
  <c r="L652" i="70" s="1"/>
  <c r="H652" i="70"/>
  <c r="I652" i="70" s="1"/>
  <c r="M652" i="70" s="1"/>
  <c r="K651" i="70"/>
  <c r="L651" i="70" s="1"/>
  <c r="H651" i="70"/>
  <c r="I651" i="70" s="1"/>
  <c r="M651" i="70" s="1"/>
  <c r="K650" i="70"/>
  <c r="L650" i="70" s="1"/>
  <c r="H650" i="70"/>
  <c r="I650" i="70" s="1"/>
  <c r="M650" i="70" s="1"/>
  <c r="K646" i="70"/>
  <c r="L646" i="70" s="1"/>
  <c r="H646" i="70"/>
  <c r="I646" i="70" s="1"/>
  <c r="M646" i="70" s="1"/>
  <c r="K645" i="70"/>
  <c r="L645" i="70" s="1"/>
  <c r="H645" i="70"/>
  <c r="I645" i="70" s="1"/>
  <c r="M645" i="70" s="1"/>
  <c r="K644" i="70"/>
  <c r="L644" i="70" s="1"/>
  <c r="H644" i="70"/>
  <c r="I644" i="70" s="1"/>
  <c r="M644" i="70" s="1"/>
  <c r="K640" i="70"/>
  <c r="L640" i="70" s="1"/>
  <c r="H640" i="70"/>
  <c r="I640" i="70" s="1"/>
  <c r="M640" i="70" s="1"/>
  <c r="K639" i="70"/>
  <c r="L639" i="70" s="1"/>
  <c r="H639" i="70"/>
  <c r="I639" i="70" s="1"/>
  <c r="M639" i="70" s="1"/>
  <c r="K638" i="70"/>
  <c r="L638" i="70" s="1"/>
  <c r="H638" i="70"/>
  <c r="I638" i="70" s="1"/>
  <c r="M638" i="70" s="1"/>
  <c r="K633" i="70"/>
  <c r="L633" i="70" s="1"/>
  <c r="H633" i="70"/>
  <c r="I633" i="70" s="1"/>
  <c r="M633" i="70" s="1"/>
  <c r="K632" i="70"/>
  <c r="L632" i="70" s="1"/>
  <c r="H632" i="70"/>
  <c r="I632" i="70" s="1"/>
  <c r="M632" i="70" s="1"/>
  <c r="K631" i="70"/>
  <c r="L631" i="70" s="1"/>
  <c r="H631" i="70"/>
  <c r="I631" i="70" s="1"/>
  <c r="M631" i="70" s="1"/>
  <c r="K627" i="70"/>
  <c r="L627" i="70" s="1"/>
  <c r="H627" i="70"/>
  <c r="I627" i="70" s="1"/>
  <c r="M627" i="70" s="1"/>
  <c r="K626" i="70"/>
  <c r="L626" i="70" s="1"/>
  <c r="H626" i="70"/>
  <c r="I626" i="70" s="1"/>
  <c r="M626" i="70" s="1"/>
  <c r="K625" i="70"/>
  <c r="L625" i="70" s="1"/>
  <c r="H625" i="70"/>
  <c r="I625" i="70" s="1"/>
  <c r="M625" i="70" s="1"/>
  <c r="K621" i="70"/>
  <c r="L621" i="70" s="1"/>
  <c r="H621" i="70"/>
  <c r="I621" i="70" s="1"/>
  <c r="M621" i="70" s="1"/>
  <c r="K619" i="70"/>
  <c r="L619" i="70" s="1"/>
  <c r="H619" i="70"/>
  <c r="I619" i="70" s="1"/>
  <c r="M619" i="70" s="1"/>
  <c r="K618" i="70"/>
  <c r="L618" i="70" s="1"/>
  <c r="H618" i="70"/>
  <c r="I618" i="70" s="1"/>
  <c r="M618" i="70" s="1"/>
  <c r="K614" i="70"/>
  <c r="L614" i="70" s="1"/>
  <c r="H614" i="70"/>
  <c r="I614" i="70" s="1"/>
  <c r="M614" i="70" s="1"/>
  <c r="K613" i="70"/>
  <c r="L613" i="70" s="1"/>
  <c r="H613" i="70"/>
  <c r="I613" i="70" s="1"/>
  <c r="M613" i="70" s="1"/>
  <c r="K612" i="70"/>
  <c r="L612" i="70" s="1"/>
  <c r="H612" i="70"/>
  <c r="I612" i="70" s="1"/>
  <c r="M612" i="70" s="1"/>
  <c r="K610" i="70"/>
  <c r="L610" i="70" s="1"/>
  <c r="H610" i="70"/>
  <c r="I610" i="70" s="1"/>
  <c r="M610" i="70" s="1"/>
  <c r="K609" i="70"/>
  <c r="L609" i="70" s="1"/>
  <c r="H609" i="70"/>
  <c r="I609" i="70" s="1"/>
  <c r="M609" i="70" s="1"/>
  <c r="K608" i="70"/>
  <c r="L608" i="70" s="1"/>
  <c r="H608" i="70"/>
  <c r="I608" i="70" s="1"/>
  <c r="M608" i="70" s="1"/>
  <c r="K604" i="70"/>
  <c r="L604" i="70" s="1"/>
  <c r="H604" i="70"/>
  <c r="I604" i="70" s="1"/>
  <c r="M604" i="70" s="1"/>
  <c r="K603" i="70"/>
  <c r="L603" i="70" s="1"/>
  <c r="H603" i="70"/>
  <c r="I603" i="70" s="1"/>
  <c r="M603" i="70" s="1"/>
  <c r="K602" i="70"/>
  <c r="L602" i="70" s="1"/>
  <c r="H602" i="70"/>
  <c r="I602" i="70" s="1"/>
  <c r="M602" i="70" s="1"/>
  <c r="K598" i="70"/>
  <c r="L598" i="70" s="1"/>
  <c r="H598" i="70"/>
  <c r="I598" i="70" s="1"/>
  <c r="M598" i="70" s="1"/>
  <c r="K597" i="70"/>
  <c r="L597" i="70" s="1"/>
  <c r="H597" i="70"/>
  <c r="I597" i="70" s="1"/>
  <c r="M597" i="70" s="1"/>
  <c r="K596" i="70"/>
  <c r="L596" i="70" s="1"/>
  <c r="H596" i="70"/>
  <c r="I596" i="70" s="1"/>
  <c r="M596" i="70" s="1"/>
  <c r="K592" i="70"/>
  <c r="L592" i="70" s="1"/>
  <c r="H592" i="70"/>
  <c r="I592" i="70" s="1"/>
  <c r="M592" i="70" s="1"/>
  <c r="K591" i="70"/>
  <c r="L591" i="70" s="1"/>
  <c r="H591" i="70"/>
  <c r="I591" i="70" s="1"/>
  <c r="M591" i="70" s="1"/>
  <c r="K590" i="70"/>
  <c r="L590" i="70" s="1"/>
  <c r="H590" i="70"/>
  <c r="I590" i="70" s="1"/>
  <c r="M590" i="70" s="1"/>
  <c r="K586" i="70"/>
  <c r="L586" i="70" s="1"/>
  <c r="H586" i="70"/>
  <c r="I586" i="70" s="1"/>
  <c r="M586" i="70" s="1"/>
  <c r="K584" i="70"/>
  <c r="L584" i="70" s="1"/>
  <c r="H584" i="70"/>
  <c r="I584" i="70" s="1"/>
  <c r="M584" i="70" s="1"/>
  <c r="K582" i="70"/>
  <c r="L582" i="70" s="1"/>
  <c r="H582" i="70"/>
  <c r="I582" i="70" s="1"/>
  <c r="M582" i="70" s="1"/>
  <c r="K581" i="70"/>
  <c r="L581" i="70" s="1"/>
  <c r="H581" i="70"/>
  <c r="I581" i="70" s="1"/>
  <c r="M581" i="70" s="1"/>
  <c r="K579" i="70"/>
  <c r="L579" i="70" s="1"/>
  <c r="H579" i="70"/>
  <c r="I579" i="70" s="1"/>
  <c r="M579" i="70" s="1"/>
  <c r="K578" i="70"/>
  <c r="L578" i="70" s="1"/>
  <c r="H578" i="70"/>
  <c r="I578" i="70" s="1"/>
  <c r="M578" i="70" s="1"/>
  <c r="K577" i="70"/>
  <c r="L577" i="70" s="1"/>
  <c r="H577" i="70"/>
  <c r="I577" i="70" s="1"/>
  <c r="M577" i="70" s="1"/>
  <c r="K576" i="70"/>
  <c r="L576" i="70" s="1"/>
  <c r="L660" i="70" s="1"/>
  <c r="H576" i="70"/>
  <c r="I576" i="70" s="1"/>
  <c r="K569" i="70"/>
  <c r="L569" i="70" s="1"/>
  <c r="H569" i="70"/>
  <c r="I569" i="70" s="1"/>
  <c r="M569" i="70" s="1"/>
  <c r="K566" i="70"/>
  <c r="H566" i="70"/>
  <c r="I566" i="70" s="1"/>
  <c r="M566" i="70" s="1"/>
  <c r="L561" i="70"/>
  <c r="K561" i="70"/>
  <c r="H561" i="70"/>
  <c r="I561" i="70" s="1"/>
  <c r="M561" i="70" s="1"/>
  <c r="L560" i="70"/>
  <c r="K560" i="70"/>
  <c r="H560" i="70"/>
  <c r="I560" i="70" s="1"/>
  <c r="M560" i="70" s="1"/>
  <c r="K558" i="70"/>
  <c r="L558" i="70" s="1"/>
  <c r="H558" i="70"/>
  <c r="I558" i="70" s="1"/>
  <c r="M558" i="70" s="1"/>
  <c r="K557" i="70"/>
  <c r="L557" i="70" s="1"/>
  <c r="H557" i="70"/>
  <c r="I557" i="70" s="1"/>
  <c r="M557" i="70" s="1"/>
  <c r="L554" i="70"/>
  <c r="K554" i="70"/>
  <c r="H554" i="70"/>
  <c r="I554" i="70" s="1"/>
  <c r="M554" i="70" s="1"/>
  <c r="L553" i="70"/>
  <c r="K553" i="70"/>
  <c r="H553" i="70"/>
  <c r="I553" i="70" s="1"/>
  <c r="M553" i="70" s="1"/>
  <c r="K551" i="70"/>
  <c r="L551" i="70" s="1"/>
  <c r="H551" i="70"/>
  <c r="I551" i="70" s="1"/>
  <c r="M551" i="70" s="1"/>
  <c r="K550" i="70"/>
  <c r="L550" i="70" s="1"/>
  <c r="H550" i="70"/>
  <c r="I550" i="70" s="1"/>
  <c r="M550" i="70" s="1"/>
  <c r="K549" i="70"/>
  <c r="L549" i="70" s="1"/>
  <c r="H549" i="70"/>
  <c r="I549" i="70" s="1"/>
  <c r="M549" i="70" s="1"/>
  <c r="K548" i="70"/>
  <c r="H548" i="70"/>
  <c r="L546" i="70"/>
  <c r="K546" i="70"/>
  <c r="H546" i="70"/>
  <c r="I546" i="70" s="1"/>
  <c r="M546" i="70" s="1"/>
  <c r="L544" i="70"/>
  <c r="K544" i="70"/>
  <c r="H544" i="70"/>
  <c r="I544" i="70" s="1"/>
  <c r="M544" i="70" s="1"/>
  <c r="L543" i="70"/>
  <c r="K543" i="70"/>
  <c r="H543" i="70"/>
  <c r="I543" i="70" s="1"/>
  <c r="M543" i="70" s="1"/>
  <c r="K541" i="70"/>
  <c r="L541" i="70" s="1"/>
  <c r="H541" i="70"/>
  <c r="I541" i="70" s="1"/>
  <c r="M541" i="70" s="1"/>
  <c r="K540" i="70"/>
  <c r="L540" i="70" s="1"/>
  <c r="H540" i="70"/>
  <c r="I540" i="70" s="1"/>
  <c r="M540" i="70" s="1"/>
  <c r="K539" i="70"/>
  <c r="L539" i="70" s="1"/>
  <c r="H539" i="70"/>
  <c r="I539" i="70" s="1"/>
  <c r="M539" i="70" s="1"/>
  <c r="L538" i="70"/>
  <c r="K538" i="70"/>
  <c r="H538" i="70"/>
  <c r="I538" i="70" s="1"/>
  <c r="M538" i="70" s="1"/>
  <c r="L534" i="70"/>
  <c r="K534" i="70"/>
  <c r="H534" i="70"/>
  <c r="I534" i="70" s="1"/>
  <c r="M534" i="70" s="1"/>
  <c r="K532" i="70"/>
  <c r="L532" i="70" s="1"/>
  <c r="H532" i="70"/>
  <c r="I532" i="70" s="1"/>
  <c r="M532" i="70" s="1"/>
  <c r="K531" i="70"/>
  <c r="L531" i="70" s="1"/>
  <c r="H531" i="70"/>
  <c r="I531" i="70" s="1"/>
  <c r="M531" i="70" s="1"/>
  <c r="K530" i="70"/>
  <c r="L530" i="70" s="1"/>
  <c r="H530" i="70"/>
  <c r="I530" i="70" s="1"/>
  <c r="M530" i="70" s="1"/>
  <c r="L529" i="70"/>
  <c r="K529" i="70"/>
  <c r="H529" i="70"/>
  <c r="I529" i="70" s="1"/>
  <c r="M529" i="70" s="1"/>
  <c r="K528" i="70"/>
  <c r="H528" i="70"/>
  <c r="I528" i="70" s="1"/>
  <c r="L526" i="70"/>
  <c r="K526" i="70"/>
  <c r="H526" i="70"/>
  <c r="I526" i="70" s="1"/>
  <c r="M526" i="70" s="1"/>
  <c r="L525" i="70"/>
  <c r="K525" i="70"/>
  <c r="H525" i="70"/>
  <c r="I525" i="70" s="1"/>
  <c r="M525" i="70" s="1"/>
  <c r="K518" i="70"/>
  <c r="L518" i="70" s="1"/>
  <c r="H518" i="70"/>
  <c r="I518" i="70" s="1"/>
  <c r="M518" i="70" s="1"/>
  <c r="K516" i="70"/>
  <c r="H516" i="70"/>
  <c r="I516" i="70" s="1"/>
  <c r="M516" i="70" s="1"/>
  <c r="L514" i="70"/>
  <c r="K514" i="70"/>
  <c r="H514" i="70"/>
  <c r="I514" i="70" s="1"/>
  <c r="M514" i="70" s="1"/>
  <c r="L513" i="70"/>
  <c r="K513" i="70"/>
  <c r="H513" i="70"/>
  <c r="I513" i="70" s="1"/>
  <c r="M513" i="70" s="1"/>
  <c r="L512" i="70"/>
  <c r="K512" i="70"/>
  <c r="H512" i="70"/>
  <c r="I512" i="70" s="1"/>
  <c r="M512" i="70" s="1"/>
  <c r="L511" i="70"/>
  <c r="K511" i="70"/>
  <c r="H511" i="70"/>
  <c r="I511" i="70" s="1"/>
  <c r="M511" i="70" s="1"/>
  <c r="L510" i="70"/>
  <c r="K510" i="70"/>
  <c r="H510" i="70"/>
  <c r="I510" i="70" s="1"/>
  <c r="M510" i="70" s="1"/>
  <c r="L507" i="70"/>
  <c r="K507" i="70"/>
  <c r="H507" i="70"/>
  <c r="I507" i="70" s="1"/>
  <c r="M507" i="70" s="1"/>
  <c r="M506" i="70"/>
  <c r="L505" i="70"/>
  <c r="K505" i="70"/>
  <c r="H505" i="70"/>
  <c r="I505" i="70" s="1"/>
  <c r="M505" i="70" s="1"/>
  <c r="L503" i="70"/>
  <c r="K503" i="70"/>
  <c r="H503" i="70"/>
  <c r="I503" i="70" s="1"/>
  <c r="M503" i="70" s="1"/>
  <c r="M502" i="70"/>
  <c r="L501" i="70"/>
  <c r="K501" i="70"/>
  <c r="H501" i="70"/>
  <c r="I501" i="70" s="1"/>
  <c r="M501" i="70" s="1"/>
  <c r="L499" i="70"/>
  <c r="K499" i="70"/>
  <c r="H499" i="70"/>
  <c r="I499" i="70" s="1"/>
  <c r="M499" i="70" s="1"/>
  <c r="M498" i="70"/>
  <c r="L497" i="70"/>
  <c r="K497" i="70"/>
  <c r="H497" i="70"/>
  <c r="I497" i="70" s="1"/>
  <c r="M497" i="70" s="1"/>
  <c r="L495" i="70"/>
  <c r="K495" i="70"/>
  <c r="H495" i="70"/>
  <c r="I495" i="70" s="1"/>
  <c r="M495" i="70" s="1"/>
  <c r="L493" i="70"/>
  <c r="K493" i="70"/>
  <c r="H493" i="70"/>
  <c r="I493" i="70" s="1"/>
  <c r="M493" i="70" s="1"/>
  <c r="L492" i="70"/>
  <c r="L570" i="70" s="1"/>
  <c r="K492" i="70"/>
  <c r="H492" i="70"/>
  <c r="I492" i="70" s="1"/>
  <c r="K486" i="70"/>
  <c r="L486" i="70" s="1"/>
  <c r="H486" i="70"/>
  <c r="I486" i="70" s="1"/>
  <c r="M486" i="70" s="1"/>
  <c r="K485" i="70"/>
  <c r="L485" i="70" s="1"/>
  <c r="H485" i="70"/>
  <c r="I485" i="70" s="1"/>
  <c r="M485" i="70" s="1"/>
  <c r="K483" i="70"/>
  <c r="L483" i="70" s="1"/>
  <c r="H483" i="70"/>
  <c r="I483" i="70" s="1"/>
  <c r="M483" i="70" s="1"/>
  <c r="K482" i="70"/>
  <c r="L482" i="70" s="1"/>
  <c r="H482" i="70"/>
  <c r="I482" i="70" s="1"/>
  <c r="M482" i="70" s="1"/>
  <c r="K481" i="70"/>
  <c r="L481" i="70" s="1"/>
  <c r="H481" i="70"/>
  <c r="I481" i="70" s="1"/>
  <c r="M481" i="70" s="1"/>
  <c r="K478" i="70"/>
  <c r="L478" i="70" s="1"/>
  <c r="H478" i="70"/>
  <c r="I478" i="70" s="1"/>
  <c r="M478" i="70" s="1"/>
  <c r="K477" i="70"/>
  <c r="L477" i="70" s="1"/>
  <c r="H477" i="70"/>
  <c r="I477" i="70" s="1"/>
  <c r="M477" i="70" s="1"/>
  <c r="K476" i="70"/>
  <c r="L476" i="70" s="1"/>
  <c r="H476" i="70"/>
  <c r="I476" i="70" s="1"/>
  <c r="M476" i="70" s="1"/>
  <c r="K475" i="70"/>
  <c r="L475" i="70" s="1"/>
  <c r="H475" i="70"/>
  <c r="I475" i="70" s="1"/>
  <c r="M475" i="70" s="1"/>
  <c r="K474" i="70"/>
  <c r="L474" i="70" s="1"/>
  <c r="H474" i="70"/>
  <c r="I474" i="70" s="1"/>
  <c r="M474" i="70" s="1"/>
  <c r="L472" i="70"/>
  <c r="K472" i="70"/>
  <c r="H472" i="70"/>
  <c r="I472" i="70" s="1"/>
  <c r="M472" i="70" s="1"/>
  <c r="L471" i="70"/>
  <c r="K471" i="70"/>
  <c r="H471" i="70"/>
  <c r="I471" i="70" s="1"/>
  <c r="M471" i="70" s="1"/>
  <c r="K470" i="70"/>
  <c r="H470" i="70"/>
  <c r="I470" i="70" s="1"/>
  <c r="M470" i="70" s="1"/>
  <c r="L469" i="70"/>
  <c r="K469" i="70"/>
  <c r="H469" i="70"/>
  <c r="I469" i="70" s="1"/>
  <c r="M469" i="70" s="1"/>
  <c r="K468" i="70"/>
  <c r="H468" i="70"/>
  <c r="I468" i="70" s="1"/>
  <c r="M468" i="70" s="1"/>
  <c r="K466" i="70"/>
  <c r="L466" i="70" s="1"/>
  <c r="H466" i="70"/>
  <c r="I466" i="70" s="1"/>
  <c r="M466" i="70" s="1"/>
  <c r="L464" i="70"/>
  <c r="K464" i="70"/>
  <c r="H464" i="70"/>
  <c r="I464" i="70" s="1"/>
  <c r="K463" i="70"/>
  <c r="L463" i="70" s="1"/>
  <c r="H463" i="70"/>
  <c r="I463" i="70" s="1"/>
  <c r="M463" i="70" s="1"/>
  <c r="L461" i="70"/>
  <c r="K461" i="70"/>
  <c r="H461" i="70"/>
  <c r="I461" i="70" s="1"/>
  <c r="M461" i="70" s="1"/>
  <c r="L460" i="70"/>
  <c r="K460" i="70"/>
  <c r="H460" i="70"/>
  <c r="I460" i="70" s="1"/>
  <c r="M460" i="70" s="1"/>
  <c r="L458" i="70"/>
  <c r="K458" i="70"/>
  <c r="H458" i="70"/>
  <c r="I458" i="70" s="1"/>
  <c r="M458" i="70" s="1"/>
  <c r="L457" i="70"/>
  <c r="K457" i="70"/>
  <c r="H457" i="70"/>
  <c r="I457" i="70" s="1"/>
  <c r="M457" i="70" s="1"/>
  <c r="L455" i="70"/>
  <c r="K455" i="70"/>
  <c r="H455" i="70"/>
  <c r="I455" i="70" s="1"/>
  <c r="M455" i="70" s="1"/>
  <c r="L454" i="70"/>
  <c r="K454" i="70"/>
  <c r="H454" i="70"/>
  <c r="I454" i="70" s="1"/>
  <c r="M454" i="70" s="1"/>
  <c r="L453" i="70"/>
  <c r="K453" i="70"/>
  <c r="H453" i="70"/>
  <c r="I453" i="70" s="1"/>
  <c r="M453" i="70" s="1"/>
  <c r="L450" i="70"/>
  <c r="K450" i="70"/>
  <c r="H450" i="70"/>
  <c r="I450" i="70" s="1"/>
  <c r="M450" i="70" s="1"/>
  <c r="L449" i="70"/>
  <c r="K449" i="70"/>
  <c r="H449" i="70"/>
  <c r="I449" i="70" s="1"/>
  <c r="M449" i="70" s="1"/>
  <c r="L448" i="70"/>
  <c r="K448" i="70"/>
  <c r="H448" i="70"/>
  <c r="I448" i="70" s="1"/>
  <c r="M448" i="70" s="1"/>
  <c r="L447" i="70"/>
  <c r="K447" i="70"/>
  <c r="H447" i="70"/>
  <c r="I447" i="70" s="1"/>
  <c r="M447" i="70" s="1"/>
  <c r="L446" i="70"/>
  <c r="K446" i="70"/>
  <c r="H446" i="70"/>
  <c r="I446" i="70" s="1"/>
  <c r="M446" i="70" s="1"/>
  <c r="L444" i="70"/>
  <c r="K444" i="70"/>
  <c r="H444" i="70"/>
  <c r="I444" i="70" s="1"/>
  <c r="M444" i="70" s="1"/>
  <c r="L443" i="70"/>
  <c r="K443" i="70"/>
  <c r="H443" i="70"/>
  <c r="I443" i="70" s="1"/>
  <c r="M443" i="70" s="1"/>
  <c r="L442" i="70"/>
  <c r="K442" i="70"/>
  <c r="H442" i="70"/>
  <c r="I442" i="70" s="1"/>
  <c r="M442" i="70" s="1"/>
  <c r="L440" i="70"/>
  <c r="K440" i="70"/>
  <c r="H440" i="70"/>
  <c r="I440" i="70" s="1"/>
  <c r="M440" i="70" s="1"/>
  <c r="L439" i="70"/>
  <c r="K439" i="70"/>
  <c r="H439" i="70"/>
  <c r="I439" i="70" s="1"/>
  <c r="M439" i="70" s="1"/>
  <c r="L438" i="70"/>
  <c r="K438" i="70"/>
  <c r="H438" i="70"/>
  <c r="I438" i="70" s="1"/>
  <c r="M438" i="70" s="1"/>
  <c r="L436" i="70"/>
  <c r="K436" i="70"/>
  <c r="H436" i="70"/>
  <c r="I436" i="70" s="1"/>
  <c r="M436" i="70" s="1"/>
  <c r="L435" i="70"/>
  <c r="K435" i="70"/>
  <c r="H435" i="70"/>
  <c r="I435" i="70" s="1"/>
  <c r="M435" i="70" s="1"/>
  <c r="L433" i="70"/>
  <c r="K433" i="70"/>
  <c r="H433" i="70"/>
  <c r="I433" i="70" s="1"/>
  <c r="M433" i="70" s="1"/>
  <c r="L432" i="70"/>
  <c r="K432" i="70"/>
  <c r="H432" i="70"/>
  <c r="I432" i="70" s="1"/>
  <c r="M432" i="70" s="1"/>
  <c r="L431" i="70"/>
  <c r="K431" i="70"/>
  <c r="H431" i="70"/>
  <c r="I431" i="70" s="1"/>
  <c r="M431" i="70" s="1"/>
  <c r="L429" i="70"/>
  <c r="K429" i="70"/>
  <c r="H429" i="70"/>
  <c r="I429" i="70" s="1"/>
  <c r="M429" i="70" s="1"/>
  <c r="L428" i="70"/>
  <c r="K428" i="70"/>
  <c r="H428" i="70"/>
  <c r="I428" i="70" s="1"/>
  <c r="M428" i="70" s="1"/>
  <c r="L427" i="70"/>
  <c r="K427" i="70"/>
  <c r="H427" i="70"/>
  <c r="I427" i="70" s="1"/>
  <c r="M427" i="70" s="1"/>
  <c r="K422" i="70"/>
  <c r="L422" i="70" s="1"/>
  <c r="H422" i="70"/>
  <c r="I422" i="70" s="1"/>
  <c r="M422" i="70" s="1"/>
  <c r="K421" i="70"/>
  <c r="L421" i="70" s="1"/>
  <c r="H421" i="70"/>
  <c r="I421" i="70" s="1"/>
  <c r="M421" i="70" s="1"/>
  <c r="K420" i="70"/>
  <c r="L420" i="70" s="1"/>
  <c r="H420" i="70"/>
  <c r="I420" i="70" s="1"/>
  <c r="M420" i="70" s="1"/>
  <c r="K419" i="70"/>
  <c r="L419" i="70" s="1"/>
  <c r="H419" i="70"/>
  <c r="I419" i="70" s="1"/>
  <c r="M419" i="70" s="1"/>
  <c r="K418" i="70"/>
  <c r="L418" i="70" s="1"/>
  <c r="L487" i="70" s="1"/>
  <c r="H418" i="70"/>
  <c r="I418" i="70" s="1"/>
  <c r="K413" i="70"/>
  <c r="L413" i="70" s="1"/>
  <c r="H413" i="70"/>
  <c r="I413" i="70" s="1"/>
  <c r="M413" i="70" s="1"/>
  <c r="L412" i="70"/>
  <c r="K412" i="70"/>
  <c r="H412" i="70"/>
  <c r="I412" i="70" s="1"/>
  <c r="M412" i="70" s="1"/>
  <c r="K411" i="70"/>
  <c r="H411" i="70"/>
  <c r="I411" i="70" s="1"/>
  <c r="L410" i="70"/>
  <c r="L414" i="70" s="1"/>
  <c r="K410" i="70"/>
  <c r="H410" i="70"/>
  <c r="I410" i="70" s="1"/>
  <c r="K405" i="70"/>
  <c r="L405" i="70" s="1"/>
  <c r="H405" i="70"/>
  <c r="I405" i="70" s="1"/>
  <c r="M405" i="70" s="1"/>
  <c r="K404" i="70"/>
  <c r="L404" i="70" s="1"/>
  <c r="H404" i="70"/>
  <c r="I404" i="70" s="1"/>
  <c r="M404" i="70" s="1"/>
  <c r="K403" i="70"/>
  <c r="L403" i="70" s="1"/>
  <c r="H403" i="70"/>
  <c r="I403" i="70" s="1"/>
  <c r="M403" i="70" s="1"/>
  <c r="K401" i="70"/>
  <c r="L401" i="70" s="1"/>
  <c r="H401" i="70"/>
  <c r="I401" i="70" s="1"/>
  <c r="M401" i="70" s="1"/>
  <c r="K399" i="70"/>
  <c r="L399" i="70" s="1"/>
  <c r="H399" i="70"/>
  <c r="I399" i="70" s="1"/>
  <c r="M399" i="70" s="1"/>
  <c r="K398" i="70"/>
  <c r="L398" i="70" s="1"/>
  <c r="H398" i="70"/>
  <c r="I398" i="70" s="1"/>
  <c r="M398" i="70" s="1"/>
  <c r="K397" i="70"/>
  <c r="L397" i="70" s="1"/>
  <c r="H397" i="70"/>
  <c r="I397" i="70" s="1"/>
  <c r="M397" i="70" s="1"/>
  <c r="K396" i="70"/>
  <c r="L396" i="70" s="1"/>
  <c r="H396" i="70"/>
  <c r="I396" i="70" s="1"/>
  <c r="M396" i="70" s="1"/>
  <c r="K394" i="70"/>
  <c r="L394" i="70" s="1"/>
  <c r="H394" i="70"/>
  <c r="I394" i="70" s="1"/>
  <c r="M394" i="70" s="1"/>
  <c r="K393" i="70"/>
  <c r="L393" i="70" s="1"/>
  <c r="H393" i="70"/>
  <c r="I393" i="70" s="1"/>
  <c r="M393" i="70" s="1"/>
  <c r="K390" i="70"/>
  <c r="L390" i="70" s="1"/>
  <c r="H390" i="70"/>
  <c r="I390" i="70" s="1"/>
  <c r="M390" i="70" s="1"/>
  <c r="K389" i="70"/>
  <c r="H389" i="70"/>
  <c r="I389" i="70" s="1"/>
  <c r="L388" i="70"/>
  <c r="K388" i="70"/>
  <c r="H388" i="70"/>
  <c r="I388" i="70" s="1"/>
  <c r="M388" i="70" s="1"/>
  <c r="L387" i="70"/>
  <c r="K387" i="70"/>
  <c r="H387" i="70"/>
  <c r="I387" i="70" s="1"/>
  <c r="M387" i="70" s="1"/>
  <c r="L384" i="70"/>
  <c r="K384" i="70"/>
  <c r="H384" i="70"/>
  <c r="I384" i="70" s="1"/>
  <c r="M384" i="70" s="1"/>
  <c r="L383" i="70"/>
  <c r="K383" i="70"/>
  <c r="H383" i="70"/>
  <c r="I383" i="70" s="1"/>
  <c r="M383" i="70" s="1"/>
  <c r="K382" i="70"/>
  <c r="L382" i="70" s="1"/>
  <c r="H382" i="70"/>
  <c r="I382" i="70" s="1"/>
  <c r="M382" i="70" s="1"/>
  <c r="K381" i="70"/>
  <c r="L381" i="70" s="1"/>
  <c r="H381" i="70"/>
  <c r="I381" i="70" s="1"/>
  <c r="M381" i="70" s="1"/>
  <c r="K380" i="70"/>
  <c r="L380" i="70" s="1"/>
  <c r="H380" i="70"/>
  <c r="I380" i="70" s="1"/>
  <c r="M380" i="70" s="1"/>
  <c r="K379" i="70"/>
  <c r="L379" i="70" s="1"/>
  <c r="H379" i="70"/>
  <c r="I379" i="70" s="1"/>
  <c r="M379" i="70" s="1"/>
  <c r="K378" i="70"/>
  <c r="L378" i="70" s="1"/>
  <c r="L406" i="70" s="1"/>
  <c r="H378" i="70"/>
  <c r="I378" i="70" s="1"/>
  <c r="K377" i="70"/>
  <c r="H377" i="70"/>
  <c r="K372" i="70"/>
  <c r="L372" i="70" s="1"/>
  <c r="H372" i="70"/>
  <c r="I372" i="70" s="1"/>
  <c r="M372" i="70" s="1"/>
  <c r="K371" i="70"/>
  <c r="L371" i="70" s="1"/>
  <c r="H371" i="70"/>
  <c r="I371" i="70" s="1"/>
  <c r="M371" i="70" s="1"/>
  <c r="K370" i="70"/>
  <c r="L370" i="70" s="1"/>
  <c r="H370" i="70"/>
  <c r="I370" i="70" s="1"/>
  <c r="M370" i="70" s="1"/>
  <c r="K369" i="70"/>
  <c r="L369" i="70" s="1"/>
  <c r="H369" i="70"/>
  <c r="I369" i="70" s="1"/>
  <c r="M369" i="70" s="1"/>
  <c r="K366" i="70"/>
  <c r="L366" i="70" s="1"/>
  <c r="H366" i="70"/>
  <c r="I366" i="70" s="1"/>
  <c r="M366" i="70" s="1"/>
  <c r="K365" i="70"/>
  <c r="L365" i="70" s="1"/>
  <c r="H365" i="70"/>
  <c r="I365" i="70" s="1"/>
  <c r="M365" i="70" s="1"/>
  <c r="K364" i="70"/>
  <c r="L364" i="70" s="1"/>
  <c r="H364" i="70"/>
  <c r="I364" i="70" s="1"/>
  <c r="M364" i="70" s="1"/>
  <c r="K363" i="70"/>
  <c r="L363" i="70" s="1"/>
  <c r="H363" i="70"/>
  <c r="I363" i="70" s="1"/>
  <c r="M363" i="70" s="1"/>
  <c r="K362" i="70"/>
  <c r="L362" i="70" s="1"/>
  <c r="H362" i="70"/>
  <c r="I362" i="70" s="1"/>
  <c r="M362" i="70" s="1"/>
  <c r="K361" i="70"/>
  <c r="L361" i="70" s="1"/>
  <c r="H361" i="70"/>
  <c r="I361" i="70" s="1"/>
  <c r="M361" i="70" s="1"/>
  <c r="K360" i="70"/>
  <c r="L360" i="70" s="1"/>
  <c r="H360" i="70"/>
  <c r="I360" i="70" s="1"/>
  <c r="M360" i="70" s="1"/>
  <c r="K359" i="70"/>
  <c r="L359" i="70" s="1"/>
  <c r="H359" i="70"/>
  <c r="I359" i="70" s="1"/>
  <c r="M359" i="70" s="1"/>
  <c r="K357" i="70"/>
  <c r="L357" i="70" s="1"/>
  <c r="H357" i="70"/>
  <c r="I357" i="70" s="1"/>
  <c r="M357" i="70" s="1"/>
  <c r="K356" i="70"/>
  <c r="L356" i="70" s="1"/>
  <c r="H356" i="70"/>
  <c r="I356" i="70" s="1"/>
  <c r="M356" i="70" s="1"/>
  <c r="K355" i="70"/>
  <c r="L355" i="70" s="1"/>
  <c r="H355" i="70"/>
  <c r="I355" i="70" s="1"/>
  <c r="M355" i="70" s="1"/>
  <c r="K354" i="70"/>
  <c r="L354" i="70" s="1"/>
  <c r="H354" i="70"/>
  <c r="I354" i="70" s="1"/>
  <c r="M354" i="70" s="1"/>
  <c r="K351" i="70"/>
  <c r="L351" i="70" s="1"/>
  <c r="H351" i="70"/>
  <c r="I351" i="70" s="1"/>
  <c r="M351" i="70" s="1"/>
  <c r="K350" i="70"/>
  <c r="L350" i="70" s="1"/>
  <c r="H350" i="70"/>
  <c r="I350" i="70" s="1"/>
  <c r="M350" i="70" s="1"/>
  <c r="K349" i="70"/>
  <c r="L349" i="70" s="1"/>
  <c r="H349" i="70"/>
  <c r="I349" i="70" s="1"/>
  <c r="M349" i="70" s="1"/>
  <c r="K348" i="70"/>
  <c r="L348" i="70" s="1"/>
  <c r="H348" i="70"/>
  <c r="I348" i="70" s="1"/>
  <c r="M348" i="70" s="1"/>
  <c r="K347" i="70"/>
  <c r="L347" i="70" s="1"/>
  <c r="H347" i="70"/>
  <c r="I347" i="70" s="1"/>
  <c r="M347" i="70" s="1"/>
  <c r="K346" i="70"/>
  <c r="L346" i="70" s="1"/>
  <c r="H346" i="70"/>
  <c r="I346" i="70" s="1"/>
  <c r="M346" i="70" s="1"/>
  <c r="K344" i="70"/>
  <c r="L344" i="70" s="1"/>
  <c r="H344" i="70"/>
  <c r="I344" i="70" s="1"/>
  <c r="M344" i="70" s="1"/>
  <c r="K341" i="70"/>
  <c r="L341" i="70" s="1"/>
  <c r="H341" i="70"/>
  <c r="I341" i="70" s="1"/>
  <c r="M341" i="70" s="1"/>
  <c r="K338" i="70"/>
  <c r="L338" i="70" s="1"/>
  <c r="H338" i="70"/>
  <c r="I338" i="70" s="1"/>
  <c r="M338" i="70" s="1"/>
  <c r="L334" i="70"/>
  <c r="K334" i="70"/>
  <c r="H334" i="70"/>
  <c r="I334" i="70" s="1"/>
  <c r="M334" i="70" s="1"/>
  <c r="L333" i="70"/>
  <c r="K333" i="70"/>
  <c r="H333" i="70"/>
  <c r="I333" i="70" s="1"/>
  <c r="M333" i="70" s="1"/>
  <c r="K331" i="70"/>
  <c r="L331" i="70" s="1"/>
  <c r="H331" i="70"/>
  <c r="I331" i="70" s="1"/>
  <c r="M331" i="70" s="1"/>
  <c r="L330" i="70"/>
  <c r="K330" i="70"/>
  <c r="H330" i="70"/>
  <c r="I330" i="70" s="1"/>
  <c r="M330" i="70" s="1"/>
  <c r="L326" i="70"/>
  <c r="L374" i="70" s="1"/>
  <c r="K326" i="70"/>
  <c r="H326" i="70"/>
  <c r="I326" i="70" s="1"/>
  <c r="K323" i="70"/>
  <c r="H323" i="70"/>
  <c r="K321" i="70"/>
  <c r="L321" i="70" s="1"/>
  <c r="H321" i="70"/>
  <c r="I321" i="70" s="1"/>
  <c r="M321" i="70" s="1"/>
  <c r="K319" i="70"/>
  <c r="H319" i="70"/>
  <c r="I319" i="70" s="1"/>
  <c r="M319" i="70" s="1"/>
  <c r="L317" i="70"/>
  <c r="K317" i="70"/>
  <c r="H317" i="70"/>
  <c r="I317" i="70" s="1"/>
  <c r="M317" i="70" s="1"/>
  <c r="L316" i="70"/>
  <c r="K316" i="70"/>
  <c r="H316" i="70"/>
  <c r="I316" i="70" s="1"/>
  <c r="M316" i="70" s="1"/>
  <c r="L315" i="70"/>
  <c r="K315" i="70"/>
  <c r="H315" i="70"/>
  <c r="I315" i="70" s="1"/>
  <c r="M315" i="70" s="1"/>
  <c r="L313" i="70"/>
  <c r="K313" i="70"/>
  <c r="H313" i="70"/>
  <c r="I313" i="70" s="1"/>
  <c r="M313" i="70" s="1"/>
  <c r="L312" i="70"/>
  <c r="K312" i="70"/>
  <c r="H312" i="70"/>
  <c r="I312" i="70" s="1"/>
  <c r="M312" i="70" s="1"/>
  <c r="L311" i="70"/>
  <c r="K311" i="70"/>
  <c r="H311" i="70"/>
  <c r="I311" i="70" s="1"/>
  <c r="M311" i="70" s="1"/>
  <c r="L310" i="70"/>
  <c r="K310" i="70"/>
  <c r="H310" i="70"/>
  <c r="I310" i="70" s="1"/>
  <c r="M310" i="70" s="1"/>
  <c r="L309" i="70"/>
  <c r="K309" i="70"/>
  <c r="H309" i="70"/>
  <c r="I309" i="70" s="1"/>
  <c r="M309" i="70" s="1"/>
  <c r="L308" i="70"/>
  <c r="K308" i="70"/>
  <c r="H308" i="70"/>
  <c r="I308" i="70" s="1"/>
  <c r="M308" i="70" s="1"/>
  <c r="L307" i="70"/>
  <c r="K307" i="70"/>
  <c r="H307" i="70"/>
  <c r="I307" i="70" s="1"/>
  <c r="M307" i="70" s="1"/>
  <c r="K305" i="70"/>
  <c r="H305" i="70"/>
  <c r="I305" i="70" s="1"/>
  <c r="M305" i="70" s="1"/>
  <c r="K304" i="70"/>
  <c r="H304" i="70"/>
  <c r="I304" i="70" s="1"/>
  <c r="M304" i="70" s="1"/>
  <c r="K303" i="70"/>
  <c r="H303" i="70"/>
  <c r="I303" i="70" s="1"/>
  <c r="M303" i="70" s="1"/>
  <c r="K301" i="70"/>
  <c r="H301" i="70"/>
  <c r="I301" i="70" s="1"/>
  <c r="M301" i="70" s="1"/>
  <c r="K300" i="70"/>
  <c r="H300" i="70"/>
  <c r="I300" i="70" s="1"/>
  <c r="M300" i="70" s="1"/>
  <c r="K299" i="70"/>
  <c r="H299" i="70"/>
  <c r="I299" i="70" s="1"/>
  <c r="M299" i="70" s="1"/>
  <c r="K297" i="70"/>
  <c r="H297" i="70"/>
  <c r="I297" i="70" s="1"/>
  <c r="M297" i="70" s="1"/>
  <c r="K296" i="70"/>
  <c r="H296" i="70"/>
  <c r="I296" i="70" s="1"/>
  <c r="M296" i="70" s="1"/>
  <c r="K295" i="70"/>
  <c r="H295" i="70"/>
  <c r="I295" i="70" s="1"/>
  <c r="M295" i="70" s="1"/>
  <c r="K293" i="70"/>
  <c r="H293" i="70"/>
  <c r="I293" i="70" s="1"/>
  <c r="M293" i="70" s="1"/>
  <c r="K292" i="70"/>
  <c r="H292" i="70"/>
  <c r="I292" i="70" s="1"/>
  <c r="M292" i="70" s="1"/>
  <c r="K291" i="70"/>
  <c r="H291" i="70"/>
  <c r="I291" i="70" s="1"/>
  <c r="M291" i="70" s="1"/>
  <c r="K289" i="70"/>
  <c r="H289" i="70"/>
  <c r="I289" i="70" s="1"/>
  <c r="M289" i="70" s="1"/>
  <c r="K288" i="70"/>
  <c r="H288" i="70"/>
  <c r="I288" i="70" s="1"/>
  <c r="M288" i="70" s="1"/>
  <c r="K287" i="70"/>
  <c r="H287" i="70"/>
  <c r="I287" i="70" s="1"/>
  <c r="M287" i="70" s="1"/>
  <c r="K286" i="70"/>
  <c r="H286" i="70"/>
  <c r="I286" i="70" s="1"/>
  <c r="M286" i="70" s="1"/>
  <c r="L281" i="70"/>
  <c r="K281" i="70"/>
  <c r="H281" i="70"/>
  <c r="I281" i="70" s="1"/>
  <c r="M281" i="70" s="1"/>
  <c r="L280" i="70"/>
  <c r="K279" i="70"/>
  <c r="L279" i="70" s="1"/>
  <c r="H279" i="70"/>
  <c r="I279" i="70" s="1"/>
  <c r="M279" i="70" s="1"/>
  <c r="K274" i="70"/>
  <c r="L274" i="70" s="1"/>
  <c r="H274" i="70"/>
  <c r="I274" i="70" s="1"/>
  <c r="M274" i="70" s="1"/>
  <c r="K273" i="70"/>
  <c r="L273" i="70" s="1"/>
  <c r="H273" i="70"/>
  <c r="I273" i="70" s="1"/>
  <c r="M273" i="70" s="1"/>
  <c r="K271" i="70"/>
  <c r="H271" i="70"/>
  <c r="I271" i="70" s="1"/>
  <c r="M271" i="70" s="1"/>
  <c r="L269" i="70"/>
  <c r="K269" i="70"/>
  <c r="H269" i="70"/>
  <c r="I269" i="70" s="1"/>
  <c r="M269" i="70" s="1"/>
  <c r="K268" i="70"/>
  <c r="H268" i="70"/>
  <c r="I268" i="70" s="1"/>
  <c r="L267" i="70"/>
  <c r="K267" i="70"/>
  <c r="H267" i="70"/>
  <c r="I267" i="70" s="1"/>
  <c r="M267" i="70" s="1"/>
  <c r="L265" i="70"/>
  <c r="K265" i="70"/>
  <c r="H265" i="70"/>
  <c r="I265" i="70" s="1"/>
  <c r="M265" i="70" s="1"/>
  <c r="L263" i="70"/>
  <c r="K263" i="70"/>
  <c r="H263" i="70"/>
  <c r="I263" i="70" s="1"/>
  <c r="M263" i="70" s="1"/>
  <c r="L262" i="70"/>
  <c r="K262" i="70"/>
  <c r="H262" i="70"/>
  <c r="I262" i="70" s="1"/>
  <c r="M262" i="70" s="1"/>
  <c r="L260" i="70"/>
  <c r="K260" i="70"/>
  <c r="H260" i="70"/>
  <c r="I260" i="70" s="1"/>
  <c r="M260" i="70" s="1"/>
  <c r="L259" i="70"/>
  <c r="K259" i="70"/>
  <c r="H259" i="70"/>
  <c r="I259" i="70" s="1"/>
  <c r="M259" i="70" s="1"/>
  <c r="L258" i="70"/>
  <c r="K257" i="70"/>
  <c r="L257" i="70" s="1"/>
  <c r="H257" i="70"/>
  <c r="I257" i="70" s="1"/>
  <c r="M257" i="70" s="1"/>
  <c r="K253" i="70"/>
  <c r="L253" i="70" s="1"/>
  <c r="H253" i="70"/>
  <c r="I253" i="70" s="1"/>
  <c r="M253" i="70" s="1"/>
  <c r="L251" i="70"/>
  <c r="K251" i="70"/>
  <c r="H251" i="70"/>
  <c r="I251" i="70" s="1"/>
  <c r="M251" i="70" s="1"/>
  <c r="L250" i="70"/>
  <c r="K250" i="70"/>
  <c r="H250" i="70"/>
  <c r="I250" i="70" s="1"/>
  <c r="M250" i="70" s="1"/>
  <c r="L249" i="70"/>
  <c r="K249" i="70"/>
  <c r="H249" i="70"/>
  <c r="I249" i="70" s="1"/>
  <c r="M249" i="70" s="1"/>
  <c r="L247" i="70"/>
  <c r="K247" i="70"/>
  <c r="H247" i="70"/>
  <c r="I247" i="70" s="1"/>
  <c r="M247" i="70" s="1"/>
  <c r="L246" i="70"/>
  <c r="K246" i="70"/>
  <c r="H246" i="70"/>
  <c r="I246" i="70" s="1"/>
  <c r="M246" i="70" s="1"/>
  <c r="L244" i="70"/>
  <c r="K244" i="70"/>
  <c r="H244" i="70"/>
  <c r="I244" i="70" s="1"/>
  <c r="M244" i="70" s="1"/>
  <c r="L242" i="70"/>
  <c r="K242" i="70"/>
  <c r="H242" i="70"/>
  <c r="I242" i="70" s="1"/>
  <c r="M242" i="70" s="1"/>
  <c r="L241" i="70"/>
  <c r="K241" i="70"/>
  <c r="H241" i="70"/>
  <c r="I241" i="70" s="1"/>
  <c r="M241" i="70" s="1"/>
  <c r="L240" i="70"/>
  <c r="K240" i="70"/>
  <c r="H240" i="70"/>
  <c r="I240" i="70" s="1"/>
  <c r="K239" i="70"/>
  <c r="L239" i="70" s="1"/>
  <c r="H239" i="70"/>
  <c r="I239" i="70" s="1"/>
  <c r="M239" i="70" s="1"/>
  <c r="L233" i="70"/>
  <c r="K233" i="70"/>
  <c r="H233" i="70"/>
  <c r="I233" i="70" s="1"/>
  <c r="M233" i="70" s="1"/>
  <c r="L232" i="70"/>
  <c r="K232" i="70"/>
  <c r="H232" i="70"/>
  <c r="I232" i="70" s="1"/>
  <c r="M232" i="70" s="1"/>
  <c r="L231" i="70"/>
  <c r="K231" i="70"/>
  <c r="H231" i="70"/>
  <c r="I231" i="70" s="1"/>
  <c r="K230" i="70"/>
  <c r="L230" i="70" s="1"/>
  <c r="H230" i="70"/>
  <c r="I230" i="70" s="1"/>
  <c r="M230" i="70" s="1"/>
  <c r="L226" i="70"/>
  <c r="K226" i="70"/>
  <c r="H226" i="70"/>
  <c r="I226" i="70" s="1"/>
  <c r="L220" i="70"/>
  <c r="K220" i="70"/>
  <c r="H220" i="70"/>
  <c r="I220" i="70" s="1"/>
  <c r="M220" i="70" s="1"/>
  <c r="K218" i="70"/>
  <c r="H218" i="70"/>
  <c r="I218" i="70" s="1"/>
  <c r="M218" i="70" s="1"/>
  <c r="K217" i="70"/>
  <c r="H217" i="70"/>
  <c r="I217" i="70" s="1"/>
  <c r="K216" i="70"/>
  <c r="L216" i="70" s="1"/>
  <c r="H216" i="70"/>
  <c r="I216" i="70" s="1"/>
  <c r="M216" i="70" s="1"/>
  <c r="K215" i="70"/>
  <c r="L215" i="70" s="1"/>
  <c r="H215" i="70"/>
  <c r="I215" i="70" s="1"/>
  <c r="K214" i="70"/>
  <c r="L214" i="70" s="1"/>
  <c r="H214" i="70"/>
  <c r="I214" i="70" s="1"/>
  <c r="M214" i="70" s="1"/>
  <c r="K213" i="70"/>
  <c r="L213" i="70" s="1"/>
  <c r="H213" i="70"/>
  <c r="I213" i="70" s="1"/>
  <c r="K212" i="70"/>
  <c r="L212" i="70" s="1"/>
  <c r="H212" i="70"/>
  <c r="I212" i="70" s="1"/>
  <c r="K211" i="70"/>
  <c r="L211" i="70" s="1"/>
  <c r="H211" i="70"/>
  <c r="I211" i="70" s="1"/>
  <c r="M211" i="70" s="1"/>
  <c r="K209" i="70"/>
  <c r="H209" i="70"/>
  <c r="I209" i="70" s="1"/>
  <c r="M209" i="70" s="1"/>
  <c r="L207" i="70"/>
  <c r="K207" i="70"/>
  <c r="H207" i="70"/>
  <c r="I207" i="70" s="1"/>
  <c r="M207" i="70" s="1"/>
  <c r="L206" i="70"/>
  <c r="K206" i="70"/>
  <c r="H206" i="70"/>
  <c r="I206" i="70" s="1"/>
  <c r="M206" i="70" s="1"/>
  <c r="L205" i="70"/>
  <c r="K205" i="70"/>
  <c r="H205" i="70"/>
  <c r="I205" i="70" s="1"/>
  <c r="M205" i="70" s="1"/>
  <c r="L204" i="70"/>
  <c r="K204" i="70"/>
  <c r="H204" i="70"/>
  <c r="I204" i="70" s="1"/>
  <c r="M204" i="70" s="1"/>
  <c r="K203" i="70"/>
  <c r="H203" i="70"/>
  <c r="I203" i="70" s="1"/>
  <c r="M203" i="70" s="1"/>
  <c r="L202" i="70"/>
  <c r="K202" i="70"/>
  <c r="H202" i="70"/>
  <c r="I202" i="70" s="1"/>
  <c r="M202" i="70" s="1"/>
  <c r="K201" i="70"/>
  <c r="H201" i="70"/>
  <c r="I201" i="70" s="1"/>
  <c r="L200" i="70"/>
  <c r="K200" i="70"/>
  <c r="H200" i="70"/>
  <c r="I200" i="70" s="1"/>
  <c r="M200" i="70" s="1"/>
  <c r="L197" i="70"/>
  <c r="K197" i="70"/>
  <c r="H197" i="70"/>
  <c r="I197" i="70" s="1"/>
  <c r="M197" i="70" s="1"/>
  <c r="L196" i="70"/>
  <c r="K196" i="70"/>
  <c r="H196" i="70"/>
  <c r="I196" i="70" s="1"/>
  <c r="M196" i="70" s="1"/>
  <c r="L195" i="70"/>
  <c r="K195" i="70"/>
  <c r="H195" i="70"/>
  <c r="I195" i="70" s="1"/>
  <c r="M195" i="70" s="1"/>
  <c r="L194" i="70"/>
  <c r="K194" i="70"/>
  <c r="H194" i="70"/>
  <c r="I194" i="70" s="1"/>
  <c r="M194" i="70" s="1"/>
  <c r="K193" i="70"/>
  <c r="H193" i="70"/>
  <c r="I193" i="70" s="1"/>
  <c r="M193" i="70" s="1"/>
  <c r="L192" i="70"/>
  <c r="K192" i="70"/>
  <c r="H192" i="70"/>
  <c r="I192" i="70" s="1"/>
  <c r="M192" i="70" s="1"/>
  <c r="K191" i="70"/>
  <c r="H191" i="70"/>
  <c r="I191" i="70" s="1"/>
  <c r="L190" i="70"/>
  <c r="K190" i="70"/>
  <c r="H190" i="70"/>
  <c r="I190" i="70" s="1"/>
  <c r="M190" i="70" s="1"/>
  <c r="K188" i="70"/>
  <c r="L188" i="70" s="1"/>
  <c r="H188" i="70"/>
  <c r="I188" i="70" s="1"/>
  <c r="M188" i="70" s="1"/>
  <c r="K187" i="70"/>
  <c r="L187" i="70" s="1"/>
  <c r="H187" i="70"/>
  <c r="I187" i="70" s="1"/>
  <c r="M187" i="70" s="1"/>
  <c r="K185" i="70"/>
  <c r="L185" i="70" s="1"/>
  <c r="H185" i="70"/>
  <c r="I185" i="70" s="1"/>
  <c r="M185" i="70" s="1"/>
  <c r="K182" i="70"/>
  <c r="L182" i="70" s="1"/>
  <c r="H182" i="70"/>
  <c r="I182" i="70" s="1"/>
  <c r="M182" i="70" s="1"/>
  <c r="K179" i="70"/>
  <c r="L179" i="70" s="1"/>
  <c r="H179" i="70"/>
  <c r="I179" i="70" s="1"/>
  <c r="M179" i="70" s="1"/>
  <c r="K176" i="70"/>
  <c r="L176" i="70" s="1"/>
  <c r="H176" i="70"/>
  <c r="I176" i="70" s="1"/>
  <c r="M176" i="70" s="1"/>
  <c r="L175" i="70"/>
  <c r="L174" i="70"/>
  <c r="K173" i="70"/>
  <c r="L173" i="70" s="1"/>
  <c r="L221" i="70" s="1"/>
  <c r="H173" i="70"/>
  <c r="I173" i="70" s="1"/>
  <c r="K169" i="70"/>
  <c r="L169" i="70" s="1"/>
  <c r="H169" i="70"/>
  <c r="I169" i="70" s="1"/>
  <c r="M169" i="70" s="1"/>
  <c r="K168" i="70"/>
  <c r="L168" i="70" s="1"/>
  <c r="H168" i="70"/>
  <c r="I168" i="70" s="1"/>
  <c r="M168" i="70" s="1"/>
  <c r="K166" i="70"/>
  <c r="L166" i="70" s="1"/>
  <c r="H166" i="70"/>
  <c r="I166" i="70" s="1"/>
  <c r="M166" i="70" s="1"/>
  <c r="K165" i="70"/>
  <c r="L165" i="70" s="1"/>
  <c r="H165" i="70"/>
  <c r="I165" i="70" s="1"/>
  <c r="M165" i="70" s="1"/>
  <c r="K164" i="70"/>
  <c r="L164" i="70" s="1"/>
  <c r="H164" i="70"/>
  <c r="I164" i="70" s="1"/>
  <c r="M164" i="70" s="1"/>
  <c r="K163" i="70"/>
  <c r="L163" i="70" s="1"/>
  <c r="H163" i="70"/>
  <c r="I163" i="70" s="1"/>
  <c r="M163" i="70" s="1"/>
  <c r="K161" i="70"/>
  <c r="L161" i="70" s="1"/>
  <c r="H161" i="70"/>
  <c r="I161" i="70" s="1"/>
  <c r="M161" i="70" s="1"/>
  <c r="K160" i="70"/>
  <c r="L160" i="70" s="1"/>
  <c r="H160" i="70"/>
  <c r="I160" i="70" s="1"/>
  <c r="M160" i="70" s="1"/>
  <c r="K159" i="70"/>
  <c r="L159" i="70" s="1"/>
  <c r="H159" i="70"/>
  <c r="I159" i="70" s="1"/>
  <c r="M159" i="70" s="1"/>
  <c r="K158" i="70"/>
  <c r="L158" i="70" s="1"/>
  <c r="H158" i="70"/>
  <c r="I158" i="70" s="1"/>
  <c r="M158" i="70" s="1"/>
  <c r="K156" i="70"/>
  <c r="L156" i="70" s="1"/>
  <c r="H156" i="70"/>
  <c r="I156" i="70" s="1"/>
  <c r="M156" i="70" s="1"/>
  <c r="K154" i="70"/>
  <c r="L154" i="70" s="1"/>
  <c r="H154" i="70"/>
  <c r="I154" i="70" s="1"/>
  <c r="M154" i="70" s="1"/>
  <c r="K153" i="70"/>
  <c r="L153" i="70" s="1"/>
  <c r="H153" i="70"/>
  <c r="I153" i="70" s="1"/>
  <c r="M153" i="70" s="1"/>
  <c r="K152" i="70"/>
  <c r="L152" i="70" s="1"/>
  <c r="H152" i="70"/>
  <c r="I152" i="70" s="1"/>
  <c r="M152" i="70" s="1"/>
  <c r="K151" i="70"/>
  <c r="L151" i="70" s="1"/>
  <c r="H151" i="70"/>
  <c r="I151" i="70" s="1"/>
  <c r="M151" i="70" s="1"/>
  <c r="K148" i="70"/>
  <c r="L148" i="70" s="1"/>
  <c r="H148" i="70"/>
  <c r="I148" i="70" s="1"/>
  <c r="M148" i="70" s="1"/>
  <c r="K147" i="70"/>
  <c r="L147" i="70" s="1"/>
  <c r="H147" i="70"/>
  <c r="I147" i="70" s="1"/>
  <c r="M147" i="70" s="1"/>
  <c r="K146" i="70"/>
  <c r="L146" i="70" s="1"/>
  <c r="H146" i="70"/>
  <c r="I146" i="70" s="1"/>
  <c r="M146" i="70" s="1"/>
  <c r="K145" i="70"/>
  <c r="L145" i="70" s="1"/>
  <c r="H145" i="70"/>
  <c r="I145" i="70" s="1"/>
  <c r="M145" i="70" s="1"/>
  <c r="L140" i="70"/>
  <c r="K140" i="70"/>
  <c r="H140" i="70"/>
  <c r="I140" i="70" s="1"/>
  <c r="M140" i="70" s="1"/>
  <c r="K139" i="70"/>
  <c r="L139" i="70" s="1"/>
  <c r="H139" i="70"/>
  <c r="I139" i="70" s="1"/>
  <c r="M139" i="70" s="1"/>
  <c r="K138" i="70"/>
  <c r="L138" i="70" s="1"/>
  <c r="H138" i="70"/>
  <c r="I138" i="70" s="1"/>
  <c r="M138" i="70" s="1"/>
  <c r="K137" i="70"/>
  <c r="L137" i="70" s="1"/>
  <c r="H137" i="70"/>
  <c r="I137" i="70" s="1"/>
  <c r="M137" i="70" s="1"/>
  <c r="K136" i="70"/>
  <c r="L136" i="70" s="1"/>
  <c r="H136" i="70"/>
  <c r="I136" i="70" s="1"/>
  <c r="M136" i="70" s="1"/>
  <c r="K134" i="70"/>
  <c r="L134" i="70" s="1"/>
  <c r="H134" i="70"/>
  <c r="I134" i="70" s="1"/>
  <c r="M134" i="70" s="1"/>
  <c r="K133" i="70"/>
  <c r="L133" i="70" s="1"/>
  <c r="H133" i="70"/>
  <c r="I133" i="70" s="1"/>
  <c r="M133" i="70" s="1"/>
  <c r="K132" i="70"/>
  <c r="L132" i="70" s="1"/>
  <c r="H132" i="70"/>
  <c r="I132" i="70" s="1"/>
  <c r="M132" i="70" s="1"/>
  <c r="K131" i="70"/>
  <c r="L131" i="70" s="1"/>
  <c r="H131" i="70"/>
  <c r="I131" i="70" s="1"/>
  <c r="M131" i="70" s="1"/>
  <c r="K129" i="70"/>
  <c r="L129" i="70" s="1"/>
  <c r="H129" i="70"/>
  <c r="I129" i="70" s="1"/>
  <c r="M129" i="70" s="1"/>
  <c r="K128" i="70"/>
  <c r="L128" i="70" s="1"/>
  <c r="H128" i="70"/>
  <c r="I128" i="70" s="1"/>
  <c r="M128" i="70" s="1"/>
  <c r="K127" i="70"/>
  <c r="L127" i="70" s="1"/>
  <c r="H127" i="70"/>
  <c r="I127" i="70" s="1"/>
  <c r="M127" i="70" s="1"/>
  <c r="K126" i="70"/>
  <c r="L126" i="70" s="1"/>
  <c r="H126" i="70"/>
  <c r="I126" i="70" s="1"/>
  <c r="M126" i="70" s="1"/>
  <c r="K124" i="70"/>
  <c r="L124" i="70" s="1"/>
  <c r="H124" i="70"/>
  <c r="I124" i="70" s="1"/>
  <c r="M124" i="70" s="1"/>
  <c r="K123" i="70"/>
  <c r="L123" i="70" s="1"/>
  <c r="H123" i="70"/>
  <c r="I123" i="70" s="1"/>
  <c r="M123" i="70" s="1"/>
  <c r="K122" i="70"/>
  <c r="L122" i="70" s="1"/>
  <c r="H122" i="70"/>
  <c r="I122" i="70" s="1"/>
  <c r="M122" i="70" s="1"/>
  <c r="K121" i="70"/>
  <c r="L121" i="70" s="1"/>
  <c r="H121" i="70"/>
  <c r="I121" i="70" s="1"/>
  <c r="M121" i="70" s="1"/>
  <c r="K119" i="70"/>
  <c r="L119" i="70" s="1"/>
  <c r="H119" i="70"/>
  <c r="I119" i="70" s="1"/>
  <c r="M119" i="70" s="1"/>
  <c r="K118" i="70"/>
  <c r="L118" i="70" s="1"/>
  <c r="H118" i="70"/>
  <c r="I118" i="70" s="1"/>
  <c r="M118" i="70" s="1"/>
  <c r="K117" i="70"/>
  <c r="L117" i="70" s="1"/>
  <c r="H117" i="70"/>
  <c r="I117" i="70" s="1"/>
  <c r="M117" i="70" s="1"/>
  <c r="K116" i="70"/>
  <c r="L116" i="70" s="1"/>
  <c r="H116" i="70"/>
  <c r="I116" i="70" s="1"/>
  <c r="M116" i="70" s="1"/>
  <c r="K113" i="70"/>
  <c r="L113" i="70" s="1"/>
  <c r="H113" i="70"/>
  <c r="I113" i="70" s="1"/>
  <c r="M113" i="70" s="1"/>
  <c r="K112" i="70"/>
  <c r="L112" i="70" s="1"/>
  <c r="H112" i="70"/>
  <c r="I112" i="70" s="1"/>
  <c r="M112" i="70" s="1"/>
  <c r="K111" i="70"/>
  <c r="L111" i="70" s="1"/>
  <c r="H111" i="70"/>
  <c r="I111" i="70" s="1"/>
  <c r="M111" i="70" s="1"/>
  <c r="K110" i="70"/>
  <c r="L110" i="70" s="1"/>
  <c r="H110" i="70"/>
  <c r="I110" i="70" s="1"/>
  <c r="K109" i="70"/>
  <c r="L109" i="70" s="1"/>
  <c r="H109" i="70"/>
  <c r="I109" i="70" s="1"/>
  <c r="M109" i="70" s="1"/>
  <c r="K108" i="70"/>
  <c r="L108" i="70" s="1"/>
  <c r="H108" i="70"/>
  <c r="I108" i="70" s="1"/>
  <c r="M108" i="70" s="1"/>
  <c r="K107" i="70"/>
  <c r="L107" i="70" s="1"/>
  <c r="H107" i="70"/>
  <c r="I107" i="70" s="1"/>
  <c r="K106" i="70"/>
  <c r="L106" i="70" s="1"/>
  <c r="H106" i="70"/>
  <c r="I106" i="70" s="1"/>
  <c r="M106" i="70" s="1"/>
  <c r="K105" i="70"/>
  <c r="L105" i="70" s="1"/>
  <c r="H105" i="70"/>
  <c r="I105" i="70" s="1"/>
  <c r="M105" i="70" s="1"/>
  <c r="K104" i="70"/>
  <c r="L104" i="70" s="1"/>
  <c r="H104" i="70"/>
  <c r="I104" i="70" s="1"/>
  <c r="M104" i="70" s="1"/>
  <c r="K103" i="70"/>
  <c r="L103" i="70" s="1"/>
  <c r="H103" i="70"/>
  <c r="I103" i="70" s="1"/>
  <c r="M103" i="70" s="1"/>
  <c r="K101" i="70"/>
  <c r="L101" i="70" s="1"/>
  <c r="H101" i="70"/>
  <c r="I101" i="70" s="1"/>
  <c r="M101" i="70" s="1"/>
  <c r="P100" i="70"/>
  <c r="K100" i="70"/>
  <c r="L100" i="70" s="1"/>
  <c r="H100" i="70"/>
  <c r="I100" i="70" s="1"/>
  <c r="M100" i="70" s="1"/>
  <c r="L99" i="70"/>
  <c r="K99" i="70"/>
  <c r="H99" i="70"/>
  <c r="I99" i="70" s="1"/>
  <c r="K98" i="70"/>
  <c r="L98" i="70" s="1"/>
  <c r="H98" i="70"/>
  <c r="I98" i="70" s="1"/>
  <c r="M98" i="70" s="1"/>
  <c r="K97" i="70"/>
  <c r="L97" i="70" s="1"/>
  <c r="H97" i="70"/>
  <c r="I97" i="70" s="1"/>
  <c r="K96" i="70"/>
  <c r="L96" i="70" s="1"/>
  <c r="H96" i="70"/>
  <c r="I96" i="70" s="1"/>
  <c r="M96" i="70" s="1"/>
  <c r="K95" i="70"/>
  <c r="L95" i="70" s="1"/>
  <c r="H95" i="70"/>
  <c r="I95" i="70" s="1"/>
  <c r="M95" i="70" s="1"/>
  <c r="K94" i="70"/>
  <c r="L94" i="70" s="1"/>
  <c r="H94" i="70"/>
  <c r="I94" i="70" s="1"/>
  <c r="M94" i="70" s="1"/>
  <c r="K93" i="70"/>
  <c r="L93" i="70" s="1"/>
  <c r="L170" i="70" s="1"/>
  <c r="H93" i="70"/>
  <c r="I93" i="70" s="1"/>
  <c r="H88" i="70"/>
  <c r="I88" i="70" s="1"/>
  <c r="M88" i="70" s="1"/>
  <c r="H87" i="70"/>
  <c r="I87" i="70" s="1"/>
  <c r="M87" i="70" s="1"/>
  <c r="H86" i="70"/>
  <c r="I86" i="70" s="1"/>
  <c r="M86" i="70" s="1"/>
  <c r="H85" i="70"/>
  <c r="I85" i="70" s="1"/>
  <c r="M85" i="70" s="1"/>
  <c r="H84" i="70"/>
  <c r="I84" i="70" s="1"/>
  <c r="M84" i="70" s="1"/>
  <c r="L83" i="70"/>
  <c r="H83" i="70"/>
  <c r="I83" i="70" s="1"/>
  <c r="M83" i="70" s="1"/>
  <c r="L82" i="70"/>
  <c r="H82" i="70"/>
  <c r="I82" i="70" s="1"/>
  <c r="M82" i="70" s="1"/>
  <c r="L81" i="70"/>
  <c r="H81" i="70"/>
  <c r="I81" i="70" s="1"/>
  <c r="M81" i="70" s="1"/>
  <c r="H80" i="70"/>
  <c r="I80" i="70" s="1"/>
  <c r="M80" i="70" s="1"/>
  <c r="L79" i="70"/>
  <c r="H79" i="70"/>
  <c r="I79" i="70" s="1"/>
  <c r="M79" i="70" s="1"/>
  <c r="L78" i="70"/>
  <c r="H78" i="70"/>
  <c r="I78" i="70" s="1"/>
  <c r="M78" i="70" s="1"/>
  <c r="L77" i="70"/>
  <c r="H77" i="70"/>
  <c r="I77" i="70" s="1"/>
  <c r="M77" i="70" s="1"/>
  <c r="L76" i="70"/>
  <c r="H76" i="70"/>
  <c r="I76" i="70" s="1"/>
  <c r="M76" i="70" s="1"/>
  <c r="L75" i="70"/>
  <c r="H75" i="70"/>
  <c r="I75" i="70" s="1"/>
  <c r="M75" i="70" s="1"/>
  <c r="H74" i="70"/>
  <c r="I74" i="70" s="1"/>
  <c r="M74" i="70" s="1"/>
  <c r="H73" i="70"/>
  <c r="I73" i="70" s="1"/>
  <c r="M73" i="70" s="1"/>
  <c r="H72" i="70"/>
  <c r="I72" i="70" s="1"/>
  <c r="M72" i="70" s="1"/>
  <c r="H70" i="70"/>
  <c r="I70" i="70" s="1"/>
  <c r="M70" i="70" s="1"/>
  <c r="H69" i="70"/>
  <c r="I69" i="70" s="1"/>
  <c r="M69" i="70" s="1"/>
  <c r="L67" i="70"/>
  <c r="H67" i="70"/>
  <c r="I67" i="70" s="1"/>
  <c r="M67" i="70" s="1"/>
  <c r="L66" i="70"/>
  <c r="H66" i="70"/>
  <c r="I66" i="70" s="1"/>
  <c r="M66" i="70" s="1"/>
  <c r="L65" i="70"/>
  <c r="H65" i="70"/>
  <c r="I65" i="70" s="1"/>
  <c r="M65" i="70" s="1"/>
  <c r="L64" i="70"/>
  <c r="H64" i="70"/>
  <c r="I64" i="70" s="1"/>
  <c r="M64" i="70" s="1"/>
  <c r="L62" i="70"/>
  <c r="H62" i="70"/>
  <c r="I62" i="70" s="1"/>
  <c r="M62" i="70" s="1"/>
  <c r="L61" i="70"/>
  <c r="H61" i="70"/>
  <c r="I61" i="70" s="1"/>
  <c r="M61" i="70" s="1"/>
  <c r="L59" i="70"/>
  <c r="H59" i="70"/>
  <c r="I59" i="70" s="1"/>
  <c r="M59" i="70" s="1"/>
  <c r="H58" i="70"/>
  <c r="I58" i="70" s="1"/>
  <c r="M58" i="70" s="1"/>
  <c r="L57" i="70"/>
  <c r="H57" i="70"/>
  <c r="I57" i="70" s="1"/>
  <c r="M57" i="70" s="1"/>
  <c r="L56" i="70"/>
  <c r="H56" i="70"/>
  <c r="I56" i="70" s="1"/>
  <c r="M56" i="70" s="1"/>
  <c r="H55" i="70"/>
  <c r="I55" i="70" s="1"/>
  <c r="M55" i="70" s="1"/>
  <c r="H54" i="70"/>
  <c r="I54" i="70" s="1"/>
  <c r="M54" i="70" s="1"/>
  <c r="L53" i="70"/>
  <c r="H53" i="70"/>
  <c r="I53" i="70" s="1"/>
  <c r="M53" i="70" s="1"/>
  <c r="L51" i="70"/>
  <c r="H51" i="70"/>
  <c r="I51" i="70" s="1"/>
  <c r="M51" i="70" s="1"/>
  <c r="L50" i="70"/>
  <c r="H50" i="70"/>
  <c r="I50" i="70" s="1"/>
  <c r="M50" i="70" s="1"/>
  <c r="L49" i="70"/>
  <c r="H49" i="70"/>
  <c r="I49" i="70" s="1"/>
  <c r="M49" i="70" s="1"/>
  <c r="L47" i="70"/>
  <c r="H47" i="70"/>
  <c r="I47" i="70" s="1"/>
  <c r="M47" i="70" s="1"/>
  <c r="L46" i="70"/>
  <c r="H46" i="70"/>
  <c r="I46" i="70" s="1"/>
  <c r="M46" i="70" s="1"/>
  <c r="H45" i="70"/>
  <c r="I45" i="70" s="1"/>
  <c r="M45" i="70" s="1"/>
  <c r="H44" i="70"/>
  <c r="I44" i="70" s="1"/>
  <c r="M44" i="70" s="1"/>
  <c r="L43" i="70"/>
  <c r="H43" i="70"/>
  <c r="I43" i="70" s="1"/>
  <c r="M43" i="70" s="1"/>
  <c r="L41" i="70"/>
  <c r="H41" i="70"/>
  <c r="I41" i="70" s="1"/>
  <c r="M41" i="70" s="1"/>
  <c r="L40" i="70"/>
  <c r="H40" i="70"/>
  <c r="I40" i="70" s="1"/>
  <c r="M40" i="70" s="1"/>
  <c r="L39" i="70"/>
  <c r="H39" i="70"/>
  <c r="I39" i="70" s="1"/>
  <c r="M39" i="70" s="1"/>
  <c r="H37" i="70"/>
  <c r="I37" i="70" s="1"/>
  <c r="M37" i="70" s="1"/>
  <c r="L36" i="70"/>
  <c r="H36" i="70"/>
  <c r="I36" i="70" s="1"/>
  <c r="M36" i="70" s="1"/>
  <c r="L35" i="70"/>
  <c r="H35" i="70"/>
  <c r="I35" i="70" s="1"/>
  <c r="M35" i="70" s="1"/>
  <c r="L34" i="70"/>
  <c r="L89" i="70" s="1"/>
  <c r="H34" i="70"/>
  <c r="I34" i="70" s="1"/>
  <c r="P21" i="70"/>
  <c r="O19" i="70"/>
  <c r="L19" i="70"/>
  <c r="O18" i="70"/>
  <c r="L18" i="70"/>
  <c r="O17" i="70"/>
  <c r="L17" i="70"/>
  <c r="O16" i="70"/>
  <c r="L16" i="70"/>
  <c r="O15" i="70"/>
  <c r="L15" i="70"/>
  <c r="O14" i="70"/>
  <c r="L14" i="70"/>
  <c r="O13" i="70"/>
  <c r="L13" i="70"/>
  <c r="O12" i="70"/>
  <c r="L12" i="70"/>
  <c r="O11" i="70"/>
  <c r="L11" i="70"/>
  <c r="O10" i="70"/>
  <c r="L10" i="70"/>
  <c r="O9" i="70"/>
  <c r="O21" i="70" s="1"/>
  <c r="L9" i="70"/>
  <c r="L21" i="70" s="1"/>
  <c r="L181" i="69"/>
  <c r="K181" i="69"/>
  <c r="H181" i="69"/>
  <c r="I181" i="69" s="1"/>
  <c r="M181" i="69" s="1"/>
  <c r="L180" i="69"/>
  <c r="K180" i="69"/>
  <c r="H180" i="69"/>
  <c r="I180" i="69" s="1"/>
  <c r="M180" i="69" s="1"/>
  <c r="L179" i="69"/>
  <c r="K179" i="69"/>
  <c r="H179" i="69"/>
  <c r="I179" i="69" s="1"/>
  <c r="M179" i="69" s="1"/>
  <c r="L178" i="69"/>
  <c r="K178" i="69"/>
  <c r="H178" i="69"/>
  <c r="I178" i="69" s="1"/>
  <c r="M178" i="69" s="1"/>
  <c r="L177" i="69"/>
  <c r="K177" i="69"/>
  <c r="H177" i="69"/>
  <c r="I177" i="69" s="1"/>
  <c r="M177" i="69" s="1"/>
  <c r="L176" i="69"/>
  <c r="K176" i="69"/>
  <c r="H176" i="69"/>
  <c r="I176" i="69" s="1"/>
  <c r="M176" i="69" s="1"/>
  <c r="M175" i="69"/>
  <c r="L175" i="69"/>
  <c r="K175" i="69"/>
  <c r="I175" i="69"/>
  <c r="H175" i="69"/>
  <c r="L174" i="69"/>
  <c r="K174" i="69"/>
  <c r="H174" i="69"/>
  <c r="I174" i="69" s="1"/>
  <c r="M174" i="69" s="1"/>
  <c r="L173" i="69"/>
  <c r="K173" i="69"/>
  <c r="H173" i="69"/>
  <c r="I173" i="69" s="1"/>
  <c r="M173" i="69" s="1"/>
  <c r="L172" i="69"/>
  <c r="K172" i="69"/>
  <c r="H172" i="69"/>
  <c r="I172" i="69" s="1"/>
  <c r="M172" i="69" s="1"/>
  <c r="L171" i="69"/>
  <c r="K171" i="69"/>
  <c r="H171" i="69"/>
  <c r="I171" i="69" s="1"/>
  <c r="M171" i="69" s="1"/>
  <c r="M170" i="69"/>
  <c r="M183" i="69" s="1"/>
  <c r="I170" i="69"/>
  <c r="I183" i="69" s="1"/>
  <c r="K160" i="69"/>
  <c r="L160" i="69" s="1"/>
  <c r="H160" i="69"/>
  <c r="I160" i="69" s="1"/>
  <c r="M160" i="69" s="1"/>
  <c r="K159" i="69"/>
  <c r="L159" i="69" s="1"/>
  <c r="H159" i="69"/>
  <c r="I159" i="69" s="1"/>
  <c r="M159" i="69" s="1"/>
  <c r="K158" i="69"/>
  <c r="L158" i="69" s="1"/>
  <c r="H158" i="69"/>
  <c r="I158" i="69" s="1"/>
  <c r="M158" i="69" s="1"/>
  <c r="K157" i="69"/>
  <c r="L157" i="69" s="1"/>
  <c r="H157" i="69"/>
  <c r="I157" i="69" s="1"/>
  <c r="M157" i="69" s="1"/>
  <c r="K156" i="69"/>
  <c r="L156" i="69" s="1"/>
  <c r="H156" i="69"/>
  <c r="I156" i="69" s="1"/>
  <c r="M156" i="69" s="1"/>
  <c r="K155" i="69"/>
  <c r="L155" i="69" s="1"/>
  <c r="H155" i="69"/>
  <c r="I155" i="69" s="1"/>
  <c r="M155" i="69" s="1"/>
  <c r="K154" i="69"/>
  <c r="L154" i="69" s="1"/>
  <c r="H154" i="69"/>
  <c r="I154" i="69" s="1"/>
  <c r="M154" i="69" s="1"/>
  <c r="K153" i="69"/>
  <c r="L153" i="69" s="1"/>
  <c r="H153" i="69"/>
  <c r="I153" i="69" s="1"/>
  <c r="M153" i="69" s="1"/>
  <c r="K152" i="69"/>
  <c r="L152" i="69" s="1"/>
  <c r="H152" i="69"/>
  <c r="I152" i="69" s="1"/>
  <c r="M152" i="69" s="1"/>
  <c r="K151" i="69"/>
  <c r="L151" i="69" s="1"/>
  <c r="H151" i="69"/>
  <c r="I151" i="69" s="1"/>
  <c r="M151" i="69" s="1"/>
  <c r="K150" i="69"/>
  <c r="L150" i="69" s="1"/>
  <c r="H150" i="69"/>
  <c r="I150" i="69" s="1"/>
  <c r="M150" i="69" s="1"/>
  <c r="K149" i="69"/>
  <c r="L149" i="69" s="1"/>
  <c r="H149" i="69"/>
  <c r="I149" i="69" s="1"/>
  <c r="M149" i="69" s="1"/>
  <c r="K148" i="69"/>
  <c r="L148" i="69" s="1"/>
  <c r="H148" i="69"/>
  <c r="I148" i="69" s="1"/>
  <c r="M148" i="69" s="1"/>
  <c r="K147" i="69"/>
  <c r="L147" i="69" s="1"/>
  <c r="H147" i="69"/>
  <c r="I147" i="69" s="1"/>
  <c r="M147" i="69" s="1"/>
  <c r="K146" i="69"/>
  <c r="L146" i="69" s="1"/>
  <c r="H146" i="69"/>
  <c r="I146" i="69" s="1"/>
  <c r="M146" i="69" s="1"/>
  <c r="K145" i="69"/>
  <c r="L145" i="69" s="1"/>
  <c r="H145" i="69"/>
  <c r="I145" i="69" s="1"/>
  <c r="M145" i="69" s="1"/>
  <c r="K144" i="69"/>
  <c r="L144" i="69" s="1"/>
  <c r="H144" i="69"/>
  <c r="I144" i="69" s="1"/>
  <c r="M144" i="69" s="1"/>
  <c r="K143" i="69"/>
  <c r="L143" i="69" s="1"/>
  <c r="H143" i="69"/>
  <c r="I143" i="69" s="1"/>
  <c r="M143" i="69" s="1"/>
  <c r="K142" i="69"/>
  <c r="L142" i="69" s="1"/>
  <c r="H142" i="69"/>
  <c r="I142" i="69" s="1"/>
  <c r="M142" i="69" s="1"/>
  <c r="K141" i="69"/>
  <c r="L141" i="69" s="1"/>
  <c r="H141" i="69"/>
  <c r="I141" i="69" s="1"/>
  <c r="M141" i="69" s="1"/>
  <c r="K140" i="69"/>
  <c r="L140" i="69" s="1"/>
  <c r="H140" i="69"/>
  <c r="I140" i="69" s="1"/>
  <c r="M140" i="69" s="1"/>
  <c r="K139" i="69"/>
  <c r="L139" i="69" s="1"/>
  <c r="H139" i="69"/>
  <c r="I139" i="69" s="1"/>
  <c r="M139" i="69" s="1"/>
  <c r="K138" i="69"/>
  <c r="L138" i="69" s="1"/>
  <c r="H138" i="69"/>
  <c r="I138" i="69" s="1"/>
  <c r="M138" i="69" s="1"/>
  <c r="K137" i="69"/>
  <c r="L137" i="69" s="1"/>
  <c r="H137" i="69"/>
  <c r="I137" i="69" s="1"/>
  <c r="M137" i="69" s="1"/>
  <c r="K136" i="69"/>
  <c r="L136" i="69" s="1"/>
  <c r="H136" i="69"/>
  <c r="I136" i="69" s="1"/>
  <c r="M136" i="69" s="1"/>
  <c r="K135" i="69"/>
  <c r="L135" i="69" s="1"/>
  <c r="H135" i="69"/>
  <c r="I135" i="69" s="1"/>
  <c r="M135" i="69" s="1"/>
  <c r="K134" i="69"/>
  <c r="L134" i="69" s="1"/>
  <c r="H134" i="69"/>
  <c r="I134" i="69" s="1"/>
  <c r="M134" i="69" s="1"/>
  <c r="K133" i="69"/>
  <c r="L133" i="69" s="1"/>
  <c r="H133" i="69"/>
  <c r="I133" i="69" s="1"/>
  <c r="M133" i="69" s="1"/>
  <c r="K132" i="69"/>
  <c r="L132" i="69" s="1"/>
  <c r="H132" i="69"/>
  <c r="I132" i="69" s="1"/>
  <c r="M132" i="69" s="1"/>
  <c r="K131" i="69"/>
  <c r="L131" i="69" s="1"/>
  <c r="H131" i="69"/>
  <c r="I131" i="69" s="1"/>
  <c r="M131" i="69" s="1"/>
  <c r="K130" i="69"/>
  <c r="L130" i="69" s="1"/>
  <c r="H130" i="69"/>
  <c r="I130" i="69" s="1"/>
  <c r="M130" i="69" s="1"/>
  <c r="K129" i="69"/>
  <c r="L129" i="69" s="1"/>
  <c r="H129" i="69"/>
  <c r="I129" i="69" s="1"/>
  <c r="M129" i="69" s="1"/>
  <c r="K128" i="69"/>
  <c r="L128" i="69" s="1"/>
  <c r="H128" i="69"/>
  <c r="I128" i="69" s="1"/>
  <c r="M128" i="69" s="1"/>
  <c r="K127" i="69"/>
  <c r="L127" i="69" s="1"/>
  <c r="H127" i="69"/>
  <c r="I127" i="69" s="1"/>
  <c r="M127" i="69" s="1"/>
  <c r="K126" i="69"/>
  <c r="L126" i="69" s="1"/>
  <c r="H126" i="69"/>
  <c r="I126" i="69" s="1"/>
  <c r="M126" i="69" s="1"/>
  <c r="K125" i="69"/>
  <c r="L125" i="69" s="1"/>
  <c r="H125" i="69"/>
  <c r="I125" i="69" s="1"/>
  <c r="M125" i="69" s="1"/>
  <c r="K124" i="69"/>
  <c r="L124" i="69" s="1"/>
  <c r="H124" i="69"/>
  <c r="I124" i="69" s="1"/>
  <c r="M124" i="69" s="1"/>
  <c r="K123" i="69"/>
  <c r="L123" i="69" s="1"/>
  <c r="H123" i="69"/>
  <c r="I123" i="69" s="1"/>
  <c r="M123" i="69" s="1"/>
  <c r="K122" i="69"/>
  <c r="L122" i="69" s="1"/>
  <c r="H122" i="69"/>
  <c r="I122" i="69" s="1"/>
  <c r="M122" i="69" s="1"/>
  <c r="K121" i="69"/>
  <c r="L121" i="69" s="1"/>
  <c r="H121" i="69"/>
  <c r="I121" i="69" s="1"/>
  <c r="M121" i="69" s="1"/>
  <c r="K120" i="69"/>
  <c r="L120" i="69" s="1"/>
  <c r="H120" i="69"/>
  <c r="I120" i="69" s="1"/>
  <c r="M120" i="69" s="1"/>
  <c r="K119" i="69"/>
  <c r="L119" i="69" s="1"/>
  <c r="H119" i="69"/>
  <c r="I119" i="69" s="1"/>
  <c r="M119" i="69" s="1"/>
  <c r="K118" i="69"/>
  <c r="L118" i="69" s="1"/>
  <c r="H118" i="69"/>
  <c r="I118" i="69" s="1"/>
  <c r="M118" i="69" s="1"/>
  <c r="K117" i="69"/>
  <c r="L117" i="69" s="1"/>
  <c r="H117" i="69"/>
  <c r="I117" i="69" s="1"/>
  <c r="M117" i="69" s="1"/>
  <c r="K116" i="69"/>
  <c r="L116" i="69" s="1"/>
  <c r="H116" i="69"/>
  <c r="I116" i="69" s="1"/>
  <c r="M116" i="69" s="1"/>
  <c r="K115" i="69"/>
  <c r="L115" i="69" s="1"/>
  <c r="H115" i="69"/>
  <c r="I115" i="69" s="1"/>
  <c r="M115" i="69" s="1"/>
  <c r="K114" i="69"/>
  <c r="L114" i="69" s="1"/>
  <c r="L162" i="69" s="1"/>
  <c r="H114" i="69"/>
  <c r="I114" i="69" s="1"/>
  <c r="K95" i="69"/>
  <c r="L95" i="69" s="1"/>
  <c r="H95" i="69"/>
  <c r="I95" i="69" s="1"/>
  <c r="M95" i="69" s="1"/>
  <c r="K94" i="69"/>
  <c r="L94" i="69" s="1"/>
  <c r="H94" i="69"/>
  <c r="I94" i="69" s="1"/>
  <c r="M94" i="69" s="1"/>
  <c r="K93" i="69"/>
  <c r="L93" i="69" s="1"/>
  <c r="H93" i="69"/>
  <c r="I93" i="69" s="1"/>
  <c r="M93" i="69" s="1"/>
  <c r="K90" i="69"/>
  <c r="L90" i="69" s="1"/>
  <c r="H90" i="69"/>
  <c r="I90" i="69" s="1"/>
  <c r="M90" i="69" s="1"/>
  <c r="K87" i="69"/>
  <c r="L87" i="69" s="1"/>
  <c r="H87" i="69"/>
  <c r="I87" i="69" s="1"/>
  <c r="M87" i="69" s="1"/>
  <c r="K85" i="69"/>
  <c r="L85" i="69" s="1"/>
  <c r="H85" i="69"/>
  <c r="I85" i="69" s="1"/>
  <c r="M85" i="69" s="1"/>
  <c r="K83" i="69"/>
  <c r="L83" i="69" s="1"/>
  <c r="H83" i="69"/>
  <c r="I83" i="69" s="1"/>
  <c r="M83" i="69" s="1"/>
  <c r="K81" i="69"/>
  <c r="L81" i="69" s="1"/>
  <c r="H81" i="69"/>
  <c r="I81" i="69" s="1"/>
  <c r="M81" i="69" s="1"/>
  <c r="K79" i="69"/>
  <c r="L79" i="69" s="1"/>
  <c r="H79" i="69"/>
  <c r="I79" i="69" s="1"/>
  <c r="M79" i="69" s="1"/>
  <c r="K77" i="69"/>
  <c r="L77" i="69" s="1"/>
  <c r="H77" i="69"/>
  <c r="I77" i="69" s="1"/>
  <c r="M77" i="69" s="1"/>
  <c r="K76" i="69"/>
  <c r="L76" i="69" s="1"/>
  <c r="H76" i="69"/>
  <c r="I76" i="69" s="1"/>
  <c r="M76" i="69" s="1"/>
  <c r="K74" i="69"/>
  <c r="L74" i="69" s="1"/>
  <c r="H74" i="69"/>
  <c r="I74" i="69" s="1"/>
  <c r="M74" i="69" s="1"/>
  <c r="K73" i="69"/>
  <c r="L73" i="69" s="1"/>
  <c r="H73" i="69"/>
  <c r="I73" i="69" s="1"/>
  <c r="M73" i="69" s="1"/>
  <c r="K71" i="69"/>
  <c r="L71" i="69" s="1"/>
  <c r="H71" i="69"/>
  <c r="I71" i="69" s="1"/>
  <c r="M71" i="69" s="1"/>
  <c r="K69" i="69"/>
  <c r="L69" i="69" s="1"/>
  <c r="H69" i="69"/>
  <c r="I69" i="69" s="1"/>
  <c r="M69" i="69" s="1"/>
  <c r="K68" i="69"/>
  <c r="L68" i="69" s="1"/>
  <c r="H68" i="69"/>
  <c r="I68" i="69" s="1"/>
  <c r="M68" i="69" s="1"/>
  <c r="K66" i="69"/>
  <c r="L66" i="69" s="1"/>
  <c r="L98" i="69" s="1"/>
  <c r="H66" i="69"/>
  <c r="I66" i="69" s="1"/>
  <c r="K63" i="69"/>
  <c r="H63" i="69"/>
  <c r="K62" i="69"/>
  <c r="L62" i="69" s="1"/>
  <c r="H62" i="69"/>
  <c r="I62" i="69" s="1"/>
  <c r="M62" i="69" s="1"/>
  <c r="K61" i="69"/>
  <c r="L61" i="69" s="1"/>
  <c r="H61" i="69"/>
  <c r="I61" i="69" s="1"/>
  <c r="M61" i="69" s="1"/>
  <c r="K60" i="69"/>
  <c r="L60" i="69" s="1"/>
  <c r="H60" i="69"/>
  <c r="I60" i="69" s="1"/>
  <c r="M60" i="69" s="1"/>
  <c r="K59" i="69"/>
  <c r="L59" i="69" s="1"/>
  <c r="H59" i="69"/>
  <c r="I59" i="69" s="1"/>
  <c r="M59" i="69" s="1"/>
  <c r="K58" i="69"/>
  <c r="L58" i="69" s="1"/>
  <c r="L63" i="69" s="1"/>
  <c r="H58" i="69"/>
  <c r="I58" i="69" s="1"/>
  <c r="K51" i="69"/>
  <c r="L51" i="69" s="1"/>
  <c r="H51" i="69"/>
  <c r="I51" i="69" s="1"/>
  <c r="M51" i="69" s="1"/>
  <c r="K50" i="69"/>
  <c r="L50" i="69" s="1"/>
  <c r="H50" i="69"/>
  <c r="I50" i="69" s="1"/>
  <c r="M50" i="69" s="1"/>
  <c r="K49" i="69"/>
  <c r="L49" i="69" s="1"/>
  <c r="H49" i="69"/>
  <c r="I49" i="69" s="1"/>
  <c r="M49" i="69" s="1"/>
  <c r="K48" i="69"/>
  <c r="L48" i="69" s="1"/>
  <c r="H48" i="69"/>
  <c r="I48" i="69" s="1"/>
  <c r="M48" i="69" s="1"/>
  <c r="K47" i="69"/>
  <c r="L47" i="69" s="1"/>
  <c r="H47" i="69"/>
  <c r="I47" i="69" s="1"/>
  <c r="M47" i="69" s="1"/>
  <c r="K46" i="69"/>
  <c r="L46" i="69" s="1"/>
  <c r="H46" i="69"/>
  <c r="I46" i="69" s="1"/>
  <c r="M46" i="69" s="1"/>
  <c r="K45" i="69"/>
  <c r="L45" i="69" s="1"/>
  <c r="H45" i="69"/>
  <c r="I45" i="69" s="1"/>
  <c r="M45" i="69" s="1"/>
  <c r="K44" i="69"/>
  <c r="L44" i="69" s="1"/>
  <c r="H44" i="69"/>
  <c r="I44" i="69" s="1"/>
  <c r="M44" i="69" s="1"/>
  <c r="K43" i="69"/>
  <c r="L43" i="69" s="1"/>
  <c r="H43" i="69"/>
  <c r="I43" i="69" s="1"/>
  <c r="M43" i="69" s="1"/>
  <c r="K42" i="69"/>
  <c r="L42" i="69" s="1"/>
  <c r="H42" i="69"/>
  <c r="I42" i="69" s="1"/>
  <c r="M42" i="69" s="1"/>
  <c r="K41" i="69"/>
  <c r="L41" i="69" s="1"/>
  <c r="H41" i="69"/>
  <c r="I41" i="69" s="1"/>
  <c r="M41" i="69" s="1"/>
  <c r="K40" i="69"/>
  <c r="L40" i="69" s="1"/>
  <c r="H40" i="69"/>
  <c r="I40" i="69" s="1"/>
  <c r="M40" i="69" s="1"/>
  <c r="K39" i="69"/>
  <c r="L39" i="69" s="1"/>
  <c r="H39" i="69"/>
  <c r="I39" i="69" s="1"/>
  <c r="M39" i="69" s="1"/>
  <c r="K38" i="69"/>
  <c r="L38" i="69" s="1"/>
  <c r="H38" i="69"/>
  <c r="I38" i="69" s="1"/>
  <c r="M38" i="69" s="1"/>
  <c r="K37" i="69"/>
  <c r="L37" i="69" s="1"/>
  <c r="H37" i="69"/>
  <c r="I37" i="69" s="1"/>
  <c r="M37" i="69" s="1"/>
  <c r="K34" i="69"/>
  <c r="L34" i="69" s="1"/>
  <c r="H34" i="69"/>
  <c r="I34" i="69" s="1"/>
  <c r="M34" i="69" s="1"/>
  <c r="K33" i="69"/>
  <c r="L33" i="69" s="1"/>
  <c r="H33" i="69"/>
  <c r="I33" i="69" s="1"/>
  <c r="M33" i="69" s="1"/>
  <c r="K32" i="69"/>
  <c r="L32" i="69" s="1"/>
  <c r="L53" i="69" s="1"/>
  <c r="H32" i="69"/>
  <c r="I32" i="69" s="1"/>
  <c r="P16" i="69"/>
  <c r="O14" i="69"/>
  <c r="M14" i="69"/>
  <c r="L14" i="69"/>
  <c r="I14" i="69"/>
  <c r="O13" i="69"/>
  <c r="L13" i="69"/>
  <c r="O12" i="69"/>
  <c r="L12" i="69"/>
  <c r="O11" i="69"/>
  <c r="L11" i="69"/>
  <c r="O10" i="69"/>
  <c r="O16" i="69" s="1"/>
  <c r="L10" i="69"/>
  <c r="L16" i="69" s="1"/>
  <c r="K700" i="5"/>
  <c r="L700" i="5" s="1"/>
  <c r="H700" i="5"/>
  <c r="I700" i="5" s="1"/>
  <c r="M700" i="5" s="1"/>
  <c r="L699" i="5"/>
  <c r="K699" i="5"/>
  <c r="H699" i="5"/>
  <c r="I699" i="5" s="1"/>
  <c r="M699" i="5" s="1"/>
  <c r="L698" i="5"/>
  <c r="K698" i="5"/>
  <c r="H698" i="5"/>
  <c r="I698" i="5" s="1"/>
  <c r="M698" i="5" s="1"/>
  <c r="L697" i="5"/>
  <c r="K697" i="5"/>
  <c r="H697" i="5"/>
  <c r="I697" i="5" s="1"/>
  <c r="M697" i="5" s="1"/>
  <c r="L696" i="5"/>
  <c r="K696" i="5"/>
  <c r="H696" i="5"/>
  <c r="I696" i="5" s="1"/>
  <c r="M696" i="5" s="1"/>
  <c r="M702" i="5" s="1"/>
  <c r="K673" i="5"/>
  <c r="L673" i="5" s="1"/>
  <c r="H673" i="5"/>
  <c r="I673" i="5" s="1"/>
  <c r="M673" i="5" s="1"/>
  <c r="K672" i="5"/>
  <c r="L672" i="5" s="1"/>
  <c r="H672" i="5"/>
  <c r="I672" i="5" s="1"/>
  <c r="M672" i="5" s="1"/>
  <c r="K670" i="5"/>
  <c r="L670" i="5" s="1"/>
  <c r="H670" i="5"/>
  <c r="I670" i="5" s="1"/>
  <c r="M670" i="5" s="1"/>
  <c r="K668" i="5"/>
  <c r="L668" i="5" s="1"/>
  <c r="H668" i="5"/>
  <c r="I668" i="5" s="1"/>
  <c r="M668" i="5" s="1"/>
  <c r="K664" i="5"/>
  <c r="L664" i="5" s="1"/>
  <c r="H664" i="5"/>
  <c r="I664" i="5" s="1"/>
  <c r="M664" i="5" s="1"/>
  <c r="K663" i="5"/>
  <c r="L663" i="5" s="1"/>
  <c r="H663" i="5"/>
  <c r="I663" i="5" s="1"/>
  <c r="M663" i="5" s="1"/>
  <c r="K662" i="5"/>
  <c r="L662" i="5" s="1"/>
  <c r="H662" i="5"/>
  <c r="I662" i="5" s="1"/>
  <c r="M662" i="5" s="1"/>
  <c r="K661" i="5"/>
  <c r="L661" i="5" s="1"/>
  <c r="H661" i="5"/>
  <c r="I661" i="5" s="1"/>
  <c r="M661" i="5" s="1"/>
  <c r="K660" i="5"/>
  <c r="L660" i="5" s="1"/>
  <c r="H660" i="5"/>
  <c r="I660" i="5" s="1"/>
  <c r="M660" i="5" s="1"/>
  <c r="K656" i="5"/>
  <c r="L656" i="5" s="1"/>
  <c r="H656" i="5"/>
  <c r="I656" i="5" s="1"/>
  <c r="M656" i="5" s="1"/>
  <c r="K654" i="5"/>
  <c r="L654" i="5" s="1"/>
  <c r="H654" i="5"/>
  <c r="I654" i="5" s="1"/>
  <c r="M654" i="5" s="1"/>
  <c r="M676" i="5" s="1"/>
  <c r="K646" i="5"/>
  <c r="L646" i="5" s="1"/>
  <c r="H646" i="5"/>
  <c r="I646" i="5" s="1"/>
  <c r="M646" i="5" s="1"/>
  <c r="K645" i="5"/>
  <c r="L645" i="5" s="1"/>
  <c r="H645" i="5"/>
  <c r="I645" i="5" s="1"/>
  <c r="M645" i="5" s="1"/>
  <c r="K644" i="5"/>
  <c r="L644" i="5" s="1"/>
  <c r="H644" i="5"/>
  <c r="I644" i="5" s="1"/>
  <c r="M644" i="5" s="1"/>
  <c r="K643" i="5"/>
  <c r="L643" i="5" s="1"/>
  <c r="H643" i="5"/>
  <c r="I643" i="5" s="1"/>
  <c r="M643" i="5" s="1"/>
  <c r="M650" i="5" s="1"/>
  <c r="K637" i="5"/>
  <c r="L637" i="5" s="1"/>
  <c r="H637" i="5"/>
  <c r="I637" i="5" s="1"/>
  <c r="M637" i="5" s="1"/>
  <c r="K632" i="5"/>
  <c r="L632" i="5" s="1"/>
  <c r="H632" i="5"/>
  <c r="I632" i="5" s="1"/>
  <c r="M632" i="5" s="1"/>
  <c r="K629" i="5"/>
  <c r="L629" i="5" s="1"/>
  <c r="H629" i="5"/>
  <c r="I629" i="5" s="1"/>
  <c r="M629" i="5" s="1"/>
  <c r="K627" i="5"/>
  <c r="L627" i="5" s="1"/>
  <c r="H627" i="5"/>
  <c r="I627" i="5" s="1"/>
  <c r="M627" i="5" s="1"/>
  <c r="K624" i="5"/>
  <c r="L624" i="5" s="1"/>
  <c r="H624" i="5"/>
  <c r="I624" i="5" s="1"/>
  <c r="M624" i="5" s="1"/>
  <c r="K623" i="5"/>
  <c r="L623" i="5" s="1"/>
  <c r="H623" i="5"/>
  <c r="I623" i="5" s="1"/>
  <c r="M623" i="5" s="1"/>
  <c r="K622" i="5"/>
  <c r="L622" i="5" s="1"/>
  <c r="H622" i="5"/>
  <c r="I622" i="5" s="1"/>
  <c r="M622" i="5" s="1"/>
  <c r="K618" i="5"/>
  <c r="L618" i="5" s="1"/>
  <c r="H618" i="5"/>
  <c r="I618" i="5" s="1"/>
  <c r="M618" i="5" s="1"/>
  <c r="K614" i="5"/>
  <c r="L614" i="5" s="1"/>
  <c r="H614" i="5"/>
  <c r="I614" i="5" s="1"/>
  <c r="M614" i="5" s="1"/>
  <c r="K613" i="5"/>
  <c r="L613" i="5" s="1"/>
  <c r="H613" i="5"/>
  <c r="I613" i="5" s="1"/>
  <c r="M613" i="5" s="1"/>
  <c r="K612" i="5"/>
  <c r="L612" i="5" s="1"/>
  <c r="H612" i="5"/>
  <c r="I612" i="5" s="1"/>
  <c r="M612" i="5" s="1"/>
  <c r="K611" i="5"/>
  <c r="L611" i="5" s="1"/>
  <c r="H611" i="5"/>
  <c r="I611" i="5" s="1"/>
  <c r="M611" i="5" s="1"/>
  <c r="K610" i="5"/>
  <c r="L610" i="5" s="1"/>
  <c r="H610" i="5"/>
  <c r="I610" i="5" s="1"/>
  <c r="M610" i="5" s="1"/>
  <c r="K609" i="5"/>
  <c r="L609" i="5" s="1"/>
  <c r="H609" i="5"/>
  <c r="I609" i="5" s="1"/>
  <c r="M609" i="5" s="1"/>
  <c r="K607" i="5"/>
  <c r="L607" i="5" s="1"/>
  <c r="H607" i="5"/>
  <c r="I607" i="5" s="1"/>
  <c r="M607" i="5" s="1"/>
  <c r="K606" i="5"/>
  <c r="L606" i="5" s="1"/>
  <c r="H606" i="5"/>
  <c r="I606" i="5" s="1"/>
  <c r="M606" i="5" s="1"/>
  <c r="K602" i="5"/>
  <c r="L602" i="5" s="1"/>
  <c r="H602" i="5"/>
  <c r="I602" i="5" s="1"/>
  <c r="M602" i="5" s="1"/>
  <c r="K601" i="5"/>
  <c r="L601" i="5" s="1"/>
  <c r="H601" i="5"/>
  <c r="I601" i="5" s="1"/>
  <c r="M601" i="5" s="1"/>
  <c r="K600" i="5"/>
  <c r="L600" i="5" s="1"/>
  <c r="H600" i="5"/>
  <c r="I600" i="5" s="1"/>
  <c r="M600" i="5" s="1"/>
  <c r="K599" i="5"/>
  <c r="L599" i="5" s="1"/>
  <c r="H599" i="5"/>
  <c r="I599" i="5" s="1"/>
  <c r="M599" i="5" s="1"/>
  <c r="K594" i="5"/>
  <c r="L594" i="5" s="1"/>
  <c r="H594" i="5"/>
  <c r="I594" i="5" s="1"/>
  <c r="M594" i="5" s="1"/>
  <c r="K592" i="5"/>
  <c r="L592" i="5" s="1"/>
  <c r="H592" i="5"/>
  <c r="I592" i="5" s="1"/>
  <c r="M592" i="5" s="1"/>
  <c r="K586" i="5"/>
  <c r="L586" i="5" s="1"/>
  <c r="H586" i="5"/>
  <c r="I586" i="5" s="1"/>
  <c r="M586" i="5" s="1"/>
  <c r="K585" i="5"/>
  <c r="L585" i="5" s="1"/>
  <c r="H585" i="5"/>
  <c r="I585" i="5" s="1"/>
  <c r="M585" i="5" s="1"/>
  <c r="K584" i="5"/>
  <c r="L584" i="5" s="1"/>
  <c r="H584" i="5"/>
  <c r="I584" i="5" s="1"/>
  <c r="M584" i="5" s="1"/>
  <c r="K583" i="5"/>
  <c r="L583" i="5" s="1"/>
  <c r="H583" i="5"/>
  <c r="I583" i="5" s="1"/>
  <c r="M583" i="5" s="1"/>
  <c r="M638" i="5" s="1"/>
  <c r="K576" i="5"/>
  <c r="L576" i="5" s="1"/>
  <c r="H576" i="5"/>
  <c r="I576" i="5" s="1"/>
  <c r="M576" i="5" s="1"/>
  <c r="K575" i="5"/>
  <c r="L575" i="5" s="1"/>
  <c r="H575" i="5"/>
  <c r="I575" i="5" s="1"/>
  <c r="M575" i="5" s="1"/>
  <c r="K573" i="5"/>
  <c r="L573" i="5" s="1"/>
  <c r="H573" i="5"/>
  <c r="I573" i="5" s="1"/>
  <c r="M573" i="5" s="1"/>
  <c r="K572" i="5"/>
  <c r="L572" i="5" s="1"/>
  <c r="H572" i="5"/>
  <c r="I572" i="5" s="1"/>
  <c r="M572" i="5" s="1"/>
  <c r="K571" i="5"/>
  <c r="L571" i="5" s="1"/>
  <c r="H571" i="5"/>
  <c r="I571" i="5" s="1"/>
  <c r="M571" i="5" s="1"/>
  <c r="K569" i="5"/>
  <c r="L569" i="5" s="1"/>
  <c r="H569" i="5"/>
  <c r="I569" i="5" s="1"/>
  <c r="M569" i="5" s="1"/>
  <c r="K568" i="5"/>
  <c r="L568" i="5" s="1"/>
  <c r="H568" i="5"/>
  <c r="I568" i="5" s="1"/>
  <c r="M568" i="5" s="1"/>
  <c r="K567" i="5"/>
  <c r="L567" i="5" s="1"/>
  <c r="H567" i="5"/>
  <c r="I567" i="5" s="1"/>
  <c r="M567" i="5" s="1"/>
  <c r="K566" i="5"/>
  <c r="L566" i="5" s="1"/>
  <c r="H566" i="5"/>
  <c r="I566" i="5" s="1"/>
  <c r="M566" i="5" s="1"/>
  <c r="K565" i="5"/>
  <c r="L565" i="5" s="1"/>
  <c r="H565" i="5"/>
  <c r="I565" i="5" s="1"/>
  <c r="M565" i="5" s="1"/>
  <c r="K564" i="5"/>
  <c r="L564" i="5" s="1"/>
  <c r="H564" i="5"/>
  <c r="I564" i="5" s="1"/>
  <c r="M564" i="5" s="1"/>
  <c r="K562" i="5"/>
  <c r="L562" i="5" s="1"/>
  <c r="H562" i="5"/>
  <c r="I562" i="5" s="1"/>
  <c r="M562" i="5" s="1"/>
  <c r="K561" i="5"/>
  <c r="L561" i="5" s="1"/>
  <c r="H561" i="5"/>
  <c r="I561" i="5" s="1"/>
  <c r="M561" i="5" s="1"/>
  <c r="K559" i="5"/>
  <c r="L559" i="5" s="1"/>
  <c r="H559" i="5"/>
  <c r="I559" i="5" s="1"/>
  <c r="M559" i="5" s="1"/>
  <c r="K557" i="5"/>
  <c r="L557" i="5" s="1"/>
  <c r="H557" i="5"/>
  <c r="I557" i="5" s="1"/>
  <c r="M557" i="5" s="1"/>
  <c r="K556" i="5"/>
  <c r="L556" i="5" s="1"/>
  <c r="H556" i="5"/>
  <c r="I556" i="5" s="1"/>
  <c r="M556" i="5" s="1"/>
  <c r="K554" i="5"/>
  <c r="L554" i="5" s="1"/>
  <c r="H554" i="5"/>
  <c r="I554" i="5" s="1"/>
  <c r="M554" i="5" s="1"/>
  <c r="K550" i="5"/>
  <c r="L550" i="5" s="1"/>
  <c r="H550" i="5"/>
  <c r="I550" i="5" s="1"/>
  <c r="M550" i="5" s="1"/>
  <c r="K548" i="5"/>
  <c r="L548" i="5" s="1"/>
  <c r="H548" i="5"/>
  <c r="I548" i="5" s="1"/>
  <c r="M548" i="5" s="1"/>
  <c r="K546" i="5"/>
  <c r="L546" i="5" s="1"/>
  <c r="H546" i="5"/>
  <c r="I546" i="5" s="1"/>
  <c r="M546" i="5" s="1"/>
  <c r="K545" i="5"/>
  <c r="L545" i="5" s="1"/>
  <c r="H545" i="5"/>
  <c r="I545" i="5" s="1"/>
  <c r="M545" i="5" s="1"/>
  <c r="K543" i="5"/>
  <c r="L543" i="5" s="1"/>
  <c r="H543" i="5"/>
  <c r="I543" i="5" s="1"/>
  <c r="M543" i="5" s="1"/>
  <c r="K541" i="5"/>
  <c r="L541" i="5" s="1"/>
  <c r="H541" i="5"/>
  <c r="I541" i="5" s="1"/>
  <c r="M541" i="5" s="1"/>
  <c r="K539" i="5"/>
  <c r="L539" i="5" s="1"/>
  <c r="H539" i="5"/>
  <c r="I539" i="5" s="1"/>
  <c r="M539" i="5" s="1"/>
  <c r="K538" i="5"/>
  <c r="L538" i="5" s="1"/>
  <c r="H538" i="5"/>
  <c r="I538" i="5" s="1"/>
  <c r="M538" i="5" s="1"/>
  <c r="K537" i="5"/>
  <c r="L537" i="5" s="1"/>
  <c r="H537" i="5"/>
  <c r="I537" i="5" s="1"/>
  <c r="M537" i="5" s="1"/>
  <c r="K535" i="5"/>
  <c r="L535" i="5" s="1"/>
  <c r="H535" i="5"/>
  <c r="I535" i="5" s="1"/>
  <c r="M535" i="5" s="1"/>
  <c r="K534" i="5"/>
  <c r="L534" i="5" s="1"/>
  <c r="H534" i="5"/>
  <c r="I534" i="5" s="1"/>
  <c r="M534" i="5" s="1"/>
  <c r="K531" i="5"/>
  <c r="L531" i="5" s="1"/>
  <c r="H531" i="5"/>
  <c r="I531" i="5" s="1"/>
  <c r="M531" i="5" s="1"/>
  <c r="K530" i="5"/>
  <c r="L530" i="5" s="1"/>
  <c r="H530" i="5"/>
  <c r="I530" i="5" s="1"/>
  <c r="M530" i="5" s="1"/>
  <c r="K529" i="5"/>
  <c r="L529" i="5" s="1"/>
  <c r="H529" i="5"/>
  <c r="I529" i="5" s="1"/>
  <c r="M529" i="5" s="1"/>
  <c r="K528" i="5"/>
  <c r="L528" i="5" s="1"/>
  <c r="H528" i="5"/>
  <c r="I528" i="5" s="1"/>
  <c r="M528" i="5" s="1"/>
  <c r="K523" i="5"/>
  <c r="L523" i="5" s="1"/>
  <c r="H523" i="5"/>
  <c r="I523" i="5" s="1"/>
  <c r="M523" i="5" s="1"/>
  <c r="H522" i="5"/>
  <c r="K521" i="5"/>
  <c r="L521" i="5" s="1"/>
  <c r="H521" i="5"/>
  <c r="I521" i="5" s="1"/>
  <c r="M521" i="5" s="1"/>
  <c r="K520" i="5"/>
  <c r="L520" i="5" s="1"/>
  <c r="H520" i="5"/>
  <c r="I520" i="5" s="1"/>
  <c r="M520" i="5" s="1"/>
  <c r="K519" i="5"/>
  <c r="L519" i="5" s="1"/>
  <c r="H519" i="5"/>
  <c r="I519" i="5" s="1"/>
  <c r="M519" i="5" s="1"/>
  <c r="K518" i="5"/>
  <c r="L518" i="5" s="1"/>
  <c r="H518" i="5"/>
  <c r="I518" i="5" s="1"/>
  <c r="M518" i="5" s="1"/>
  <c r="K515" i="5"/>
  <c r="L515" i="5" s="1"/>
  <c r="H515" i="5"/>
  <c r="I515" i="5" s="1"/>
  <c r="M515" i="5" s="1"/>
  <c r="K513" i="5"/>
  <c r="L513" i="5" s="1"/>
  <c r="H513" i="5"/>
  <c r="I513" i="5" s="1"/>
  <c r="M513" i="5" s="1"/>
  <c r="K512" i="5"/>
  <c r="L512" i="5" s="1"/>
  <c r="H512" i="5"/>
  <c r="I512" i="5" s="1"/>
  <c r="M512" i="5" s="1"/>
  <c r="K511" i="5"/>
  <c r="L511" i="5" s="1"/>
  <c r="H511" i="5"/>
  <c r="I511" i="5" s="1"/>
  <c r="M511" i="5" s="1"/>
  <c r="K509" i="5"/>
  <c r="L509" i="5" s="1"/>
  <c r="H509" i="5"/>
  <c r="I509" i="5" s="1"/>
  <c r="M509" i="5" s="1"/>
  <c r="K508" i="5"/>
  <c r="L508" i="5" s="1"/>
  <c r="H508" i="5"/>
  <c r="I508" i="5" s="1"/>
  <c r="M508" i="5" s="1"/>
  <c r="K506" i="5"/>
  <c r="L506" i="5" s="1"/>
  <c r="H506" i="5"/>
  <c r="I506" i="5" s="1"/>
  <c r="M506" i="5" s="1"/>
  <c r="K505" i="5"/>
  <c r="L505" i="5" s="1"/>
  <c r="H505" i="5"/>
  <c r="I505" i="5" s="1"/>
  <c r="M505" i="5" s="1"/>
  <c r="K503" i="5"/>
  <c r="L503" i="5" s="1"/>
  <c r="H503" i="5"/>
  <c r="I503" i="5" s="1"/>
  <c r="M503" i="5" s="1"/>
  <c r="K502" i="5"/>
  <c r="L502" i="5" s="1"/>
  <c r="H502" i="5"/>
  <c r="I502" i="5" s="1"/>
  <c r="M502" i="5" s="1"/>
  <c r="K501" i="5"/>
  <c r="L501" i="5" s="1"/>
  <c r="H501" i="5"/>
  <c r="I501" i="5" s="1"/>
  <c r="M501" i="5" s="1"/>
  <c r="K500" i="5"/>
  <c r="L500" i="5" s="1"/>
  <c r="H500" i="5"/>
  <c r="I500" i="5" s="1"/>
  <c r="M500" i="5" s="1"/>
  <c r="K499" i="5"/>
  <c r="L499" i="5" s="1"/>
  <c r="H499" i="5"/>
  <c r="I499" i="5" s="1"/>
  <c r="M499" i="5" s="1"/>
  <c r="K498" i="5"/>
  <c r="L498" i="5" s="1"/>
  <c r="H498" i="5"/>
  <c r="I498" i="5" s="1"/>
  <c r="M498" i="5" s="1"/>
  <c r="K496" i="5"/>
  <c r="L496" i="5" s="1"/>
  <c r="H496" i="5"/>
  <c r="I496" i="5" s="1"/>
  <c r="M496" i="5" s="1"/>
  <c r="K492" i="5"/>
  <c r="L492" i="5" s="1"/>
  <c r="H492" i="5"/>
  <c r="I492" i="5" s="1"/>
  <c r="M492" i="5" s="1"/>
  <c r="K491" i="5"/>
  <c r="L491" i="5" s="1"/>
  <c r="H491" i="5"/>
  <c r="I491" i="5" s="1"/>
  <c r="M491" i="5" s="1"/>
  <c r="K490" i="5"/>
  <c r="L490" i="5" s="1"/>
  <c r="H490" i="5"/>
  <c r="I490" i="5" s="1"/>
  <c r="M490" i="5" s="1"/>
  <c r="K489" i="5"/>
  <c r="L489" i="5" s="1"/>
  <c r="H489" i="5"/>
  <c r="I489" i="5" s="1"/>
  <c r="M489" i="5" s="1"/>
  <c r="K488" i="5"/>
  <c r="L488" i="5" s="1"/>
  <c r="H488" i="5"/>
  <c r="I488" i="5" s="1"/>
  <c r="M488" i="5" s="1"/>
  <c r="K487" i="5"/>
  <c r="L487" i="5" s="1"/>
  <c r="H487" i="5"/>
  <c r="I487" i="5" s="1"/>
  <c r="M487" i="5" s="1"/>
  <c r="K486" i="5"/>
  <c r="L486" i="5" s="1"/>
  <c r="H486" i="5"/>
  <c r="I486" i="5" s="1"/>
  <c r="M486" i="5" s="1"/>
  <c r="K485" i="5"/>
  <c r="L485" i="5" s="1"/>
  <c r="H485" i="5"/>
  <c r="I485" i="5" s="1"/>
  <c r="M485" i="5" s="1"/>
  <c r="K484" i="5"/>
  <c r="L484" i="5" s="1"/>
  <c r="H484" i="5"/>
  <c r="I484" i="5" s="1"/>
  <c r="M484" i="5" s="1"/>
  <c r="K483" i="5"/>
  <c r="L483" i="5" s="1"/>
  <c r="H483" i="5"/>
  <c r="I483" i="5" s="1"/>
  <c r="M483" i="5" s="1"/>
  <c r="K482" i="5"/>
  <c r="L482" i="5" s="1"/>
  <c r="H482" i="5"/>
  <c r="I482" i="5" s="1"/>
  <c r="M482" i="5" s="1"/>
  <c r="K480" i="5"/>
  <c r="L480" i="5" s="1"/>
  <c r="H480" i="5"/>
  <c r="I480" i="5" s="1"/>
  <c r="M480" i="5" s="1"/>
  <c r="K479" i="5"/>
  <c r="L479" i="5" s="1"/>
  <c r="H479" i="5"/>
  <c r="I479" i="5" s="1"/>
  <c r="M479" i="5" s="1"/>
  <c r="K477" i="5"/>
  <c r="L477" i="5" s="1"/>
  <c r="H477" i="5"/>
  <c r="I477" i="5" s="1"/>
  <c r="M477" i="5" s="1"/>
  <c r="K476" i="5"/>
  <c r="L476" i="5" s="1"/>
  <c r="H476" i="5"/>
  <c r="I476" i="5" s="1"/>
  <c r="M476" i="5" s="1"/>
  <c r="K475" i="5"/>
  <c r="L475" i="5" s="1"/>
  <c r="H475" i="5"/>
  <c r="I475" i="5" s="1"/>
  <c r="M475" i="5" s="1"/>
  <c r="K474" i="5"/>
  <c r="L474" i="5" s="1"/>
  <c r="H474" i="5"/>
  <c r="I474" i="5" s="1"/>
  <c r="M474" i="5" s="1"/>
  <c r="K473" i="5"/>
  <c r="L473" i="5" s="1"/>
  <c r="H473" i="5"/>
  <c r="I473" i="5" s="1"/>
  <c r="M473" i="5" s="1"/>
  <c r="K472" i="5"/>
  <c r="L472" i="5" s="1"/>
  <c r="H472" i="5"/>
  <c r="I472" i="5" s="1"/>
  <c r="M472" i="5" s="1"/>
  <c r="K471" i="5"/>
  <c r="L471" i="5" s="1"/>
  <c r="H471" i="5"/>
  <c r="I471" i="5" s="1"/>
  <c r="M471" i="5" s="1"/>
  <c r="K468" i="5"/>
  <c r="L468" i="5" s="1"/>
  <c r="H468" i="5"/>
  <c r="I468" i="5" s="1"/>
  <c r="M468" i="5" s="1"/>
  <c r="K467" i="5"/>
  <c r="L467" i="5" s="1"/>
  <c r="H467" i="5"/>
  <c r="I467" i="5" s="1"/>
  <c r="M467" i="5" s="1"/>
  <c r="K466" i="5"/>
  <c r="L466" i="5" s="1"/>
  <c r="H466" i="5"/>
  <c r="I466" i="5" s="1"/>
  <c r="M466" i="5" s="1"/>
  <c r="K465" i="5"/>
  <c r="L465" i="5" s="1"/>
  <c r="H465" i="5"/>
  <c r="I465" i="5" s="1"/>
  <c r="M465" i="5" s="1"/>
  <c r="K464" i="5"/>
  <c r="L464" i="5" s="1"/>
  <c r="H464" i="5"/>
  <c r="I464" i="5" s="1"/>
  <c r="M464" i="5" s="1"/>
  <c r="K463" i="5"/>
  <c r="L463" i="5" s="1"/>
  <c r="H463" i="5"/>
  <c r="I463" i="5" s="1"/>
  <c r="M463" i="5" s="1"/>
  <c r="K462" i="5"/>
  <c r="L462" i="5" s="1"/>
  <c r="H462" i="5"/>
  <c r="I462" i="5" s="1"/>
  <c r="M462" i="5" s="1"/>
  <c r="K460" i="5"/>
  <c r="L460" i="5" s="1"/>
  <c r="H460" i="5"/>
  <c r="I460" i="5" s="1"/>
  <c r="M460" i="5" s="1"/>
  <c r="K459" i="5"/>
  <c r="L459" i="5" s="1"/>
  <c r="H459" i="5"/>
  <c r="I459" i="5" s="1"/>
  <c r="M459" i="5" s="1"/>
  <c r="K458" i="5"/>
  <c r="L458" i="5" s="1"/>
  <c r="H458" i="5"/>
  <c r="I458" i="5" s="1"/>
  <c r="M458" i="5" s="1"/>
  <c r="K457" i="5"/>
  <c r="L457" i="5" s="1"/>
  <c r="H457" i="5"/>
  <c r="I457" i="5" s="1"/>
  <c r="M457" i="5" s="1"/>
  <c r="K456" i="5"/>
  <c r="L456" i="5" s="1"/>
  <c r="H456" i="5"/>
  <c r="I456" i="5" s="1"/>
  <c r="M456" i="5" s="1"/>
  <c r="K455" i="5"/>
  <c r="L455" i="5" s="1"/>
  <c r="H455" i="5"/>
  <c r="I455" i="5" s="1"/>
  <c r="M455" i="5" s="1"/>
  <c r="K454" i="5"/>
  <c r="L454" i="5" s="1"/>
  <c r="H454" i="5"/>
  <c r="I454" i="5" s="1"/>
  <c r="M454" i="5" s="1"/>
  <c r="K453" i="5"/>
  <c r="L453" i="5" s="1"/>
  <c r="H453" i="5"/>
  <c r="I453" i="5" s="1"/>
  <c r="M453" i="5" s="1"/>
  <c r="K451" i="5"/>
  <c r="L451" i="5" s="1"/>
  <c r="H451" i="5"/>
  <c r="I451" i="5" s="1"/>
  <c r="M451" i="5" s="1"/>
  <c r="K450" i="5"/>
  <c r="L450" i="5" s="1"/>
  <c r="H450" i="5"/>
  <c r="I450" i="5" s="1"/>
  <c r="M450" i="5" s="1"/>
  <c r="K449" i="5"/>
  <c r="L449" i="5" s="1"/>
  <c r="H449" i="5"/>
  <c r="I449" i="5" s="1"/>
  <c r="M449" i="5" s="1"/>
  <c r="K448" i="5"/>
  <c r="L448" i="5" s="1"/>
  <c r="H448" i="5"/>
  <c r="I448" i="5" s="1"/>
  <c r="M448" i="5" s="1"/>
  <c r="K447" i="5"/>
  <c r="L447" i="5" s="1"/>
  <c r="H447" i="5"/>
  <c r="I447" i="5" s="1"/>
  <c r="M447" i="5" s="1"/>
  <c r="K446" i="5"/>
  <c r="L446" i="5" s="1"/>
  <c r="H446" i="5"/>
  <c r="I446" i="5" s="1"/>
  <c r="M446" i="5" s="1"/>
  <c r="K445" i="5"/>
  <c r="L445" i="5" s="1"/>
  <c r="H445" i="5"/>
  <c r="I445" i="5" s="1"/>
  <c r="M445" i="5" s="1"/>
  <c r="M577" i="5" s="1"/>
  <c r="K440" i="5"/>
  <c r="L440" i="5" s="1"/>
  <c r="H440" i="5"/>
  <c r="I440" i="5" s="1"/>
  <c r="M440" i="5" s="1"/>
  <c r="K439" i="5"/>
  <c r="L439" i="5" s="1"/>
  <c r="H439" i="5"/>
  <c r="I439" i="5" s="1"/>
  <c r="M439" i="5" s="1"/>
  <c r="K438" i="5"/>
  <c r="L438" i="5" s="1"/>
  <c r="H438" i="5"/>
  <c r="I438" i="5" s="1"/>
  <c r="M438" i="5" s="1"/>
  <c r="K437" i="5"/>
  <c r="L437" i="5" s="1"/>
  <c r="H437" i="5"/>
  <c r="I437" i="5" s="1"/>
  <c r="M437" i="5" s="1"/>
  <c r="K436" i="5"/>
  <c r="L436" i="5" s="1"/>
  <c r="H436" i="5"/>
  <c r="I436" i="5" s="1"/>
  <c r="M436" i="5" s="1"/>
  <c r="K435" i="5"/>
  <c r="L435" i="5" s="1"/>
  <c r="H435" i="5"/>
  <c r="I435" i="5" s="1"/>
  <c r="M435" i="5" s="1"/>
  <c r="K434" i="5"/>
  <c r="L434" i="5" s="1"/>
  <c r="H434" i="5"/>
  <c r="I434" i="5" s="1"/>
  <c r="M434" i="5" s="1"/>
  <c r="K433" i="5"/>
  <c r="L433" i="5" s="1"/>
  <c r="H433" i="5"/>
  <c r="I433" i="5" s="1"/>
  <c r="M433" i="5" s="1"/>
  <c r="K432" i="5"/>
  <c r="L432" i="5" s="1"/>
  <c r="H432" i="5"/>
  <c r="I432" i="5" s="1"/>
  <c r="M432" i="5" s="1"/>
  <c r="K431" i="5"/>
  <c r="L431" i="5" s="1"/>
  <c r="H431" i="5"/>
  <c r="I431" i="5" s="1"/>
  <c r="M431" i="5" s="1"/>
  <c r="K430" i="5"/>
  <c r="L430" i="5" s="1"/>
  <c r="H430" i="5"/>
  <c r="I430" i="5" s="1"/>
  <c r="M430" i="5" s="1"/>
  <c r="K429" i="5"/>
  <c r="L429" i="5" s="1"/>
  <c r="H429" i="5"/>
  <c r="I429" i="5" s="1"/>
  <c r="M429" i="5" s="1"/>
  <c r="K428" i="5"/>
  <c r="L428" i="5" s="1"/>
  <c r="H428" i="5"/>
  <c r="I428" i="5" s="1"/>
  <c r="M428" i="5" s="1"/>
  <c r="K427" i="5"/>
  <c r="L427" i="5" s="1"/>
  <c r="H427" i="5"/>
  <c r="I427" i="5" s="1"/>
  <c r="M427" i="5" s="1"/>
  <c r="K426" i="5"/>
  <c r="L426" i="5" s="1"/>
  <c r="H426" i="5"/>
  <c r="I426" i="5" s="1"/>
  <c r="M426" i="5" s="1"/>
  <c r="K425" i="5"/>
  <c r="L425" i="5" s="1"/>
  <c r="H425" i="5"/>
  <c r="I425" i="5" s="1"/>
  <c r="M425" i="5" s="1"/>
  <c r="K423" i="5"/>
  <c r="L423" i="5" s="1"/>
  <c r="H423" i="5"/>
  <c r="I423" i="5" s="1"/>
  <c r="M423" i="5" s="1"/>
  <c r="K422" i="5"/>
  <c r="L422" i="5" s="1"/>
  <c r="H422" i="5"/>
  <c r="I422" i="5" s="1"/>
  <c r="M422" i="5" s="1"/>
  <c r="K420" i="5"/>
  <c r="L420" i="5" s="1"/>
  <c r="H420" i="5"/>
  <c r="I420" i="5" s="1"/>
  <c r="M420" i="5" s="1"/>
  <c r="K419" i="5"/>
  <c r="L419" i="5" s="1"/>
  <c r="H419" i="5"/>
  <c r="I419" i="5" s="1"/>
  <c r="M419" i="5" s="1"/>
  <c r="K418" i="5"/>
  <c r="L418" i="5" s="1"/>
  <c r="H418" i="5"/>
  <c r="I418" i="5" s="1"/>
  <c r="M418" i="5" s="1"/>
  <c r="K416" i="5"/>
  <c r="L416" i="5" s="1"/>
  <c r="H416" i="5"/>
  <c r="I416" i="5" s="1"/>
  <c r="M416" i="5" s="1"/>
  <c r="K415" i="5"/>
  <c r="L415" i="5" s="1"/>
  <c r="H415" i="5"/>
  <c r="I415" i="5" s="1"/>
  <c r="M415" i="5" s="1"/>
  <c r="K414" i="5"/>
  <c r="L414" i="5" s="1"/>
  <c r="H414" i="5"/>
  <c r="I414" i="5" s="1"/>
  <c r="M414" i="5" s="1"/>
  <c r="M441" i="5" s="1"/>
  <c r="K408" i="5"/>
  <c r="L408" i="5" s="1"/>
  <c r="H408" i="5"/>
  <c r="I408" i="5" s="1"/>
  <c r="M408" i="5" s="1"/>
  <c r="K407" i="5"/>
  <c r="L407" i="5" s="1"/>
  <c r="H407" i="5"/>
  <c r="I407" i="5" s="1"/>
  <c r="M407" i="5" s="1"/>
  <c r="K406" i="5"/>
  <c r="L406" i="5" s="1"/>
  <c r="H406" i="5"/>
  <c r="I406" i="5" s="1"/>
  <c r="M406" i="5" s="1"/>
  <c r="K404" i="5"/>
  <c r="L404" i="5" s="1"/>
  <c r="H404" i="5"/>
  <c r="I404" i="5" s="1"/>
  <c r="M404" i="5" s="1"/>
  <c r="K402" i="5"/>
  <c r="L402" i="5" s="1"/>
  <c r="H402" i="5"/>
  <c r="I402" i="5" s="1"/>
  <c r="M402" i="5" s="1"/>
  <c r="K400" i="5"/>
  <c r="L400" i="5" s="1"/>
  <c r="H400" i="5"/>
  <c r="I400" i="5" s="1"/>
  <c r="M400" i="5" s="1"/>
  <c r="K399" i="5"/>
  <c r="L399" i="5" s="1"/>
  <c r="H399" i="5"/>
  <c r="I399" i="5" s="1"/>
  <c r="M399" i="5" s="1"/>
  <c r="K398" i="5"/>
  <c r="L398" i="5" s="1"/>
  <c r="H398" i="5"/>
  <c r="I398" i="5" s="1"/>
  <c r="M398" i="5" s="1"/>
  <c r="K397" i="5"/>
  <c r="L397" i="5" s="1"/>
  <c r="H397" i="5"/>
  <c r="I397" i="5" s="1"/>
  <c r="M397" i="5" s="1"/>
  <c r="K396" i="5"/>
  <c r="L396" i="5" s="1"/>
  <c r="H396" i="5"/>
  <c r="I396" i="5" s="1"/>
  <c r="M396" i="5" s="1"/>
  <c r="K394" i="5"/>
  <c r="L394" i="5" s="1"/>
  <c r="H394" i="5"/>
  <c r="I394" i="5" s="1"/>
  <c r="M394" i="5" s="1"/>
  <c r="K393" i="5"/>
  <c r="L393" i="5" s="1"/>
  <c r="H393" i="5"/>
  <c r="I393" i="5" s="1"/>
  <c r="M393" i="5" s="1"/>
  <c r="K390" i="5"/>
  <c r="L390" i="5" s="1"/>
  <c r="H390" i="5"/>
  <c r="I390" i="5" s="1"/>
  <c r="M390" i="5" s="1"/>
  <c r="K388" i="5"/>
  <c r="L388" i="5" s="1"/>
  <c r="H388" i="5"/>
  <c r="I388" i="5" s="1"/>
  <c r="M388" i="5" s="1"/>
  <c r="K386" i="5"/>
  <c r="L386" i="5" s="1"/>
  <c r="H386" i="5"/>
  <c r="I386" i="5" s="1"/>
  <c r="M386" i="5" s="1"/>
  <c r="K384" i="5"/>
  <c r="L384" i="5" s="1"/>
  <c r="H384" i="5"/>
  <c r="I384" i="5" s="1"/>
  <c r="M384" i="5" s="1"/>
  <c r="K381" i="5"/>
  <c r="L381" i="5" s="1"/>
  <c r="H381" i="5"/>
  <c r="I381" i="5" s="1"/>
  <c r="M381" i="5" s="1"/>
  <c r="K379" i="5"/>
  <c r="L379" i="5" s="1"/>
  <c r="H379" i="5"/>
  <c r="I379" i="5" s="1"/>
  <c r="M379" i="5" s="1"/>
  <c r="K377" i="5"/>
  <c r="L377" i="5" s="1"/>
  <c r="H377" i="5"/>
  <c r="I377" i="5" s="1"/>
  <c r="M377" i="5" s="1"/>
  <c r="K375" i="5"/>
  <c r="L375" i="5" s="1"/>
  <c r="H375" i="5"/>
  <c r="I375" i="5" s="1"/>
  <c r="M375" i="5" s="1"/>
  <c r="K373" i="5"/>
  <c r="L373" i="5" s="1"/>
  <c r="H373" i="5"/>
  <c r="I373" i="5" s="1"/>
  <c r="M373" i="5" s="1"/>
  <c r="K371" i="5"/>
  <c r="L371" i="5" s="1"/>
  <c r="H371" i="5"/>
  <c r="I371" i="5" s="1"/>
  <c r="M371" i="5" s="1"/>
  <c r="K369" i="5"/>
  <c r="L369" i="5" s="1"/>
  <c r="H369" i="5"/>
  <c r="I369" i="5" s="1"/>
  <c r="M369" i="5" s="1"/>
  <c r="K367" i="5"/>
  <c r="L367" i="5" s="1"/>
  <c r="H367" i="5"/>
  <c r="I367" i="5" s="1"/>
  <c r="M367" i="5" s="1"/>
  <c r="K365" i="5"/>
  <c r="L365" i="5" s="1"/>
  <c r="H365" i="5"/>
  <c r="I365" i="5" s="1"/>
  <c r="M365" i="5" s="1"/>
  <c r="K363" i="5"/>
  <c r="L363" i="5" s="1"/>
  <c r="H363" i="5"/>
  <c r="I363" i="5" s="1"/>
  <c r="M363" i="5" s="1"/>
  <c r="K361" i="5"/>
  <c r="L361" i="5" s="1"/>
  <c r="H361" i="5"/>
  <c r="I361" i="5" s="1"/>
  <c r="M361" i="5" s="1"/>
  <c r="K359" i="5"/>
  <c r="L359" i="5" s="1"/>
  <c r="H359" i="5"/>
  <c r="I359" i="5" s="1"/>
  <c r="M359" i="5" s="1"/>
  <c r="K357" i="5"/>
  <c r="L357" i="5" s="1"/>
  <c r="H357" i="5"/>
  <c r="I357" i="5" s="1"/>
  <c r="M357" i="5" s="1"/>
  <c r="K353" i="5"/>
  <c r="L353" i="5" s="1"/>
  <c r="H353" i="5"/>
  <c r="I353" i="5" s="1"/>
  <c r="M353" i="5" s="1"/>
  <c r="K351" i="5"/>
  <c r="L351" i="5" s="1"/>
  <c r="H351" i="5"/>
  <c r="I351" i="5" s="1"/>
  <c r="M351" i="5" s="1"/>
  <c r="K349" i="5"/>
  <c r="L349" i="5" s="1"/>
  <c r="H349" i="5"/>
  <c r="I349" i="5" s="1"/>
  <c r="M349" i="5" s="1"/>
  <c r="K347" i="5"/>
  <c r="L347" i="5" s="1"/>
  <c r="H347" i="5"/>
  <c r="I347" i="5" s="1"/>
  <c r="M347" i="5" s="1"/>
  <c r="K345" i="5"/>
  <c r="L345" i="5" s="1"/>
  <c r="H345" i="5"/>
  <c r="I345" i="5" s="1"/>
  <c r="M345" i="5" s="1"/>
  <c r="K343" i="5"/>
  <c r="L343" i="5" s="1"/>
  <c r="H343" i="5"/>
  <c r="I343" i="5" s="1"/>
  <c r="M343" i="5" s="1"/>
  <c r="K341" i="5"/>
  <c r="L341" i="5" s="1"/>
  <c r="H341" i="5"/>
  <c r="I341" i="5" s="1"/>
  <c r="M341" i="5" s="1"/>
  <c r="K339" i="5"/>
  <c r="L339" i="5" s="1"/>
  <c r="H339" i="5"/>
  <c r="I339" i="5" s="1"/>
  <c r="M339" i="5" s="1"/>
  <c r="K337" i="5"/>
  <c r="L337" i="5" s="1"/>
  <c r="H337" i="5"/>
  <c r="I337" i="5" s="1"/>
  <c r="M337" i="5" s="1"/>
  <c r="K335" i="5"/>
  <c r="L335" i="5" s="1"/>
  <c r="H335" i="5"/>
  <c r="I335" i="5" s="1"/>
  <c r="M335" i="5" s="1"/>
  <c r="K333" i="5"/>
  <c r="L333" i="5" s="1"/>
  <c r="H333" i="5"/>
  <c r="I333" i="5" s="1"/>
  <c r="M333" i="5" s="1"/>
  <c r="K331" i="5"/>
  <c r="L331" i="5" s="1"/>
  <c r="H331" i="5"/>
  <c r="I331" i="5" s="1"/>
  <c r="M331" i="5" s="1"/>
  <c r="K330" i="5"/>
  <c r="L330" i="5" s="1"/>
  <c r="H330" i="5"/>
  <c r="I330" i="5" s="1"/>
  <c r="M330" i="5" s="1"/>
  <c r="M410" i="5" s="1"/>
  <c r="L307" i="5"/>
  <c r="H307" i="5"/>
  <c r="I307" i="5" s="1"/>
  <c r="M307" i="5" s="1"/>
  <c r="L306" i="5"/>
  <c r="H306" i="5"/>
  <c r="I306" i="5" s="1"/>
  <c r="M306" i="5" s="1"/>
  <c r="L305" i="5"/>
  <c r="H305" i="5"/>
  <c r="I305" i="5" s="1"/>
  <c r="M305" i="5" s="1"/>
  <c r="L304" i="5"/>
  <c r="H304" i="5"/>
  <c r="I304" i="5" s="1"/>
  <c r="M304" i="5" s="1"/>
  <c r="L303" i="5"/>
  <c r="H303" i="5"/>
  <c r="I303" i="5" s="1"/>
  <c r="M303" i="5" s="1"/>
  <c r="L302" i="5"/>
  <c r="H302" i="5"/>
  <c r="I302" i="5" s="1"/>
  <c r="M302" i="5" s="1"/>
  <c r="L301" i="5"/>
  <c r="H301" i="5"/>
  <c r="I301" i="5" s="1"/>
  <c r="M301" i="5" s="1"/>
  <c r="L298" i="5"/>
  <c r="H298" i="5"/>
  <c r="I298" i="5" s="1"/>
  <c r="M298" i="5" s="1"/>
  <c r="L297" i="5"/>
  <c r="H297" i="5"/>
  <c r="I297" i="5" s="1"/>
  <c r="M297" i="5" s="1"/>
  <c r="L296" i="5"/>
  <c r="H296" i="5"/>
  <c r="I296" i="5" s="1"/>
  <c r="M296" i="5" s="1"/>
  <c r="L295" i="5"/>
  <c r="H295" i="5"/>
  <c r="I295" i="5" s="1"/>
  <c r="M295" i="5" s="1"/>
  <c r="L294" i="5"/>
  <c r="H294" i="5"/>
  <c r="I294" i="5" s="1"/>
  <c r="M294" i="5" s="1"/>
  <c r="L293" i="5"/>
  <c r="H293" i="5"/>
  <c r="I293" i="5" s="1"/>
  <c r="M293" i="5" s="1"/>
  <c r="L292" i="5"/>
  <c r="H292" i="5"/>
  <c r="I292" i="5" s="1"/>
  <c r="M292" i="5" s="1"/>
  <c r="L291" i="5"/>
  <c r="H291" i="5"/>
  <c r="I291" i="5" s="1"/>
  <c r="M291" i="5" s="1"/>
  <c r="L290" i="5"/>
  <c r="H290" i="5"/>
  <c r="I290" i="5" s="1"/>
  <c r="M290" i="5" s="1"/>
  <c r="L289" i="5"/>
  <c r="H289" i="5"/>
  <c r="I289" i="5" s="1"/>
  <c r="M289" i="5" s="1"/>
  <c r="L288" i="5"/>
  <c r="H288" i="5"/>
  <c r="I288" i="5" s="1"/>
  <c r="M288" i="5" s="1"/>
  <c r="L287" i="5"/>
  <c r="H287" i="5"/>
  <c r="I287" i="5" s="1"/>
  <c r="M287" i="5" s="1"/>
  <c r="L286" i="5"/>
  <c r="H286" i="5"/>
  <c r="I286" i="5" s="1"/>
  <c r="M286" i="5" s="1"/>
  <c r="L285" i="5"/>
  <c r="H285" i="5"/>
  <c r="I285" i="5" s="1"/>
  <c r="M285" i="5" s="1"/>
  <c r="L284" i="5"/>
  <c r="H284" i="5"/>
  <c r="I284" i="5" s="1"/>
  <c r="M284" i="5" s="1"/>
  <c r="L283" i="5"/>
  <c r="H283" i="5"/>
  <c r="I283" i="5" s="1"/>
  <c r="M283" i="5" s="1"/>
  <c r="K280" i="5"/>
  <c r="L280" i="5" s="1"/>
  <c r="H280" i="5"/>
  <c r="I280" i="5" s="1"/>
  <c r="M280" i="5" s="1"/>
  <c r="K278" i="5"/>
  <c r="L278" i="5" s="1"/>
  <c r="H278" i="5"/>
  <c r="I278" i="5" s="1"/>
  <c r="M278" i="5" s="1"/>
  <c r="K276" i="5"/>
  <c r="L276" i="5" s="1"/>
  <c r="H276" i="5"/>
  <c r="I276" i="5" s="1"/>
  <c r="M276" i="5" s="1"/>
  <c r="K275" i="5"/>
  <c r="L275" i="5" s="1"/>
  <c r="H275" i="5"/>
  <c r="I275" i="5" s="1"/>
  <c r="M275" i="5" s="1"/>
  <c r="K273" i="5"/>
  <c r="L273" i="5" s="1"/>
  <c r="H273" i="5"/>
  <c r="I273" i="5" s="1"/>
  <c r="M273" i="5" s="1"/>
  <c r="K270" i="5"/>
  <c r="L270" i="5" s="1"/>
  <c r="H270" i="5"/>
  <c r="I270" i="5" s="1"/>
  <c r="M270" i="5" s="1"/>
  <c r="K268" i="5"/>
  <c r="L268" i="5" s="1"/>
  <c r="H268" i="5"/>
  <c r="I268" i="5" s="1"/>
  <c r="M268" i="5" s="1"/>
  <c r="K267" i="5"/>
  <c r="L267" i="5" s="1"/>
  <c r="H267" i="5"/>
  <c r="I267" i="5" s="1"/>
  <c r="M267" i="5" s="1"/>
  <c r="K266" i="5"/>
  <c r="L266" i="5" s="1"/>
  <c r="H266" i="5"/>
  <c r="I266" i="5" s="1"/>
  <c r="M266" i="5" s="1"/>
  <c r="K265" i="5"/>
  <c r="L265" i="5" s="1"/>
  <c r="H265" i="5"/>
  <c r="I265" i="5" s="1"/>
  <c r="M265" i="5" s="1"/>
  <c r="K263" i="5"/>
  <c r="L263" i="5" s="1"/>
  <c r="H263" i="5"/>
  <c r="I263" i="5" s="1"/>
  <c r="M263" i="5" s="1"/>
  <c r="K262" i="5"/>
  <c r="L262" i="5" s="1"/>
  <c r="H262" i="5"/>
  <c r="I262" i="5" s="1"/>
  <c r="M262" i="5" s="1"/>
  <c r="K260" i="5"/>
  <c r="L260" i="5" s="1"/>
  <c r="H260" i="5"/>
  <c r="I260" i="5" s="1"/>
  <c r="M260" i="5" s="1"/>
  <c r="K258" i="5"/>
  <c r="L258" i="5" s="1"/>
  <c r="H258" i="5"/>
  <c r="I258" i="5" s="1"/>
  <c r="M258" i="5" s="1"/>
  <c r="K256" i="5"/>
  <c r="L256" i="5" s="1"/>
  <c r="H256" i="5"/>
  <c r="I256" i="5" s="1"/>
  <c r="M256" i="5" s="1"/>
  <c r="K255" i="5"/>
  <c r="L255" i="5" s="1"/>
  <c r="H255" i="5"/>
  <c r="I255" i="5" s="1"/>
  <c r="M255" i="5" s="1"/>
  <c r="K253" i="5"/>
  <c r="L253" i="5" s="1"/>
  <c r="H253" i="5"/>
  <c r="I253" i="5" s="1"/>
  <c r="M253" i="5" s="1"/>
  <c r="K251" i="5"/>
  <c r="L251" i="5" s="1"/>
  <c r="H251" i="5"/>
  <c r="I251" i="5" s="1"/>
  <c r="M251" i="5" s="1"/>
  <c r="K249" i="5"/>
  <c r="L249" i="5" s="1"/>
  <c r="H249" i="5"/>
  <c r="I249" i="5" s="1"/>
  <c r="M249" i="5" s="1"/>
  <c r="K247" i="5"/>
  <c r="L247" i="5" s="1"/>
  <c r="H247" i="5"/>
  <c r="I247" i="5" s="1"/>
  <c r="M247" i="5" s="1"/>
  <c r="K245" i="5"/>
  <c r="L245" i="5" s="1"/>
  <c r="H245" i="5"/>
  <c r="I245" i="5" s="1"/>
  <c r="M245" i="5" s="1"/>
  <c r="K241" i="5"/>
  <c r="L241" i="5" s="1"/>
  <c r="H241" i="5"/>
  <c r="I241" i="5" s="1"/>
  <c r="M241" i="5" s="1"/>
  <c r="K239" i="5"/>
  <c r="L239" i="5" s="1"/>
  <c r="H239" i="5"/>
  <c r="I239" i="5" s="1"/>
  <c r="M239" i="5" s="1"/>
  <c r="K237" i="5"/>
  <c r="L237" i="5" s="1"/>
  <c r="H237" i="5"/>
  <c r="I237" i="5" s="1"/>
  <c r="M237" i="5" s="1"/>
  <c r="K236" i="5"/>
  <c r="L236" i="5" s="1"/>
  <c r="H236" i="5"/>
  <c r="I236" i="5" s="1"/>
  <c r="M236" i="5" s="1"/>
  <c r="K235" i="5"/>
  <c r="L235" i="5" s="1"/>
  <c r="H235" i="5"/>
  <c r="I235" i="5" s="1"/>
  <c r="M235" i="5" s="1"/>
  <c r="K234" i="5"/>
  <c r="L234" i="5" s="1"/>
  <c r="H234" i="5"/>
  <c r="I234" i="5" s="1"/>
  <c r="M234" i="5" s="1"/>
  <c r="K233" i="5"/>
  <c r="L233" i="5" s="1"/>
  <c r="H233" i="5"/>
  <c r="I233" i="5" s="1"/>
  <c r="M233" i="5" s="1"/>
  <c r="K232" i="5"/>
  <c r="L232" i="5" s="1"/>
  <c r="H232" i="5"/>
  <c r="I232" i="5" s="1"/>
  <c r="M232" i="5" s="1"/>
  <c r="K231" i="5"/>
  <c r="L231" i="5" s="1"/>
  <c r="H231" i="5"/>
  <c r="I231" i="5" s="1"/>
  <c r="M231" i="5" s="1"/>
  <c r="K230" i="5"/>
  <c r="L230" i="5" s="1"/>
  <c r="H230" i="5"/>
  <c r="I230" i="5" s="1"/>
  <c r="M230" i="5" s="1"/>
  <c r="K229" i="5"/>
  <c r="L229" i="5" s="1"/>
  <c r="H229" i="5"/>
  <c r="I229" i="5" s="1"/>
  <c r="M229" i="5" s="1"/>
  <c r="K227" i="5"/>
  <c r="L227" i="5" s="1"/>
  <c r="H227" i="5"/>
  <c r="I227" i="5" s="1"/>
  <c r="M227" i="5" s="1"/>
  <c r="K226" i="5"/>
  <c r="L226" i="5" s="1"/>
  <c r="H226" i="5"/>
  <c r="I226" i="5" s="1"/>
  <c r="M226" i="5" s="1"/>
  <c r="K225" i="5"/>
  <c r="L225" i="5" s="1"/>
  <c r="H225" i="5"/>
  <c r="I225" i="5" s="1"/>
  <c r="M225" i="5" s="1"/>
  <c r="K224" i="5"/>
  <c r="L224" i="5" s="1"/>
  <c r="H224" i="5"/>
  <c r="I224" i="5" s="1"/>
  <c r="M224" i="5" s="1"/>
  <c r="K222" i="5"/>
  <c r="L222" i="5" s="1"/>
  <c r="H222" i="5"/>
  <c r="I222" i="5" s="1"/>
  <c r="M222" i="5" s="1"/>
  <c r="K220" i="5"/>
  <c r="L220" i="5" s="1"/>
  <c r="H220" i="5"/>
  <c r="I220" i="5" s="1"/>
  <c r="M220" i="5" s="1"/>
  <c r="K218" i="5"/>
  <c r="L218" i="5" s="1"/>
  <c r="H218" i="5"/>
  <c r="I218" i="5" s="1"/>
  <c r="M218" i="5" s="1"/>
  <c r="M309" i="5" s="1"/>
  <c r="K200" i="5"/>
  <c r="L200" i="5" s="1"/>
  <c r="H200" i="5"/>
  <c r="I200" i="5" s="1"/>
  <c r="M200" i="5" s="1"/>
  <c r="K199" i="5"/>
  <c r="L199" i="5" s="1"/>
  <c r="H199" i="5"/>
  <c r="I199" i="5" s="1"/>
  <c r="M199" i="5" s="1"/>
  <c r="K198" i="5"/>
  <c r="L198" i="5" s="1"/>
  <c r="H198" i="5"/>
  <c r="I198" i="5" s="1"/>
  <c r="M198" i="5" s="1"/>
  <c r="K197" i="5"/>
  <c r="L197" i="5" s="1"/>
  <c r="H197" i="5"/>
  <c r="I197" i="5" s="1"/>
  <c r="M197" i="5" s="1"/>
  <c r="K195" i="5"/>
  <c r="L195" i="5" s="1"/>
  <c r="H195" i="5"/>
  <c r="I195" i="5" s="1"/>
  <c r="M195" i="5" s="1"/>
  <c r="K194" i="5"/>
  <c r="L194" i="5" s="1"/>
  <c r="H194" i="5"/>
  <c r="I194" i="5" s="1"/>
  <c r="M194" i="5" s="1"/>
  <c r="K193" i="5"/>
  <c r="L193" i="5" s="1"/>
  <c r="H193" i="5"/>
  <c r="I193" i="5" s="1"/>
  <c r="M193" i="5" s="1"/>
  <c r="K192" i="5"/>
  <c r="L192" i="5" s="1"/>
  <c r="H192" i="5"/>
  <c r="I192" i="5" s="1"/>
  <c r="M192" i="5" s="1"/>
  <c r="K190" i="5"/>
  <c r="L190" i="5" s="1"/>
  <c r="H190" i="5"/>
  <c r="I190" i="5" s="1"/>
  <c r="M190" i="5" s="1"/>
  <c r="K189" i="5"/>
  <c r="L189" i="5" s="1"/>
  <c r="H189" i="5"/>
  <c r="I189" i="5" s="1"/>
  <c r="M189" i="5" s="1"/>
  <c r="K186" i="5"/>
  <c r="L186" i="5" s="1"/>
  <c r="H186" i="5"/>
  <c r="I186" i="5" s="1"/>
  <c r="M186" i="5" s="1"/>
  <c r="K185" i="5"/>
  <c r="L185" i="5" s="1"/>
  <c r="H185" i="5"/>
  <c r="I185" i="5" s="1"/>
  <c r="M185" i="5" s="1"/>
  <c r="K184" i="5"/>
  <c r="L184" i="5" s="1"/>
  <c r="H184" i="5"/>
  <c r="I184" i="5" s="1"/>
  <c r="M184" i="5" s="1"/>
  <c r="K182" i="5"/>
  <c r="L182" i="5" s="1"/>
  <c r="H182" i="5"/>
  <c r="I182" i="5" s="1"/>
  <c r="M182" i="5" s="1"/>
  <c r="K181" i="5"/>
  <c r="L181" i="5" s="1"/>
  <c r="H181" i="5"/>
  <c r="I181" i="5" s="1"/>
  <c r="M181" i="5" s="1"/>
  <c r="K180" i="5"/>
  <c r="L180" i="5" s="1"/>
  <c r="H180" i="5"/>
  <c r="I180" i="5" s="1"/>
  <c r="M180" i="5" s="1"/>
  <c r="K179" i="5"/>
  <c r="L179" i="5" s="1"/>
  <c r="H179" i="5"/>
  <c r="I179" i="5" s="1"/>
  <c r="M179" i="5" s="1"/>
  <c r="K178" i="5"/>
  <c r="L178" i="5" s="1"/>
  <c r="H178" i="5"/>
  <c r="I178" i="5" s="1"/>
  <c r="M178" i="5" s="1"/>
  <c r="K176" i="5"/>
  <c r="L176" i="5" s="1"/>
  <c r="H176" i="5"/>
  <c r="I176" i="5" s="1"/>
  <c r="M176" i="5" s="1"/>
  <c r="K172" i="5"/>
  <c r="L172" i="5" s="1"/>
  <c r="H172" i="5"/>
  <c r="I172" i="5" s="1"/>
  <c r="M172" i="5" s="1"/>
  <c r="K170" i="5"/>
  <c r="L170" i="5" s="1"/>
  <c r="H170" i="5"/>
  <c r="I170" i="5" s="1"/>
  <c r="M170" i="5" s="1"/>
  <c r="K168" i="5"/>
  <c r="L168" i="5" s="1"/>
  <c r="H168" i="5"/>
  <c r="I168" i="5" s="1"/>
  <c r="M168" i="5" s="1"/>
  <c r="K167" i="5"/>
  <c r="L167" i="5" s="1"/>
  <c r="H167" i="5"/>
  <c r="I167" i="5" s="1"/>
  <c r="M167" i="5" s="1"/>
  <c r="K166" i="5"/>
  <c r="L166" i="5" s="1"/>
  <c r="H166" i="5"/>
  <c r="I166" i="5" s="1"/>
  <c r="M166" i="5" s="1"/>
  <c r="K165" i="5"/>
  <c r="L165" i="5" s="1"/>
  <c r="H165" i="5"/>
  <c r="I165" i="5" s="1"/>
  <c r="M165" i="5" s="1"/>
  <c r="K164" i="5"/>
  <c r="L164" i="5" s="1"/>
  <c r="H164" i="5"/>
  <c r="I164" i="5" s="1"/>
  <c r="M164" i="5" s="1"/>
  <c r="K163" i="5"/>
  <c r="L163" i="5" s="1"/>
  <c r="I163" i="5"/>
  <c r="M163" i="5" s="1"/>
  <c r="M202" i="5" s="1"/>
  <c r="K140" i="5"/>
  <c r="L140" i="5" s="1"/>
  <c r="H140" i="5"/>
  <c r="I140" i="5" s="1"/>
  <c r="M140" i="5" s="1"/>
  <c r="K139" i="5"/>
  <c r="L139" i="5" s="1"/>
  <c r="H139" i="5"/>
  <c r="I139" i="5" s="1"/>
  <c r="M139" i="5" s="1"/>
  <c r="K138" i="5"/>
  <c r="L138" i="5" s="1"/>
  <c r="H138" i="5"/>
  <c r="I138" i="5" s="1"/>
  <c r="M138" i="5" s="1"/>
  <c r="K137" i="5"/>
  <c r="L137" i="5" s="1"/>
  <c r="H137" i="5"/>
  <c r="I137" i="5" s="1"/>
  <c r="M137" i="5" s="1"/>
  <c r="K136" i="5"/>
  <c r="L136" i="5" s="1"/>
  <c r="H136" i="5"/>
  <c r="I136" i="5" s="1"/>
  <c r="K135" i="5"/>
  <c r="L135" i="5" s="1"/>
  <c r="H135" i="5"/>
  <c r="I135" i="5" s="1"/>
  <c r="M135" i="5" s="1"/>
  <c r="K134" i="5"/>
  <c r="L134" i="5" s="1"/>
  <c r="H134" i="5"/>
  <c r="I134" i="5" s="1"/>
  <c r="M134" i="5" s="1"/>
  <c r="K133" i="5"/>
  <c r="L133" i="5" s="1"/>
  <c r="H133" i="5"/>
  <c r="I133" i="5" s="1"/>
  <c r="M133" i="5" s="1"/>
  <c r="K130" i="5"/>
  <c r="L130" i="5" s="1"/>
  <c r="H130" i="5"/>
  <c r="I130" i="5" s="1"/>
  <c r="M130" i="5" s="1"/>
  <c r="K123" i="5"/>
  <c r="L123" i="5" s="1"/>
  <c r="H123" i="5"/>
  <c r="I123" i="5" s="1"/>
  <c r="M123" i="5" s="1"/>
  <c r="K121" i="5"/>
  <c r="L121" i="5" s="1"/>
  <c r="H121" i="5"/>
  <c r="I121" i="5" s="1"/>
  <c r="M121" i="5" s="1"/>
  <c r="K118" i="5"/>
  <c r="L118" i="5" s="1"/>
  <c r="H118" i="5"/>
  <c r="I118" i="5" s="1"/>
  <c r="M118" i="5" s="1"/>
  <c r="K116" i="5"/>
  <c r="L116" i="5" s="1"/>
  <c r="H116" i="5"/>
  <c r="I116" i="5" s="1"/>
  <c r="M116" i="5" s="1"/>
  <c r="K114" i="5"/>
  <c r="L114" i="5" s="1"/>
  <c r="H114" i="5"/>
  <c r="I114" i="5" s="1"/>
  <c r="M114" i="5" s="1"/>
  <c r="K113" i="5"/>
  <c r="L113" i="5" s="1"/>
  <c r="H113" i="5"/>
  <c r="I113" i="5" s="1"/>
  <c r="M113" i="5" s="1"/>
  <c r="K112" i="5"/>
  <c r="L112" i="5" s="1"/>
  <c r="H112" i="5"/>
  <c r="I112" i="5" s="1"/>
  <c r="M112" i="5" s="1"/>
  <c r="K109" i="5"/>
  <c r="L109" i="5" s="1"/>
  <c r="H109" i="5"/>
  <c r="I109" i="5" s="1"/>
  <c r="M109" i="5" s="1"/>
  <c r="K108" i="5"/>
  <c r="L108" i="5" s="1"/>
  <c r="H108" i="5"/>
  <c r="I108" i="5" s="1"/>
  <c r="M108" i="5" s="1"/>
  <c r="K105" i="5"/>
  <c r="L105" i="5" s="1"/>
  <c r="H105" i="5"/>
  <c r="I105" i="5" s="1"/>
  <c r="M105" i="5" s="1"/>
  <c r="K104" i="5"/>
  <c r="L104" i="5" s="1"/>
  <c r="H104" i="5"/>
  <c r="I104" i="5" s="1"/>
  <c r="M104" i="5" s="1"/>
  <c r="K103" i="5"/>
  <c r="L103" i="5" s="1"/>
  <c r="H103" i="5"/>
  <c r="I103" i="5" s="1"/>
  <c r="K102" i="5"/>
  <c r="L102" i="5" s="1"/>
  <c r="H102" i="5"/>
  <c r="I102" i="5" s="1"/>
  <c r="M102" i="5" s="1"/>
  <c r="K101" i="5"/>
  <c r="L101" i="5" s="1"/>
  <c r="H101" i="5"/>
  <c r="I101" i="5" s="1"/>
  <c r="M101" i="5" s="1"/>
  <c r="K100" i="5"/>
  <c r="L100" i="5" s="1"/>
  <c r="H100" i="5"/>
  <c r="I100" i="5" s="1"/>
  <c r="K99" i="5"/>
  <c r="L99" i="5" s="1"/>
  <c r="H99" i="5"/>
  <c r="I99" i="5" s="1"/>
  <c r="M99" i="5" s="1"/>
  <c r="K98" i="5"/>
  <c r="L98" i="5" s="1"/>
  <c r="H98" i="5"/>
  <c r="I98" i="5" s="1"/>
  <c r="M98" i="5" s="1"/>
  <c r="K97" i="5"/>
  <c r="L97" i="5" s="1"/>
  <c r="H97" i="5"/>
  <c r="I97" i="5" s="1"/>
  <c r="M97" i="5" s="1"/>
  <c r="K96" i="5"/>
  <c r="L96" i="5" s="1"/>
  <c r="H96" i="5"/>
  <c r="I96" i="5" s="1"/>
  <c r="M96" i="5" s="1"/>
  <c r="K95" i="5"/>
  <c r="L95" i="5" s="1"/>
  <c r="H95" i="5"/>
  <c r="I95" i="5" s="1"/>
  <c r="M95" i="5" s="1"/>
  <c r="K94" i="5"/>
  <c r="L94" i="5" s="1"/>
  <c r="H94" i="5"/>
  <c r="I94" i="5" s="1"/>
  <c r="M94" i="5" s="1"/>
  <c r="K93" i="5"/>
  <c r="L93" i="5" s="1"/>
  <c r="H93" i="5"/>
  <c r="I93" i="5" s="1"/>
  <c r="M93" i="5" s="1"/>
  <c r="K92" i="5"/>
  <c r="L92" i="5" s="1"/>
  <c r="H92" i="5"/>
  <c r="I92" i="5" s="1"/>
  <c r="M92" i="5" s="1"/>
  <c r="K91" i="5"/>
  <c r="L91" i="5" s="1"/>
  <c r="H91" i="5"/>
  <c r="I91" i="5" s="1"/>
  <c r="M91" i="5" s="1"/>
  <c r="K90" i="5"/>
  <c r="L90" i="5" s="1"/>
  <c r="H90" i="5"/>
  <c r="I90" i="5" s="1"/>
  <c r="M90" i="5" s="1"/>
  <c r="K89" i="5"/>
  <c r="L89" i="5" s="1"/>
  <c r="H89" i="5"/>
  <c r="I89" i="5" s="1"/>
  <c r="M89" i="5" s="1"/>
  <c r="K88" i="5"/>
  <c r="L88" i="5" s="1"/>
  <c r="H88" i="5"/>
  <c r="I88" i="5" s="1"/>
  <c r="M88" i="5" s="1"/>
  <c r="K87" i="5"/>
  <c r="L87" i="5" s="1"/>
  <c r="H87" i="5"/>
  <c r="I87" i="5" s="1"/>
  <c r="M87" i="5" s="1"/>
  <c r="K86" i="5"/>
  <c r="L86" i="5" s="1"/>
  <c r="H86" i="5"/>
  <c r="I86" i="5" s="1"/>
  <c r="M86" i="5" s="1"/>
  <c r="K85" i="5"/>
  <c r="L85" i="5" s="1"/>
  <c r="H85" i="5"/>
  <c r="I85" i="5" s="1"/>
  <c r="M85" i="5" s="1"/>
  <c r="K84" i="5"/>
  <c r="L84" i="5" s="1"/>
  <c r="H84" i="5"/>
  <c r="I84" i="5" s="1"/>
  <c r="M84" i="5" s="1"/>
  <c r="M142" i="5" s="1"/>
  <c r="K73" i="5"/>
  <c r="L73" i="5" s="1"/>
  <c r="H73" i="5"/>
  <c r="I73" i="5" s="1"/>
  <c r="M73" i="5" s="1"/>
  <c r="K72" i="5"/>
  <c r="L72" i="5" s="1"/>
  <c r="H72" i="5"/>
  <c r="I72" i="5" s="1"/>
  <c r="M72" i="5" s="1"/>
  <c r="K71" i="5"/>
  <c r="L71" i="5" s="1"/>
  <c r="H71" i="5"/>
  <c r="I71" i="5" s="1"/>
  <c r="M71" i="5" s="1"/>
  <c r="K70" i="5"/>
  <c r="L70" i="5" s="1"/>
  <c r="H70" i="5"/>
  <c r="I70" i="5" s="1"/>
  <c r="M70" i="5" s="1"/>
  <c r="K68" i="5"/>
  <c r="L68" i="5" s="1"/>
  <c r="H68" i="5"/>
  <c r="I68" i="5" s="1"/>
  <c r="M68" i="5" s="1"/>
  <c r="M67" i="5"/>
  <c r="K65" i="5"/>
  <c r="L65" i="5" s="1"/>
  <c r="H65" i="5"/>
  <c r="I65" i="5" s="1"/>
  <c r="M65" i="5" s="1"/>
  <c r="K63" i="5"/>
  <c r="L63" i="5" s="1"/>
  <c r="H63" i="5"/>
  <c r="I63" i="5" s="1"/>
  <c r="M63" i="5" s="1"/>
  <c r="K62" i="5"/>
  <c r="L62" i="5" s="1"/>
  <c r="H62" i="5"/>
  <c r="I62" i="5" s="1"/>
  <c r="M62" i="5" s="1"/>
  <c r="K59" i="5"/>
  <c r="L59" i="5" s="1"/>
  <c r="H59" i="5"/>
  <c r="I59" i="5" s="1"/>
  <c r="M59" i="5" s="1"/>
  <c r="K58" i="5"/>
  <c r="L58" i="5" s="1"/>
  <c r="H58" i="5"/>
  <c r="I58" i="5" s="1"/>
  <c r="M58" i="5" s="1"/>
  <c r="K56" i="5"/>
  <c r="L56" i="5" s="1"/>
  <c r="H56" i="5"/>
  <c r="I56" i="5" s="1"/>
  <c r="M56" i="5" s="1"/>
  <c r="K52" i="5"/>
  <c r="L52" i="5" s="1"/>
  <c r="H52" i="5"/>
  <c r="I52" i="5" s="1"/>
  <c r="M52" i="5" s="1"/>
  <c r="K50" i="5"/>
  <c r="L50" i="5" s="1"/>
  <c r="H50" i="5"/>
  <c r="I50" i="5" s="1"/>
  <c r="M50" i="5" s="1"/>
  <c r="K48" i="5"/>
  <c r="L48" i="5" s="1"/>
  <c r="H48" i="5"/>
  <c r="I48" i="5" s="1"/>
  <c r="M48" i="5" s="1"/>
  <c r="K46" i="5"/>
  <c r="L46" i="5" s="1"/>
  <c r="H46" i="5"/>
  <c r="I46" i="5" s="1"/>
  <c r="M46" i="5" s="1"/>
  <c r="K44" i="5"/>
  <c r="L44" i="5" s="1"/>
  <c r="H44" i="5"/>
  <c r="I44" i="5" s="1"/>
  <c r="M44" i="5" s="1"/>
  <c r="K42" i="5"/>
  <c r="L42" i="5" s="1"/>
  <c r="H42" i="5"/>
  <c r="I42" i="5" s="1"/>
  <c r="M42" i="5" s="1"/>
  <c r="K40" i="5"/>
  <c r="L40" i="5" s="1"/>
  <c r="H40" i="5"/>
  <c r="I40" i="5" s="1"/>
  <c r="M40" i="5" s="1"/>
  <c r="K39" i="5"/>
  <c r="L39" i="5" s="1"/>
  <c r="H39" i="5"/>
  <c r="I39" i="5" s="1"/>
  <c r="M39" i="5" s="1"/>
  <c r="K38" i="5"/>
  <c r="L38" i="5" s="1"/>
  <c r="H38" i="5"/>
  <c r="I38" i="5" s="1"/>
  <c r="M38" i="5" s="1"/>
  <c r="K34" i="5"/>
  <c r="L34" i="5" s="1"/>
  <c r="H34" i="5"/>
  <c r="I34" i="5" s="1"/>
  <c r="M34" i="5" s="1"/>
  <c r="L33" i="5"/>
  <c r="H33" i="5"/>
  <c r="I33" i="5" s="1"/>
  <c r="M33" i="5" s="1"/>
  <c r="M75" i="5" s="1"/>
  <c r="P20" i="5"/>
  <c r="O18" i="5"/>
  <c r="M18" i="5"/>
  <c r="O17" i="5"/>
  <c r="O16" i="5"/>
  <c r="M16" i="5"/>
  <c r="O15" i="5"/>
  <c r="M15" i="5"/>
  <c r="O14" i="5"/>
  <c r="M14" i="5"/>
  <c r="O13" i="5"/>
  <c r="M13" i="5"/>
  <c r="O12" i="5"/>
  <c r="M12" i="5"/>
  <c r="O11" i="5"/>
  <c r="M11" i="5"/>
  <c r="O10" i="5"/>
  <c r="M10" i="5"/>
  <c r="O9" i="5"/>
  <c r="O20" i="5" s="1"/>
  <c r="M9" i="5"/>
  <c r="H31" i="20"/>
  <c r="D23" i="20"/>
  <c r="C23" i="20"/>
  <c r="E23" i="20" s="1"/>
  <c r="D22" i="20"/>
  <c r="E22" i="20" s="1"/>
  <c r="D21" i="20"/>
  <c r="D20" i="20"/>
  <c r="D19" i="20"/>
  <c r="E19" i="20" s="1"/>
  <c r="D18" i="20"/>
  <c r="D17" i="20"/>
  <c r="E16" i="20"/>
  <c r="C10" i="20"/>
  <c r="C9" i="20"/>
  <c r="G8" i="20"/>
  <c r="C6" i="20"/>
  <c r="C5" i="20"/>
  <c r="C4" i="20"/>
  <c r="C28" i="19"/>
  <c r="G26" i="19"/>
  <c r="F8" i="19"/>
  <c r="C4" i="28" l="1"/>
  <c r="D1" i="27"/>
  <c r="D1" i="78"/>
  <c r="D1" i="77"/>
  <c r="C1" i="76"/>
  <c r="D1" i="64"/>
  <c r="D1" i="70"/>
  <c r="D1" i="69"/>
  <c r="D1" i="5"/>
  <c r="C5" i="28"/>
  <c r="D2" i="27"/>
  <c r="D2" i="78"/>
  <c r="D2" i="77"/>
  <c r="C2" i="76"/>
  <c r="D2" i="64"/>
  <c r="D2" i="70"/>
  <c r="D2" i="69"/>
  <c r="D2" i="5"/>
  <c r="C9" i="28"/>
  <c r="D3" i="27"/>
  <c r="D3" i="78"/>
  <c r="D3" i="77"/>
  <c r="C3" i="76"/>
  <c r="D3" i="64"/>
  <c r="D3" i="70"/>
  <c r="D3" i="69"/>
  <c r="D3" i="5"/>
  <c r="C10" i="28"/>
  <c r="L2" i="27"/>
  <c r="L2" i="78"/>
  <c r="L2" i="77"/>
  <c r="L2" i="76"/>
  <c r="L2" i="64"/>
  <c r="L2" i="70"/>
  <c r="L2" i="69"/>
  <c r="L2" i="5"/>
  <c r="M678" i="5"/>
  <c r="M17" i="5" s="1"/>
  <c r="M20" i="5" s="1"/>
  <c r="I53" i="69"/>
  <c r="I10" i="69" s="1"/>
  <c r="M32" i="69"/>
  <c r="M53" i="69" s="1"/>
  <c r="M10" i="69" s="1"/>
  <c r="I63" i="69"/>
  <c r="I11" i="69" s="1"/>
  <c r="M58" i="69"/>
  <c r="M63" i="69" s="1"/>
  <c r="M11" i="69" s="1"/>
  <c r="I98" i="69"/>
  <c r="I12" i="69" s="1"/>
  <c r="M66" i="69"/>
  <c r="M98" i="69" s="1"/>
  <c r="M12" i="69" s="1"/>
  <c r="I162" i="69"/>
  <c r="I13" i="69" s="1"/>
  <c r="M114" i="69"/>
  <c r="M162" i="69" s="1"/>
  <c r="M13" i="69" s="1"/>
  <c r="I89" i="70"/>
  <c r="I9" i="70" s="1"/>
  <c r="M34" i="70"/>
  <c r="M89" i="70" s="1"/>
  <c r="M9" i="70" s="1"/>
  <c r="I170" i="70"/>
  <c r="I10" i="70" s="1"/>
  <c r="M93" i="70"/>
  <c r="M170" i="70" s="1"/>
  <c r="M10" i="70" s="1"/>
  <c r="I221" i="70"/>
  <c r="I11" i="70" s="1"/>
  <c r="M173" i="70"/>
  <c r="M221" i="70" s="1"/>
  <c r="M11" i="70" s="1"/>
  <c r="I322" i="70"/>
  <c r="I12" i="70" s="1"/>
  <c r="M226" i="70"/>
  <c r="M322" i="70" s="1"/>
  <c r="M12" i="70" s="1"/>
  <c r="I374" i="70"/>
  <c r="I13" i="70" s="1"/>
  <c r="M326" i="70"/>
  <c r="M374" i="70" s="1"/>
  <c r="M13" i="70" s="1"/>
  <c r="I406" i="70"/>
  <c r="I14" i="70" s="1"/>
  <c r="M378" i="70"/>
  <c r="M406" i="70" s="1"/>
  <c r="M14" i="70" s="1"/>
  <c r="I414" i="70"/>
  <c r="I15" i="70" s="1"/>
  <c r="M410" i="70"/>
  <c r="M414" i="70" s="1"/>
  <c r="M15" i="70" s="1"/>
  <c r="I487" i="70"/>
  <c r="I16" i="70" s="1"/>
  <c r="M418" i="70"/>
  <c r="M487" i="70" s="1"/>
  <c r="M16" i="70" s="1"/>
  <c r="I570" i="70"/>
  <c r="I17" i="70" s="1"/>
  <c r="M492" i="70"/>
  <c r="M570" i="70" s="1"/>
  <c r="M17" i="70" s="1"/>
  <c r="I660" i="70"/>
  <c r="I18" i="70" s="1"/>
  <c r="M576" i="70"/>
  <c r="M660" i="70" s="1"/>
  <c r="M18" i="70" s="1"/>
  <c r="I685" i="70"/>
  <c r="I19" i="70" s="1"/>
  <c r="M665" i="70"/>
  <c r="M685" i="70" s="1"/>
  <c r="M19" i="70" s="1"/>
  <c r="M33" i="64"/>
  <c r="M34" i="64"/>
  <c r="M35" i="64"/>
  <c r="M36" i="64"/>
  <c r="M37" i="64"/>
  <c r="M38" i="64"/>
  <c r="M39" i="64"/>
  <c r="M40" i="64"/>
  <c r="M41" i="64"/>
  <c r="M61" i="64"/>
  <c r="M62" i="64"/>
  <c r="M63" i="64"/>
  <c r="M65" i="64"/>
  <c r="M66" i="64"/>
  <c r="M67" i="64"/>
  <c r="M68" i="64"/>
  <c r="M69" i="64"/>
  <c r="M70" i="64"/>
  <c r="M72" i="64"/>
  <c r="M73" i="64"/>
  <c r="M74" i="64"/>
  <c r="M75" i="64"/>
  <c r="M77" i="64"/>
  <c r="M79" i="64"/>
  <c r="M80" i="64"/>
  <c r="M81" i="64"/>
  <c r="M83" i="64"/>
  <c r="M84" i="64"/>
  <c r="M85" i="64"/>
  <c r="M87" i="64"/>
  <c r="M88" i="64"/>
  <c r="M89" i="64"/>
  <c r="M90" i="64"/>
  <c r="M92" i="64"/>
  <c r="M94" i="64"/>
  <c r="M95" i="64"/>
  <c r="M96" i="64"/>
  <c r="M98" i="64"/>
  <c r="M99" i="64"/>
  <c r="M100" i="64"/>
  <c r="M102" i="64"/>
  <c r="M103" i="64"/>
  <c r="M104" i="64"/>
  <c r="M105" i="64"/>
  <c r="M107" i="64"/>
  <c r="M110" i="64"/>
  <c r="M111" i="64"/>
  <c r="M112" i="64"/>
  <c r="M113" i="64"/>
  <c r="M114" i="64"/>
  <c r="M115" i="64"/>
  <c r="M116" i="64"/>
  <c r="M117" i="64"/>
  <c r="M119" i="64"/>
  <c r="M120" i="64"/>
  <c r="M121" i="64"/>
  <c r="M122" i="64"/>
  <c r="M124" i="64"/>
  <c r="M125" i="64"/>
  <c r="M127" i="64"/>
  <c r="M130" i="64"/>
  <c r="M131" i="64"/>
  <c r="M132" i="64"/>
  <c r="M133" i="64"/>
  <c r="M134" i="64"/>
  <c r="M136" i="64"/>
  <c r="M137" i="64"/>
  <c r="M138" i="64"/>
  <c r="M139" i="64"/>
  <c r="M141" i="64"/>
  <c r="M143" i="64"/>
  <c r="M145" i="64"/>
  <c r="M147" i="64"/>
  <c r="M148" i="64"/>
  <c r="M149" i="64"/>
  <c r="M150" i="64"/>
  <c r="M151" i="64"/>
  <c r="M152" i="64"/>
  <c r="M153" i="64"/>
  <c r="M154" i="64"/>
  <c r="M155" i="64"/>
  <c r="M157" i="64"/>
  <c r="M158" i="64"/>
  <c r="M159" i="64"/>
  <c r="M160" i="64"/>
  <c r="M162" i="64"/>
  <c r="M163" i="64"/>
  <c r="M164" i="64"/>
  <c r="M165" i="64"/>
  <c r="M167" i="64"/>
  <c r="M168" i="64"/>
  <c r="M169" i="64"/>
  <c r="M170" i="64"/>
  <c r="M172" i="64"/>
  <c r="M174" i="64"/>
  <c r="M176" i="64"/>
  <c r="M178" i="64"/>
  <c r="M179" i="64"/>
  <c r="M180" i="64"/>
  <c r="M181" i="64"/>
  <c r="M185" i="64"/>
  <c r="M186" i="64"/>
  <c r="M187" i="64"/>
  <c r="M189" i="64"/>
  <c r="M190" i="64"/>
  <c r="M191" i="64"/>
  <c r="M192" i="64"/>
  <c r="M194" i="64"/>
  <c r="M196" i="64"/>
  <c r="M198" i="64"/>
  <c r="M200" i="64"/>
  <c r="M201" i="64"/>
  <c r="M202" i="64"/>
  <c r="M204" i="64"/>
  <c r="M205" i="64"/>
  <c r="M206" i="64"/>
  <c r="M208" i="64"/>
  <c r="M209" i="64"/>
  <c r="M210" i="64"/>
  <c r="M211" i="64"/>
  <c r="M213" i="64"/>
  <c r="M216" i="64"/>
  <c r="M217" i="64"/>
  <c r="M218" i="64"/>
  <c r="M220" i="64"/>
  <c r="M221" i="64"/>
  <c r="M223" i="64"/>
  <c r="M224" i="64"/>
  <c r="M225" i="64"/>
  <c r="M226" i="64"/>
  <c r="M228" i="64"/>
  <c r="M248" i="64"/>
  <c r="M249" i="64"/>
  <c r="M250" i="64"/>
  <c r="M252" i="64"/>
  <c r="M253" i="64"/>
  <c r="M254" i="64"/>
  <c r="M255" i="64"/>
  <c r="M256" i="64"/>
  <c r="M257" i="64"/>
  <c r="M259" i="64"/>
  <c r="M260" i="64"/>
  <c r="M261" i="64"/>
  <c r="M262" i="64"/>
  <c r="M264" i="64"/>
  <c r="M267" i="64"/>
  <c r="M268" i="64"/>
  <c r="M269" i="64"/>
  <c r="M270" i="64"/>
  <c r="M271" i="64"/>
  <c r="M272" i="64"/>
  <c r="M273" i="64"/>
  <c r="M275" i="64"/>
  <c r="M276" i="64"/>
  <c r="M277" i="64"/>
  <c r="M278" i="64"/>
  <c r="M280" i="64"/>
  <c r="M281" i="64"/>
  <c r="M285" i="64"/>
  <c r="M286" i="64"/>
  <c r="M287" i="64"/>
  <c r="M288" i="64"/>
  <c r="M289" i="64"/>
  <c r="M290" i="64"/>
  <c r="M291" i="64"/>
  <c r="M292" i="64"/>
  <c r="M294" i="64"/>
  <c r="M295" i="64"/>
  <c r="M296" i="64"/>
  <c r="M297" i="64"/>
  <c r="M299" i="64"/>
  <c r="M300" i="64"/>
  <c r="M302" i="64"/>
  <c r="M307" i="64"/>
  <c r="M308" i="64"/>
  <c r="M309" i="64"/>
  <c r="M310" i="64"/>
  <c r="M312" i="64"/>
  <c r="M313" i="64"/>
  <c r="M314" i="64"/>
  <c r="M315" i="64"/>
  <c r="M317" i="64"/>
  <c r="M318" i="64"/>
  <c r="M319" i="64"/>
  <c r="M320" i="64"/>
  <c r="M321" i="64"/>
  <c r="M323" i="64"/>
  <c r="M324" i="64"/>
  <c r="M326" i="64"/>
  <c r="M327" i="64"/>
  <c r="M328" i="64"/>
  <c r="M329" i="64"/>
  <c r="M331" i="64"/>
  <c r="M334" i="64"/>
  <c r="M335" i="64"/>
  <c r="M336" i="64"/>
  <c r="M337" i="64"/>
  <c r="M338" i="64"/>
  <c r="M340" i="64"/>
  <c r="M341" i="64"/>
  <c r="M342" i="64"/>
  <c r="M343" i="64"/>
  <c r="M345" i="64"/>
  <c r="M362" i="64"/>
  <c r="M363" i="64"/>
  <c r="M364" i="64"/>
  <c r="M365" i="64"/>
  <c r="M366" i="64"/>
  <c r="M367" i="64"/>
  <c r="M368" i="64"/>
  <c r="M369" i="64"/>
  <c r="M371" i="64"/>
  <c r="M372" i="64"/>
  <c r="M373" i="64"/>
  <c r="M374" i="64"/>
  <c r="M376" i="64"/>
  <c r="M379" i="64"/>
  <c r="M380" i="64"/>
  <c r="M381" i="64"/>
  <c r="M382" i="64"/>
  <c r="M384" i="64"/>
  <c r="M385" i="64"/>
  <c r="M386" i="64"/>
  <c r="M387" i="64"/>
  <c r="M389" i="64"/>
  <c r="M390" i="64"/>
  <c r="M393" i="64"/>
  <c r="M394" i="64"/>
  <c r="M395" i="64"/>
  <c r="M396" i="64"/>
  <c r="M397" i="64"/>
  <c r="M398" i="64"/>
  <c r="M399" i="64"/>
  <c r="M401" i="64"/>
  <c r="M402" i="64"/>
  <c r="M403" i="64"/>
  <c r="M404" i="64"/>
  <c r="M406" i="64"/>
  <c r="M407" i="64"/>
  <c r="M409" i="64"/>
  <c r="M412" i="64"/>
  <c r="M413" i="64"/>
  <c r="M414" i="64"/>
  <c r="M416" i="64"/>
  <c r="M417" i="64"/>
  <c r="M418" i="64"/>
  <c r="M419" i="64"/>
  <c r="M421" i="64"/>
  <c r="M423" i="64"/>
  <c r="M424" i="64"/>
  <c r="M425" i="64"/>
  <c r="M426" i="64"/>
  <c r="M427" i="64"/>
  <c r="M428" i="64"/>
  <c r="M453" i="64"/>
  <c r="M454" i="64"/>
  <c r="M455" i="64"/>
  <c r="M456" i="64"/>
  <c r="M457" i="64"/>
  <c r="M458" i="64"/>
  <c r="M460" i="64"/>
  <c r="M461" i="64"/>
  <c r="M462" i="64"/>
  <c r="M463" i="64"/>
  <c r="M465" i="64"/>
  <c r="M468" i="64"/>
  <c r="M469" i="64"/>
  <c r="M470" i="64"/>
  <c r="M471" i="64"/>
  <c r="M473" i="64"/>
  <c r="M474" i="64"/>
  <c r="M475" i="64"/>
  <c r="M476" i="64"/>
  <c r="M478" i="64"/>
  <c r="M479" i="64"/>
  <c r="M483" i="64"/>
  <c r="M484" i="64"/>
  <c r="M485" i="64"/>
  <c r="M486" i="64"/>
  <c r="M487" i="64"/>
  <c r="M488" i="64"/>
  <c r="M489" i="64"/>
  <c r="M490" i="64"/>
  <c r="M492" i="64"/>
  <c r="M493" i="64"/>
  <c r="M494" i="64"/>
  <c r="M495" i="64"/>
  <c r="M497" i="64"/>
  <c r="M498" i="64"/>
  <c r="M499" i="64"/>
  <c r="M501" i="64"/>
  <c r="M504" i="64"/>
  <c r="M505" i="64"/>
  <c r="M506" i="64"/>
  <c r="M508" i="64"/>
  <c r="M509" i="64"/>
  <c r="M510" i="64"/>
  <c r="M511" i="64"/>
  <c r="M513" i="64"/>
  <c r="M515" i="64"/>
  <c r="M516" i="64"/>
  <c r="M517" i="64"/>
  <c r="M518" i="64"/>
  <c r="M519" i="64"/>
  <c r="M520" i="64"/>
  <c r="M543" i="64"/>
  <c r="M544" i="64"/>
  <c r="M545" i="64"/>
  <c r="M546" i="64"/>
  <c r="M547" i="64"/>
  <c r="M548" i="64"/>
  <c r="M550" i="64"/>
  <c r="M551" i="64"/>
  <c r="M552" i="64"/>
  <c r="M553" i="64"/>
  <c r="M555" i="64"/>
  <c r="M558" i="64"/>
  <c r="M559" i="64"/>
  <c r="M560" i="64"/>
  <c r="M561" i="64"/>
  <c r="M563" i="64"/>
  <c r="M564" i="64"/>
  <c r="M565" i="64"/>
  <c r="M566" i="64"/>
  <c r="M568" i="64"/>
  <c r="M569" i="64"/>
  <c r="M574" i="64"/>
  <c r="M575" i="64"/>
  <c r="M576" i="64"/>
  <c r="M577" i="64"/>
  <c r="M578" i="64"/>
  <c r="M579" i="64"/>
  <c r="M580" i="64"/>
  <c r="M582" i="64"/>
  <c r="M583" i="64"/>
  <c r="M584" i="64"/>
  <c r="M585" i="64"/>
  <c r="M587" i="64"/>
  <c r="M588" i="64"/>
  <c r="M589" i="64"/>
  <c r="M591" i="64"/>
  <c r="M594" i="64"/>
  <c r="M595" i="64"/>
  <c r="M596" i="64"/>
  <c r="M598" i="64"/>
  <c r="M599" i="64"/>
  <c r="M600" i="64"/>
  <c r="M601" i="64"/>
  <c r="M602" i="64"/>
  <c r="M603" i="64"/>
  <c r="M609" i="64"/>
  <c r="M610" i="64"/>
  <c r="M611" i="64"/>
  <c r="M613" i="64"/>
  <c r="M614" i="64"/>
  <c r="M615" i="64"/>
  <c r="M616" i="64"/>
  <c r="M618" i="64"/>
  <c r="M621" i="64"/>
  <c r="M622" i="64"/>
  <c r="M623" i="64"/>
  <c r="M624" i="64"/>
  <c r="M626" i="64"/>
  <c r="M627" i="64"/>
  <c r="M628" i="64"/>
  <c r="M629" i="64"/>
  <c r="M631" i="64"/>
  <c r="M636" i="64"/>
  <c r="M637" i="64"/>
  <c r="M638" i="64"/>
  <c r="M639" i="64"/>
  <c r="M641" i="64"/>
  <c r="M642" i="64"/>
  <c r="M643" i="64"/>
  <c r="M644" i="64"/>
  <c r="M646" i="64"/>
  <c r="M652" i="64"/>
  <c r="M653" i="64"/>
  <c r="M654" i="64"/>
  <c r="M655" i="64"/>
  <c r="M656" i="64"/>
  <c r="M657" i="64"/>
  <c r="M658" i="64"/>
  <c r="M659" i="64"/>
  <c r="M660" i="64"/>
  <c r="M661" i="64"/>
  <c r="M662" i="64"/>
  <c r="M663" i="64"/>
  <c r="M664" i="64"/>
  <c r="M665" i="64"/>
  <c r="M667" i="64"/>
  <c r="M668" i="64"/>
  <c r="M669" i="64"/>
  <c r="M670" i="64"/>
  <c r="M671" i="64"/>
  <c r="M672" i="64"/>
  <c r="M674" i="64"/>
  <c r="M675" i="64"/>
  <c r="M676" i="64"/>
  <c r="M677" i="64"/>
  <c r="M678" i="64"/>
  <c r="M679" i="64"/>
  <c r="M681" i="64"/>
  <c r="M682" i="64"/>
  <c r="M683" i="64"/>
  <c r="M684" i="64"/>
  <c r="M685" i="64"/>
  <c r="M687" i="64"/>
  <c r="M688" i="64"/>
  <c r="M689" i="64"/>
  <c r="M690" i="64"/>
  <c r="M691" i="64"/>
  <c r="M693" i="64"/>
  <c r="M694" i="64"/>
  <c r="M695" i="64"/>
  <c r="M696" i="64"/>
  <c r="M697" i="64"/>
  <c r="M698" i="64"/>
  <c r="M699" i="64"/>
  <c r="M700" i="64"/>
  <c r="M701" i="64"/>
  <c r="M702" i="64"/>
  <c r="M703" i="64"/>
  <c r="M704" i="64"/>
  <c r="M705" i="64"/>
  <c r="M706" i="64"/>
  <c r="M707" i="64"/>
  <c r="M708" i="64"/>
  <c r="M709" i="64"/>
  <c r="M710" i="64"/>
  <c r="M711" i="64"/>
  <c r="M712" i="64"/>
  <c r="M713" i="64"/>
  <c r="M719" i="64"/>
  <c r="M720" i="64"/>
  <c r="M721" i="64"/>
  <c r="M722" i="64"/>
  <c r="M724" i="64"/>
  <c r="M725" i="64"/>
  <c r="M726" i="64"/>
  <c r="M727" i="64"/>
  <c r="M729" i="64"/>
  <c r="M732" i="64"/>
  <c r="M733" i="64"/>
  <c r="M734" i="64"/>
  <c r="M735" i="64"/>
  <c r="M737" i="64"/>
  <c r="M738" i="64"/>
  <c r="M739" i="64"/>
  <c r="M740" i="64"/>
  <c r="M742" i="64"/>
  <c r="M745" i="64"/>
  <c r="M746" i="64"/>
  <c r="M747" i="64"/>
  <c r="M748" i="64"/>
  <c r="M750" i="64"/>
  <c r="M751" i="64"/>
  <c r="M752" i="64"/>
  <c r="M753" i="64"/>
  <c r="M755" i="64"/>
  <c r="M758" i="64"/>
  <c r="M759" i="64"/>
  <c r="M760" i="64"/>
  <c r="M761" i="64"/>
  <c r="M763" i="64"/>
  <c r="M764" i="64"/>
  <c r="M765" i="64"/>
  <c r="M766" i="64"/>
  <c r="M768" i="64"/>
  <c r="M771" i="64"/>
  <c r="M772" i="64"/>
  <c r="M773" i="64"/>
  <c r="M774" i="64"/>
  <c r="M776" i="64"/>
  <c r="M777" i="64"/>
  <c r="M778" i="64"/>
  <c r="M779" i="64"/>
  <c r="M781" i="64"/>
  <c r="M784" i="64"/>
  <c r="M785" i="64"/>
  <c r="M786" i="64"/>
  <c r="M788" i="64"/>
  <c r="M789" i="64"/>
  <c r="M790" i="64"/>
  <c r="M791" i="64"/>
  <c r="M793" i="64"/>
  <c r="M796" i="64"/>
  <c r="M797" i="64"/>
  <c r="M798" i="64"/>
  <c r="M799" i="64"/>
  <c r="M801" i="64"/>
  <c r="M802" i="64"/>
  <c r="M803" i="64"/>
  <c r="M804" i="64"/>
  <c r="M806" i="64"/>
  <c r="M809" i="64"/>
  <c r="M810" i="64"/>
  <c r="M811" i="64"/>
  <c r="M812" i="64"/>
  <c r="M814" i="64"/>
  <c r="M815" i="64"/>
  <c r="M816" i="64"/>
  <c r="M817" i="64"/>
  <c r="M819" i="64"/>
  <c r="M822" i="64"/>
  <c r="M823" i="64"/>
  <c r="M824" i="64"/>
  <c r="M826" i="64"/>
  <c r="M827" i="64"/>
  <c r="M828" i="64"/>
  <c r="M829" i="64"/>
  <c r="M831" i="64"/>
  <c r="M837" i="64"/>
  <c r="M838" i="64"/>
  <c r="M839" i="64"/>
  <c r="M840" i="64"/>
  <c r="M841" i="64"/>
  <c r="M842" i="64"/>
  <c r="M843" i="64"/>
  <c r="M844" i="64"/>
  <c r="M845" i="64"/>
  <c r="M846" i="64"/>
  <c r="M847" i="64"/>
  <c r="M848" i="64"/>
  <c r="M849" i="64"/>
  <c r="M850" i="64"/>
  <c r="M852" i="64"/>
  <c r="M853" i="64"/>
  <c r="M854" i="64"/>
  <c r="M855" i="64"/>
  <c r="M856" i="64"/>
  <c r="M857" i="64"/>
  <c r="M858" i="64"/>
  <c r="M859" i="64"/>
  <c r="M860" i="64"/>
  <c r="M862" i="64"/>
  <c r="M863" i="64"/>
  <c r="M864" i="64"/>
  <c r="M865" i="64"/>
  <c r="M866" i="64"/>
  <c r="M867" i="64"/>
  <c r="M869" i="64"/>
  <c r="M870" i="64"/>
  <c r="M871" i="64"/>
  <c r="M872" i="64"/>
  <c r="M873" i="64"/>
  <c r="M874" i="64"/>
  <c r="M875" i="64"/>
  <c r="M877" i="64"/>
  <c r="M878" i="64"/>
  <c r="M879" i="64"/>
  <c r="M880" i="64"/>
  <c r="M881" i="64"/>
  <c r="M882" i="64"/>
  <c r="M883" i="64"/>
  <c r="M884" i="64"/>
  <c r="M885" i="64"/>
  <c r="M887" i="64"/>
  <c r="M888" i="64"/>
  <c r="M889" i="64"/>
  <c r="M890" i="64"/>
  <c r="M891" i="64"/>
  <c r="M892" i="64"/>
  <c r="M893" i="64"/>
  <c r="M894" i="64"/>
  <c r="M896" i="64"/>
  <c r="M897" i="64"/>
  <c r="M898" i="64"/>
  <c r="M899" i="64"/>
  <c r="M900" i="64"/>
  <c r="M901" i="64"/>
  <c r="M907" i="64"/>
  <c r="M908" i="64"/>
  <c r="M909" i="64"/>
  <c r="M910" i="64"/>
  <c r="M911" i="64"/>
  <c r="M912" i="64"/>
  <c r="M913" i="64"/>
  <c r="M914" i="64"/>
  <c r="M915" i="64"/>
  <c r="I50" i="76"/>
  <c r="I10" i="76" s="1"/>
  <c r="M40" i="76"/>
  <c r="M50" i="76" s="1"/>
  <c r="I54" i="76"/>
  <c r="I11" i="76" s="1"/>
  <c r="M11" i="76" s="1"/>
  <c r="Q11" i="76" s="1"/>
  <c r="M52" i="76"/>
  <c r="M54" i="76" s="1"/>
  <c r="I64" i="76"/>
  <c r="I12" i="76" s="1"/>
  <c r="M12" i="76" s="1"/>
  <c r="Q12" i="76" s="1"/>
  <c r="M56" i="76"/>
  <c r="M64" i="76" s="1"/>
  <c r="I70" i="76"/>
  <c r="I13" i="76" s="1"/>
  <c r="M13" i="76" s="1"/>
  <c r="Q13" i="76" s="1"/>
  <c r="M66" i="76"/>
  <c r="M70" i="76" s="1"/>
  <c r="I280" i="76"/>
  <c r="I14" i="76" s="1"/>
  <c r="M14" i="76" s="1"/>
  <c r="Q14" i="76" s="1"/>
  <c r="M74" i="76"/>
  <c r="M280" i="76" s="1"/>
  <c r="M285" i="76"/>
  <c r="L311" i="76"/>
  <c r="I311" i="76"/>
  <c r="L312" i="76"/>
  <c r="I312" i="76"/>
  <c r="M312" i="76" s="1"/>
  <c r="L349" i="76"/>
  <c r="I349" i="76"/>
  <c r="L350" i="76"/>
  <c r="I350" i="76"/>
  <c r="M350" i="76" s="1"/>
  <c r="J377" i="76"/>
  <c r="K377" i="76" s="1"/>
  <c r="L377" i="76" s="1"/>
  <c r="H377" i="76"/>
  <c r="I377" i="76" s="1"/>
  <c r="M377" i="76" s="1"/>
  <c r="M382" i="76"/>
  <c r="L506" i="76"/>
  <c r="I506" i="76"/>
  <c r="G619" i="76"/>
  <c r="M613" i="76"/>
  <c r="G639" i="76"/>
  <c r="M623" i="76"/>
  <c r="I659" i="76"/>
  <c r="I20" i="76" s="1"/>
  <c r="M20" i="76" s="1"/>
  <c r="Q20" i="76" s="1"/>
  <c r="M642" i="76"/>
  <c r="M659" i="76" s="1"/>
  <c r="I663" i="76"/>
  <c r="I21" i="76" s="1"/>
  <c r="M21" i="76" s="1"/>
  <c r="Q21" i="76" s="1"/>
  <c r="M662" i="76"/>
  <c r="M663" i="76" s="1"/>
  <c r="I768" i="76"/>
  <c r="I22" i="76" s="1"/>
  <c r="M22" i="76" s="1"/>
  <c r="Q22" i="76" s="1"/>
  <c r="M667" i="76"/>
  <c r="M768" i="76" s="1"/>
  <c r="M771" i="76"/>
  <c r="G796" i="76"/>
  <c r="M791" i="76"/>
  <c r="G815" i="76"/>
  <c r="M810" i="76"/>
  <c r="G833" i="76"/>
  <c r="M829" i="76"/>
  <c r="G850" i="76"/>
  <c r="M845" i="76"/>
  <c r="G867" i="76"/>
  <c r="M862" i="76"/>
  <c r="M874" i="76"/>
  <c r="L891" i="76"/>
  <c r="I891" i="76"/>
  <c r="L892" i="76"/>
  <c r="I892" i="76"/>
  <c r="M892" i="76" s="1"/>
  <c r="L895" i="76"/>
  <c r="I895" i="76"/>
  <c r="M895" i="76" s="1"/>
  <c r="L896" i="76"/>
  <c r="I896" i="76"/>
  <c r="M896" i="76" s="1"/>
  <c r="L911" i="76"/>
  <c r="I911" i="76"/>
  <c r="L912" i="76"/>
  <c r="I912" i="76"/>
  <c r="M912" i="76" s="1"/>
  <c r="L914" i="76"/>
  <c r="I914" i="76"/>
  <c r="M914" i="76" s="1"/>
  <c r="L915" i="76"/>
  <c r="I915" i="76"/>
  <c r="M915" i="76" s="1"/>
  <c r="L930" i="76"/>
  <c r="I930" i="76"/>
  <c r="L931" i="76"/>
  <c r="I931" i="76"/>
  <c r="M931" i="76" s="1"/>
  <c r="L933" i="76"/>
  <c r="I933" i="76"/>
  <c r="M933" i="76" s="1"/>
  <c r="L934" i="76"/>
  <c r="I934" i="76"/>
  <c r="M934" i="76" s="1"/>
  <c r="L949" i="76"/>
  <c r="I949" i="76"/>
  <c r="L950" i="76"/>
  <c r="I950" i="76"/>
  <c r="M950" i="76" s="1"/>
  <c r="L952" i="76"/>
  <c r="I952" i="76"/>
  <c r="M952" i="76" s="1"/>
  <c r="L953" i="76"/>
  <c r="I953" i="76"/>
  <c r="M953" i="76" s="1"/>
  <c r="G973" i="76"/>
  <c r="M968" i="76"/>
  <c r="M978" i="76"/>
  <c r="G1003" i="76"/>
  <c r="M999" i="76"/>
  <c r="G1023" i="76"/>
  <c r="M1019" i="76"/>
  <c r="G1042" i="76"/>
  <c r="M1038" i="76"/>
  <c r="G1061" i="76"/>
  <c r="M1057" i="76"/>
  <c r="G1081" i="76"/>
  <c r="M1077" i="76"/>
  <c r="M1086" i="76"/>
  <c r="G1113" i="76" a="1"/>
  <c r="G1113" i="76" s="1"/>
  <c r="M1106" i="76"/>
  <c r="I1172" i="76"/>
  <c r="I27" i="76" s="1"/>
  <c r="M27" i="76" s="1"/>
  <c r="Q27" i="76" s="1"/>
  <c r="M1119" i="76"/>
  <c r="M1172" i="76" s="1"/>
  <c r="I1246" i="76"/>
  <c r="I28" i="76" s="1"/>
  <c r="M28" i="76" s="1"/>
  <c r="Q28" i="76" s="1"/>
  <c r="M1193" i="76"/>
  <c r="M1246" i="76" s="1"/>
  <c r="I1296" i="76"/>
  <c r="I29" i="76" s="1"/>
  <c r="M29" i="76" s="1"/>
  <c r="Q29" i="76" s="1"/>
  <c r="M1249" i="76"/>
  <c r="M1296" i="76" s="1"/>
  <c r="I1316" i="76"/>
  <c r="I30" i="76" s="1"/>
  <c r="M30" i="76" s="1"/>
  <c r="Q30" i="76" s="1"/>
  <c r="M1299" i="76"/>
  <c r="M1316" i="76" s="1"/>
  <c r="I1322" i="76"/>
  <c r="I31" i="76" s="1"/>
  <c r="M31" i="76" s="1"/>
  <c r="Q31" i="76" s="1"/>
  <c r="M1319" i="76"/>
  <c r="M1322" i="76" s="1"/>
  <c r="I1330" i="76"/>
  <c r="I32" i="76" s="1"/>
  <c r="M32" i="76" s="1"/>
  <c r="Q32" i="76" s="1"/>
  <c r="M1325" i="76"/>
  <c r="M1330" i="76" s="1"/>
  <c r="I96" i="77"/>
  <c r="I10" i="77" s="1"/>
  <c r="M10" i="77" s="1"/>
  <c r="M23" i="77"/>
  <c r="M96" i="77" s="1"/>
  <c r="I180" i="77"/>
  <c r="I11" i="77" s="1"/>
  <c r="M11" i="77" s="1"/>
  <c r="Q11" i="77" s="1"/>
  <c r="M101" i="77"/>
  <c r="M180" i="77" s="1"/>
  <c r="I271" i="77"/>
  <c r="I12" i="77" s="1"/>
  <c r="M12" i="77" s="1"/>
  <c r="Q12" i="77" s="1"/>
  <c r="M186" i="77"/>
  <c r="M271" i="77" s="1"/>
  <c r="I330" i="77"/>
  <c r="I13" i="77" s="1"/>
  <c r="M13" i="77" s="1"/>
  <c r="Q13" i="77" s="1"/>
  <c r="M278" i="77"/>
  <c r="M330" i="77" s="1"/>
  <c r="I437" i="77"/>
  <c r="I14" i="77" s="1"/>
  <c r="M14" i="77" s="1"/>
  <c r="Q14" i="77" s="1"/>
  <c r="M334" i="77"/>
  <c r="M437" i="77" s="1"/>
  <c r="I143" i="78"/>
  <c r="M34" i="78"/>
  <c r="I171" i="78"/>
  <c r="M148" i="78"/>
  <c r="I200" i="78"/>
  <c r="M176" i="78"/>
  <c r="I216" i="78"/>
  <c r="M204" i="78"/>
  <c r="I261" i="78"/>
  <c r="M221" i="78"/>
  <c r="I275" i="78"/>
  <c r="M264" i="78"/>
  <c r="I322" i="78"/>
  <c r="M279" i="78"/>
  <c r="I326" i="78"/>
  <c r="M325" i="78"/>
  <c r="I195" i="71"/>
  <c r="I10" i="71" s="1"/>
  <c r="L32" i="71"/>
  <c r="L195" i="71" s="1"/>
  <c r="L10" i="71" s="1"/>
  <c r="I205" i="71"/>
  <c r="I11" i="71" s="1"/>
  <c r="L200" i="71"/>
  <c r="L205" i="71" s="1"/>
  <c r="L11" i="71" s="1"/>
  <c r="I209" i="71"/>
  <c r="I12" i="71" s="1"/>
  <c r="L208" i="71"/>
  <c r="L209" i="71" s="1"/>
  <c r="L12" i="71" s="1"/>
  <c r="I62" i="72"/>
  <c r="I10" i="72" s="1"/>
  <c r="L32" i="72"/>
  <c r="L62" i="72" s="1"/>
  <c r="L10" i="72" s="1"/>
  <c r="I68" i="72"/>
  <c r="I11" i="72" s="1"/>
  <c r="L65" i="72"/>
  <c r="L68" i="72" s="1"/>
  <c r="L11" i="72" s="1"/>
  <c r="I58" i="73"/>
  <c r="G10" i="73" s="1"/>
  <c r="I10" i="73" s="1"/>
  <c r="M33" i="73"/>
  <c r="L58" i="73"/>
  <c r="J10" i="73" s="1"/>
  <c r="L10" i="73" s="1"/>
  <c r="M56" i="73"/>
  <c r="I72" i="73"/>
  <c r="G11" i="73" s="1"/>
  <c r="I11" i="73" s="1"/>
  <c r="M11" i="73" s="1"/>
  <c r="Q11" i="73" s="1"/>
  <c r="M62" i="73"/>
  <c r="M72" i="73" s="1"/>
  <c r="I100" i="73"/>
  <c r="M77" i="73"/>
  <c r="M100" i="73" s="1"/>
  <c r="I119" i="73"/>
  <c r="M104" i="73"/>
  <c r="L119" i="73"/>
  <c r="M117" i="73"/>
  <c r="I134" i="73"/>
  <c r="M122" i="73"/>
  <c r="M134" i="73" s="1"/>
  <c r="I142" i="73"/>
  <c r="M138" i="73"/>
  <c r="M142" i="73" s="1"/>
  <c r="I152" i="73"/>
  <c r="M146" i="73"/>
  <c r="M152" i="73" s="1"/>
  <c r="I168" i="73"/>
  <c r="I170" i="73" s="1"/>
  <c r="G12" i="73" s="1"/>
  <c r="I12" i="73" s="1"/>
  <c r="M156" i="73"/>
  <c r="M168" i="73" s="1"/>
  <c r="L170" i="73"/>
  <c r="J12" i="73" s="1"/>
  <c r="L12" i="73" s="1"/>
  <c r="I184" i="73"/>
  <c r="I185" i="73" s="1"/>
  <c r="M175" i="73"/>
  <c r="M184" i="73" s="1"/>
  <c r="M185" i="73" s="1"/>
  <c r="I198" i="73"/>
  <c r="M189" i="73"/>
  <c r="M198" i="73" s="1"/>
  <c r="I214" i="73"/>
  <c r="M203" i="73"/>
  <c r="L214" i="73"/>
  <c r="L215" i="73" s="1"/>
  <c r="J13" i="73" s="1"/>
  <c r="L13" i="73" s="1"/>
  <c r="M213" i="73"/>
  <c r="I269" i="73"/>
  <c r="G14" i="73" s="1"/>
  <c r="I14" i="73" s="1"/>
  <c r="M219" i="73"/>
  <c r="L269" i="73"/>
  <c r="J14" i="73" s="1"/>
  <c r="L14" i="73" s="1"/>
  <c r="M233" i="73"/>
  <c r="I281" i="73"/>
  <c r="G15" i="73" s="1"/>
  <c r="I15" i="73" s="1"/>
  <c r="M273" i="73"/>
  <c r="L281" i="73"/>
  <c r="J15" i="73" s="1"/>
  <c r="L15" i="73" s="1"/>
  <c r="M280" i="73"/>
  <c r="I293" i="73"/>
  <c r="G16" i="73" s="1"/>
  <c r="I16" i="73" s="1"/>
  <c r="M16" i="73" s="1"/>
  <c r="Q16" i="73" s="1"/>
  <c r="M285" i="73"/>
  <c r="M293" i="73" s="1"/>
  <c r="I301" i="73"/>
  <c r="G17" i="73" s="1"/>
  <c r="I17" i="73" s="1"/>
  <c r="M17" i="73" s="1"/>
  <c r="Q17" i="73" s="1"/>
  <c r="M296" i="73"/>
  <c r="M301" i="73" s="1"/>
  <c r="I338" i="73"/>
  <c r="M306" i="73"/>
  <c r="M338" i="73" s="1"/>
  <c r="I348" i="73"/>
  <c r="M342" i="73"/>
  <c r="M348" i="73" s="1"/>
  <c r="I358" i="73"/>
  <c r="M352" i="73"/>
  <c r="M358" i="73" s="1"/>
  <c r="I368" i="73"/>
  <c r="I370" i="73" s="1"/>
  <c r="G18" i="73" s="1"/>
  <c r="I18" i="73" s="1"/>
  <c r="M362" i="73"/>
  <c r="M368" i="73" s="1"/>
  <c r="M370" i="73" s="1"/>
  <c r="L370" i="73"/>
  <c r="J18" i="73" s="1"/>
  <c r="L18" i="73" s="1"/>
  <c r="I141" i="74"/>
  <c r="I10" i="74" s="1"/>
  <c r="I12" i="74" s="1"/>
  <c r="L32" i="74"/>
  <c r="L141" i="74" s="1"/>
  <c r="L10" i="74" s="1"/>
  <c r="L12" i="74" s="1"/>
  <c r="C20" i="28" s="1"/>
  <c r="I77" i="75"/>
  <c r="I10" i="75" s="1"/>
  <c r="I12" i="75" s="1"/>
  <c r="M34" i="75"/>
  <c r="M77" i="75" s="1"/>
  <c r="M10" i="75" s="1"/>
  <c r="M12" i="75" s="1"/>
  <c r="C21" i="28" s="1"/>
  <c r="M139" i="35"/>
  <c r="M11" i="35" s="1"/>
  <c r="M13" i="35" s="1"/>
  <c r="C22" i="28" s="1"/>
  <c r="D22" i="28" l="1"/>
  <c r="E22" i="28" s="1"/>
  <c r="D21" i="28"/>
  <c r="E21" i="28" s="1"/>
  <c r="D20" i="28"/>
  <c r="E20" i="28" s="1"/>
  <c r="M18" i="73"/>
  <c r="Q18" i="73" s="1"/>
  <c r="M281" i="73"/>
  <c r="M15" i="73"/>
  <c r="Q15" i="73" s="1"/>
  <c r="M269" i="73"/>
  <c r="M14" i="73"/>
  <c r="Q14" i="73" s="1"/>
  <c r="M214" i="73"/>
  <c r="M215" i="73"/>
  <c r="I215" i="73"/>
  <c r="G13" i="73" s="1"/>
  <c r="I13" i="73" s="1"/>
  <c r="M13" i="73" s="1"/>
  <c r="Q13" i="73" s="1"/>
  <c r="M12" i="73"/>
  <c r="Q12" i="73" s="1"/>
  <c r="M119" i="73"/>
  <c r="M170" i="73" s="1"/>
  <c r="L20" i="73"/>
  <c r="M58" i="73"/>
  <c r="I20" i="73"/>
  <c r="M10" i="73"/>
  <c r="L14" i="72"/>
  <c r="C18" i="28" s="1"/>
  <c r="I14" i="72"/>
  <c r="L14" i="71"/>
  <c r="C17" i="28" s="1"/>
  <c r="I14" i="71"/>
  <c r="M326" i="78"/>
  <c r="I16" i="78"/>
  <c r="M16" i="78" s="1"/>
  <c r="Q16" i="78" s="1"/>
  <c r="M322" i="78"/>
  <c r="I15" i="78"/>
  <c r="M15" i="78" s="1"/>
  <c r="Q15" i="78" s="1"/>
  <c r="M275" i="78"/>
  <c r="I14" i="78"/>
  <c r="M14" i="78" s="1"/>
  <c r="Q14" i="78" s="1"/>
  <c r="M261" i="78"/>
  <c r="I13" i="78"/>
  <c r="M13" i="78" s="1"/>
  <c r="Q13" i="78" s="1"/>
  <c r="M216" i="78"/>
  <c r="I12" i="78"/>
  <c r="M12" i="78" s="1"/>
  <c r="Q12" i="78" s="1"/>
  <c r="M200" i="78"/>
  <c r="I11" i="78"/>
  <c r="M11" i="78" s="1"/>
  <c r="Q11" i="78" s="1"/>
  <c r="M171" i="78"/>
  <c r="I10" i="78"/>
  <c r="M10" i="78" s="1"/>
  <c r="Q10" i="78" s="1"/>
  <c r="M143" i="78"/>
  <c r="I9" i="78"/>
  <c r="M16" i="77"/>
  <c r="Q10" i="77"/>
  <c r="J1113" i="76"/>
  <c r="K1113" i="76" s="1"/>
  <c r="L1113" i="76" s="1"/>
  <c r="L1114" i="76" s="1"/>
  <c r="L26" i="76" s="1"/>
  <c r="H1113" i="76"/>
  <c r="I1113" i="76" s="1"/>
  <c r="J1081" i="76"/>
  <c r="K1081" i="76" s="1"/>
  <c r="L1081" i="76" s="1"/>
  <c r="H1081" i="76"/>
  <c r="I1081" i="76" s="1"/>
  <c r="M1081" i="76" s="1"/>
  <c r="J1061" i="76"/>
  <c r="K1061" i="76" s="1"/>
  <c r="L1061" i="76" s="1"/>
  <c r="H1061" i="76"/>
  <c r="I1061" i="76" s="1"/>
  <c r="M1061" i="76" s="1"/>
  <c r="J1042" i="76"/>
  <c r="K1042" i="76" s="1"/>
  <c r="L1042" i="76" s="1"/>
  <c r="H1042" i="76"/>
  <c r="I1042" i="76" s="1"/>
  <c r="M1042" i="76" s="1"/>
  <c r="J1023" i="76"/>
  <c r="K1023" i="76" s="1"/>
  <c r="L1023" i="76" s="1"/>
  <c r="H1023" i="76"/>
  <c r="I1023" i="76" s="1"/>
  <c r="M1023" i="76" s="1"/>
  <c r="J1003" i="76"/>
  <c r="K1003" i="76" s="1"/>
  <c r="L1003" i="76" s="1"/>
  <c r="L1082" i="76" s="1"/>
  <c r="L25" i="76" s="1"/>
  <c r="H1003" i="76"/>
  <c r="I1003" i="76" s="1"/>
  <c r="J973" i="76"/>
  <c r="K973" i="76" s="1"/>
  <c r="L973" i="76" s="1"/>
  <c r="H973" i="76"/>
  <c r="I973" i="76" s="1"/>
  <c r="M973" i="76" s="1"/>
  <c r="G954" i="76"/>
  <c r="M949" i="76"/>
  <c r="G935" i="76"/>
  <c r="M930" i="76"/>
  <c r="G916" i="76"/>
  <c r="M911" i="76"/>
  <c r="G897" i="76"/>
  <c r="M891" i="76"/>
  <c r="J867" i="76"/>
  <c r="K867" i="76" s="1"/>
  <c r="L867" i="76" s="1"/>
  <c r="H867" i="76"/>
  <c r="I867" i="76" s="1"/>
  <c r="M867" i="76" s="1"/>
  <c r="J850" i="76"/>
  <c r="K850" i="76" s="1"/>
  <c r="L850" i="76" s="1"/>
  <c r="H850" i="76"/>
  <c r="I850" i="76" s="1"/>
  <c r="M850" i="76" s="1"/>
  <c r="J833" i="76"/>
  <c r="K833" i="76" s="1"/>
  <c r="L833" i="76" s="1"/>
  <c r="H833" i="76"/>
  <c r="I833" i="76" s="1"/>
  <c r="M833" i="76" s="1"/>
  <c r="J815" i="76"/>
  <c r="K815" i="76" s="1"/>
  <c r="L815" i="76" s="1"/>
  <c r="H815" i="76"/>
  <c r="I815" i="76" s="1"/>
  <c r="M815" i="76" s="1"/>
  <c r="J796" i="76"/>
  <c r="K796" i="76" s="1"/>
  <c r="L796" i="76" s="1"/>
  <c r="L869" i="76" s="1"/>
  <c r="L23" i="76" s="1"/>
  <c r="H796" i="76"/>
  <c r="I796" i="76" s="1"/>
  <c r="J639" i="76"/>
  <c r="K639" i="76" s="1"/>
  <c r="L639" i="76" s="1"/>
  <c r="L640" i="76" s="1"/>
  <c r="L19" i="76" s="1"/>
  <c r="H639" i="76"/>
  <c r="I639" i="76" s="1"/>
  <c r="J619" i="76"/>
  <c r="K619" i="76" s="1"/>
  <c r="L619" i="76" s="1"/>
  <c r="L620" i="76" s="1"/>
  <c r="L18" i="76" s="1"/>
  <c r="H619" i="76"/>
  <c r="I619" i="76" s="1"/>
  <c r="M506" i="76"/>
  <c r="G609" i="76"/>
  <c r="I378" i="76"/>
  <c r="I16" i="76" s="1"/>
  <c r="M349" i="76"/>
  <c r="M378" i="76" s="1"/>
  <c r="L378" i="76"/>
  <c r="L16" i="76" s="1"/>
  <c r="G344" i="76"/>
  <c r="M311" i="76"/>
  <c r="M10" i="76"/>
  <c r="M917" i="64"/>
  <c r="M903" i="64"/>
  <c r="M833" i="64"/>
  <c r="M714" i="64"/>
  <c r="M648" i="64"/>
  <c r="M604" i="64"/>
  <c r="M522" i="64"/>
  <c r="M430" i="64"/>
  <c r="M347" i="64"/>
  <c r="M230" i="64"/>
  <c r="M45" i="64"/>
  <c r="M21" i="70"/>
  <c r="C18" i="20" s="1"/>
  <c r="E18" i="20" s="1"/>
  <c r="I21" i="70"/>
  <c r="M16" i="69"/>
  <c r="C17" i="20" s="1"/>
  <c r="E17" i="20" s="1"/>
  <c r="I16" i="69"/>
  <c r="L2" i="35"/>
  <c r="L2" i="75"/>
  <c r="K2" i="74"/>
  <c r="L2" i="73"/>
  <c r="K2" i="72"/>
  <c r="K2" i="71"/>
  <c r="K2" i="29"/>
  <c r="D3" i="35"/>
  <c r="D3" i="75"/>
  <c r="D3" i="74"/>
  <c r="D3" i="73"/>
  <c r="D3" i="72"/>
  <c r="D3" i="71"/>
  <c r="D3" i="29"/>
  <c r="D2" i="35"/>
  <c r="D2" i="75"/>
  <c r="D2" i="74"/>
  <c r="D2" i="73"/>
  <c r="D2" i="72"/>
  <c r="D2" i="71"/>
  <c r="D2" i="29"/>
  <c r="D1" i="35"/>
  <c r="D1" i="75"/>
  <c r="D1" i="74"/>
  <c r="D1" i="73"/>
  <c r="D1" i="72"/>
  <c r="D1" i="71"/>
  <c r="D1" i="29"/>
  <c r="M9" i="64" l="1"/>
  <c r="M10" i="64"/>
  <c r="M11" i="64"/>
  <c r="M12" i="64"/>
  <c r="M13" i="64"/>
  <c r="M14" i="64"/>
  <c r="M15" i="64"/>
  <c r="M16" i="64"/>
  <c r="M17" i="64"/>
  <c r="M18" i="64"/>
  <c r="M19" i="64"/>
  <c r="Q10" i="76"/>
  <c r="J344" i="76"/>
  <c r="K344" i="76" s="1"/>
  <c r="L344" i="76" s="1"/>
  <c r="L345" i="76" s="1"/>
  <c r="L15" i="76" s="1"/>
  <c r="I344" i="76"/>
  <c r="H344" i="76"/>
  <c r="M16" i="76"/>
  <c r="Q16" i="76" s="1"/>
  <c r="J609" i="76"/>
  <c r="K609" i="76" s="1"/>
  <c r="L609" i="76" s="1"/>
  <c r="L610" i="76" s="1"/>
  <c r="L17" i="76" s="1"/>
  <c r="H609" i="76"/>
  <c r="I609" i="76" s="1"/>
  <c r="M619" i="76"/>
  <c r="M620" i="76" s="1"/>
  <c r="I620" i="76"/>
  <c r="I18" i="76" s="1"/>
  <c r="M18" i="76" s="1"/>
  <c r="Q18" i="76" s="1"/>
  <c r="M639" i="76"/>
  <c r="M640" i="76" s="1"/>
  <c r="I640" i="76"/>
  <c r="I19" i="76" s="1"/>
  <c r="M19" i="76" s="1"/>
  <c r="Q19" i="76" s="1"/>
  <c r="M796" i="76"/>
  <c r="M869" i="76" s="1"/>
  <c r="M23" i="76" s="1"/>
  <c r="Q23" i="76" s="1"/>
  <c r="I869" i="76"/>
  <c r="I23" i="76" s="1"/>
  <c r="J897" i="76"/>
  <c r="K897" i="76" s="1"/>
  <c r="L897" i="76" s="1"/>
  <c r="H897" i="76"/>
  <c r="I897" i="76" s="1"/>
  <c r="J916" i="76"/>
  <c r="K916" i="76" s="1"/>
  <c r="L916" i="76" s="1"/>
  <c r="H916" i="76"/>
  <c r="I916" i="76" s="1"/>
  <c r="M916" i="76" s="1"/>
  <c r="J935" i="76"/>
  <c r="K935" i="76" s="1"/>
  <c r="L935" i="76" s="1"/>
  <c r="H935" i="76"/>
  <c r="I935" i="76" s="1"/>
  <c r="M935" i="76" s="1"/>
  <c r="J954" i="76"/>
  <c r="K954" i="76" s="1"/>
  <c r="L954" i="76" s="1"/>
  <c r="H954" i="76"/>
  <c r="I954" i="76" s="1"/>
  <c r="M954" i="76" s="1"/>
  <c r="M1003" i="76"/>
  <c r="M1082" i="76" s="1"/>
  <c r="I1082" i="76"/>
  <c r="I25" i="76" s="1"/>
  <c r="M25" i="76" s="1"/>
  <c r="Q25" i="76" s="1"/>
  <c r="M1113" i="76"/>
  <c r="M1114" i="76" s="1"/>
  <c r="I1114" i="76"/>
  <c r="I26" i="76" s="1"/>
  <c r="M26" i="76" s="1"/>
  <c r="Q26" i="76" s="1"/>
  <c r="Q16" i="77"/>
  <c r="C21" i="20"/>
  <c r="E21" i="20" s="1"/>
  <c r="I18" i="78"/>
  <c r="M18" i="78" s="1"/>
  <c r="Q18" i="78" s="1"/>
  <c r="M9" i="78"/>
  <c r="Q9" i="78" s="1"/>
  <c r="D17" i="28"/>
  <c r="E17" i="28" s="1"/>
  <c r="D18" i="28"/>
  <c r="E18" i="28" s="1"/>
  <c r="M20" i="73"/>
  <c r="Q10" i="73"/>
  <c r="M21" i="64" l="1"/>
  <c r="Q20" i="73"/>
  <c r="C19" i="28"/>
  <c r="M897" i="76"/>
  <c r="M974" i="76" s="1"/>
  <c r="I974" i="76"/>
  <c r="I24" i="76" s="1"/>
  <c r="L974" i="76"/>
  <c r="L24" i="76" s="1"/>
  <c r="M609" i="76"/>
  <c r="M610" i="76" s="1"/>
  <c r="I610" i="76"/>
  <c r="I17" i="76" s="1"/>
  <c r="M17" i="76" s="1"/>
  <c r="Q17" i="76" s="1"/>
  <c r="M344" i="76"/>
  <c r="M345" i="76" s="1"/>
  <c r="I345" i="76"/>
  <c r="I15" i="76" s="1"/>
  <c r="L34" i="76"/>
  <c r="M15" i="76" l="1"/>
  <c r="I34" i="76"/>
  <c r="M24" i="76"/>
  <c r="Q24" i="76" s="1"/>
  <c r="D19" i="28"/>
  <c r="E19" i="28" s="1"/>
  <c r="E25" i="28" s="1"/>
  <c r="C28" i="28" l="1"/>
  <c r="B26" i="28"/>
  <c r="D19" i="19"/>
  <c r="Q15" i="76"/>
  <c r="M34" i="76"/>
  <c r="Q34" i="76" l="1"/>
  <c r="C20" i="20"/>
  <c r="E20" i="20" s="1"/>
  <c r="E31" i="20" s="1"/>
  <c r="C34" i="20" l="1"/>
  <c r="C35" i="20" s="1"/>
  <c r="B32" i="20"/>
  <c r="D15" i="19"/>
  <c r="D26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<sst xmlns="http://schemas.openxmlformats.org/spreadsheetml/2006/main" count="17761" uniqueCount="4566">
  <si>
    <t>WBS-1</t>
  </si>
  <si>
    <t>WBS-2</t>
  </si>
  <si>
    <t>WBS-3</t>
  </si>
  <si>
    <t>WBS-4</t>
  </si>
  <si>
    <t>Description</t>
  </si>
  <si>
    <t>Unit</t>
  </si>
  <si>
    <t>Qty</t>
  </si>
  <si>
    <t>Material</t>
  </si>
  <si>
    <t>Labor</t>
  </si>
  <si>
    <t>Amount</t>
  </si>
  <si>
    <t>STR</t>
  </si>
  <si>
    <t>Sub-Structure</t>
  </si>
  <si>
    <t>Pilling</t>
  </si>
  <si>
    <t>Soil Protection</t>
  </si>
  <si>
    <t>Pile Wall</t>
  </si>
  <si>
    <t>Foundation</t>
  </si>
  <si>
    <t>Basement</t>
  </si>
  <si>
    <t>Beam</t>
  </si>
  <si>
    <t>Slab</t>
  </si>
  <si>
    <t>Column</t>
  </si>
  <si>
    <t>RT-Wall</t>
  </si>
  <si>
    <t>ห้องเก็บหนังสือ ชั้น BM  (ref. dwg S-202C)</t>
  </si>
  <si>
    <t>Underground Tank</t>
  </si>
  <si>
    <t>WWWT</t>
  </si>
  <si>
    <t>Surge Tank</t>
  </si>
  <si>
    <t>Drain sump ,Sewage sump ,Escalator pit</t>
  </si>
  <si>
    <t>Gutter</t>
  </si>
  <si>
    <t>Super Structure</t>
  </si>
  <si>
    <t>Gr.Floor</t>
  </si>
  <si>
    <t>RC Slab</t>
  </si>
  <si>
    <t>PC Slab</t>
  </si>
  <si>
    <t>Wall</t>
  </si>
  <si>
    <t>Amphitheater</t>
  </si>
  <si>
    <t>2nd.Floor</t>
  </si>
  <si>
    <t>Bean</t>
  </si>
  <si>
    <t>RC.Slab</t>
  </si>
  <si>
    <t>Catwalk</t>
  </si>
  <si>
    <t>3rd.Floor</t>
  </si>
  <si>
    <t>Mezz.</t>
  </si>
  <si>
    <t>PC.Slab</t>
  </si>
  <si>
    <t>Roof</t>
  </si>
  <si>
    <t>Steel Str</t>
  </si>
  <si>
    <t>Facade</t>
  </si>
  <si>
    <t>Canopy</t>
  </si>
  <si>
    <t>Urban vold</t>
  </si>
  <si>
    <t xml:space="preserve">A/C </t>
  </si>
  <si>
    <t>Roof(dwg. S1-802, 803)</t>
  </si>
  <si>
    <t>Stair</t>
  </si>
  <si>
    <t>ST-01</t>
  </si>
  <si>
    <t>ST-1.1</t>
  </si>
  <si>
    <t>ST-02</t>
  </si>
  <si>
    <t>ST-03</t>
  </si>
  <si>
    <t>ST-04</t>
  </si>
  <si>
    <t>ST-06</t>
  </si>
  <si>
    <t>ST-07</t>
  </si>
  <si>
    <t>ST-7.1</t>
  </si>
  <si>
    <t>ST-11</t>
  </si>
  <si>
    <t>Steel Stair</t>
  </si>
  <si>
    <t>ST-05</t>
  </si>
  <si>
    <t>ST-08</t>
  </si>
  <si>
    <t>ST-09</t>
  </si>
  <si>
    <t>ST-10</t>
  </si>
  <si>
    <t>ST-10 Link</t>
  </si>
  <si>
    <t>Urban void</t>
  </si>
  <si>
    <t>Auditorium</t>
  </si>
  <si>
    <t>Other</t>
  </si>
  <si>
    <t>Fur.support</t>
  </si>
  <si>
    <t>Arch.</t>
  </si>
  <si>
    <t>Floor Fn.</t>
  </si>
  <si>
    <t>Concrete Topping</t>
  </si>
  <si>
    <t>ขัดเรียบ</t>
  </si>
  <si>
    <t>ขัดมัน</t>
  </si>
  <si>
    <t>ขัดมันกันซึม</t>
  </si>
  <si>
    <t>พื้น ค.ส.ล. ผิวโครงสร้าง</t>
  </si>
  <si>
    <t>Floor Hardener</t>
  </si>
  <si>
    <t>Epoxy Coating</t>
  </si>
  <si>
    <t>หินขัด</t>
  </si>
  <si>
    <t>กรวดล้าง</t>
  </si>
  <si>
    <t>พื้นไม้สัก</t>
  </si>
  <si>
    <t>กระเบื้องหินขัด</t>
  </si>
  <si>
    <t>กระเบื้องเซรามิค</t>
  </si>
  <si>
    <t>พื้นกระจก</t>
  </si>
  <si>
    <t>กระเบื้องยาง</t>
  </si>
  <si>
    <t>ห้องน้ำ</t>
  </si>
  <si>
    <t>ระบบกันซึม</t>
  </si>
  <si>
    <t>Joint</t>
  </si>
  <si>
    <t>Wall Fn.</t>
  </si>
  <si>
    <t>Brick wall</t>
  </si>
  <si>
    <t>Lintel&amp;Stud</t>
  </si>
  <si>
    <t>Plastering</t>
  </si>
  <si>
    <t>Painting</t>
  </si>
  <si>
    <t>Bare wall</t>
  </si>
  <si>
    <t>PC Wall</t>
  </si>
  <si>
    <t>GRC Wall</t>
  </si>
  <si>
    <t>Fin</t>
  </si>
  <si>
    <t>Mosaige</t>
  </si>
  <si>
    <t>Decorate wall</t>
  </si>
  <si>
    <t>Copper</t>
  </si>
  <si>
    <t>Stanless</t>
  </si>
  <si>
    <t>Alu.</t>
  </si>
  <si>
    <t>Silver</t>
  </si>
  <si>
    <t>Skirt</t>
  </si>
  <si>
    <t>Ceiling</t>
  </si>
  <si>
    <t>Decorate</t>
  </si>
  <si>
    <t>Expose</t>
  </si>
  <si>
    <t>Gypsum</t>
  </si>
  <si>
    <t>Alu. Composit</t>
  </si>
  <si>
    <t>Alu. Cell</t>
  </si>
  <si>
    <t>รางม่าน</t>
  </si>
  <si>
    <t>รางไฟ</t>
  </si>
  <si>
    <t>Doors&amp;Windows</t>
  </si>
  <si>
    <t>Doors</t>
  </si>
  <si>
    <t>Steel</t>
  </si>
  <si>
    <t>Shutter</t>
  </si>
  <si>
    <t>Hardwarw</t>
  </si>
  <si>
    <t>Windows</t>
  </si>
  <si>
    <t>Curtain Wall</t>
  </si>
  <si>
    <t>Sanitary</t>
  </si>
  <si>
    <t>Partition</t>
  </si>
  <si>
    <t>Sanitary ware</t>
  </si>
  <si>
    <t>Stair Fn.</t>
  </si>
  <si>
    <t xml:space="preserve">แบบ ปร.6  </t>
  </si>
  <si>
    <t>สรุปราคาค่าก่อสร้าง</t>
  </si>
  <si>
    <t>ชื่อโครงการ</t>
  </si>
  <si>
    <t>โครงการจัดตั้งศูนย์การเรียนรู้แห่งชาติ OKMD : OKMD National Knowledge Center (Ratchadamnoen Center 1 และ 2)</t>
  </si>
  <si>
    <t>สถานที่ก่อสร้าง</t>
  </si>
  <si>
    <t>แขวงตลาดยอด เขตพระนคร กรุงเทพมหานคร</t>
  </si>
  <si>
    <t>เจ้าของอาคาร</t>
  </si>
  <si>
    <t>สำนักงานบริหารและพัฒนาองค์ความรู้ (องค์การมหาชน)</t>
  </si>
  <si>
    <t>หน่วยงานออกแบบแปลนและรายการ</t>
  </si>
  <si>
    <t>กิจการร่วมค้าบริษัท จีโอเดสิค ดีไซน์ จำกัด , บริษัท เอ็มสเปซ จำกัด และ บริษัท จั่นอาร์คิเทค จำกัด</t>
  </si>
  <si>
    <t>แบบ ปร.4  และ ปร. 5 ที่แนบ</t>
  </si>
  <si>
    <t>348 แผ่น</t>
  </si>
  <si>
    <t>คำนวนราคาโดย</t>
  </si>
  <si>
    <t>คณะกรรมการกำหนดราคากลาง</t>
  </si>
  <si>
    <t xml:space="preserve">เมื่อวันที่   </t>
  </si>
  <si>
    <t xml:space="preserve">  16 กรกฎาคม 2568</t>
  </si>
  <si>
    <t>ลำดับที่</t>
  </si>
  <si>
    <t>รายการ</t>
  </si>
  <si>
    <t>ค่าก่อสร้าง</t>
  </si>
  <si>
    <t>หมายเหตุ</t>
  </si>
  <si>
    <t>ส่วนที่ 1 ค่าวัสดุและแรงงานหมวดงานก่อสร้าง</t>
  </si>
  <si>
    <t xml:space="preserve"> - งานอาคาร Ratchadamnoen Center 1</t>
  </si>
  <si>
    <t xml:space="preserve"> - งานอาคาร Ratchadamnoen Center 2</t>
  </si>
  <si>
    <t>ส่วนที่ 2 ค่าครุภัณฑ์สั่งซื้อหรือจัดซื้อ</t>
  </si>
  <si>
    <t xml:space="preserve"> - งานครุภัณฑ์จัดซื้ออาคาร Ratchadamnoen Center 1</t>
  </si>
  <si>
    <t xml:space="preserve"> - งานครุภัณฑ์จัดซื้ออาคาร Ratchadamnoen Center 2</t>
  </si>
  <si>
    <t>ส่วนที่ 3 ค่าใช้จ่ายพิเศษ</t>
  </si>
  <si>
    <t xml:space="preserve"> -ค่าใช้จ่ายพิเศษตามข้อกำหนดและค่าใช้จ่ายอื่นที่จำเป็นต้องมี</t>
  </si>
  <si>
    <t>สรุป</t>
  </si>
  <si>
    <t>รวมราคาค่าก่อสร้างทั้งโครงการ</t>
  </si>
  <si>
    <t xml:space="preserve"> </t>
  </si>
  <si>
    <t>ปัดเศษ คงเหลือ</t>
  </si>
  <si>
    <t>ค่าก่อสร้าง (ตัวอักษร)</t>
  </si>
  <si>
    <t xml:space="preserve">แบบ ปร.5 (ก)  </t>
  </si>
  <si>
    <t>แบบสรุปราคาค่าก่อสร้างงานอาคาร</t>
  </si>
  <si>
    <t>แบบ ปร.4 (ก) ที่แนบ</t>
  </si>
  <si>
    <t>166 แผ่น</t>
  </si>
  <si>
    <t xml:space="preserve">ค่างาน </t>
  </si>
  <si>
    <t>Factor F</t>
  </si>
  <si>
    <t xml:space="preserve">ค่าก่อสร้าง </t>
  </si>
  <si>
    <t>(บาท)</t>
  </si>
  <si>
    <t>อาคาร Ratchadamnoen Center 1</t>
  </si>
  <si>
    <t>งานสถาปัตยกรรม</t>
  </si>
  <si>
    <t>งานสถาปัตยกรรมภายใน</t>
  </si>
  <si>
    <t>งานสถาปัตยกรรมภายใน (BUILT-IN)</t>
  </si>
  <si>
    <t>งานวิศวกรรมโครงสร้าง</t>
  </si>
  <si>
    <t>งานระบบไฟฟ้าและสื่อสาร</t>
  </si>
  <si>
    <t>งานระบบสุขาภิบาลและดับเพลิง</t>
  </si>
  <si>
    <t>งานระบบปรับอากาศและระบายอากาศ</t>
  </si>
  <si>
    <t>งานภูมิสถาปัตยกรรม</t>
  </si>
  <si>
    <t>เงื่อนไข</t>
  </si>
  <si>
    <t>เงินล่วงหน้าจ่าย 0%</t>
  </si>
  <si>
    <t>เงินประกันผลงานหัก 10%</t>
  </si>
  <si>
    <t>ดอกเบี้ยเงินกู้ 7%</t>
  </si>
  <si>
    <t>ค่าภาษีมูลค่าเพิ่ม 7%</t>
  </si>
  <si>
    <t>รวมค่าก่อสร้างเป็นเงินทั้งสิ้น</t>
  </si>
  <si>
    <t>พื้นที่อาคาร</t>
  </si>
  <si>
    <t>ตารางเมตร</t>
  </si>
  <si>
    <t>เฉลี่ยราคาประมาณ</t>
  </si>
  <si>
    <t>บาท/ตารางเมตร</t>
  </si>
  <si>
    <t xml:space="preserve">ชื่อโครงการ </t>
  </si>
  <si>
    <t>หมวดงาน</t>
  </si>
  <si>
    <t xml:space="preserve">งานสถาปัตยกรรม  (RC 1) </t>
  </si>
  <si>
    <t>เมื่อวันที่</t>
  </si>
  <si>
    <t>คำนวณราคากลางโดย</t>
  </si>
  <si>
    <t>ลำดับ</t>
  </si>
  <si>
    <t>จำนวน</t>
  </si>
  <si>
    <t>หน่วย</t>
  </si>
  <si>
    <t>ราคาวัสดุสิ่งของ</t>
  </si>
  <si>
    <t>ค่าแรงงาน</t>
  </si>
  <si>
    <t>รวมค่าวัสดุ</t>
  </si>
  <si>
    <t>ราคา/หน่วย</t>
  </si>
  <si>
    <t>จำนวนเงิน</t>
  </si>
  <si>
    <t>และแรงงาน</t>
  </si>
  <si>
    <t>สรุปราคาค่าก่อสร้างงานสถาปัตยกรรม</t>
  </si>
  <si>
    <t>งานผิวพื้น</t>
  </si>
  <si>
    <t>งานผนัง</t>
  </si>
  <si>
    <t>งานฝ้าเพดาน</t>
  </si>
  <si>
    <t>งานประตูและอุปกรณ์</t>
  </si>
  <si>
    <t>งานหน้าต่าง</t>
  </si>
  <si>
    <t>งานห้องน้ำและสุขภัณฑ์</t>
  </si>
  <si>
    <t>งานบันได ราวบันได ราวกันตก และส่วนประกอบ</t>
  </si>
  <si>
    <t>งานหลังคา งานฉนวนกันความร้อน งานกันซึมและส่วนประกอบ</t>
  </si>
  <si>
    <t>งาน Facade และ Urban Void</t>
  </si>
  <si>
    <t>งานเบ็ดเตล็ด</t>
  </si>
  <si>
    <t>รวมราคาค่าก่อสร้างงานสถาปัตยกรรม</t>
  </si>
  <si>
    <t>Allow for any items not described above but deemed necessary</t>
  </si>
  <si>
    <t xml:space="preserve"> to complete the works :-</t>
  </si>
  <si>
    <t xml:space="preserve">F0 </t>
  </si>
  <si>
    <t>พื้น ค.ส.ล. พร้อมปูนทรายปรับระดับ ปรับผิวเรียบ (ดูรายละเอียดงานตกแต่งภายใน)</t>
  </si>
  <si>
    <t>ตร.ม.</t>
  </si>
  <si>
    <t xml:space="preserve">F1.1 </t>
  </si>
  <si>
    <t>พื้น ค.ส.ล. พร้อมปูนทรายปรับระดับ ผิวขัดมัน หนา 30-50 มม.ตีเส้นแบ่งแนวตามแบบ</t>
  </si>
  <si>
    <t>ราคามีแก้ไขตามกระทรวงพาณิชย์ กทม. ธ.ค. 67</t>
  </si>
  <si>
    <t>ตามระบุในรายการประกอบแบบ</t>
  </si>
  <si>
    <t xml:space="preserve">F1.2 </t>
  </si>
  <si>
    <t>พื้น ค.ส.ล. พร้อมปูนทรายปรับระดับ ผิวขัดเรียบ หนา 30-50 มม.</t>
  </si>
  <si>
    <t>ยกเลิกรายการ</t>
  </si>
  <si>
    <t>F1.3</t>
  </si>
  <si>
    <t>พื้น ค.ส.ล. พร้อมปูนทรายปรับระดับ ผสมน้ำยากันซึม ผิวขัดมัน หนา 30-50 มม.</t>
  </si>
  <si>
    <t>F1.4</t>
  </si>
  <si>
    <t>พื้น ค.ส.ล. ผิวโครงสร้างแต่งเรียบทำระบบกันซึม (งานกันซึมดูรายละเอียดงานกันซึม)</t>
  </si>
  <si>
    <t>F1.5</t>
  </si>
  <si>
    <t xml:space="preserve">พื้น ค.ส.ล. ทำผิว Floor Hardener สีมาตรฐาน ผิวด้าน </t>
  </si>
  <si>
    <t>F2.1</t>
  </si>
  <si>
    <t xml:space="preserve">พื้น ค.ส.ล. พร้อมปูนทรายปรับระดับ ผิวขัดมันหนา 30-50 มม. ทาสี Epoxy Coating </t>
  </si>
  <si>
    <t xml:space="preserve">ความหนา 500 ไมครอน (ระบุสีภายหลัง) </t>
  </si>
  <si>
    <t>F2.2</t>
  </si>
  <si>
    <t>พื้น ค.ส.ล. พร้อมปูนทรายปรับระดับ ผิวขัดมันหนา 30-50 มม.</t>
  </si>
  <si>
    <t>ทำผิว Epoxy Self Leveling หนา 2 มม. ( ผิวและสีระบุภายหลัง )</t>
  </si>
  <si>
    <t>F3.1</t>
  </si>
  <si>
    <t xml:space="preserve">พื้น ค.ส.ล. พร้อมปูนทรายปรับระดับ ทำผิวหินขัด (Cement Base) ชนิดคัดเม็ดหิน </t>
  </si>
  <si>
    <t>สีขาว-เทา เบอร์  4½  หรือขนาดอื่นๆตามแบบระบุภายหลัง พร้อมลงน้ำยาเคลือบผิว</t>
  </si>
  <si>
    <t>F3.2</t>
  </si>
  <si>
    <t>สีดำ เบอร์ 4½ หรือขนาดอื่นๆตามแบบระบุภายหลัง พร้อมลงน้ำยาเคลือบผิว</t>
  </si>
  <si>
    <t>F3.3</t>
  </si>
  <si>
    <t xml:space="preserve">พื้น ค.ส.ล. พร้อมปูนทรายปรับระดับ ผิวหินขัดสำเร็จรูป เม็ดหินขาว – มุก </t>
  </si>
  <si>
    <t>เบอร์  4½   ระบุขนาดและลายภายหลัง พร้อมลงน้ำยาเคลือบ</t>
  </si>
  <si>
    <t>F3.4</t>
  </si>
  <si>
    <t>พื้น ค.ส.ล. พร้อมปูนทรายปรับระดับ ผิวหินขัดสำเร็จรูปขนาด 600x600 มม.</t>
  </si>
  <si>
    <t>หรือขนาดตามแบบระบุ เม็ดหินสีดำ ระบุขนาดและลายภายหลัง พร้อมลงน้ำยาเคลือบผิว</t>
  </si>
  <si>
    <t>F3.5</t>
  </si>
  <si>
    <t xml:space="preserve">พื้น ค.ส.ล. พร้อมปูนทรายปรับระดับ ผิวหินล้างเบอร์  4½ </t>
  </si>
  <si>
    <t>หรือขนาดอื่นๆตามแบบระบุภายหลัง</t>
  </si>
  <si>
    <t>F3.6</t>
  </si>
  <si>
    <t>พื้น ค.ส.ล. พร้อมปูนทรายปรับระดับ ปูไม้สักประสาน ระบุขนาดและลายภายหลัง</t>
  </si>
  <si>
    <t>* ดูรายละเอียดงานบันได ST5 และทางเดิน Catwalk</t>
  </si>
  <si>
    <t>ข้อ 7.6</t>
  </si>
  <si>
    <t>ทาน้ำยารักษาเนื้อไม้ ทำสีธรรมชาติ</t>
  </si>
  <si>
    <t>F4.1</t>
  </si>
  <si>
    <t xml:space="preserve">พื้น ค.ส.ล. พร้อมปูนทรายปรับระดับ ผิวปูกระเบื้องหินขัด สีดำ  ขนาด 600x600 มม.  </t>
  </si>
  <si>
    <t>F4.2</t>
  </si>
  <si>
    <t xml:space="preserve">พื้น ค.ส.ล. พร้อมปูนทรายปรับระดับ  ผิวปูกระเบื้องหินขัด สีขาว ขนาด 600x600 มม.  </t>
  </si>
  <si>
    <t>F4.3</t>
  </si>
  <si>
    <t>พื้น ค.ส.ล. พร้อมปูนทรายปรับระดับ ผิวปูกระเบื้องเซรามิค ขนาด 400x400 มม.</t>
  </si>
  <si>
    <t>F6.1</t>
  </si>
  <si>
    <t>พื้นกระจกลามิเนต (Sentry Glas Heat Strengthened Laminated)</t>
  </si>
  <si>
    <t>* ดูรายละเอียดงาน Urban Void</t>
  </si>
  <si>
    <t>ข้อ 9.2</t>
  </si>
  <si>
    <t xml:space="preserve">(10 MM.Clear Hs + SentryGlas +10 MM. Clear Hs ) การติดตั้งเสนออนุมติ </t>
  </si>
  <si>
    <t>F6.2</t>
  </si>
  <si>
    <t xml:space="preserve">พื้น ค.ส.ล. พร้อมปูนทรายปรับระดับ ผิวปูกระเบื้องสีเทา ขนาด 600x600x10 มม. </t>
  </si>
  <si>
    <t>F6.3</t>
  </si>
  <si>
    <t>พื้นโครงสร้างเหล็ก ปูทับด้วยแผ่นยางปูพื้นกันลื่นลายเหรียญสีเทา</t>
  </si>
  <si>
    <t>Round Dot — Anti Slip หนา 5 มม.</t>
  </si>
  <si>
    <t>F6.4</t>
  </si>
  <si>
    <t xml:space="preserve">พื้น ค.ส.ล. ขัดมัน พร้อมติดตั้ง Access Floor System ขนาด 600x600x35 mm. </t>
  </si>
  <si>
    <t>ชนิด Light Weight Cement Infilled Steel และกรุด้วยกระเบื้องยาง</t>
  </si>
  <si>
    <t>F7</t>
  </si>
  <si>
    <t>พื้นดูรายละเอียดงานภูมิสถาปัตยกรรม</t>
  </si>
  <si>
    <t>งานกันซึมพื้นห้องน้ำ</t>
  </si>
  <si>
    <t>งานรอยต่อพื้น</t>
  </si>
  <si>
    <t>-</t>
  </si>
  <si>
    <t>งานรอยต่อพื้น J1  (เส้นแบ่งแนว)</t>
  </si>
  <si>
    <t>เมตร</t>
  </si>
  <si>
    <t>งานรอยต่อพื้น J2  (เส้นแบ่งแนว)</t>
  </si>
  <si>
    <t>งานรอยต่อพื้น J3  (เส้นแบ่งแนว)</t>
  </si>
  <si>
    <t>งานรอยต่อพื้น J4 (เส้นแบ่งแนว)</t>
  </si>
  <si>
    <t>รวมราคางานผิวพื้น</t>
  </si>
  <si>
    <t>งานผนังและผิวผนัง</t>
  </si>
  <si>
    <t>ผนังก่อคอนกรีตมวลเบา ขนาด 20 x 60 x 10 ซม.</t>
  </si>
  <si>
    <t>ผนังก่อคอนกรีตมวลเบา ขนาด 20 x 60 x 15 ซม.</t>
  </si>
  <si>
    <t>ผนังก่อคอนกรีตมวลเบา ขนาด 20 x 60 x 20 ซม.</t>
  </si>
  <si>
    <t>ผนังก่อคอนกรีตมวลเบา ขนาด 20 x 60 x 30 ซม.</t>
  </si>
  <si>
    <t>งานเสาเอ็นและทับหลัง ผนังก่อคอนกรีตมวลเบา หนา 10 ซม.</t>
  </si>
  <si>
    <t>ม.</t>
  </si>
  <si>
    <t>งานเสาเอ็นและทับหลัง ผนังก่อคอนกรีตมวลเบา หนา 15 ซม.</t>
  </si>
  <si>
    <t>งานเสาเอ็นและทับหลัง ผนังก่อคอนกรีตมวลเบา หนา 20 ซม.</t>
  </si>
  <si>
    <t>งานเสาเอ็นและทับหลัง ผนังก่อคอนกรีตมวลเบา หนา 30 ซม.</t>
  </si>
  <si>
    <t>งานฉาบเรียบผนังคอนกรีตมวลเบา</t>
  </si>
  <si>
    <t>งานฉาบปูนผนังค.ส.ล.</t>
  </si>
  <si>
    <t>P0</t>
  </si>
  <si>
    <t>ผนังก่อฉาบหรือผนังโครงสร้างอื่นๆ งานผิวผนังดูรายละเอียดงานตกแต่งภายใน</t>
  </si>
  <si>
    <t>P1.1</t>
  </si>
  <si>
    <t xml:space="preserve">ผนังทาสีอะครีลิค ชนิดภายใน </t>
  </si>
  <si>
    <t>P1.2</t>
  </si>
  <si>
    <t xml:space="preserve">ผนังทาสีอะครีลิค ชนิดภายนอก </t>
  </si>
  <si>
    <t>P1.3</t>
  </si>
  <si>
    <t>ผนังทาสีลวดลาย TEXTURE ลายไข่ปลา และทาสีอะครีลิค ชนิดภายนอก</t>
  </si>
  <si>
    <t>P1.4</t>
  </si>
  <si>
    <t>ผนังคอนกรีตเปลือยผิวเรียบ ลงน้ำยาเคลือบผิว</t>
  </si>
  <si>
    <t>P1.5</t>
  </si>
  <si>
    <t>ผนัง ค.ส.ล.ผิวโครงสร้างแต่งเรียบทำระบบกันซึม (งานกันซึมดูรายละเอียดงานกันซึม)</t>
  </si>
  <si>
    <t>P1.6</t>
  </si>
  <si>
    <t>ผนังเปลือยผิวโครงสร้างแต่งผิวเรียบ</t>
  </si>
  <si>
    <t>P1.7</t>
  </si>
  <si>
    <t>ผนัง ค.ส.ล. ผิวขัดมัน</t>
  </si>
  <si>
    <t>P2</t>
  </si>
  <si>
    <t xml:space="preserve">ผนังแผ่นคอนกรีตสำเร็จรูป หนา 125 มม. ( Precast Concrete) </t>
  </si>
  <si>
    <t>ภายในใส่ฉนวนไมโครไฟเบอร์หนา 25 มม.</t>
  </si>
  <si>
    <t>P2.1</t>
  </si>
  <si>
    <t>ทาสีลวดลาย TEXTURE ลายไข่ปลา และทาสีอะครีลิค ชนิดภายนอก</t>
  </si>
  <si>
    <t>P2.2</t>
  </si>
  <si>
    <t xml:space="preserve">ทาสีอะครีลิค ชนิดภายใน </t>
  </si>
  <si>
    <t>P3.1</t>
  </si>
  <si>
    <t xml:space="preserve">ผนังคอนกรีตเสริมใยแก้ว (G.R.C) หนา 25 มม </t>
  </si>
  <si>
    <t xml:space="preserve">ทาสีลวดลาย TEXTURE ลายไข่ปลา และทาสีอะครีลิค ชนิดภายนอก </t>
  </si>
  <si>
    <t>P3.2</t>
  </si>
  <si>
    <t xml:space="preserve">Fin Facade คอนกรีตเสริมใยแก้ว (G.R.C) หนา 25 มม. ขึ้นรูปทรงตามแบบ </t>
  </si>
  <si>
    <t>*ดูรายละเอียดผนัง FACADE SHADING</t>
  </si>
  <si>
    <t>ข้อ 9.1</t>
  </si>
  <si>
    <t>งานทาสีลวดลาย TEXTURE ลายไข่ปลา และทาสีอะครีลิค ชนิดภายนอก</t>
  </si>
  <si>
    <t>P3.3</t>
  </si>
  <si>
    <t>P4.1</t>
  </si>
  <si>
    <t>ผนังกรุกระเบื้องโมเสค  LONG STICK ขนาดแผ่น 300x296 มม.</t>
  </si>
  <si>
    <t xml:space="preserve"> (ขนาดต่อชิ้น 22x145 มม.) สีดำ เคลือบซาติน </t>
  </si>
  <si>
    <t>P4.2</t>
  </si>
  <si>
    <t xml:space="preserve"> (ขนาดต่อชิ้น 22x145 มม.) สีขาว เคลือบซาติน </t>
  </si>
  <si>
    <t>P4.3</t>
  </si>
  <si>
    <t>ผนังกรุกระเบื้องโมเสค  ขนาด 12"x12"  จำนวน 36 ชิ้นต่อแผ่น</t>
  </si>
  <si>
    <t>P5.1</t>
  </si>
  <si>
    <t>ผนังกรุแผ่นเหล็ก 6 มม. ขัดรอยต่อเรียบ ดัดโค้งตามแบบ เสนอแบบขออนุมัติก่อนการติดตั้ง</t>
  </si>
  <si>
    <t xml:space="preserve">ทำสีพ่น COPPER เทียบสีผนัง P5.4 โครงเคร่าเหล็กติดตั้งตามมาตรฐานผู้ผลิต </t>
  </si>
  <si>
    <t>P5.2</t>
  </si>
  <si>
    <t xml:space="preserve">งานงผนังกรุไม้อัด 10 มม. ปิดแผ่นสแตนเลส ผิวซาติน หนา 1 มม. </t>
  </si>
  <si>
    <t>เสนอแบบขออนุมัติก่อนดำเนินการติดตั้ง</t>
  </si>
  <si>
    <t>P5.3</t>
  </si>
  <si>
    <t xml:space="preserve">ผนังกรุไม้อัด 10 มม. ปิดลามิเนตผิวสแตนเลส ผิวซาติน </t>
  </si>
  <si>
    <t>P5.4</t>
  </si>
  <si>
    <t>ผนัง ALUMINIUM COMPOSITE หนา 4 มม. ชนิดภายนอก สี Copper</t>
  </si>
  <si>
    <t>*คิดรวมในงานฝ้าเพดาน C3.2</t>
  </si>
  <si>
    <t>ข้อ 3.10</t>
  </si>
  <si>
    <t>โครงเคร่าเหล็กติดตั้งตามมาตรฐานผู้ผลิต เสนอแบบขออนุมัติก่อนดำเนินการติดตั้ง</t>
  </si>
  <si>
    <t>P5.5</t>
  </si>
  <si>
    <t>ผนัง ALUMINIUM COMPOSITE หนา 4 มม. ชนิดภายนอก  สี Silver</t>
  </si>
  <si>
    <t xml:space="preserve">งานผนัง ALUMINIUM COMPOSITE และงานผนังกรุไม้อัด 10 มม.ปิดแผ่นสแตนเลส </t>
  </si>
  <si>
    <t>ผิวซาติน ตกแต่งหน้าประตูลิฟต์</t>
  </si>
  <si>
    <t>ลิฟต์ L1  (จำนวนชุด/ชั้น)</t>
  </si>
  <si>
    <t>ชุด</t>
  </si>
  <si>
    <t>ลิฟต์ L3 (จำนวนชุด/ชั้น)</t>
  </si>
  <si>
    <t>ลิฟต์ L4 (จำนวนชุด/ชั้น)</t>
  </si>
  <si>
    <t>ลิฟต์ L6 (จำนวนชุด/ชั้น)</t>
  </si>
  <si>
    <t>งานบัวเชิงผนัง</t>
  </si>
  <si>
    <t>บัวเชิงผนัง 1</t>
  </si>
  <si>
    <t>บัวเชิงผนัง 2</t>
  </si>
  <si>
    <t>บัวเชิงผนัง 3</t>
  </si>
  <si>
    <t>บัวเชิงผนัง 4</t>
  </si>
  <si>
    <t>รวมราคางานผนังและผิวผนัง</t>
  </si>
  <si>
    <t>งานฝ้าเพดานและส่วนประกอบ</t>
  </si>
  <si>
    <t>C0</t>
  </si>
  <si>
    <t>ฝ้าเพดาน ดูรายละเอียดงานตกแต่งภายใน</t>
  </si>
  <si>
    <t>C1.1</t>
  </si>
  <si>
    <t>ฝ้าเพดานเปลือยผิวโครงสร้าง</t>
  </si>
  <si>
    <t>C1.2</t>
  </si>
  <si>
    <t>ฝ้าเพดานโครงสร้างแต่งผิวเรียบ</t>
  </si>
  <si>
    <t>C1.3</t>
  </si>
  <si>
    <t xml:space="preserve">ฝ้าเพดานผิวโครงสร้างฉาบปูนเรียบ </t>
  </si>
  <si>
    <t>C2.1</t>
  </si>
  <si>
    <t>ฝ้าเพดาน แผ่นยิปซั่มบอร์ด หนา 12 มม. แต่งผิวเรียบ</t>
  </si>
  <si>
    <t>C2.2</t>
  </si>
  <si>
    <t>ฝ้าเพดาน แผ่นยิปซั่มบอร์ด ชนิดกันชื้น หนา 12 มม. แต่งผิวเรียบ</t>
  </si>
  <si>
    <t>C2.3</t>
  </si>
  <si>
    <t>ฝ้าเพดาน แผ่นยิปซั่มกันร้อนพิเศษ  ผลิตจากแผ่นยิปซั่มบอร์ด หนา 9 มม.</t>
  </si>
  <si>
    <t>ทับหน้าด้วยฉนวนโฟม EPS HI - Dense หนา 50 มม. ขอบลาด</t>
  </si>
  <si>
    <t>C2.4</t>
  </si>
  <si>
    <t xml:space="preserve">ฝ้าเพดานยิปซั่มบอร์ดอะคูสติก หนา 12 มม. </t>
  </si>
  <si>
    <t>ฉลุลาย STANDARD CIRCULAR 10/23R แต่งผิวเรียบ</t>
  </si>
  <si>
    <t>C3.1</t>
  </si>
  <si>
    <t>ฝ้าเพดาน Aluminium Composite หนา 4 mm. ชนิดภายนอก สี Silver</t>
  </si>
  <si>
    <t>C3.2</t>
  </si>
  <si>
    <t>ฝ้าเพดาน Aluminium Composite หนา 4 mm. ชนิดภายนอก สี Copper</t>
  </si>
  <si>
    <t>C3.3</t>
  </si>
  <si>
    <t xml:space="preserve">ฝ้าเพดาน ALUMINIUM แบบ SCREEN ขนาด 100x100 สีขาว และ พับพิเศษขนาด </t>
  </si>
  <si>
    <t>40x100x3000 @2000 มม. สีขาว</t>
  </si>
  <si>
    <t>C3.4</t>
  </si>
  <si>
    <t>ฝ้าเพดานตะแกรงอลูมิเนียม (Aluminium Cell Ceiling) สีดำ ขนาด 100x100 มม.</t>
  </si>
  <si>
    <t>C3.5</t>
  </si>
  <si>
    <t>ฝ้าเพดานตะแกรงอลูมิเนียม (Aluminium Cell Ceiling) สีขาว ขนาด 100x100 มม.</t>
  </si>
  <si>
    <t>C3.6</t>
  </si>
  <si>
    <t>ฝ้าเพดานตะแกรงอลูมิเนียม (Aluminium Cell Ceiling) สีขาว ขนาด 50x50 มม.</t>
  </si>
  <si>
    <t>C3.7</t>
  </si>
  <si>
    <t>ฝ้าเพดานกรุแผ่นเหล็กหนา 3 มม. ขัดรอยต่อเรียบ ดัดโค้งตามแบบ</t>
  </si>
  <si>
    <t xml:space="preserve"> ทำสีพ่น COPPER (สีเดียวกับ C3.2)</t>
  </si>
  <si>
    <t>งานรางม่าน ตามแบบเลขที่ A705</t>
  </si>
  <si>
    <t>ไม้อัด 20 มม. ทาสีอะครีลิค</t>
  </si>
  <si>
    <t xml:space="preserve">Steel Square Tube 32 x 32 x 2.3 มม. </t>
  </si>
  <si>
    <t>กก.</t>
  </si>
  <si>
    <t>ฝาเหล็กพับ สำหรับเปิด Service</t>
  </si>
  <si>
    <t>งานทาสีน้ำมันอัลคิดโครงสร้างเหล็ก</t>
  </si>
  <si>
    <t>งานรางไฟ กว้างประมาณ 150 ม.ม. ตามแบบเลขที่ A705</t>
  </si>
  <si>
    <t>งานรางม่าน ตามแบบเลขที่ A706</t>
  </si>
  <si>
    <t>Aluminium Slot Diffusers 50X100 @50 มม. ตามแบบขยาย A706</t>
  </si>
  <si>
    <t>Steel Plate 3 mm.พับตามแบบ</t>
  </si>
  <si>
    <t>งานรางไฟ ตามแบบเลขที่ A706</t>
  </si>
  <si>
    <t>งานฝ้าเพดาน ทาสีอะครีลิคชนิดภายนอก</t>
  </si>
  <si>
    <t>งานฝ้าเพดาน ทาสีอะครีลิคชนิดภายใน C1.2 ,  C1.3 , C2.1 , C2.2 ,  C2.3 , C2.4</t>
  </si>
  <si>
    <t>งานประตู</t>
  </si>
  <si>
    <t>D0</t>
  </si>
  <si>
    <t>ประตู ดูรายละเอียดงานตกแต่งภายใน</t>
  </si>
  <si>
    <t>1S</t>
  </si>
  <si>
    <t>บานเปิดเดี่ยว บานประตูเหล็กทนไฟ ลูกฟักกระจกกันไฟ วงกบเหล็ก</t>
  </si>
  <si>
    <t>พร้อมยางกันควัน ขนาด 0.90 x 2.40 ม.</t>
  </si>
  <si>
    <t>2S</t>
  </si>
  <si>
    <t>บานเปิดคู่ บานประตูเหล็กทนไฟ ลูกฟักกระจกกันไฟ วงกบเหล็ก</t>
  </si>
  <si>
    <t>พร้อมยางกันควัน ขนาด 1.40 x 2.40 ม.</t>
  </si>
  <si>
    <t>3S</t>
  </si>
  <si>
    <t>พร้อมยางกันควัน ขนาด 1.80 x 2.40 ม.</t>
  </si>
  <si>
    <t>4S</t>
  </si>
  <si>
    <t>บานเปิดคู่ บานประตูเหล็ก วงกบเหล็ก ขนาด 1.80 x 2.40 ม.</t>
  </si>
  <si>
    <t>5S</t>
  </si>
  <si>
    <t>บานเปิดคู่ บานประตูเหล็ก วงกบเหล็ก ขนาด 1.40 x 2.40 ม.</t>
  </si>
  <si>
    <t>6S</t>
  </si>
  <si>
    <t>บานเปิดคู่ บานประตูเหล็ก ลูกฟักกระจกลวดขุ่น วงกบเหล็ก ขนาด 1.40 x 2.40 ม.</t>
  </si>
  <si>
    <t>7S</t>
  </si>
  <si>
    <t xml:space="preserve">บานเปิดคู่ ชนิดใช้ภายนอก บานประตูเหล็ก ลูกฟักกระจกลวดขุ่น วงกบเหล็ก </t>
  </si>
  <si>
    <t>ขนาด 1.80 x 2.40 ม.</t>
  </si>
  <si>
    <t>8S</t>
  </si>
  <si>
    <t>บานเปิดเดี่ยว บานประตูเหล็ก ลูกฟักเกล็ดเหล็ก วงกบเหล็ก ขนาด 0.90 x 2.40 ม.</t>
  </si>
  <si>
    <t>9S</t>
  </si>
  <si>
    <t>บานเลื่อน บานประตูเหล็ก ลูกฟักกระจกลวดขุ่น วงกบเหล็ก ขนาด 1.00 x 2.40 ม.</t>
  </si>
  <si>
    <t>10S</t>
  </si>
  <si>
    <t>บานเปิดเดี่ยว บานประตูเหล็ก ลูกฟักกระจกลวดขุ่น วงกบเหล็ก ขนาด 0.90 x 2.40 ม.</t>
  </si>
  <si>
    <t>11S</t>
  </si>
  <si>
    <t>บานเปิดเดี่ยว บานประตูเหล็ก วงกบเหล็ก ขนาด 0.90 x 2.40 ม.</t>
  </si>
  <si>
    <t>12S</t>
  </si>
  <si>
    <t>บานเปิดคู่ บานประตูเหล็ก ลูกฟักกระจกลวดขุ่น วงกบเหล็ก ขนาด 2.00 x 2.40 ม.</t>
  </si>
  <si>
    <t>13S</t>
  </si>
  <si>
    <t>บานเปิดคู่ บานประตูเหล็กผิวกรุลามิเนต วงกบเหล็ก ขนาด 1.80 x 2.00 ม.</t>
  </si>
  <si>
    <t>14S</t>
  </si>
  <si>
    <t>บานเปิดคู่ บานประตูเหล็ก ลูกฟักเกล็ดเหล็ก วงกบเหล็ก ขนาด 1.40 x 2.40 ม.</t>
  </si>
  <si>
    <t>15S</t>
  </si>
  <si>
    <t>บานเปิดคู่ บานประตูเหล็ก วงกบเหล็ก ขนาด 1.40 x 2.00 ม.</t>
  </si>
  <si>
    <t>16S</t>
  </si>
  <si>
    <t xml:space="preserve">ชุดบานช่องชาร์ป บานเปิดคู่ บานประตูเหล็ก ลูกฟักเกล็ดเหล็ก วงกบเหล็ก </t>
  </si>
  <si>
    <t>ขนาด 2.55 x 2.00 ม.</t>
  </si>
  <si>
    <t>17S</t>
  </si>
  <si>
    <t>ขนาด 3.817 x 2.00 ม.</t>
  </si>
  <si>
    <t>18S</t>
  </si>
  <si>
    <t>ประตูบานม้วน ใบโพลีคาร์บอเนต บานม้วนระบบไฟฟ้ามอเตอร์อุตสาหกรรม</t>
  </si>
  <si>
    <t>ขนาด 7.10 x 3.50 ม.</t>
  </si>
  <si>
    <t>19S</t>
  </si>
  <si>
    <t>ประตูบานม้วน ใบ Blue Scope ชนิด Colour Bond บานม้วนระบบสปริง</t>
  </si>
  <si>
    <t>ขนาด 1.80 x 3.50 ม.</t>
  </si>
  <si>
    <t>20S</t>
  </si>
  <si>
    <t>ขนาด 2.40 x 3.00 ม.</t>
  </si>
  <si>
    <t>21S</t>
  </si>
  <si>
    <t>บานเปิดคู่ บานประตูเหล็ก วงกบเหล็ก</t>
  </si>
  <si>
    <t>22S</t>
  </si>
  <si>
    <t>ขนาด 3.80 x 3.80 ม.</t>
  </si>
  <si>
    <t>23S</t>
  </si>
  <si>
    <t>ขนาด 0.60 x 2.00 ม.</t>
  </si>
  <si>
    <t>24S</t>
  </si>
  <si>
    <t>ชุดประตูถังเก็บน้ำ วงกบแสตนเลส บานประตูสแตนเลส ขนาด 0.80 x 0.70 ม.</t>
  </si>
  <si>
    <t>25S</t>
  </si>
  <si>
    <t>ขนาด 1.70 x 2.45 ม.</t>
  </si>
  <si>
    <t>1AL</t>
  </si>
  <si>
    <t xml:space="preserve">บานเปิดเลื่อนอัตโนมัติ/บานติดตาย วงกบ U สเตนเลส ขนาด 25 มม. </t>
  </si>
  <si>
    <t>ฝังเสมอ FINISHING โดยรอบ ลูกฟักกระจกเทมเปอร์ลามิเนต ขนาด 10.40 x 2.80 ม.</t>
  </si>
  <si>
    <t>2AL</t>
  </si>
  <si>
    <t xml:space="preserve">บานเปิดคู่ วงกบ U สเตนเลส ขนาด 25 มม. ฝังเสมอ FINISHING โดยรอบ </t>
  </si>
  <si>
    <t>ลูกฟักกระจกเทมเปอร์ลามิเนต ขนาด 3.65 x 4.00 ม.</t>
  </si>
  <si>
    <t>3AL</t>
  </si>
  <si>
    <t>บานเปิดคู่ วงกบอะลูมิเนียม ลูกฟักกระจกเทมเปอร์ลามิเนต ขนาด 2.30 x 2.40 ม.</t>
  </si>
  <si>
    <t>4AL</t>
  </si>
  <si>
    <t>บานเปิดเดี่ยว/บานติดตาย วงกบอะลูมิเนียม ลูกฟักกระจกเทมเปอร์ลามิเนต และ</t>
  </si>
  <si>
    <t>กระจกลามิเนต ขนาด 6.70 x 3.00 ม.</t>
  </si>
  <si>
    <t>5AL</t>
  </si>
  <si>
    <t>บานเปิดคู่/บานติดตาย  วงกบอะลูมิเนียม ลูกฟักกระจกโฟลทใส ขนาด 5.60 x 3.00 ม.</t>
  </si>
  <si>
    <t>6AL</t>
  </si>
  <si>
    <t>บานเปิดคู่/บานติดตาย  วงกบอะลูมิเนียม ลูกฟักกระจกโฟลทใส ขนาด 1.80 x 3.00 ม.</t>
  </si>
  <si>
    <t>7AL</t>
  </si>
  <si>
    <t>บานเปิดคู่/บานติดตาย  วงกบอะลูมิเนียม ลูกฟักกระจกโฟลทใส ขนาด 3.00 x 3.00 ม.</t>
  </si>
  <si>
    <t>8AL</t>
  </si>
  <si>
    <t xml:space="preserve">บานเปิดเดี่ยว/บานติดตาย  วงกบอะลูมิเนียม ลูกฟักกระจกโฟลทใส </t>
  </si>
  <si>
    <t>ขนาด 0.90 x 3.00 ม.</t>
  </si>
  <si>
    <t>9AL</t>
  </si>
  <si>
    <t xml:space="preserve">บานเปิดเลื่อนอัตโนมัติ/บานติดตาย วงกบอะลูมิเนียม ลูกฟักกระจกโฟลทใส </t>
  </si>
  <si>
    <t>ขนาด 3.815 x 2.475 ม.</t>
  </si>
  <si>
    <t>10AL</t>
  </si>
  <si>
    <t>ขนาด 5.70 x 2.40 ม.</t>
  </si>
  <si>
    <t>11AL</t>
  </si>
  <si>
    <t>บานเปิดคู่ วงกบอะลูมิเนียม ลูกฟักกระจกเทมเปอร์ ขนาด 1.775 x 1.90 ม.</t>
  </si>
  <si>
    <t>12AL</t>
  </si>
  <si>
    <t>ขนาด 1.60 x 2.40 ม.</t>
  </si>
  <si>
    <t>13AL</t>
  </si>
  <si>
    <t>ขนาด 1.50 x 2.40 ม.</t>
  </si>
  <si>
    <t>14AL</t>
  </si>
  <si>
    <t>ขนาด 1.10 x 3.00 ม.</t>
  </si>
  <si>
    <t>งานอุปกรณ์ประตู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</si>
  <si>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</si>
  <si>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</si>
  <si>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</si>
  <si>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</si>
  <si>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</si>
  <si>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</si>
  <si>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</si>
  <si>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</si>
  <si>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</si>
  <si>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</si>
  <si>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</si>
  <si>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</si>
  <si>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</si>
  <si>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</si>
  <si>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</si>
  <si>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</si>
  <si>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</si>
  <si>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</si>
  <si>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</si>
  <si>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</si>
  <si>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</si>
  <si>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</si>
  <si>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</si>
  <si>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รวมราคางานประตู</t>
  </si>
  <si>
    <t>งานหน้าต่างและ Curtain Wall</t>
  </si>
  <si>
    <t>AW1</t>
  </si>
  <si>
    <t>บานติดตาย วงกบอะลูมิเนียม  ขนาด 5.20 x 2.00 ม.</t>
  </si>
  <si>
    <t>AW2.1</t>
  </si>
  <si>
    <t>บานเกล็ดอะลูมิเนียมกันน้ำ 100% รุ่น RHP 2500 วงกบอะลูมิเนียม</t>
  </si>
  <si>
    <t>ขนาด 1.70 x 2.70 ม.</t>
  </si>
  <si>
    <t>AW2.2</t>
  </si>
  <si>
    <t xml:space="preserve">บานเปิด/บานติดตาย วงกบอะลูมิเนียม ลูกฟักกระจกLaminated Glass + LOW - E  </t>
  </si>
  <si>
    <t>ขนาด 1.40 x 2.90 ม.</t>
  </si>
  <si>
    <t>AW2.3</t>
  </si>
  <si>
    <t>ขนาด 1.25 x 2.90 ม.</t>
  </si>
  <si>
    <t>AW2.4</t>
  </si>
  <si>
    <t>ขนาด 1.15 x 2.90 ม.</t>
  </si>
  <si>
    <t>AW2.5</t>
  </si>
  <si>
    <t>ขนาด 1.10 x 2.90 ม.</t>
  </si>
  <si>
    <t>AW2.6</t>
  </si>
  <si>
    <t>ขนาด 0.85 x 2.90 ม.</t>
  </si>
  <si>
    <t>AW3</t>
  </si>
  <si>
    <t>บานติดตาย วงกบอะลูมิเนียม ลูกฟักกระจก Temper Laminate Clear - Clear</t>
  </si>
  <si>
    <t>ขนาด 6.00 + 6.00 + 6.00 +6.00 + 1.76  x 2.90 ม.</t>
  </si>
  <si>
    <t>AW4</t>
  </si>
  <si>
    <t>บานกระทุ้ง/บานติดตาย วงกบอะลูมิเนียม ลูกฟักกระจก Laminated Glass + LOW-E</t>
  </si>
  <si>
    <t>ขนาด 2.50 x 2.40 ม.</t>
  </si>
  <si>
    <t>AW5</t>
  </si>
  <si>
    <t>บานติดตาย วงกบอะลูมิเนียม ลูกฟักกระจก Laminated Glass + LOW-E</t>
  </si>
  <si>
    <t>ขนาด 6.00 x 2.75 ม.</t>
  </si>
  <si>
    <t>AW6.1</t>
  </si>
  <si>
    <t>AW6.2</t>
  </si>
  <si>
    <t>ขนาด 1.40 x 2.45 ม.</t>
  </si>
  <si>
    <t>AW6.3</t>
  </si>
  <si>
    <t>ขนาด 1.25 x 2.45 ม.</t>
  </si>
  <si>
    <t>AW6.4</t>
  </si>
  <si>
    <t>ขนาด 1.15 x 2.45 ม.</t>
  </si>
  <si>
    <t>AW6.5</t>
  </si>
  <si>
    <t>ขนาด 1.10 x 2.45 ม.</t>
  </si>
  <si>
    <t>AW6.6</t>
  </si>
  <si>
    <t>ขนาด 0.85 x 2.45 ม.</t>
  </si>
  <si>
    <t>AW6.7</t>
  </si>
  <si>
    <t>ขนาด 0.75 x 2.45 ม.</t>
  </si>
  <si>
    <t>AW6.8</t>
  </si>
  <si>
    <t>ขนาด 0.65 x 2.45 ม.</t>
  </si>
  <si>
    <t>AW6.9</t>
  </si>
  <si>
    <t>ขนาด 0.50 x 2.45 ม.</t>
  </si>
  <si>
    <t>AW6.10</t>
  </si>
  <si>
    <t>ขนาด 0.45 x 2.45 ม.</t>
  </si>
  <si>
    <t>AW7.1</t>
  </si>
  <si>
    <t>บานกระทุ้ง วงกบอะลูมิเนียม ลูกฟักกระจก Laminated Glass + LOW-E</t>
  </si>
  <si>
    <t>ขนาด 1.60 x 0.50 ม.</t>
  </si>
  <si>
    <t>AW7.2</t>
  </si>
  <si>
    <t>AW7.3</t>
  </si>
  <si>
    <t>AW7.4</t>
  </si>
  <si>
    <t>AW7.5</t>
  </si>
  <si>
    <t>AW7.6</t>
  </si>
  <si>
    <t>AW8.1</t>
  </si>
  <si>
    <t>ขนาด 1.60 x 1.00 ม.</t>
  </si>
  <si>
    <t>AW8.2</t>
  </si>
  <si>
    <t>AW9.1</t>
  </si>
  <si>
    <t>AW9.2</t>
  </si>
  <si>
    <t>ขนาด 4.00 x 1.00 ม.</t>
  </si>
  <si>
    <t>AW10</t>
  </si>
  <si>
    <t>บานติดตาย วงกบอะลูมิเนียม ลูกฟักกระจกโฟลท ขนาด 3.80 x 2.45 ม.</t>
  </si>
  <si>
    <t>CW1</t>
  </si>
  <si>
    <t xml:space="preserve">Curtain Wall - Insulated Glass </t>
  </si>
  <si>
    <t>(HS 8 mm.+PVB0.38 + PVB 1.14 + LOW-E 6 mm.+Air 12 mm.+HS 8 mm.)</t>
  </si>
  <si>
    <t>CW2A</t>
  </si>
  <si>
    <t>Curtain Wall - Laminated Glass (HS 6 mm.++1.52 PVB + LOW-E 6 mm. )</t>
  </si>
  <si>
    <t>CW2B</t>
  </si>
  <si>
    <t>CW2C</t>
  </si>
  <si>
    <t>CW2D</t>
  </si>
  <si>
    <t>CW3A</t>
  </si>
  <si>
    <t>(HS 6 mm.+PVB0.38 + PVB 1.14 + LOW-E 6 mm.+Air 12 mm.+HS 6 mm.)</t>
  </si>
  <si>
    <t>CW3B</t>
  </si>
  <si>
    <t>CW3C</t>
  </si>
  <si>
    <t>CW4A</t>
  </si>
  <si>
    <t>CW4B</t>
  </si>
  <si>
    <t>CW4C</t>
  </si>
  <si>
    <t>รวมราคางานหน้าต่างและ Curtain Wall</t>
  </si>
  <si>
    <t>ผนังห้องน้ำสำเร็จรูป</t>
  </si>
  <si>
    <t>อ่างล้างหน้าฝังชนิดใต้เคาน์เตอร์ พร้อมก๊อก และอุปกรณ์ครบชุด</t>
  </si>
  <si>
    <t xml:space="preserve">อ่างล้างหน้าชนิดแขวน พร้อมก๊อกและอุปกรณ์ครบชุด </t>
  </si>
  <si>
    <t>(ห้องน้ำผู้พิการ- BT03,1T05,2T03,2T06,3T03)</t>
  </si>
  <si>
    <t>อ่างล้างหน้าชนิดแขวน พร้อมก๊อกและอุปกรณ์ครบชุด (ห้องน้ำ BT06,3T04,Prayer Rm. 306-307)</t>
  </si>
  <si>
    <t xml:space="preserve">โถสุขภัณฑ์แบบฟลัชวาล์ว พร้อมฟลัชวาล์วอุปกรณ์ครบชุด </t>
  </si>
  <si>
    <t xml:space="preserve">โถสุขภัณฑ์แบบฟลัชแทงก์ พร้อมอุปกรณ์ครบชุด </t>
  </si>
  <si>
    <t>(ห้องน้ำผู้พิการ- BT03,1T01,1T02,1T05,2T03,2T06,3T03)</t>
  </si>
  <si>
    <t>โถสุขภัณฑ์แบบฟลัชแทงก์ สำหรับเด็กพร้อมอุปกรณ์ครบชุด (ห้องน้ำ 2T01,2T02)</t>
  </si>
  <si>
    <t xml:space="preserve">โถปัสสาวะชาย พร้อมฟลัชวาล์วและอุปกรณ์ครบชุด </t>
  </si>
  <si>
    <t>(ห้องน้ำ BT02,BT04,1T01,1T03,1T07,2T01,2T05,3T01,3T05,3MT01)</t>
  </si>
  <si>
    <t>โถปัสสาวะชาย พร้อมฟลัชวาล์ว และอุปกรณ์ครบชุด (ห้องน้ำ BT06)</t>
  </si>
  <si>
    <t xml:space="preserve">สายชำระ  </t>
  </si>
  <si>
    <t xml:space="preserve">ที่กั้นโถปัสสาวะ </t>
  </si>
  <si>
    <t xml:space="preserve">GRABBAR  </t>
  </si>
  <si>
    <t xml:space="preserve">ก๊อกติดผนังก้านปัด  </t>
  </si>
  <si>
    <t xml:space="preserve">ก๊อกติดผนัง  </t>
  </si>
  <si>
    <t xml:space="preserve">ที่ใส่กระดาษชำระ </t>
  </si>
  <si>
    <t xml:space="preserve">ถาดเปลี่ยนผ้าอ้อม  </t>
  </si>
  <si>
    <t xml:space="preserve">เก้าอี้เด็กติดผนัง  </t>
  </si>
  <si>
    <t xml:space="preserve">Emergency  Shower and Eye Wash  </t>
  </si>
  <si>
    <t>Service Sink  พร้อมก๊อกก้านปัด และอุปกรณ์ครบชุด</t>
  </si>
  <si>
    <t>กระจกเงา สูง 1350 มม. (ตามแบบขยาย A512)</t>
  </si>
  <si>
    <t>เคาน์เตอร์อ่างล้างหน้ากรุหินสังเคราะห์ ขนาดกว้าง 600 มม. (ตามแบบขยาย A512)</t>
  </si>
  <si>
    <t>เคาน์เตอร์หลังโถปัสสาวะกรุหินสังเคราะห์  ขนาดกว้าง 205 มม.  (ตามแบบขยาย A512)</t>
  </si>
  <si>
    <t>ผนังกระจก, ที่ใส่กระดาษทิชชู่ (ตามแบบขยาย A513)</t>
  </si>
  <si>
    <t>งานยาแนวซิลิโคนสุขภัณฑ์</t>
  </si>
  <si>
    <t>รวมราคางานสุขภัณฑ์และส่วนประกอบ</t>
  </si>
  <si>
    <t>บันได 1</t>
  </si>
  <si>
    <t>งานขั้นบันได ผิวขัดมันหนา 30 - 50 มม. ทาสี Epoxy Coating</t>
  </si>
  <si>
    <t>งานชานพักบันได ผิวขัดมันหนา 30 - 50 มม. ทาสี Epoxy Coating</t>
  </si>
  <si>
    <t>งานจมูกบันไดแบบที่ 1</t>
  </si>
  <si>
    <t>งานราวบันได ST1</t>
  </si>
  <si>
    <t>งานบัวข้างบันไดทาสี Epoxy Coating</t>
  </si>
  <si>
    <t>งานฉาบปูนท้องพื้นบันไดและข้างบันได</t>
  </si>
  <si>
    <t>งานทาสีพื้นบันไดและข้างบันได</t>
  </si>
  <si>
    <t>บันได 1.1</t>
  </si>
  <si>
    <t>งานขั้นบันได พื้นผิวหินขัด</t>
  </si>
  <si>
    <t>งานชานพักบันได พื้นผิวหินขัด</t>
  </si>
  <si>
    <t>งานจมูกบันไดแบบที่ 2</t>
  </si>
  <si>
    <t>งานราวบันได ST1.1</t>
  </si>
  <si>
    <t>งานราวกันตก 1.1</t>
  </si>
  <si>
    <t>งานบัวข้างบันได ผิวหินขัด</t>
  </si>
  <si>
    <t>งานทาสีท้องพื้นบันไดและข้างบันได</t>
  </si>
  <si>
    <t>บันได 2</t>
  </si>
  <si>
    <t>งานราวบันได ST2</t>
  </si>
  <si>
    <t>บันได 3</t>
  </si>
  <si>
    <t>งานราวบันได ST3</t>
  </si>
  <si>
    <t>บันได 4</t>
  </si>
  <si>
    <t>บันได 5</t>
  </si>
  <si>
    <t xml:space="preserve">                               </t>
  </si>
  <si>
    <t>งานขั้นบันได พื้นผิวหินขัด กว้าง ประมาณ 400 -500 มม.</t>
  </si>
  <si>
    <t>งานจมูกบันไดแบบที่ 5</t>
  </si>
  <si>
    <t>งานแผ่น Smart board หนา 20 มม.</t>
  </si>
  <si>
    <t>งานลูกนอนบันได พื้นกรุไม้สักประสาน</t>
  </si>
  <si>
    <t>งานลูกตั้งบันได พื้นกรุไม้สักประสาน</t>
  </si>
  <si>
    <t>งานชานพักบันได พื้นกรุไม้สักประสาน</t>
  </si>
  <si>
    <t>งานจมูกบันไดแบบที่ 4</t>
  </si>
  <si>
    <t>งานราวบันได ST5</t>
  </si>
  <si>
    <t>Checkered Plate THK.6 mm.</t>
  </si>
  <si>
    <t>งานโครงสร้างเหล็กบันได</t>
  </si>
  <si>
    <t>* ดูรายละเอียดงานวิศวกรรมโครงสร้าง</t>
  </si>
  <si>
    <t>คส. ข้อ 10</t>
  </si>
  <si>
    <t>งานทาสีน้ำมันอัลคิด โครงสร้างเหล็กทั้งหมด</t>
  </si>
  <si>
    <t>บันได 6</t>
  </si>
  <si>
    <t xml:space="preserve">งานขั้นบันได พื้นผิวทรายล้าง </t>
  </si>
  <si>
    <t>งานชานพักบันได พื้นผิวทรายล้าง</t>
  </si>
  <si>
    <t>งานจมูกบันไดแบบที่ 3</t>
  </si>
  <si>
    <t>งานราวบันได ST6</t>
  </si>
  <si>
    <t>งานบัวข้างบันได ผิวทรายล้าง</t>
  </si>
  <si>
    <t>งานผนังกันตก 1</t>
  </si>
  <si>
    <t>งานรางระบายน้ำตามแบบขยาย</t>
  </si>
  <si>
    <t>บันได 7</t>
  </si>
  <si>
    <t>บันได 7.1</t>
  </si>
  <si>
    <t>งานขั้นบันได ผิวขัดมัน</t>
  </si>
  <si>
    <t>บันได 8</t>
  </si>
  <si>
    <t>Steel Plate 12 mm.</t>
  </si>
  <si>
    <t>งานขั้นบันไดปูทับด้วยแผ่นยางกันลื่นลายเหรียญ Round Dot - Anti Slip หนา 5 มม.</t>
  </si>
  <si>
    <t>งานชานพักบันไดปูทับด้วยแผ่นยางกันลื่น ลายเหรียญ Round Dot Anti Slip หนา 5 มม.</t>
  </si>
  <si>
    <t>งานแม่บันได WF</t>
  </si>
  <si>
    <t>งานราวบันได ST8</t>
  </si>
  <si>
    <t>บันได 9</t>
  </si>
  <si>
    <t>งานขั้นบันไดปูกระเบื้องหินขัดสีดำ</t>
  </si>
  <si>
    <t>งานชานพักปูกระเบื้องหินขัดสีดำ</t>
  </si>
  <si>
    <t>งานจมูกบันไดแบบที่ 6</t>
  </si>
  <si>
    <t>งานราวบันได ST9</t>
  </si>
  <si>
    <t>บันได 10</t>
  </si>
  <si>
    <t>งานขั้นบันได Steel Plate 10 mm.</t>
  </si>
  <si>
    <t>งานขั้นบันไดผิวหินขัดสำเร็จรูป</t>
  </si>
  <si>
    <t>จมูกบันได แบบที่ 5</t>
  </si>
  <si>
    <t>งานชานพักบันได พื้นสมาร์ทบอร์ดหนา 20 มม. ผิวหินขัดสำเร็จรูป</t>
  </si>
  <si>
    <t xml:space="preserve">หนา 2 มม. (ระบุสีภายหลัง)  </t>
  </si>
  <si>
    <t xml:space="preserve">*ดูรายละเอียดงานวิศวกรรมโครงสร้าง </t>
  </si>
  <si>
    <t>งานราวบันได ST10</t>
  </si>
  <si>
    <t>บันได 11</t>
  </si>
  <si>
    <t xml:space="preserve">งานขั้นบันได ผิวปูกระเบื้องสีเทา ขนาด 600x600x10 มม. </t>
  </si>
  <si>
    <t>งานราวบันได ST11</t>
  </si>
  <si>
    <t>ทางเดิน Catwalk 1</t>
  </si>
  <si>
    <t>งานทางเดินSmart board หนา 20 มม.กรุไม้สักประสาน ขนาด 14x50x450-1200 มม.</t>
  </si>
  <si>
    <t>สี Cinnamon เคลือบใสด้าน</t>
  </si>
  <si>
    <t>ขอบไม้จริง ขนาด 75x20 มม. ทำผิวสีธรรมชาติ</t>
  </si>
  <si>
    <t>งานโครงสร้างรับพื้น Catwalk</t>
  </si>
  <si>
    <t>งานราวกันตก Catwalk</t>
  </si>
  <si>
    <t>งานฝ้าเพดาน Smart board หนา 20 มม.กรุไม้สักประสาน ขนาด 14x50x450-1200 มม.</t>
  </si>
  <si>
    <t>โครงเคร่าฝ้าเพดานเหล็ก 50x25x1.7 @300 มม.</t>
  </si>
  <si>
    <t>ทางเดิน Catwalk 2</t>
  </si>
  <si>
    <t>ทางลาด ค.ส.ล.</t>
  </si>
  <si>
    <t>ทางลาด ค.ส.ล. ผิวขัดเรียบ ตัดร่องผิว กว้าง 15 มม. ลึก 10 มม. @150มม.</t>
  </si>
  <si>
    <t>งานราวกันตก</t>
  </si>
  <si>
    <t>งานราวกันตก 1</t>
  </si>
  <si>
    <t>งานราวกันตก 2</t>
  </si>
  <si>
    <t>งานราวกันตก 2.1</t>
  </si>
  <si>
    <t>งานราวกันตก 3</t>
  </si>
  <si>
    <t>งานราวกันตก 4</t>
  </si>
  <si>
    <t>งานราวกันตก 5</t>
  </si>
  <si>
    <t>งานราวกันตก 6</t>
  </si>
  <si>
    <t>งานราวกันตก 7</t>
  </si>
  <si>
    <t>งานราว Urban Void  1</t>
  </si>
  <si>
    <t>งานราว Urban Void  2</t>
  </si>
  <si>
    <t>งานบันไดถังเก็บน้ำ</t>
  </si>
  <si>
    <t>งานบันไดลิง (เหล็ก) ถังเก็บน้ำ</t>
  </si>
  <si>
    <t>งานบันไดลิง (แสตนเลส) ถังเก็บน้ำ</t>
  </si>
  <si>
    <t>รวมราคางานบันได ราวบันได ราวกันตก และส่วนประกอบ</t>
  </si>
  <si>
    <t>งานหลังคา Metal Sheet</t>
  </si>
  <si>
    <t>หลังคา Metal Sheet รุ่น 360 Seam</t>
  </si>
  <si>
    <t>Flashing หลังคาครอบสัน</t>
  </si>
  <si>
    <t>Flashing หลังคาครอบชายคาล่าง</t>
  </si>
  <si>
    <t>Flashing หลังคาครอบชนผนัง</t>
  </si>
  <si>
    <t>งานโครงสร้างหลังคา</t>
  </si>
  <si>
    <t>คส. ข้อ 8</t>
  </si>
  <si>
    <t xml:space="preserve">งานทาสีกันไฟ Fireproof Coating โครงสร้างหลังคา </t>
  </si>
  <si>
    <t>ความหนาไม่น้อยกว่า 1500 ไมครอน กันไฟได้ไม่น้อยกว่า 3 ชม.</t>
  </si>
  <si>
    <t>งานหลังคา Skylight</t>
  </si>
  <si>
    <t xml:space="preserve">กระจกลามิเนตนิรภัยแข็งแรงพิเศษ (Laminate Super High Strength Glass) </t>
  </si>
  <si>
    <t xml:space="preserve">หรือตามมาตรฐานผู้ผลิต (การติดตั้งเสนออนุมัติ) </t>
  </si>
  <si>
    <t xml:space="preserve">Flashing </t>
  </si>
  <si>
    <t>งานทาสีกันไฟ Fireproof Coating โครงสร้างหลังคา ความหนาไม่น้อยกว่า 1000 ไมครอน</t>
  </si>
  <si>
    <t>*คิดรวมในงานหลังคา metal Sheet</t>
  </si>
  <si>
    <t>งานหลังคายื่น</t>
  </si>
  <si>
    <t>Aluminium Composite Cladding หนา 4 mm. ไส้กันไฟ ชนิดภายนอก สี Silver</t>
  </si>
  <si>
    <t>CEMENT BOARD 20mm. พร้อมแผ่นรองกันความชื้นและ Membrene Sheet</t>
  </si>
  <si>
    <t>งาน Flashing</t>
  </si>
  <si>
    <t>งานอุปกรณ์ประกอบการติดตั้งประกอบแผ่น Membrene Sheet</t>
  </si>
  <si>
    <t>งานหลังคา Canopy</t>
  </si>
  <si>
    <t>ปูกันซึมด้วย MEMBRANE SHEET</t>
  </si>
  <si>
    <t>รางน้ำ แสตนเลสหนา 1.5 มม. พับตามแบบ</t>
  </si>
  <si>
    <t>เหล็ก PLATE เหล็กหนา 6 มม. ปิดขอบหลังคา ทำสีเทียบ แผ่นอลูมิเนียมคอมโพสิต</t>
  </si>
  <si>
    <t>เหล็ก PLATE เหล็กหนา 3 มม. ทำสีเทียบ แผ่นอลูมิเนียมคอมโพสิต</t>
  </si>
  <si>
    <t>งานหลังคา Aluminium Composite ชั้น 3 (บริเวณ CW3B)</t>
  </si>
  <si>
    <t>งานฉนวนกันความร้อนและฉนวนดูดซับเสียง</t>
  </si>
  <si>
    <t>งานฉนวนใยแก้วหนา 5 นิ้ว ใต้ท้องแผ่นรองด้วยแผ่น metal Sheet</t>
  </si>
  <si>
    <t xml:space="preserve">ฉนวนกันความร้อน ชนิด Expanded Polystyrene Board ความหนา 50 มม. </t>
  </si>
  <si>
    <t>ฉนวนซับเสียง หุ้มรอบด้านด้วยผ้าใยแก้ว</t>
  </si>
  <si>
    <t>ขนาด 600 x 1200 x 50 มม. สีขาว (ติดตั้งที่ผนังและฝ้าห้องเครื่องระบบปรับอากาศ)</t>
  </si>
  <si>
    <t>งานระบบกันซึมชั้น</t>
  </si>
  <si>
    <t xml:space="preserve">งานกันซึมชนิด PVC Sheet membrane ระบบแผ่น Polyvinylcoride </t>
  </si>
  <si>
    <t>หนาไม่น้อยกว่า 1.5 มม.  ติดตั้งตามมาตรฐานของผู้ผลิต</t>
  </si>
  <si>
    <t xml:space="preserve">งานกันซึมประเภท CEMENT BASE  (Two Part Polymer Modified Cementitious </t>
  </si>
  <si>
    <t xml:space="preserve">Water Proof Mortar) รวมชั้นรองพื้นและชั้นกันซึม ไม่น้อยกว่า 3 ชั้น </t>
  </si>
  <si>
    <t>งานแผงบังแอร์</t>
  </si>
  <si>
    <t>แผ่นเหล็กเจาะรู (perforate sheet) H8x12P mm. 40% หนา 2mm.</t>
  </si>
  <si>
    <t>เหล็กกล่อง 100x50x3.2 mm.</t>
  </si>
  <si>
    <t>เหล็กฉาก 100x100x7 mm.</t>
  </si>
  <si>
    <t>แผ่นเหล็ก plate หนา 6mm.</t>
  </si>
  <si>
    <t>งานโครงสร้างเหล็กทั้งหมดทาสีน้ำมัน สีดำเทียบสี TOA#8294</t>
  </si>
  <si>
    <t>ชุดประตูล้อเลื่อน 1 ชุด</t>
  </si>
  <si>
    <t>รวมราคางานหลังคา งานฉนวนกันความร้อน งานกันซึมและส่วนประกอบ</t>
  </si>
  <si>
    <t>ผนัง FACADE SHADING</t>
  </si>
  <si>
    <t>9.1.1</t>
  </si>
  <si>
    <t>บัว GRC 0.50 x 0.25 x 0.50 x 0.25 m. เสริมเหล็กกลม 2" t = 3.2 mm.</t>
  </si>
  <si>
    <t>ชิ้น</t>
  </si>
  <si>
    <t>บัว GRC 0.50 x 0.25 x 0.50 x 0.25 m. เสริมเหล็กกลม 4" t = 3.2 mm.</t>
  </si>
  <si>
    <t>9.1.2</t>
  </si>
  <si>
    <t>งานโครงสร้างเหล็กผนัง Facde Shading</t>
  </si>
  <si>
    <t>งานทาสีกันสนิม โครงสร้างเหล็กผนัง Facde Shading</t>
  </si>
  <si>
    <t>รวมราคาผนัง FACADE SHADING</t>
  </si>
  <si>
    <t>งาน Urban Void</t>
  </si>
  <si>
    <t>9.2.1</t>
  </si>
  <si>
    <t>งานดัดโค้ง</t>
  </si>
  <si>
    <t>9.2.3</t>
  </si>
  <si>
    <t>งานโครงสร้างเหล็ก</t>
  </si>
  <si>
    <t>งานทาสีกันสนิม งานโครงสร้างเหล็ก</t>
  </si>
  <si>
    <t>9.2.4</t>
  </si>
  <si>
    <t xml:space="preserve">งานผนัง - พื้นกระจก </t>
  </si>
  <si>
    <t>พื้นกระจก HEAT STRENGTH INP FILM  LAMINATE 10+10 CRYSTAL CLEAR</t>
  </si>
  <si>
    <t>งานผนังกระจกโค้งกระจก HEAT STRENGTH INP FILM LAMINATE 8+8  CRYSTAL CLEAR</t>
  </si>
  <si>
    <t>ค่าดำเนินการติดตั้ง</t>
  </si>
  <si>
    <t>งาน</t>
  </si>
  <si>
    <t>9.2.5</t>
  </si>
  <si>
    <t>งานบันได Urban Void</t>
  </si>
  <si>
    <t xml:space="preserve">งานขั้นบันไดผิวหินขัดสำเร็จรูป เม็ดหินขาว-มุก เบอร์ 4½  ระบุขนาดและลายภายหลัง </t>
  </si>
  <si>
    <t>พร้อมลงน้ำยาเคลือบ กว้างประมาณ 500 -1000 มม. ตามแบบ</t>
  </si>
  <si>
    <t>พร้อมลงน้ำยาเคลือบ กว้างประมาณ 250 -300 มม. ตามแบบ</t>
  </si>
  <si>
    <t>จมูกบันได แบบที่ 2</t>
  </si>
  <si>
    <t>รวมราคงาน Urban Void</t>
  </si>
  <si>
    <t>รวมราคงาน Facade และ Urban Void</t>
  </si>
  <si>
    <t>งานกำจัดปลวก</t>
  </si>
  <si>
    <t>งานสีเครื่องหมายจราจร</t>
  </si>
  <si>
    <t>งานสีแนวเส้นที่จอดรถ 100 มม.</t>
  </si>
  <si>
    <t>งานสีแนวเส้นสัญลักษณ์ที่จอดรถคนพิการ</t>
  </si>
  <si>
    <t>งานขอบกั้นล้อ ค.ส.ล. เปลือยผิว</t>
  </si>
  <si>
    <t>รวมราคงานเบ็ดเตล็ด</t>
  </si>
  <si>
    <t xml:space="preserve">งานสถาปัตยกรรมภายใน  (RC 1) </t>
  </si>
  <si>
    <t>สรุปราคาค่าก่อสร้างงานสถาปัตยกรรมภายใน</t>
  </si>
  <si>
    <t>งานฝ้าตกแต่ง</t>
  </si>
  <si>
    <t>งานประตูพิเศษ</t>
  </si>
  <si>
    <t>รวมราคาค่าก่อสร้างงานสถาปัตยกรรมภายใน</t>
  </si>
  <si>
    <t>IN-F1.1</t>
  </si>
  <si>
    <t>พื้นคอนกรีตปรับระดับ ขัดพื้นคอนกรีตด้วยเครื่องขัดรอบความเร็วสูง</t>
  </si>
  <si>
    <t>IN-F1.2</t>
  </si>
  <si>
    <t>IN-F3.1</t>
  </si>
  <si>
    <t>พื้นคอนกรีตทำผิวหินขัด สีเทา</t>
  </si>
  <si>
    <t>IN-F3.2</t>
  </si>
  <si>
    <t>*รวมในงานสถาปัตย์</t>
  </si>
  <si>
    <t>IN-F3.3</t>
  </si>
  <si>
    <t>IN-F3.4</t>
  </si>
  <si>
    <t>IN-F4.1</t>
  </si>
  <si>
    <t>พื้นไม้เอ็นจิเนียร์ OAK ขนาด 1"x6" X60 cm ปูบนไม้อัด  20 mm.</t>
  </si>
  <si>
    <t>IN-F5.1</t>
  </si>
  <si>
    <t>พื้นปูไม้Compound Maple ขนาด 1"x6" X60 cm  ปูบน Fiber Cement 20 mm.</t>
  </si>
  <si>
    <t>IN-F5.2</t>
  </si>
  <si>
    <t>พื้นปูไม้Compound OAK ขนาด 1"x6" X60 cm ปูบน Fiber Cement 20 mm.</t>
  </si>
  <si>
    <t>IN-F5.3</t>
  </si>
  <si>
    <t>พื้นไม้เอ็นจิเนียร์ OAK ขนาด 1"x6" X60 cm ปูบน Fiber Cement  20 mm.</t>
  </si>
  <si>
    <t>IN-F5.4</t>
  </si>
  <si>
    <t xml:space="preserve">พื้นไม้เอ็นจิเนียร์ OAK ขนาด 1"x6" X60 cm        </t>
  </si>
  <si>
    <t>IN-F5.5</t>
  </si>
  <si>
    <t xml:space="preserve">พื้นไม้เอ็นจิเนียร์ OAK ขนาด 1"x6" X60 cm            </t>
  </si>
  <si>
    <t>IN-F5.6</t>
  </si>
  <si>
    <t>IN-F8.1</t>
  </si>
  <si>
    <t xml:space="preserve">พื้นคอนกรีตปรับระดับ ปูกระเบื้องยาง SPC ลายไม้ความหนาไม่น้อยกว่า 4 mm  </t>
  </si>
  <si>
    <t>IN-F8.2</t>
  </si>
  <si>
    <t>ACCESS FLOOR SYSTEM ขนาด600x600x35mm. และกรุด้วยกระเบื้องยาง</t>
  </si>
  <si>
    <t>IN-F8.3</t>
  </si>
  <si>
    <t>กระเบื้องยางไวนิล Acoustic แบบม้วน ชนิด Heterogeneous ความหนาไม่น้อยกว่า 3.4 mm</t>
  </si>
  <si>
    <t>IN-F9.1</t>
  </si>
  <si>
    <t>พื้นคอนกรีต ปรับระดับ ปูพรม Acoustic Carpet Tile แบบแผ่น ขนาด 0.25 x 1.00 m.ความหนาไม่น้อยกว่า 8 mm</t>
  </si>
  <si>
    <t>IN-F9.2</t>
  </si>
  <si>
    <t>พรมไนลอนแบบม้วน  ความหนาไม่น้อยกว่า 4.3 mm.</t>
  </si>
  <si>
    <t>IN-F9.3</t>
  </si>
  <si>
    <t xml:space="preserve">พื้นคอนกรีต ปรับระดับ ปูพรมไวนิลถักทอ แบบม้วน ความหนาไม่น้อยกว่า 2.58 mm  </t>
  </si>
  <si>
    <t>IN-F10.1</t>
  </si>
  <si>
    <t xml:space="preserve">พื้นผิวนิรภัยสำหรับสนามเด็กเล่น (PLAYGROUND PROTECTIVE SURFACING) EPDM  ความหนาไม่น้อยกว่า 10 mm </t>
  </si>
  <si>
    <t>รวมราคาหมวดงานผิวพื้น</t>
  </si>
  <si>
    <t>IN.W01</t>
  </si>
  <si>
    <t xml:space="preserve">ระบบผนังเบากันเสียง STC เทียบเท่า 62 </t>
  </si>
  <si>
    <t>IN.W02</t>
  </si>
  <si>
    <t>ระบบผนังเบากันเสียง STC เทียบเท่า 66</t>
  </si>
  <si>
    <t>IN.W03</t>
  </si>
  <si>
    <t>ระบบผนังเบากันเสียง  STC เทียบเท่า 56</t>
  </si>
  <si>
    <t>IN.W04</t>
  </si>
  <si>
    <t>ระบบผนังเบากันเสียง สำหรับบังงานท่อปรับอากาศ</t>
  </si>
  <si>
    <t>P01</t>
  </si>
  <si>
    <t>งานทาสีผนังภายใน สีขาว</t>
  </si>
  <si>
    <t>รวมราคาหมวดงานผนัง</t>
  </si>
  <si>
    <t>IN-C2.1</t>
  </si>
  <si>
    <t xml:space="preserve">ฝ้าเพดาน ยิปซั่มบอร์ด ขนาด 1.2 x 2.4 m. ความหนา 9 mm. </t>
  </si>
  <si>
    <t xml:space="preserve">ชนิดขอบลาด ฉาบรอยต่อเรียบ ติดตั้งบนโครงคร่าวเหล็กชุบสังกะสีมาตรฐาน </t>
  </si>
  <si>
    <t>งานทาสีอะครีลิค ฝ้าเพดานภายใน สีขาว</t>
  </si>
  <si>
    <t>IN-C3.1</t>
  </si>
  <si>
    <t>ฝ้าเพดานแบบตะแกรงอลูมิเนียม ขนาดช่อง 75 x 75 mm.</t>
  </si>
  <si>
    <t>งานทาสีอะครีลิค ฝ้าเพดานภายใน</t>
  </si>
  <si>
    <t>IN-C3.2</t>
  </si>
  <si>
    <t>ฝ้าเพดาน ยิปซั่มบอร์ด ขนาด 1.2 x 2.4 m. ความหนา 9 mm.</t>
  </si>
  <si>
    <t xml:space="preserve"> ชนิดขอบลาด ฉาบรอยต่อเรียบ ติดตั้งบนโครงคร่าวเหล็กชุบสังกะสีมาตรฐาน </t>
  </si>
  <si>
    <t>กรุทับด้วยฝ้าเพดานอะคูสติก แบบ Staple and Glue แผ่นเรียบ</t>
  </si>
  <si>
    <t>IN-C4.1</t>
  </si>
  <si>
    <t>IN-C4.1A</t>
  </si>
  <si>
    <t xml:space="preserve">ฝ้าเพดาน ยิปซั่มบอร์ด ขนาด 1.2 x 2.4 m. ความหนา 9 mm. ชนิดขอบลาด </t>
  </si>
  <si>
    <t xml:space="preserve">ฉาบรอยต่อเรียบ ติดตั้งบนโครงคร่าวเหล็กชุบสังกะสีมาตรฐาน </t>
  </si>
  <si>
    <t xml:space="preserve">พร้อมฉนวนกันความร้อน กรุทับด้วยฝ้าเพดานอะคูสติก </t>
  </si>
  <si>
    <t>แบบ Staple and Glue แผ่นเรียบ</t>
  </si>
  <si>
    <t>IN-C4.2</t>
  </si>
  <si>
    <t>กรุทับด้วยฝ้าเพดานอะคูสติก แบบ Staple and Glue แผ่นร่อง</t>
  </si>
  <si>
    <t>IN-C4.3</t>
  </si>
  <si>
    <t xml:space="preserve">ฝ้าแผ่นเส้นใยไม้ผสมซีเมนต์ ขนาด 120 x 120 ซม. ความหนา 20 mm. </t>
  </si>
  <si>
    <t>ผิวหน้าธรรมชาติ และพ่นสีสำเร็จ(สีขาว) ติดตั้งบนโครงเหล็กตามแบบขยาย</t>
  </si>
  <si>
    <t>IN-C5.1</t>
  </si>
  <si>
    <t xml:space="preserve">ฝ้า reflextive ฝ้าเพดานยิปซัมบอร์ดหนา 9mm. ชนิดขอบลาดฉาบรอยต่อเรียบ </t>
  </si>
  <si>
    <t xml:space="preserve">กรุทับด้วยฝ้าเพดานยิปซัมบอร์ดหนา 9mm.ชนิดขอบลาดฉาบรอยต่อเรียบ </t>
  </si>
  <si>
    <t>กรุทับอีกชั้นด้วยไม้อัดปิดผิววีเนียร์</t>
  </si>
  <si>
    <t>IN-C5.2</t>
  </si>
  <si>
    <t xml:space="preserve">ฝ้า PERFORATED ฝ้าเพดานยิปซัมบอร์ดหนา 9mm. ชนิดขอบลาดฉาบรอยต่อเรียบ </t>
  </si>
  <si>
    <t>IN-C5.3</t>
  </si>
  <si>
    <t xml:space="preserve">ฝ้าระแนง HMR </t>
  </si>
  <si>
    <t>IN-C5.4</t>
  </si>
  <si>
    <t>ฝ้าระแนงไม้</t>
  </si>
  <si>
    <t>IN-C5.5</t>
  </si>
  <si>
    <t>ฝ้าแผ่นไม้SAWN CUT</t>
  </si>
  <si>
    <t>IN-C6.1</t>
  </si>
  <si>
    <t>ฝ้าขึงผ้าโปร่งแสง</t>
  </si>
  <si>
    <t>ราคารวมในงานไฟฟ้าแสงสว่าง</t>
  </si>
  <si>
    <t>รวมราคาหมวดงานฝ้าตกแต่ง</t>
  </si>
  <si>
    <t>0.A.-1</t>
  </si>
  <si>
    <t>COOKING STUDIO</t>
  </si>
  <si>
    <t>บานเลื่อนอัตโนมัติ+กระจกติดตาย</t>
  </si>
  <si>
    <t>0.A.-2</t>
  </si>
  <si>
    <t>บานเปิดคู่สวิง</t>
  </si>
  <si>
    <t>0.B-1</t>
  </si>
  <si>
    <t>MEDIA LAB</t>
  </si>
  <si>
    <t>0.B-2</t>
  </si>
  <si>
    <t>WORKSHOP</t>
  </si>
  <si>
    <t>บานเปิดคู่+กระจกติดตาย</t>
  </si>
  <si>
    <t>0.B-3</t>
  </si>
  <si>
    <t>POST PRODUCTION</t>
  </si>
  <si>
    <t>บานเปิดเดี่ยว+กระจกติดตาย</t>
  </si>
  <si>
    <t>0.B-4</t>
  </si>
  <si>
    <t>PHOTOGRAPH</t>
  </si>
  <si>
    <t>0.B-5</t>
  </si>
  <si>
    <t>PRODUCTION</t>
  </si>
  <si>
    <t>บานเปิดเดี่ยว</t>
  </si>
  <si>
    <t>0.B-6</t>
  </si>
  <si>
    <t>บานกระจกกันเสียงติดตาย</t>
  </si>
  <si>
    <t>0.B-7</t>
  </si>
  <si>
    <t>0.B-8</t>
  </si>
  <si>
    <t>0.C-1</t>
  </si>
  <si>
    <t>CORRIDOR-MUSIC</t>
  </si>
  <si>
    <t>บานเปิดคู่ + ช่องแสงติดตาย</t>
  </si>
  <si>
    <t>0.C-2</t>
  </si>
  <si>
    <t>MUSIC1,2,PERFORMANCE</t>
  </si>
  <si>
    <t>0.C-3</t>
  </si>
  <si>
    <t>CORRIDOR</t>
  </si>
  <si>
    <t>บานเปิดคู่(ใหญ่+เล็ก)</t>
  </si>
  <si>
    <t>1.A-1</t>
  </si>
  <si>
    <t>RECEPTION</t>
  </si>
  <si>
    <t>1.A-2</t>
  </si>
  <si>
    <t>LOCKER &amp; STROLLER</t>
  </si>
  <si>
    <t>บานเลื่อนทางเดียว+กระจกติดตาย</t>
  </si>
  <si>
    <t>1.A-3</t>
  </si>
  <si>
    <t>1.A-4</t>
  </si>
  <si>
    <t>1.A-5</t>
  </si>
  <si>
    <t>ห้องอเนกประสงค์</t>
  </si>
  <si>
    <t>บานเลื่อนเดี่ยว</t>
  </si>
  <si>
    <t>1.A-6</t>
  </si>
  <si>
    <t>1.A-7</t>
  </si>
  <si>
    <t>1.B-1</t>
  </si>
  <si>
    <t>AUDITORIUM</t>
  </si>
  <si>
    <t>บานเปิดคู่</t>
  </si>
  <si>
    <t>1.B-2</t>
  </si>
  <si>
    <t>1.B-3,3'</t>
  </si>
  <si>
    <t>1.B-4</t>
  </si>
  <si>
    <t>AUDITORIUM STAGE</t>
  </si>
  <si>
    <t>บานเฟี้ยม</t>
  </si>
  <si>
    <t>1.B-5,5'</t>
  </si>
  <si>
    <t>1.B-6</t>
  </si>
  <si>
    <t>AUDITORIUM-FOYER</t>
  </si>
  <si>
    <t>1.B-7</t>
  </si>
  <si>
    <t>AUDITORIUM-BACK STAGE</t>
  </si>
  <si>
    <t>1.B-8</t>
  </si>
  <si>
    <t>1.B-9</t>
  </si>
  <si>
    <t>1.B-10</t>
  </si>
  <si>
    <t>2.A-1</t>
  </si>
  <si>
    <t>PLAYGROUND</t>
  </si>
  <si>
    <t>กระจกติดตาย</t>
  </si>
  <si>
    <t>2.A-2</t>
  </si>
  <si>
    <t>กระจกติดตาย+บานเปิดคู่และเดี่ยว</t>
  </si>
  <si>
    <t>2.B-1</t>
  </si>
  <si>
    <t>EXHIBITION</t>
  </si>
  <si>
    <t>บานเลื่อนคู่กลาง+กระจกติดตาย</t>
  </si>
  <si>
    <t>2.B-2</t>
  </si>
  <si>
    <t>2.B-3</t>
  </si>
  <si>
    <t>2.B-4</t>
  </si>
  <si>
    <t>3.A-1</t>
  </si>
  <si>
    <t>QUIET READING ROOM</t>
  </si>
  <si>
    <t>3.A-2</t>
  </si>
  <si>
    <t>3.A-3</t>
  </si>
  <si>
    <t>3.A-4</t>
  </si>
  <si>
    <t>3.A-5</t>
  </si>
  <si>
    <t>LIVING LIBRARY(ทางหนีไฟ)</t>
  </si>
  <si>
    <t>3.A-6</t>
  </si>
  <si>
    <t>LIVING LIBRARY(RECEPTION)</t>
  </si>
  <si>
    <t>3.B-1,1"</t>
  </si>
  <si>
    <t>TK OFFICE</t>
  </si>
  <si>
    <t>3.B-2</t>
  </si>
  <si>
    <t>RETURN BOOK</t>
  </si>
  <si>
    <t>บานเลื่อนทางเดียว</t>
  </si>
  <si>
    <t>3.B-3</t>
  </si>
  <si>
    <t>TK OFFICE (MEETING ROOM)</t>
  </si>
  <si>
    <t>3.B-4</t>
  </si>
  <si>
    <t>MEETING ROOM C,D</t>
  </si>
  <si>
    <t>บานเปิดเดี่ยว+ชุดผนังกันเสียง</t>
  </si>
  <si>
    <t>3.C-1,1'</t>
  </si>
  <si>
    <t>3M</t>
  </si>
  <si>
    <t>รวมราคาหมวดงานประตูพิเศษ</t>
  </si>
  <si>
    <t>ระบบรางแขวนรูปภาพ สแตนเลส สำหรับติดตั้งงานห้องนิทรรศการ</t>
  </si>
  <si>
    <t>รางอลูมิเนียม สำหรับแขวนยาว 4 ม.</t>
  </si>
  <si>
    <t>เส้น</t>
  </si>
  <si>
    <t>ตัวล็อคสลิงเพดาน</t>
  </si>
  <si>
    <t>ขอแขวนสปริง</t>
  </si>
  <si>
    <t>สลิงสำหรับแขวนรูป (สแตนเลสเกลียวเคลือบ)</t>
  </si>
  <si>
    <t>ระบบรางแขวนรูปภาพ สแตนเลส สำหรับติดตั้งที่บานเลื่อนกันเสียงห้องMUSEUM</t>
  </si>
  <si>
    <t>รางอลูมิเนียม 4 เมตร สำหรับแขวน</t>
  </si>
  <si>
    <t xml:space="preserve"> หัวปิดสีเงิน</t>
  </si>
  <si>
    <t>อัน</t>
  </si>
  <si>
    <t>PANEL01</t>
  </si>
  <si>
    <t>ผนังเลื่อนกันเสียง ห้องBOARDGAME</t>
  </si>
  <si>
    <t>รวมราคาหมวดงานเบ็ดเตล็ด</t>
  </si>
  <si>
    <t xml:space="preserve">งานสถาปัตยกรรมภายใน Built In (RC 1) </t>
  </si>
  <si>
    <t xml:space="preserve">สรุปราคาค่าก่อสร้างงานสถาปัตยกรรมภายใน Built In </t>
  </si>
  <si>
    <t>ZONE 0.A</t>
  </si>
  <si>
    <t>ZONE 0.B</t>
  </si>
  <si>
    <t>ZONE 0.C</t>
  </si>
  <si>
    <t>ZONE 1.A</t>
  </si>
  <si>
    <t>ZONE 1.B</t>
  </si>
  <si>
    <t>ZONE 2.A</t>
  </si>
  <si>
    <t>ZONE 2.B</t>
  </si>
  <si>
    <t>ZONE 3.A</t>
  </si>
  <si>
    <t>ZONE 3.B</t>
  </si>
  <si>
    <t>ZONE 3.C</t>
  </si>
  <si>
    <t>ZONE 4.A</t>
  </si>
  <si>
    <t xml:space="preserve">รวมราคาค่าก่อสร้างงานสถาปัตยกรรมภายใน Built In </t>
  </si>
  <si>
    <t>B16</t>
  </si>
  <si>
    <t>0.A-BF01</t>
  </si>
  <si>
    <t>ตู้ ขนาด 0.60x8.80x3.85 ม.(กxยxส)</t>
  </si>
  <si>
    <t>(เมตรละ 46,560 บ)</t>
  </si>
  <si>
    <t>ชั้นพับ</t>
  </si>
  <si>
    <t>SS-04</t>
  </si>
  <si>
    <t>STAINLESS04-HAIRLINE</t>
  </si>
  <si>
    <t>หน้าบาน</t>
  </si>
  <si>
    <t>ชั้นว่างของปรับระดับ</t>
  </si>
  <si>
    <t>LM06B</t>
  </si>
  <si>
    <t xml:space="preserve">ขาแขวนทีวี (ในห้อง) ขาแขวนทีวีประเภทปรับมุมมองได้ทุกทิศทาง </t>
  </si>
  <si>
    <t>0.A-BF02</t>
  </si>
  <si>
    <t>(เมตรละ 40,399 บ)</t>
  </si>
  <si>
    <t>SS-04A</t>
  </si>
  <si>
    <t>STAINLESS04</t>
  </si>
  <si>
    <t>ฝ้าเหนือเคาน์เตอร์</t>
  </si>
  <si>
    <t>โครงตู้</t>
  </si>
  <si>
    <t>HMR01</t>
  </si>
  <si>
    <t>HMR+สีพ่น</t>
  </si>
  <si>
    <t>0.A-BF03</t>
  </si>
  <si>
    <t>ตู้ ขนาด 0.60x6.60x3.85 ม.(กxยxส)</t>
  </si>
  <si>
    <t>(เมตรละ 49,550 บ)</t>
  </si>
  <si>
    <t>SS01</t>
  </si>
  <si>
    <t>STAINLESS01-Silver Hairline</t>
  </si>
  <si>
    <t>WV02A</t>
  </si>
  <si>
    <t>VENEER02A</t>
  </si>
  <si>
    <t>ชั้นตู้</t>
  </si>
  <si>
    <t>เคาน์เตอร์+ผนัง</t>
  </si>
  <si>
    <t>STONE03-Calacatta</t>
  </si>
  <si>
    <t>อ่างล้างจาน</t>
  </si>
  <si>
    <t>อ่างล้างจานสแตนเลสชนิดติดตั้งใต้เคาน์เตอร์ท็อป 1 หลุม</t>
  </si>
  <si>
    <t>เครื่องดูดควัน</t>
  </si>
  <si>
    <t>กำลังลมในการดูด 1200 ลบ.ม./ชม.</t>
  </si>
  <si>
    <t>เตาไฟฟ้า</t>
  </si>
  <si>
    <t>เตาระบบ induction 4 หัวตา ขนาด 60 ซม.</t>
  </si>
  <si>
    <t>เตาอบ</t>
  </si>
  <si>
    <t>เตาอบมัลติฟังก์ชั่น เทอร์โบ 60 ซม. ความจุ: 71/70 ลิตร</t>
  </si>
  <si>
    <t>0.A-BF04</t>
  </si>
  <si>
    <t>ตู้ ขนาด 0.60x7.20x3.85 ม.(กxยxส)</t>
  </si>
  <si>
    <t>(เมตรละ 51,000 บ)</t>
  </si>
  <si>
    <t>VENEER02A-Rover-Oak</t>
  </si>
  <si>
    <t>ST03</t>
  </si>
  <si>
    <t>SINK</t>
  </si>
  <si>
    <t>FRANKE PZX 110-79</t>
  </si>
  <si>
    <t>เครื่องล้างจาน</t>
  </si>
  <si>
    <t>TEKA DFI 76950</t>
  </si>
  <si>
    <t>0.A-BF05</t>
  </si>
  <si>
    <t>ตู้ ขนาด 0.60x4.00x3.85 ม.(กxยxส)</t>
  </si>
  <si>
    <t>(เมตรละ 23,600 บ)</t>
  </si>
  <si>
    <t>ชั้น</t>
  </si>
  <si>
    <t>LM07</t>
  </si>
  <si>
    <t>LAMINATE07</t>
  </si>
  <si>
    <t>LM07B</t>
  </si>
  <si>
    <t>0.A-BF06</t>
  </si>
  <si>
    <t>ตู้ ขนาด 0.60x3.15x3.85 ม.(กxยxส)</t>
  </si>
  <si>
    <t>(เมตรละ 19800 บ)</t>
  </si>
  <si>
    <t>ตู้แช่แข็ง</t>
  </si>
  <si>
    <t xml:space="preserve"> ตู้เย็น  1 ประตู  ความจุ 323 ลิตร / 11.4 คิว</t>
  </si>
  <si>
    <t>ตู้เย็น</t>
  </si>
  <si>
    <t>0.A-BF07</t>
  </si>
  <si>
    <t>(0.35x1.70x3.85 ม.)+(0.50x3.90x3.85) (กxยxส)</t>
  </si>
  <si>
    <t>(เมตรละ 32,000 บ)</t>
  </si>
  <si>
    <t>SS-05</t>
  </si>
  <si>
    <t>STAINLESS05-HAIRLINE</t>
  </si>
  <si>
    <t>ผนังสแตนเลส</t>
  </si>
  <si>
    <t>SS04</t>
  </si>
  <si>
    <t>STAINLESS04-silver Hairline</t>
  </si>
  <si>
    <t>0.A-BF08</t>
  </si>
  <si>
    <t>ขนาด 1.20x4.80x0.85 ม.(กxยxส)</t>
  </si>
  <si>
    <t>(เมตรละ 52,300 บ)</t>
  </si>
  <si>
    <t>STAINLESS04-Silver Hairline</t>
  </si>
  <si>
    <t>ท็อปโต๊ะ</t>
  </si>
  <si>
    <t>LM06A</t>
  </si>
  <si>
    <t>HMR+ลามิเนตสีเทา</t>
  </si>
  <si>
    <t xml:space="preserve">อ่างล้างจานสแตนเลสชนิดติดตั้งใต้เคาน์เตอร์ท็อป 1 หลุม </t>
  </si>
  <si>
    <t>เต้าเสียบไฟฟ้าแบบฝังเคาน์เตอร์</t>
  </si>
  <si>
    <t>ร้อมช่องเสียบ USB ขนาด 3.1 A เส้นผ่านศูนย์กลางรูเจาะ 88 มม.
ไฟเข้าสาย SJT 3C/14 AWG ยาว 2 เมตร พร้อมปลั๊ก 125-250 V</t>
  </si>
  <si>
    <t>0.A-BF09</t>
  </si>
  <si>
    <t>ขนาด 1.9x4.95x3.85 ม.(กxยxส)</t>
  </si>
  <si>
    <t>ซุ้มประตู</t>
  </si>
  <si>
    <t>โครงประตูกระจก+ผนัง</t>
  </si>
  <si>
    <t>กระจกหน้าทีวี</t>
  </si>
  <si>
    <t>GL01</t>
  </si>
  <si>
    <t>GLASS FOR TV</t>
  </si>
  <si>
    <t>ขาแขวนทีวี</t>
  </si>
  <si>
    <t>ขาแขวนทีวี ปรับก้ม-เงยได้ สำหรับจอภาพขนาด 60-100 นิ้ว</t>
  </si>
  <si>
    <t>ขนาด 119.00cm L x 24.00cm W</t>
  </si>
  <si>
    <t>SK2.1</t>
  </si>
  <si>
    <t xml:space="preserve">บัวเชิงผนัง ทำผิวหินขัด สีเทา ระบุสีและขนาดหินภายหลัง ขนาด 100x25 มม. </t>
  </si>
  <si>
    <t>พื้นตะแกรงสเตนเลส304 W100 x L1000 x H25.4 mm</t>
  </si>
  <si>
    <t>รวมราคาZONE 0.A</t>
  </si>
  <si>
    <t>B25</t>
  </si>
  <si>
    <t>0.B-IW01</t>
  </si>
  <si>
    <t>ALUCOMPOSITE01</t>
  </si>
  <si>
    <t>0.B-IW02</t>
  </si>
  <si>
    <t>0.B-IW03</t>
  </si>
  <si>
    <t>0.B-IW04</t>
  </si>
  <si>
    <t>0.B-BF01</t>
  </si>
  <si>
    <t>COUNTER</t>
  </si>
  <si>
    <t>ท็อปเคาน์เตอร์</t>
  </si>
  <si>
    <t>ST07</t>
  </si>
  <si>
    <t xml:space="preserve">หินเทียม ความหนา 12 มม. </t>
  </si>
  <si>
    <t>MOLDหินเทียม</t>
  </si>
  <si>
    <t>หน้าเคาน์เตอร์</t>
  </si>
  <si>
    <t>GL06</t>
  </si>
  <si>
    <t>กระจกฝ้า ความหนา 3 มม.</t>
  </si>
  <si>
    <t>B26</t>
  </si>
  <si>
    <t>TK MEDIA LAB</t>
  </si>
  <si>
    <t>0.B-IW37</t>
  </si>
  <si>
    <t>0.B-IW06</t>
  </si>
  <si>
    <t xml:space="preserve">แผ่น Aluminum Solid Sheet Panel </t>
  </si>
  <si>
    <t>0.B-IW05</t>
  </si>
  <si>
    <t>0.B-IW07</t>
  </si>
  <si>
    <t>0.B-IW11</t>
  </si>
  <si>
    <t>ผนังปิดผิว</t>
  </si>
  <si>
    <t>AL01</t>
  </si>
  <si>
    <t>แผ่นหน้าห้อง</t>
  </si>
  <si>
    <t>ACL01</t>
  </si>
  <si>
    <t xml:space="preserve">แผ่นอะครีลิค สีใส หนา 5 มม. ติดทับหน้าด้วยฟิลม์ลอน 3M </t>
  </si>
  <si>
    <t>0.B-IW09</t>
  </si>
  <si>
    <t>0.B-IW10</t>
  </si>
  <si>
    <t>B27</t>
  </si>
  <si>
    <t>PRODUCTION ROOM</t>
  </si>
  <si>
    <t>0.B-IW12</t>
  </si>
  <si>
    <t>ผนังแผ่นไม้อะคูสติค  มีค่าการดูดซับเสียงได้ไม่น้อยกว่า NRC 0.71</t>
  </si>
  <si>
    <t>0.B-IW13</t>
  </si>
  <si>
    <t>0.B-IW14</t>
  </si>
  <si>
    <t>แผ่นซับเสียง ACOUSTIC FELT ความหนาไม่น้อยกว่า 12 มม. NRC ไม่น้อยกว่า 0.35</t>
  </si>
  <si>
    <t>0.B-IW15</t>
  </si>
  <si>
    <t>B28</t>
  </si>
  <si>
    <t>0.B-IW16</t>
  </si>
  <si>
    <t>0.B-IW17</t>
  </si>
  <si>
    <t>0.B-IW18</t>
  </si>
  <si>
    <t>0.B-IW19</t>
  </si>
  <si>
    <t>B29</t>
  </si>
  <si>
    <t>0.B-IW20</t>
  </si>
  <si>
    <t>0.B-IW21</t>
  </si>
  <si>
    <t>0.B-IW22</t>
  </si>
  <si>
    <t>0.B-IW23</t>
  </si>
  <si>
    <t>B30</t>
  </si>
  <si>
    <t>0.B-IW24</t>
  </si>
  <si>
    <t>0.B-IW25</t>
  </si>
  <si>
    <t>0.B-IW26</t>
  </si>
  <si>
    <t>0.B-IW27</t>
  </si>
  <si>
    <t>B31</t>
  </si>
  <si>
    <t>0.B-IW28</t>
  </si>
  <si>
    <t>0.B-IW29</t>
  </si>
  <si>
    <t>0.B-IW30</t>
  </si>
  <si>
    <t>0.B-IW31</t>
  </si>
  <si>
    <t>0.B-BF05</t>
  </si>
  <si>
    <t>ตู้เก็บของ</t>
  </si>
  <si>
    <t>B32</t>
  </si>
  <si>
    <t>0.B-IW32</t>
  </si>
  <si>
    <t xml:space="preserve">ระบบผนังอคูสติก ประกอบด้วย แผ่นอลูคอมโพสิท เจาะรู ตามแบบ </t>
  </si>
  <si>
    <t>PATTERN ระบุสีภายหลัง</t>
  </si>
  <si>
    <t>ACPF01</t>
  </si>
  <si>
    <t>ACOUSTIC-PERFORATE01</t>
  </si>
  <si>
    <t>โครงคร่าวเหล็กชุบสังกะสี</t>
  </si>
  <si>
    <t>ฉนวนดูดซับเสียง ชนิดใยแก้วหนา 50 mm ของ MicroTone Noizestop</t>
  </si>
  <si>
    <t>ห่อหุ้มด้วยวัสดุกันชื้นรอบด้าน ปิดผิวฉนวนด้วยผ้าสปันจ์บอนด์สีดำ ทั้ง 2 ด้าน</t>
  </si>
  <si>
    <t>0.B-IW33</t>
  </si>
  <si>
    <t>ระบบผนังอคูสติก ประกอบด้วย แผ่นอลูคอมโพสิท เจาะรู ตามแบบ PATTERN ระบุสีภายหลัง</t>
  </si>
  <si>
    <t>ผนังยิปซัมบอร์ด หนา 9 มม.คร่าวเหล็กชุบสังกะสี</t>
  </si>
  <si>
    <t xml:space="preserve">ฉนวนดูดซับเสียง ชนิดใยแก้วหนา 50 mm ของ MicroTone Noizestop </t>
  </si>
  <si>
    <t>0.B-IW34</t>
  </si>
  <si>
    <t>0.B-IW35</t>
  </si>
  <si>
    <t>0.B-IW36</t>
  </si>
  <si>
    <t>0.B-BF02</t>
  </si>
  <si>
    <t>0.B-BF03</t>
  </si>
  <si>
    <t>งานหลืบฝ้าเพดาน</t>
  </si>
  <si>
    <t>งานบัวเชิงผนังและงานรอยต่อพื้น</t>
  </si>
  <si>
    <t>SK5.2</t>
  </si>
  <si>
    <t>บัวเชิงผนังไม้เนื้อแข็ง หนา10 มม. สูง 50 มม. ทำสีเทียบผนัง</t>
  </si>
  <si>
    <t>SK5.3</t>
  </si>
  <si>
    <t>บัวเชิงผนังอลูมินั่ม หนา 5 มม. สูง 50 มม. พร้อมอุปกรณ์ ผิวอลูมินั่มทำสีเทียบผนัง</t>
  </si>
  <si>
    <t>รวมราคาZONE 0.B</t>
  </si>
  <si>
    <t>B35</t>
  </si>
  <si>
    <t>MUSIC ROOM1</t>
  </si>
  <si>
    <t>AC01</t>
  </si>
  <si>
    <t xml:space="preserve">ผนังACOUSTIC  แผงตั้งและแผงนอนกรุด้วยแผ่น HMR </t>
  </si>
  <si>
    <t xml:space="preserve">ส่วนแผงเอียงสลับฟันปลา ชักร่องเป็นลายเส้นตรง ความหนา 10 mm </t>
  </si>
  <si>
    <t xml:space="preserve">ค่าการดูดซับเสียงไม่น้อยกว่า NRC 0.47 </t>
  </si>
  <si>
    <t>AC02</t>
  </si>
  <si>
    <t xml:space="preserve">ผนังACOUSTIC แผ่น PETFELT แผ่นเรียบ ความหนา 12 MM </t>
  </si>
  <si>
    <t xml:space="preserve"> ค่าการดูดซับเสียง NRC 0.45 สีเทา</t>
  </si>
  <si>
    <t>B36</t>
  </si>
  <si>
    <t>MUSIC ROOM2</t>
  </si>
  <si>
    <t xml:space="preserve">ผนังACOUSTIC แผ่น PETFELT แผ่นเรียบ ความหนา 12 MM  </t>
  </si>
  <si>
    <t>ค่าการดูดซับเสียง NRC 0.45 สีเทา</t>
  </si>
  <si>
    <t>B38</t>
  </si>
  <si>
    <t>AC13</t>
  </si>
  <si>
    <t xml:space="preserve">ผนังกรุทับด้วยแผ่น HMR ปิดผิววีเนียร์ ความหนา 4 mm </t>
  </si>
  <si>
    <t xml:space="preserve">เว้นร่อง/ชักร่องเป็น pattern </t>
  </si>
  <si>
    <t>AC14</t>
  </si>
  <si>
    <t>ผนังฉาบเรียบ ทำสีพ่น TEXTURE รุ่น BELL ART ลาย SPRAY TILE PRESS / GL</t>
  </si>
  <si>
    <t>O.C-BF01</t>
  </si>
  <si>
    <t>B39</t>
  </si>
  <si>
    <t>DRESSING ROOM A</t>
  </si>
  <si>
    <t>O.C-BF02</t>
  </si>
  <si>
    <t>ส่วนที่1 : โต๊ะเครื่องแป้ง</t>
  </si>
  <si>
    <t>ส่วนที่2 : โต๊ะเครื่องแป้ง+ห้องลอง</t>
  </si>
  <si>
    <t>TOPโต๊ะ</t>
  </si>
  <si>
    <t>WD03</t>
  </si>
  <si>
    <t>WOOD03</t>
  </si>
  <si>
    <t>ผนังกั้นห้องและโต๊ะ</t>
  </si>
  <si>
    <t>1.05x2.70</t>
  </si>
  <si>
    <t>ลิ้นชัก+หน้าบาน</t>
  </si>
  <si>
    <t>ผนังไม้เหนือกระจก</t>
  </si>
  <si>
    <t>WV04A</t>
  </si>
  <si>
    <t>VENEER04A-เจาะรู</t>
  </si>
  <si>
    <t>ตู้เสื้อผ้า</t>
  </si>
  <si>
    <t>ยาว 3.75x0.60x2.70</t>
  </si>
  <si>
    <t>ม่าน</t>
  </si>
  <si>
    <t>ผ้า</t>
  </si>
  <si>
    <t>B40</t>
  </si>
  <si>
    <t>DRESSING ROOM B</t>
  </si>
  <si>
    <t>O.C-BF03</t>
  </si>
  <si>
    <t>SK1.3</t>
  </si>
  <si>
    <t>บัวเชิงผนังไม้จริง ขนาดหนา 1" สูง 2" ทำสี เทียบวีเนียร์ WV09</t>
  </si>
  <si>
    <t>B41</t>
  </si>
  <si>
    <t>PERFORMANCE</t>
  </si>
  <si>
    <t>SK1.2</t>
  </si>
  <si>
    <t xml:space="preserve">บัวเชิงผนัง ไม้ HMR หนา15 มม. สูง 100 มม.ทำสีพ่น สีเทา </t>
  </si>
  <si>
    <t>B42</t>
  </si>
  <si>
    <t>STORAGE</t>
  </si>
  <si>
    <t>O.C-BF04</t>
  </si>
  <si>
    <t>ตู้เก็บหนังสือ 2.725x4.775x0.325 สูง 4.80</t>
  </si>
  <si>
    <t>รวมราคาZONE 0.C</t>
  </si>
  <si>
    <t>ZONE 1.A1</t>
  </si>
  <si>
    <t>ENTRANCE HALL(LEFT)</t>
  </si>
  <si>
    <t>1.A1-IW01</t>
  </si>
  <si>
    <t xml:space="preserve">Stainless Steel Sheet เกรด SUS304 สีธรรมชาติ </t>
  </si>
  <si>
    <t xml:space="preserve">ผิว HAIRLINE ความหนาไม่น้อยกว่า 1 มม.  </t>
  </si>
  <si>
    <t>1.A1-BF01</t>
  </si>
  <si>
    <t>เคาน์เตอร์ 0.95x4.37x1.10 (กxยxส)</t>
  </si>
  <si>
    <t>TOP</t>
  </si>
  <si>
    <t>ST05</t>
  </si>
  <si>
    <t>STONE05 (SOLID SURFACE)</t>
  </si>
  <si>
    <t>หน้าบาน+ในตู้</t>
  </si>
  <si>
    <t>LM02</t>
  </si>
  <si>
    <t>LAMINATE02</t>
  </si>
  <si>
    <t>1.A1-BF02</t>
  </si>
  <si>
    <t>ตู้ 0.50x2.10x3.05 (กxยxส)</t>
  </si>
  <si>
    <t>เหล็กฉากตัวปรับระดับ</t>
  </si>
  <si>
    <t>ZONE 1.A2</t>
  </si>
  <si>
    <t>TK CRAFT &amp; CAFÉ</t>
  </si>
  <si>
    <t>1.A1-BF04</t>
  </si>
  <si>
    <t>เคาน์เตอร์ 3.50x5.45x.90 (กxยxส)</t>
  </si>
  <si>
    <t>เคาน์เตอร์</t>
  </si>
  <si>
    <t>ST06</t>
  </si>
  <si>
    <t>STONE06 (SOLID SURFACE)</t>
  </si>
  <si>
    <t>LM03</t>
  </si>
  <si>
    <t>LAMINATE03-semi gloss white</t>
  </si>
  <si>
    <t xml:space="preserve">อ่างล้างจานสแตนเลสชนิดติดตั้งใต้เคาน์เตอร์ท็อป 2 หลุม </t>
  </si>
  <si>
    <t>ขนาด 0.74x0.44x0.20ม.</t>
  </si>
  <si>
    <t>ขนาด 0.44x0.31x0.20ม.</t>
  </si>
  <si>
    <t>ก็อกน้ำ</t>
  </si>
  <si>
    <t>ก๊อกน้ำใช้ (ผสมน้ำร้อน-เย็น) และน้ำดื่ม</t>
  </si>
  <si>
    <t>ตู้เค้ก</t>
  </si>
  <si>
    <t>1.A1-BF03</t>
  </si>
  <si>
    <t xml:space="preserve">ชั้น DISPLAY </t>
  </si>
  <si>
    <t>ชั้นลึก 0.30 ม ยาว 0.30</t>
  </si>
  <si>
    <t>WD05</t>
  </si>
  <si>
    <t>WOOD05</t>
  </si>
  <si>
    <t>ชั้นลึก 0.30 ม ยาว 0.50</t>
  </si>
  <si>
    <t>ชั้นลึก 0.30 ม ยาว 0.70</t>
  </si>
  <si>
    <t>IW-01</t>
  </si>
  <si>
    <t>ผนังกระจกเงา 5.58x3.90</t>
  </si>
  <si>
    <t>ตู้  0.70x5.00x0.85 (กxยxส)</t>
  </si>
  <si>
    <t>ท็อป</t>
  </si>
  <si>
    <t>หน้าบาน+ชั้น</t>
  </si>
  <si>
    <t>อ่างล้างจานสแตนเลสชนิดติดตั้งใต้เคาน์เตอร์ท็อป 2 หลุม</t>
  </si>
  <si>
    <t xml:space="preserve"> ขนาด 0.86x0.52x0.229ม.</t>
  </si>
  <si>
    <t>ก็อก</t>
  </si>
  <si>
    <t>ก๊อกน้ำใช้ (ผสมน้ำร้อน-เย็น) แบบก้านโยก</t>
  </si>
  <si>
    <t>ชั้น DISPLAY 0.70x5.00 (กxย)</t>
  </si>
  <si>
    <t>โต๊ะทำงาน 0.70x4.86x0.85 (กxยxส)</t>
  </si>
  <si>
    <t>โครงโต๊ะ</t>
  </si>
  <si>
    <t>คำยันท๊อป</t>
  </si>
  <si>
    <t>P09</t>
  </si>
  <si>
    <t>PAINT09-WHITE</t>
  </si>
  <si>
    <t>1.A2-BF05</t>
  </si>
  <si>
    <t>ที่ยืมหนังสืออัตโนมัติ</t>
  </si>
  <si>
    <t>SK3.1</t>
  </si>
  <si>
    <t xml:space="preserve">บัวเชิงผนัง อลูมิเนียม หนา 1 มม. พับ 90 องศาพ่นสีขาว สูง 100 มม. </t>
  </si>
  <si>
    <t>ห้องเก็บอุปกรณ์</t>
  </si>
  <si>
    <t>หลืบฝ้า กว้าง 125 mm.</t>
  </si>
  <si>
    <t>หลืบฝ้า กว้าง 50 mm.</t>
  </si>
  <si>
    <t>ZONE 1.A3</t>
  </si>
  <si>
    <t>ENTRANCE HALL(MID)</t>
  </si>
  <si>
    <t>1.A3-BF01</t>
  </si>
  <si>
    <t>เคาน์เตอร์ 5.68x5.35x1.10 (กxยxส)</t>
  </si>
  <si>
    <t>หน้า+ท็อป</t>
  </si>
  <si>
    <t>MOLD</t>
  </si>
  <si>
    <t>ZONE 1.A4</t>
  </si>
  <si>
    <t>อเนกประสงค์</t>
  </si>
  <si>
    <t>1.A4-BF01</t>
  </si>
  <si>
    <t>ตู้เก็บหนังสือ</t>
  </si>
  <si>
    <t>ชั้น ลึก 0.30</t>
  </si>
  <si>
    <t>WV07</t>
  </si>
  <si>
    <t>VENEER07</t>
  </si>
  <si>
    <t>ชั้นไม้ทำสีเทียบ</t>
  </si>
  <si>
    <t>แผงตั้ง</t>
  </si>
  <si>
    <t>WE06</t>
  </si>
  <si>
    <t>ENGINEER WOOD06</t>
  </si>
  <si>
    <t>backing+แผงบน</t>
  </si>
  <si>
    <t>1.A4-BF02</t>
  </si>
  <si>
    <t>ตู้เก็บหนังสือx3</t>
  </si>
  <si>
    <t>แผงตั้ง ลึก 0.325 ม.</t>
  </si>
  <si>
    <t>1.A4-BF03</t>
  </si>
  <si>
    <t>ตู้เก็บหนังสือ x2</t>
  </si>
  <si>
    <t>1.A4-BF04</t>
  </si>
  <si>
    <t>backing</t>
  </si>
  <si>
    <t>1.A4-BF05</t>
  </si>
  <si>
    <t>1.A1-BF06</t>
  </si>
  <si>
    <t>BOOK WALL</t>
  </si>
  <si>
    <t>ผนังตู้หนังสือ</t>
  </si>
  <si>
    <t>WV02</t>
  </si>
  <si>
    <t>VENEER02</t>
  </si>
  <si>
    <t>แผ่นตั้งชั้นหนังสือ</t>
  </si>
  <si>
    <t>WD09</t>
  </si>
  <si>
    <t>ENGINEER WOOD(ABC)</t>
  </si>
  <si>
    <t>ชั้นหนังสือ</t>
  </si>
  <si>
    <t>เหล็กพับ</t>
  </si>
  <si>
    <t>WD01/WD02</t>
  </si>
  <si>
    <t>ENGINEER WOOD(AB)</t>
  </si>
  <si>
    <t>SK3.2</t>
  </si>
  <si>
    <t>บัวเชิงผนังไม้จริง ชนิดไม้เนื้อแข็ง หนา 15 มม. ทำสีพ่นสีขาว สูง 50 มม.</t>
  </si>
  <si>
    <t>หลืบฝ้า กว้าง 300 mm. และ 650 mm.</t>
  </si>
  <si>
    <t>รวมราคาZONE 1.A</t>
  </si>
  <si>
    <t>AUDITORIUM ENTRANCE HALL</t>
  </si>
  <si>
    <t>FOYER (โถงลิฟต์)</t>
  </si>
  <si>
    <t>SS02</t>
  </si>
  <si>
    <t>Stainless Steel Sheet เกรด SUS304 สีธรรมชาติ</t>
  </si>
  <si>
    <t xml:space="preserve"> ผิว HAIRLINE ความหนาไม่น้อยกว่า 0.8 มม. </t>
  </si>
  <si>
    <t>TICKET+RECEPTION</t>
  </si>
  <si>
    <t>ผนังหลังเคาน์เตอร์</t>
  </si>
  <si>
    <t>ผนังไม้</t>
  </si>
  <si>
    <t>WD01</t>
  </si>
  <si>
    <t xml:space="preserve">แผ่นไม้สัก ทำผิวหน้ารอยเลื่อย  </t>
  </si>
  <si>
    <t>ผนังอิฐ</t>
  </si>
  <si>
    <t>BR01</t>
  </si>
  <si>
    <t xml:space="preserve">ผนังอิฐตกแต่งจากวัสดุรีไซเคิล </t>
  </si>
  <si>
    <t>1.B-BF01</t>
  </si>
  <si>
    <t>โครงเคาน์เตอร์</t>
  </si>
  <si>
    <t>*คิดราคาจากวัสดุแต่ละประเภท</t>
  </si>
  <si>
    <t>AC03</t>
  </si>
  <si>
    <t xml:space="preserve">ผนังดูดซับเสียง ชนิดเจาะรูแผ่นไม้วีเนียร์   </t>
  </si>
  <si>
    <t xml:space="preserve">ค่าการดูดซับเสียง NRC 0.80 </t>
  </si>
  <si>
    <t>AC04</t>
  </si>
  <si>
    <t>ผนัง Reflective ดัดโค้งตามแบบ ค่าการดูดซับเสียง NRC 0.80</t>
  </si>
  <si>
    <t>AC05</t>
  </si>
  <si>
    <t>ชุดผนังเลื่อนกันเสียง กรุทับด้านหน้าทั้งหมดด้วยแผ่นไม้อัด</t>
  </si>
  <si>
    <t xml:space="preserve">ปิดผิววีเนียร์ ไม้ Maple ความหนารวม 4 mm </t>
  </si>
  <si>
    <t xml:space="preserve">ผนัง Reflective ขึ้นโครงเหล็กดัดโค้งตามแบบวิศวกรรมโครงสร้างกรุด้วยแผ่นไม้อัด 6 มม. </t>
  </si>
  <si>
    <t xml:space="preserve">จำนวน 4 ชั้น (ติดสับหว่างและฉาบเรียบทุกชั้น) และกรุด้วยแผ่นไม้วีเนียร์ Maple </t>
  </si>
  <si>
    <t xml:space="preserve">รหัส F-07 หนา 3  มม. พ่นทับด้วย EXCLUSIVE OIL NATURAL ของ PROTEGO </t>
  </si>
  <si>
    <t>หรือเทียบเท่า ตามมาตรฐานผู้ผลิต  PARTITON STC 53</t>
  </si>
  <si>
    <t>AC06</t>
  </si>
  <si>
    <t xml:space="preserve">ผนัง Reflective  ดัดโค้งตามแบบ ค่าการดูดซับเสียง NRC 0.80 </t>
  </si>
  <si>
    <t>AC07</t>
  </si>
  <si>
    <t xml:space="preserve">ผนัง Diffuser ระแนงไม้ SOLID ค่าการดูดซับเสียง NRC 0.80 </t>
  </si>
  <si>
    <t>AC08</t>
  </si>
  <si>
    <t xml:space="preserve">ผนัง Diffuser โค้ง ดัดโค้งตามแบบ ค่าการดูดซับเสียง NRC 0.80 </t>
  </si>
  <si>
    <t>AC09</t>
  </si>
  <si>
    <t>ผนังกรุด้วยแผ่นไม้อัด 6 มม. จำนวน 1 ชั้น กรุทับด้วยแผ่นไม้อัด</t>
  </si>
  <si>
    <t>ปิดผิววีเนียร์ ไม้ Maple ลายธรรมชาติ ความหนารวม 4 mm</t>
  </si>
  <si>
    <t>งานหลืบฝ้า</t>
  </si>
  <si>
    <t xml:space="preserve">AUDITORIUM / งานหลืบซ่อนไฟ ซุ้มทางเข้า </t>
  </si>
  <si>
    <t>AUDITORIUM / งานหลืบซ่อนไฟ เหนือเวที</t>
  </si>
  <si>
    <t>AUDITORIUM / งานหลืบซ่อนไฟ ฝ้า HMR</t>
  </si>
  <si>
    <t>AUDITORIUM / งานหลืบซ่อนไฟ ฝ้า DAIKEN</t>
  </si>
  <si>
    <t>SK1.1</t>
  </si>
  <si>
    <t xml:space="preserve">บัวเชิงผนังไม้จริง MAPLE  หนา 15 มม. สูง 50 มม. </t>
  </si>
  <si>
    <t>บัวเชิงผนังไม้ HMR  หนา 15 มม. สูง100 มม. ทำสีพ่นสีเทา</t>
  </si>
  <si>
    <t>บัวเชิงผนังไม้จริง  หนา 1". สูง 2" ทำสีเทียบวีเนียร์ WV09</t>
  </si>
  <si>
    <t>SK1.4</t>
  </si>
  <si>
    <t xml:space="preserve">บัวเชิงผนังไม้จริง ชนิดเดียวกับไม้พื้น หนา 15 มม. สูง 50 มม. </t>
  </si>
  <si>
    <t>SK1.5</t>
  </si>
  <si>
    <t xml:space="preserve">บัวเชิงผนังไม้จริง ชนิดไม้เนื้อแข็ง หนา 15 มม. สูง 50 มม.ทำสีเทียบวีเนียร์ </t>
  </si>
  <si>
    <t>SK1.6</t>
  </si>
  <si>
    <t xml:space="preserve">บัวเชิงผนังหินขัดสำเร็จรูป  หนา 10 มม. สูง 50 มม. </t>
  </si>
  <si>
    <t>SK1.7</t>
  </si>
  <si>
    <t xml:space="preserve">บัวเชิงผนังไม้จริง WHITEOAKหนา 15 มม. สูง 50 มม. </t>
  </si>
  <si>
    <t>SK1.8</t>
  </si>
  <si>
    <t>งานจมูกบันได</t>
  </si>
  <si>
    <t>งานจมูกบันไดพื้นไม้ step 350MM ภายใน auditorium  ทั้งหมดพร้อม detail ซ่อนไฟ LED</t>
  </si>
  <si>
    <t>งานจมูกบันไดพื้นไม้ step 175MM ภายใน auditorium  ทั้งหมดพร้อม detail ซ่อนไฟ LED</t>
  </si>
  <si>
    <t>งานจมูกบันไดขึ้นเวที ภายใน auditorium ทั้งหมดพร้อม detail ซ่อนไฟ LED</t>
  </si>
  <si>
    <t>งานจมูกบันได BACKSTAGE ภายใน auditorium ทั้งหมดพร้อม detail ซ่อนไฟ LED</t>
  </si>
  <si>
    <t>รวมราคาZONE 1.B</t>
  </si>
  <si>
    <t>KID ZONE RECEPTION</t>
  </si>
  <si>
    <t>2.A-BF05</t>
  </si>
  <si>
    <t>เคาน์เตอร์ 0.8x4x0.7 ม. (กxยxส)</t>
  </si>
  <si>
    <t>ST04</t>
  </si>
  <si>
    <t>STONE04</t>
  </si>
  <si>
    <t>โครงเคาน์เตร์</t>
  </si>
  <si>
    <t>2.A-BF04</t>
  </si>
  <si>
    <t>ชั้นหนังสือ 0.9x19.57x2.125 ม. (กxยxส)</t>
  </si>
  <si>
    <t>2.A-BF02</t>
  </si>
  <si>
    <t>เนิน/ทางเชื่อม6.2x7.3x0.7 ม. (กxยxส)</t>
  </si>
  <si>
    <t>2.A-BF06</t>
  </si>
  <si>
    <t>โต๊ะอ่านหนังสือผู้ปกครองพร้อมคอกกั้นเด็ก ชุด1</t>
  </si>
  <si>
    <t>โต๊ะอ่านหนังสือผู้ปกครองพร้อมคอกกั้นเด็ก ชุด2</t>
  </si>
  <si>
    <t>โต๊ะอ่านหนังสือผู้ปกครองพร้อมคอกกั้นเด็ก ชุด3</t>
  </si>
  <si>
    <t>2.A-BF03</t>
  </si>
  <si>
    <t xml:space="preserve">ชั้นหนังสือ </t>
  </si>
  <si>
    <t>โครงเสากระจก</t>
  </si>
  <si>
    <t xml:space="preserve">P04 </t>
  </si>
  <si>
    <t xml:space="preserve"> สีพ่นเหล็ก เฉดสีเทียบสเตนเลส</t>
  </si>
  <si>
    <t>2.A-BF01</t>
  </si>
  <si>
    <t>SLIDER</t>
  </si>
  <si>
    <t>FBG01</t>
  </si>
  <si>
    <t>FIBERGLASS</t>
  </si>
  <si>
    <t>HMR03</t>
  </si>
  <si>
    <t>HMRทำสีพ่น</t>
  </si>
  <si>
    <t>ตู้หนังสือ</t>
  </si>
  <si>
    <t>RAILING</t>
  </si>
  <si>
    <t>GL04</t>
  </si>
  <si>
    <t>GLASS04-TEMPERED</t>
  </si>
  <si>
    <t xml:space="preserve"> รังผึ้ง</t>
  </si>
  <si>
    <t>ไม้ปิดขอบไม้จริง</t>
  </si>
  <si>
    <t>หนา 10มม กว้าง 50 มม</t>
  </si>
  <si>
    <t>หนา 20มม กว้าง 50 มม</t>
  </si>
  <si>
    <t>หนา 25มม กว้าง 50 มม</t>
  </si>
  <si>
    <t>รวมราคาZONE 2.A</t>
  </si>
  <si>
    <t>ผนังหน้าลิฟต์</t>
  </si>
  <si>
    <t>SS03</t>
  </si>
  <si>
    <t>Stainless Steel Sheet เกรด SUS304 สีธรรมชาติ ผิว HAIRLINE ความหนาไม่น้อยกว่า 0.8 มม.</t>
  </si>
  <si>
    <t>ผนังหน้าห้อง</t>
  </si>
  <si>
    <t>STAINLESS01-HAIRLINE</t>
  </si>
  <si>
    <t>รวมราคาZONE 2.B</t>
  </si>
  <si>
    <t>LIVING LIBRARY</t>
  </si>
  <si>
    <t>3.A-IW01</t>
  </si>
  <si>
    <t>3.A-IW03</t>
  </si>
  <si>
    <t>UV-MACHINE</t>
  </si>
  <si>
    <t>3.A-IW04</t>
  </si>
  <si>
    <t>CORRIDOR TK OFFICE</t>
  </si>
  <si>
    <t>3.A-IW16</t>
  </si>
  <si>
    <t>ซุ้มประตูหน้าออฟฟิต</t>
  </si>
  <si>
    <t>3.A-IW02</t>
  </si>
  <si>
    <t>ผนังNEW ARRIVAL ชั้น3M</t>
  </si>
  <si>
    <t>3.A-BF01</t>
  </si>
  <si>
    <t>ส่วนที่1:BOOK WALLฝั่งห้องน้ำ</t>
  </si>
  <si>
    <t>แผ่นตั้ง</t>
  </si>
  <si>
    <t>ส่วนที่2:BOOK WALLฝั่งสำนักงาน</t>
  </si>
  <si>
    <t>ส่วนที่3:BOOK WALLหน้าห้องอ่านเงียบ</t>
  </si>
  <si>
    <t>3.C-BF01</t>
  </si>
  <si>
    <t>ส่วนที่4:BOOK WALLชั้น3M ฝั่งห้องMUSIC DIGITAL</t>
  </si>
  <si>
    <t>ส่วนที่5:BOOK WALLชั้น3M ฝั่งห้องประชุม</t>
  </si>
  <si>
    <t>3.A-BF05</t>
  </si>
  <si>
    <t>LIBRARY OF THINGS</t>
  </si>
  <si>
    <t>WE02</t>
  </si>
  <si>
    <t>3.A-BF06</t>
  </si>
  <si>
    <t>ชั้นวางMAGAZINE</t>
  </si>
  <si>
    <t>3.A-BF07</t>
  </si>
  <si>
    <t>จุดค้นหาและคืนหนังสือ(ฝั่งสำนักงาน)</t>
  </si>
  <si>
    <t>3.A-BF09</t>
  </si>
  <si>
    <t>จุดค้นหาและคืนหนังสือ(ฝั่งห้องน้ำ)</t>
  </si>
  <si>
    <t>3.A-BF10</t>
  </si>
  <si>
    <t>New arival</t>
  </si>
  <si>
    <t>(ไส้ในเหมือนBook Wall)</t>
  </si>
  <si>
    <t>3.A-BF02</t>
  </si>
  <si>
    <t>BOOK TOWER</t>
  </si>
  <si>
    <t>เหล็กเพลต 3 มม.</t>
  </si>
  <si>
    <t>3.A-BF03</t>
  </si>
  <si>
    <t>BOOK TOWER-STAIR</t>
  </si>
  <si>
    <t>3.A-BF04</t>
  </si>
  <si>
    <t>หน้า</t>
  </si>
  <si>
    <t>ไม้จริง engineering wood</t>
  </si>
  <si>
    <t>LAMINATE02-WHITE</t>
  </si>
  <si>
    <t>3.A-BF11</t>
  </si>
  <si>
    <t>ที่นั่งรอบพื้นกระจกกลม</t>
  </si>
  <si>
    <t>ไม้ดัดโค้ง</t>
  </si>
  <si>
    <t>โครงเหล็ก</t>
  </si>
  <si>
    <t>3.A-BF12</t>
  </si>
  <si>
    <t>ชั้นหนังสือที่กั้นบันได</t>
  </si>
  <si>
    <t>3.A-BF13</t>
  </si>
  <si>
    <t>ที่นั่ง step seat</t>
  </si>
  <si>
    <t>3.A-BF08</t>
  </si>
  <si>
    <t>ชั้นหนังสือ step seat</t>
  </si>
  <si>
    <t>3.A-IW05</t>
  </si>
  <si>
    <t>ผนังไม้ VENEER</t>
  </si>
  <si>
    <t>3.A-IW06</t>
  </si>
  <si>
    <t>3.A-IW10</t>
  </si>
  <si>
    <t>3.A-BF15</t>
  </si>
  <si>
    <t>โต๊ะอ่านหนังสือ</t>
  </si>
  <si>
    <t>3.A-BF14</t>
  </si>
  <si>
    <t>เก้าอี้ม้านั่งยาว</t>
  </si>
  <si>
    <t>READING ROOM A</t>
  </si>
  <si>
    <t>3.A-IW07</t>
  </si>
  <si>
    <t>3.A-IW08</t>
  </si>
  <si>
    <t>3.A-IW11</t>
  </si>
  <si>
    <t>READING ROOM B</t>
  </si>
  <si>
    <t>3.A-IW09</t>
  </si>
  <si>
    <t>3.A-IW12</t>
  </si>
  <si>
    <t>รวมราคาZONE 3.A</t>
  </si>
  <si>
    <t>ZONE 3.B1</t>
  </si>
  <si>
    <t>RETURN BOOK SERVICE</t>
  </si>
  <si>
    <t>3.B1-BF01</t>
  </si>
  <si>
    <t>ตู้</t>
  </si>
  <si>
    <t>2.7x1.375 สูง 2.60</t>
  </si>
  <si>
    <t>3.B1-BF02</t>
  </si>
  <si>
    <t>5.77x0.65 สูง 2.60</t>
  </si>
  <si>
    <t>ซุ้มประตูออกPANTRY</t>
  </si>
  <si>
    <t>3.B1-BF03</t>
  </si>
  <si>
    <t>ตู้เก็บเอกสารสำนักงาน</t>
  </si>
  <si>
    <t>หน้าบาน/ในตู้</t>
  </si>
  <si>
    <t>P06B</t>
  </si>
  <si>
    <t>โครงไม้ทำสีพ่นสีเทา</t>
  </si>
  <si>
    <t>ผิวตู้ล่าง</t>
  </si>
  <si>
    <t>ST02</t>
  </si>
  <si>
    <t>STONE02-TERRAZZO</t>
  </si>
  <si>
    <t>3.B1-BF04</t>
  </si>
  <si>
    <t>P06</t>
  </si>
  <si>
    <t>3.B1-BF05</t>
  </si>
  <si>
    <t>3.B1-IW01</t>
  </si>
  <si>
    <t>ผนังห้องประชุม</t>
  </si>
  <si>
    <t>3.B1-BF06</t>
  </si>
  <si>
    <t>SK2.2</t>
  </si>
  <si>
    <t>บัวเชิงผนัง สำเร็จรูปของ SCG ขนาด 10x50  มม. รุ่นและรายระบุภายหลัง</t>
  </si>
  <si>
    <t>OFFICE /บัวเชิงผนัง</t>
  </si>
  <si>
    <t>OFFICE / งานหลืบฝ้าซ่อนไฟ</t>
  </si>
  <si>
    <t>ZONE 3.B2</t>
  </si>
  <si>
    <t>BOOK CONSERVATION</t>
  </si>
  <si>
    <t>ZONE 3.B3</t>
  </si>
  <si>
    <t>TK OFFICE MEETING ROOM</t>
  </si>
  <si>
    <t>3M07</t>
  </si>
  <si>
    <t>MEETING ROOM A</t>
  </si>
  <si>
    <t>3.B3-BF01</t>
  </si>
  <si>
    <t>ตู้เก็บของ ขนาด 0.75x6.00x2.65 ม.(กxยxส)</t>
  </si>
  <si>
    <t>บานเปิด</t>
  </si>
  <si>
    <t>WD06</t>
  </si>
  <si>
    <t>WOOD06-ไม้ระแนงเว้นร่อง</t>
  </si>
  <si>
    <t>ขาแขวนทีวี (ในห้อง)</t>
  </si>
  <si>
    <t xml:space="preserve">ขาแขวนทีวีประเภทปรับมุมมองได้ทุกทิศทาง (Full-motion TV Wall Mounts) </t>
  </si>
  <si>
    <t>แบบ 2 แขน ใช้แขวนทีวีที่มีขนาดใหญ่ หน้าจอกว้างช่วงประมาณ 60"-100"</t>
  </si>
  <si>
    <t>3.B3-BF02</t>
  </si>
  <si>
    <t>ตู้เก็บของ ขนาด 0.55x8.00x2.65 ม.(กxยxส)</t>
  </si>
  <si>
    <t>ผนังห้อง/ตีนตู้/ชั้นตู้</t>
  </si>
  <si>
    <t>บานตู้</t>
  </si>
  <si>
    <t>ACFB02</t>
  </si>
  <si>
    <t>ACOUSTIC-FABRIC02</t>
  </si>
  <si>
    <t>ฟองน้ำ</t>
  </si>
  <si>
    <t>แผ่นDAIKEN</t>
  </si>
  <si>
    <t>3.B3-BF03</t>
  </si>
  <si>
    <t>ตู้เก็บของ ขนาด 1.05x6.00x2.65 ม.(กxยxส)</t>
  </si>
  <si>
    <t>3M08</t>
  </si>
  <si>
    <t>MEETING ROOM B</t>
  </si>
  <si>
    <t>3.B3-BF04</t>
  </si>
  <si>
    <t>3.B3-BF05</t>
  </si>
  <si>
    <t>ตู้เก็บของ ขนาด 0.175x3.80x2.85 ม.(กxยxส)</t>
  </si>
  <si>
    <t>ผนังทีวี</t>
  </si>
  <si>
    <t>GL02</t>
  </si>
  <si>
    <t>GLASS COATED-WHITE</t>
  </si>
  <si>
    <t>3.B3-BF06</t>
  </si>
  <si>
    <t>ตู้เก็บของ ขนาด 0.625x5.90x2.85 ม.(กxยxส)</t>
  </si>
  <si>
    <t>3M09</t>
  </si>
  <si>
    <t>MEETING ROOM C</t>
  </si>
  <si>
    <t>3.B3-IW03</t>
  </si>
  <si>
    <t>PERFORATE02-HONEYCOMB</t>
  </si>
  <si>
    <t>ผนังหุ้มเสา</t>
  </si>
  <si>
    <t>ACPF02</t>
  </si>
  <si>
    <t>ผนังระหว่างห้อง</t>
  </si>
  <si>
    <t>3.B3-BF08</t>
  </si>
  <si>
    <t>ตู้เก็บของ ขนาด 0.55x2.70x2.65 ม.(กxยxส)</t>
  </si>
  <si>
    <t>3.B3-BF10</t>
  </si>
  <si>
    <t>ตู้เก็บของ ขนาด 0.20x2.70x2.65 ม.(กxยxส)</t>
  </si>
  <si>
    <t>ผนังห้อง</t>
  </si>
  <si>
    <t>3M10</t>
  </si>
  <si>
    <t>MEETING ROOM D</t>
  </si>
  <si>
    <t>3.B3-IW01</t>
  </si>
  <si>
    <t>3.B3-BF07</t>
  </si>
  <si>
    <t>3.B3-BF09</t>
  </si>
  <si>
    <t>sk2.3</t>
  </si>
  <si>
    <t>บัวเชิงผนังไม้จริง  ขนาด 10x50 มม.สำสีพ่น ทำสีเทียบสีผนังรหัส P01</t>
  </si>
  <si>
    <t>MEETING / งานหลืบฝ้าเพดาน ซ่อนไฟ</t>
  </si>
  <si>
    <t>รวมราคาZONE 3.B</t>
  </si>
  <si>
    <t>3M02</t>
  </si>
  <si>
    <t>MUSIC DIGITAL</t>
  </si>
  <si>
    <t>3.C-IW11,12</t>
  </si>
  <si>
    <t>ระบบ แผ่นไม้อะคูสติคปิดผิวด้วยวีเนียร์ไม้ มีค่าการดูดซับเสียง</t>
  </si>
  <si>
    <t>ได้ไม่น้อยกว่า NRC 0.71</t>
  </si>
  <si>
    <t>แผ่นไม้acoustic</t>
  </si>
  <si>
    <t>ACWD01</t>
  </si>
  <si>
    <t>ACOUSTIC-WOOD01</t>
  </si>
  <si>
    <t>ตู้เก็บแผ่นเสียง</t>
  </si>
  <si>
    <t>3.C-BF02</t>
  </si>
  <si>
    <t>โต๊ะ+ชั้นdispaly</t>
  </si>
  <si>
    <t>หลืบฝ้า กว้าง 200 mm.</t>
  </si>
  <si>
    <t>sk3.2</t>
  </si>
  <si>
    <t xml:space="preserve">บัวเชิงผนังไม้จริง ชนิดไม้เนื้อแข็ง หนา 15 มม. ทำสีพ่นสีขาว สูง 50 มม. </t>
  </si>
  <si>
    <t>3M03</t>
  </si>
  <si>
    <t>BOARD GAME ROOM</t>
  </si>
  <si>
    <t>3.C-IW07</t>
  </si>
  <si>
    <t xml:space="preserve">ระบบ แผ่นไม้อะคูสติคปิดผิวด้วยวีเนียร์ไม้ </t>
  </si>
  <si>
    <t>มีค่าการดูดซับเสียงได้ไม่น้อยกว่า NRC 0.71</t>
  </si>
  <si>
    <t>3.C-IW08</t>
  </si>
  <si>
    <t>3.C-IW09</t>
  </si>
  <si>
    <t>ระบบ แผ่นไม้อะคูสติคปิดผิวด้วยวีเนียร์ไม้</t>
  </si>
  <si>
    <t>3.C-IW10</t>
  </si>
  <si>
    <t>ชั้น DISPLAY</t>
  </si>
  <si>
    <t>3.C-BF03</t>
  </si>
  <si>
    <t>กล่องเก็บPANELกั้นห้อง</t>
  </si>
  <si>
    <t>3M04</t>
  </si>
  <si>
    <t>MUSIC ROOM 1</t>
  </si>
  <si>
    <t>3.C-IW01</t>
  </si>
  <si>
    <t>3.C-IW02</t>
  </si>
  <si>
    <t>3.C-IW03</t>
  </si>
  <si>
    <t xml:space="preserve"> มีค่าการดูดซับเสียงได้ไม่น้อยกว่า NRC 0.71</t>
  </si>
  <si>
    <t>3M06</t>
  </si>
  <si>
    <t>MUSIC ROOM 2</t>
  </si>
  <si>
    <t>3.C-IW04</t>
  </si>
  <si>
    <t>3.C-IW05</t>
  </si>
  <si>
    <t>3.C-IW06</t>
  </si>
  <si>
    <t>COLUMN</t>
  </si>
  <si>
    <t>PAINT01</t>
  </si>
  <si>
    <t>3.C / หลืบซ่อนไฟ</t>
  </si>
  <si>
    <t>3.C/ งานหลืบฝ้า</t>
  </si>
  <si>
    <t>SK5.1</t>
  </si>
  <si>
    <t xml:space="preserve">บัวเชิงผนังไม้เนื้อแข็ง หนา10 มม. สูง 50 มม. </t>
  </si>
  <si>
    <t>รวมราคาZONE 3.C</t>
  </si>
  <si>
    <t xml:space="preserve">ZONE4.A </t>
  </si>
  <si>
    <t>B33</t>
  </si>
  <si>
    <t xml:space="preserve">PANTRY </t>
  </si>
  <si>
    <t>PANTRY01</t>
  </si>
  <si>
    <t>BASEMENT</t>
  </si>
  <si>
    <t>LAMINATE03-WOOD</t>
  </si>
  <si>
    <t>STONE03</t>
  </si>
  <si>
    <t>ผนัง</t>
  </si>
  <si>
    <t>TL01</t>
  </si>
  <si>
    <t>TILE01</t>
  </si>
  <si>
    <t>ขนาด 0.44x0.44x0.20ม.</t>
  </si>
  <si>
    <t>ก๊อกเดี่ยวผสมน้ำดื่มน้ำใช้ตั้งพื้น+STOP VAVLE</t>
  </si>
  <si>
    <t>SERVICE CORRIDOR</t>
  </si>
  <si>
    <t>PANTRY02</t>
  </si>
  <si>
    <t>OFFICE</t>
  </si>
  <si>
    <t>อ่างล้างจานสแตนเลสชนิดติดตั้งใต้เคาน์เตอร์ท็อป 1 หลุม ขนาด 0.44x0.44x0.20ม.</t>
  </si>
  <si>
    <t>3M12</t>
  </si>
  <si>
    <t>PANTRY</t>
  </si>
  <si>
    <t>PANTRY03</t>
  </si>
  <si>
    <t>MEETING</t>
  </si>
  <si>
    <t>รวมราคาPANTRY</t>
  </si>
  <si>
    <t xml:space="preserve">งานวิศวกรรมโครงสร้าง  (RKCA 1)   </t>
  </si>
  <si>
    <t>สรุปราคาค่าก่อสร้างงานวิศวกรรมโครงสร้าง</t>
  </si>
  <si>
    <t>งานเสาเข็ม Pile wall และระบบค้ำยันใต้ดิน</t>
  </si>
  <si>
    <t>งานโครงสร้างฐานราก และชั้นใต้ดิน</t>
  </si>
  <si>
    <t>งานโครงสร้าง คาน พื้น เสา ผนังชั้น 1</t>
  </si>
  <si>
    <t>งานโครงสร้าง คาน พื้น เสา ผนังชั้น 2</t>
  </si>
  <si>
    <t>งานโครงสร้าง คาน พื้น เสา ผนังชั้น 3</t>
  </si>
  <si>
    <t>งานโครงสร้าง คาน พื้น เสา ผนังชั้น 3 (ชั้นลอย)</t>
  </si>
  <si>
    <t>งานโครงสร้าง คาน พื้น ผนังดาดฟ้า</t>
  </si>
  <si>
    <t>งานโครงสร้างเหล็กหลังคา</t>
  </si>
  <si>
    <t>งานบันไดคอนกรีตเสริมเหล็ก</t>
  </si>
  <si>
    <t>งานบันไดโครงสร้างเหล็ก</t>
  </si>
  <si>
    <t>โครงสร้าง Support furniture</t>
  </si>
  <si>
    <t>รวมราคาค่าก่อสร้างงานวิศวกรรมโครงสร้าง</t>
  </si>
  <si>
    <t>งานเสาเข็มอาคาร</t>
  </si>
  <si>
    <t>เสาเข็มเจาะชนิดเปียก Type-1 Dia 0.60 Pile Tip -35.00 m.</t>
  </si>
  <si>
    <t>ต้น</t>
  </si>
  <si>
    <t>เสาเข็มเจาะชนิดเปียก Type-2 Dia 0.60 Pile Tip -35.00 m.</t>
  </si>
  <si>
    <t>งานตัดหัวเสาเข็ม</t>
  </si>
  <si>
    <t>งานทดสอบเสาเข็ม</t>
  </si>
  <si>
    <t>DYNAMIC  LOAD TEST</t>
  </si>
  <si>
    <t>SEISMIC TEST</t>
  </si>
  <si>
    <t>งานเสาเข็ม Pilewall</t>
  </si>
  <si>
    <t>เสาเข็มเจาะชนิดเปียก Type-1 Dia 0.60 x 18 m.</t>
  </si>
  <si>
    <t>เสาเข็มเจาะชนิดเปียก Type-2 Dia 0.60 x 18 m.</t>
  </si>
  <si>
    <t>รวมราคางานเสาเข็ม Pile wall และระบบค้ำยันใต้ดิน</t>
  </si>
  <si>
    <t>งานโครงสร้างฐานรากและชั้นใต้ดิน</t>
  </si>
  <si>
    <t>โครงสร้างฐานราก</t>
  </si>
  <si>
    <t>งานขุดดิน และถมกลับ</t>
  </si>
  <si>
    <t>ลบ.ม.</t>
  </si>
  <si>
    <t>งานทรายหยาบบดอัดแน่น</t>
  </si>
  <si>
    <t>งานคอนกรีตหยาบ</t>
  </si>
  <si>
    <t xml:space="preserve">งานเหล็กเสริม </t>
  </si>
  <si>
    <t>ขนาดเส้นผ่านศูนย์กลาง 12 ม.ม. SD-50</t>
  </si>
  <si>
    <t>ราคามีแก้ไขตามกระทรวงพาณิชย์ กทม. ธ.ค.67</t>
  </si>
  <si>
    <t>ขนาดเส้นผ่านศูนย์กลาง 16 ม.ม. SD-50</t>
  </si>
  <si>
    <t>ขนาดเส้นผ่านศูนย์กลาง 20 ม.ม. SD-50</t>
  </si>
  <si>
    <t>ขนาดเส้นผ่านศูนย์กลาง 25 ม.ม. SD-50</t>
  </si>
  <si>
    <t>ขนาดเส้นผ่านศูนย์กลาง 28 ม.ม. SD-50</t>
  </si>
  <si>
    <t>ลวดผูกเหล็ก</t>
  </si>
  <si>
    <t>ปริมาณลวด</t>
  </si>
  <si>
    <t>งานไม้แบบ</t>
  </si>
  <si>
    <t>ไม้แบบ ค้ำยัน นั่งร้าน (อาคาร 4 ชั้นขึ้นไป ใช้ 50%)</t>
  </si>
  <si>
    <t>ค่าแรงประกอบและติดตั้งไม้แบบหล่อคอนกรีต (ใช้ 100%)</t>
  </si>
  <si>
    <t>ไม้เคร่า (ใช้ 30% ของไม้แบบ 1 ตร.ม.)</t>
  </si>
  <si>
    <t>ลบ.ฟ.</t>
  </si>
  <si>
    <t>ตะปู (ใช้ 25% ของไม้แบบ 1 ตร.ม.)</t>
  </si>
  <si>
    <t>งานคอนกรีตโครงสร้าง</t>
  </si>
  <si>
    <t>งานคอนกรีตโครงสร้าง 240 ksc.ผสมน้ำยากันซึม</t>
  </si>
  <si>
    <t>โครงสร้างคาน ชั้นใต้ดิน</t>
  </si>
  <si>
    <t>2.7</t>
  </si>
  <si>
    <t>2.8</t>
  </si>
  <si>
    <t>2.9</t>
  </si>
  <si>
    <t>2.10</t>
  </si>
  <si>
    <t>ขนาดเส้นผ่านศูนย์กลาง 32 ม.ม. SD-50</t>
  </si>
  <si>
    <t>2.11</t>
  </si>
  <si>
    <t>งานคอนกรีตโครงสร้าง 320 ksc.ผสมน้ำยากันซึม</t>
  </si>
  <si>
    <t>โครงสร้างพื้น ชั้นใต้ดิน</t>
  </si>
  <si>
    <t>2.13</t>
  </si>
  <si>
    <t>2.14</t>
  </si>
  <si>
    <t>2.15</t>
  </si>
  <si>
    <t>2.16</t>
  </si>
  <si>
    <t>2.17</t>
  </si>
  <si>
    <t>โครงสร้างเสา ชั้นใต้ดิน</t>
  </si>
  <si>
    <t>2.19</t>
  </si>
  <si>
    <t>ขนาดเส้นผ่านศูนย์กลาง 9 ม.ม. SR-24</t>
  </si>
  <si>
    <t>2.20</t>
  </si>
  <si>
    <t>2.21</t>
  </si>
  <si>
    <t>งานคอนกรีตโครงสร้าง 320 ksc.</t>
  </si>
  <si>
    <t>งานคอนกรีตโครงสร้าง 550 ksc.</t>
  </si>
  <si>
    <t>2.22</t>
  </si>
  <si>
    <t>เสาเหล็กรูปพรรณ (เสา Composite)</t>
  </si>
  <si>
    <t>WF300x300x10x15 mm.-94.0 Kg./m.(sm520)</t>
  </si>
  <si>
    <t>โครงสร้างผนัง ชั้นใต้ดิน</t>
  </si>
  <si>
    <t>2.23</t>
  </si>
  <si>
    <t>2.24</t>
  </si>
  <si>
    <t>2.25</t>
  </si>
  <si>
    <t>2.26</t>
  </si>
  <si>
    <t>งาน WATER STOP</t>
  </si>
  <si>
    <t>WATER STOP 8"</t>
  </si>
  <si>
    <t>2.27</t>
  </si>
  <si>
    <t>งาน WATER PROOF MEMBRANE</t>
  </si>
  <si>
    <t>WATER PROOF MEMBRANE (โครงสร้างพื้นและผนังส่วนที่สัมผัสน้ำและดิน)</t>
  </si>
  <si>
    <t>WF-125x125x6.5x9 mm. -23.8 kg/m.</t>
  </si>
  <si>
    <t>WF-300x150x6.5x9 mm. -36.7 kg/m.</t>
  </si>
  <si>
    <t>WF-250x125x6x9 mm. -29.6 kg/m.</t>
  </si>
  <si>
    <t>C-100x50x5x7.5 mm. -9.36 kg/m.</t>
  </si>
  <si>
    <t>L-50x50x3 mm. -2.33 kg/m.</t>
  </si>
  <si>
    <t>Steel Plate 4 mm.</t>
  </si>
  <si>
    <t>งานสีกันสนิม</t>
  </si>
  <si>
    <t>งานสีน้ำมัน</t>
  </si>
  <si>
    <t>งานทาสีกันไฟ Fireproof Coating  ความหนาไม่น้อยกว่า 500 ไมครอน</t>
  </si>
  <si>
    <t>โครงสร้างบ่อบำบัด</t>
  </si>
  <si>
    <t>2.29</t>
  </si>
  <si>
    <t>เสาเข็มรูปตัวไอขนาด 0.15x0.15x6.00 ม. ติดตั้ง DOWEL 1-DB12 x 0.50 ม.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</si>
  <si>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</si>
  <si>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</si>
  <si>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</si>
  <si>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</si>
  <si>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</si>
  <si>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</si>
  <si>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</si>
  <si>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</si>
  <si>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</si>
  <si>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โครงสร้างบ่อหน่วงน้ำ</t>
  </si>
  <si>
    <t>2.39</t>
  </si>
  <si>
    <t>2.40</t>
  </si>
  <si>
    <t>2.41</t>
  </si>
  <si>
    <t>2.42</t>
  </si>
  <si>
    <t>2.43</t>
  </si>
  <si>
    <t>2.44</t>
  </si>
  <si>
    <t>2.45</t>
  </si>
  <si>
    <t>2.46</t>
  </si>
  <si>
    <t>โครงสร้าง Drain sump ,Sewage sump ,Escalator pit</t>
  </si>
  <si>
    <t>2.47</t>
  </si>
  <si>
    <t>2.48</t>
  </si>
  <si>
    <t>2.49</t>
  </si>
  <si>
    <t>2.50</t>
  </si>
  <si>
    <t>2.51</t>
  </si>
  <si>
    <t>2.52</t>
  </si>
  <si>
    <t>โครงสร้าง Gutter 200 mm. W x 250 mm. D</t>
  </si>
  <si>
    <t>2.53</t>
  </si>
  <si>
    <t>2.54</t>
  </si>
  <si>
    <t>2.55</t>
  </si>
  <si>
    <t>2.56</t>
  </si>
  <si>
    <t>2.57</t>
  </si>
  <si>
    <t>2.58</t>
  </si>
  <si>
    <t>รวมราคางานโครงสร้างฐานรากและชั้นใต้ดิน</t>
  </si>
  <si>
    <t>โครงสร้างคาน ชั้น 1</t>
  </si>
  <si>
    <t>3.1</t>
  </si>
  <si>
    <t>3.2</t>
  </si>
  <si>
    <t>3.3</t>
  </si>
  <si>
    <t>3.4</t>
  </si>
  <si>
    <t>โครงสร้างพื้น ชั้น 1</t>
  </si>
  <si>
    <t>ขนาดเส้นผ่านศูนย์กลาง 6 ม.ม. SR-24</t>
  </si>
  <si>
    <t>3.10</t>
  </si>
  <si>
    <t>งานระบบพื้นอัดแรง (Post tension 0.23m. Thk.)</t>
  </si>
  <si>
    <t>โครงสร้างเสา ชั้น 1</t>
  </si>
  <si>
    <t>3.11</t>
  </si>
  <si>
    <t>โครงสร้างผนัง ชั้น 1</t>
  </si>
  <si>
    <t>3.16</t>
  </si>
  <si>
    <t>3.17</t>
  </si>
  <si>
    <t>โครงสร้าง Gutter 200 mm. W x 350 mm. D</t>
  </si>
  <si>
    <t>3.18</t>
  </si>
  <si>
    <t>3.19</t>
  </si>
  <si>
    <t>3.20</t>
  </si>
  <si>
    <t>3.21</t>
  </si>
  <si>
    <t>3.22</t>
  </si>
  <si>
    <t>3.23</t>
  </si>
  <si>
    <t>โครงสร้าง Amphitheater</t>
  </si>
  <si>
    <t>3.24</t>
  </si>
  <si>
    <t>3.25</t>
  </si>
  <si>
    <t>3.26</t>
  </si>
  <si>
    <t>รวมราคางานงานโครงสร้าง คาน พื้น เสา ผนังชั้น 1</t>
  </si>
  <si>
    <t>โครงสร้างคาน ชั้น 2</t>
  </si>
  <si>
    <t>โครงสร้างพื้น ชั้น 2</t>
  </si>
  <si>
    <t xml:space="preserve">งานคอนกรีตโครงสร้าง 320 ksc. </t>
  </si>
  <si>
    <t>โครงสร้างเสา ชั้น 2</t>
  </si>
  <si>
    <t>4.10</t>
  </si>
  <si>
    <t>4.11</t>
  </si>
  <si>
    <t>โครงสร้างผนัง ชั้น 2</t>
  </si>
  <si>
    <t>4.12</t>
  </si>
  <si>
    <t>4.13</t>
  </si>
  <si>
    <t>4.14</t>
  </si>
  <si>
    <t>Catwalk ชั้นที่ 2 (ref. dwg A429)</t>
  </si>
  <si>
    <t>เหล็กกล่อง 100x50x3.2 mm. THK</t>
  </si>
  <si>
    <t>เหล็กกล่อง 75x38x2.3 mm. THK</t>
  </si>
  <si>
    <t>เหล็กกล่อง 50x25x2.3 mm. THK</t>
  </si>
  <si>
    <t>รวมราคางานงานโครงสร้าง คาน พื้น เสา ผนังชั้น 2</t>
  </si>
  <si>
    <t>โครงสร้างคาน ชั้น 3</t>
  </si>
  <si>
    <t>งานเหล็กเสริม</t>
  </si>
  <si>
    <t>โครงสร้างพื้น ชั้น 3</t>
  </si>
  <si>
    <t>โครงสร้างเสา ชั้น 3</t>
  </si>
  <si>
    <t>5.10</t>
  </si>
  <si>
    <t>งานคอนกรีตโครงสร้าง 450 ksc.</t>
  </si>
  <si>
    <t>5.11</t>
  </si>
  <si>
    <t>โครงสร้างผนัง ชั้น 3</t>
  </si>
  <si>
    <t>5.12</t>
  </si>
  <si>
    <t>5.13</t>
  </si>
  <si>
    <t>5.14</t>
  </si>
  <si>
    <t>Catwalk ชั้นที่ 3 (ref. dwg A430)</t>
  </si>
  <si>
    <t>รวมราคางานงานโครงสร้าง คาน พื้น เสา ผนังชั้น 3</t>
  </si>
  <si>
    <t>โครงสร้างคาน ชั้น 3 (ชั้นลอย)</t>
  </si>
  <si>
    <t>โครงสร้างพื้น ชั้น 3 (ชั้นลอย)</t>
  </si>
  <si>
    <t>โครงสร้างเสา ชั้น 3 (ชั้นลอย)</t>
  </si>
  <si>
    <t>6.9</t>
  </si>
  <si>
    <t>6.10</t>
  </si>
  <si>
    <t>6.11</t>
  </si>
  <si>
    <t>โครงสร้างผนัง ชั้น 3 (ชั้นลอย)</t>
  </si>
  <si>
    <t>6.12</t>
  </si>
  <si>
    <t>6.13</t>
  </si>
  <si>
    <t>6.14</t>
  </si>
  <si>
    <t>รวมราคางานงานโครงสร้าง คาน พื้น เสา ผนังชั้น 3 (ชั้นลอย)</t>
  </si>
  <si>
    <t>งานโครงสร้าง คาน พื้น ผนัง ชั้นดาดฟ้า</t>
  </si>
  <si>
    <t>โครงสร้างคาน ชั้นดาดฟ้า</t>
  </si>
  <si>
    <t>โครงสร้างพื้น ชั้นดาดฟ้า</t>
  </si>
  <si>
    <t>โครงสร้างผนัง ชั้นดาดฟ้า</t>
  </si>
  <si>
    <t>7.7</t>
  </si>
  <si>
    <t>7.8</t>
  </si>
  <si>
    <t>7.9</t>
  </si>
  <si>
    <t>รวมราคางานงานโครงสร้าง คาน พื้น ผนัง ชั้นดาดฟ้า</t>
  </si>
  <si>
    <t>งานโครงสร้างเหล็กโครงหลังคา</t>
  </si>
  <si>
    <t>8.1</t>
  </si>
  <si>
    <t>โครงสร้างเหล็ก รับกระจกทางเข้า (ref. dwg S1-801)</t>
  </si>
  <si>
    <t>WF400x200x8x13 mm.-66.0 Kg./m.</t>
  </si>
  <si>
    <t>WF500x200x11x19 mm.-103.0 Kg./m.</t>
  </si>
  <si>
    <t>Build-Up เหล็กกล่อง-600x400x15 mm. -228.44 Kg./m.</t>
  </si>
  <si>
    <t>Build-Up เหล็กกล่อง-400x400x15 mm. -181.34 Kg./m.</t>
  </si>
  <si>
    <t>เหล็กกล่อง 25x25x2.8 mm. THK</t>
  </si>
  <si>
    <t>เหล็กกล่อง 50x50x3.2 mm. THK</t>
  </si>
  <si>
    <t>เหล็กกล่อง 100x100x3.2 mm. THK</t>
  </si>
  <si>
    <t>เหล็กกล่อง 125x125x3.2 mm. THK</t>
  </si>
  <si>
    <t>เหล็กฉาก 25x25x3.0 mm. THK</t>
  </si>
  <si>
    <t>Steel Plate 3.2 mm. THK</t>
  </si>
  <si>
    <t>Steel Plate Support</t>
  </si>
  <si>
    <t>J-Bolt-M20-600L (A325)</t>
  </si>
  <si>
    <r>
      <rPr>
        <sz val="16"/>
        <color theme="1"/>
        <rFont val="Angsana New"/>
        <charset val="134"/>
      </rPr>
      <t>งาน</t>
    </r>
    <r>
      <rPr>
        <b/>
        <sz val="16"/>
        <color theme="1"/>
        <rFont val="Angsana New"/>
        <charset val="134"/>
      </rPr>
      <t>ซีเมนต์พ่นกันไฟ</t>
    </r>
    <r>
      <rPr>
        <sz val="16"/>
        <color theme="1"/>
        <rFont val="Angsana New"/>
        <charset val="134"/>
      </rPr>
      <t xml:space="preserve"> หนาไม่น้อยกว่า 25 มม. </t>
    </r>
  </si>
  <si>
    <t>โครงสร้างเหล็ก เสารับผนังกระจก (ref. dwg S1-803)</t>
  </si>
  <si>
    <t>เหล็กกล่อง 125x125x4.5 mm. THK</t>
  </si>
  <si>
    <t>DB16-Dowel Support</t>
  </si>
  <si>
    <t>โครงสร้างเหล็ก Canopy  (ref. dwg S1-802)</t>
  </si>
  <si>
    <t>WF-250x125x6x9 mm. -29.6 kg/m</t>
  </si>
  <si>
    <t>WF-150x75x5x7 mm. -14.0 kg/m</t>
  </si>
  <si>
    <t>J-Bolt-M20-550L (A325)</t>
  </si>
  <si>
    <t>โครงสร้างเหล็กรับพื้นกระจกวงกลม ชั้น 3 urban void (ref. dwg A830 ,S1-205B)</t>
  </si>
  <si>
    <t>WF350x175x6x9 mm.-41.4 Kg/m</t>
  </si>
  <si>
    <t>เหล็กกล่อง 200x100x4.5 mm. THK</t>
  </si>
  <si>
    <r>
      <rPr>
        <sz val="16"/>
        <color theme="1"/>
        <rFont val="Angsana New"/>
        <charset val="134"/>
      </rPr>
      <t xml:space="preserve">งานทาสีกันไฟ </t>
    </r>
    <r>
      <rPr>
        <b/>
        <sz val="16"/>
        <color theme="1"/>
        <rFont val="Angsana New"/>
        <charset val="134"/>
      </rPr>
      <t>ความหนาไม่น้อยกว่า 500 ไมครอน</t>
    </r>
  </si>
  <si>
    <t>โครงสร้างเหล็ก ผนังบังแอร์ (ref. dwg A911)</t>
  </si>
  <si>
    <t>เหล็กฉาก 100x100x7 mm. THK</t>
  </si>
  <si>
    <t>Steel Plate Support + Bolt/Dowel</t>
  </si>
  <si>
    <t>งานเหล็กโครงหลังคา  (ref. dwg S1-802, 803)</t>
  </si>
  <si>
    <t>WF200x100x5.5x8 mm.-21.3 Kg/m</t>
  </si>
  <si>
    <t>กก</t>
  </si>
  <si>
    <t>WF200x200x8x12 mm.-49.9 Kg/m</t>
  </si>
  <si>
    <t>WF125x125x6.5x9 mm.-23.8 Kg/m</t>
  </si>
  <si>
    <t>เหล็กกล่อง 100x50x2.3 mm. THK</t>
  </si>
  <si>
    <t>เหล็กกล่อง 100x100x6.0 mm. THK</t>
  </si>
  <si>
    <t>เหล็กกล่อง 200x100x3.2 mm. THK</t>
  </si>
  <si>
    <t>เหล็กกล่อง 75x75x3.2 mm. THK</t>
  </si>
  <si>
    <t>เหล็กกล่อง 50x50x2.3 mm. THK</t>
  </si>
  <si>
    <t>Built-up เหล็กกล่อง 300x200x15 mm. THK</t>
  </si>
  <si>
    <t>Pipe 50x3.2 mm. -4.53 kg/m</t>
  </si>
  <si>
    <t xml:space="preserve">เหล็กกล่อง 50x50x2.5 mm. THK (แปเหล็ก) </t>
  </si>
  <si>
    <t xml:space="preserve">เหล็กฉาก 75x75x6xmm. THK </t>
  </si>
  <si>
    <t>J-Bolt-M20-500L (A325)</t>
  </si>
  <si>
    <t>J-Bolt-M25-500L (A325)</t>
  </si>
  <si>
    <t>DB12-Dowel Support</t>
  </si>
  <si>
    <t>รวมราคางานงานโครงสร้างเหล็กโครงหลังคา</t>
  </si>
  <si>
    <t>9.1</t>
  </si>
  <si>
    <t>บันได คสล. ST01 (ref. dwg A401 ,S1-702)</t>
  </si>
  <si>
    <t>9.2</t>
  </si>
  <si>
    <t>บันได คสล. ST1.1 (ref. dwg A401 ,S1-702)</t>
  </si>
  <si>
    <t>9.3</t>
  </si>
  <si>
    <t>บันได คสล. ST02 (ref. dwg A406 ,S1-702)</t>
  </si>
  <si>
    <t>9.4</t>
  </si>
  <si>
    <t>บันได คสล. ST03  (ref. dwg A409 ,S1-702)</t>
  </si>
  <si>
    <t>9.5</t>
  </si>
  <si>
    <t>บันได คสล. ST04 (ref. dwg A412)</t>
  </si>
  <si>
    <t>9.6</t>
  </si>
  <si>
    <t>บันได คสล. ST06  (ref. dwg S1-708)</t>
  </si>
  <si>
    <t>9.7</t>
  </si>
  <si>
    <t>บันได คสล. ST07 (ref. dwg A415)</t>
  </si>
  <si>
    <t>9.8</t>
  </si>
  <si>
    <t>บันได คสล. ST7.1 (ref. dwg A414)</t>
  </si>
  <si>
    <t>9.9</t>
  </si>
  <si>
    <t>บันได คสล. ST11 ชั้น 3M (ref. dwg A437 ,S1-902)</t>
  </si>
  <si>
    <t>รวมราคางานบันไดคอนกรีตเสริมเหล็ก</t>
  </si>
  <si>
    <t>10.1</t>
  </si>
  <si>
    <t>บันได โครงสร้างเหล็ก ST05  (ref. dwg A419,S1-701)</t>
  </si>
  <si>
    <t>WF175x175x7.5x11 mm. -40.2 kg/m (SM520)</t>
  </si>
  <si>
    <t>C125x65x6x8 mm.</t>
  </si>
  <si>
    <t>เหล็กกล่อง 100x50x2.3 mm.</t>
  </si>
  <si>
    <t>WF200x100x5.5x8 mm. -21.3 kg/m</t>
  </si>
  <si>
    <t>WF350x175x7x11 mm. -49.6 kg/m  (SM520)</t>
  </si>
  <si>
    <t>WF300x150x6.5x9 mm. -36.7 kg/m</t>
  </si>
  <si>
    <t>เหล็กกล่อง 50x50x3.2 mm.</t>
  </si>
  <si>
    <t>L-Bolt-M16-200L (A325)</t>
  </si>
  <si>
    <t>DB20-Dowel Support</t>
  </si>
  <si>
    <t>10.2</t>
  </si>
  <si>
    <t>บันได ST08 ห้องเก็บหนังสือ (ref. dwg A422 ,S1-703)</t>
  </si>
  <si>
    <t>WF-125x125x6.5x9-23.8 kg/m.</t>
  </si>
  <si>
    <t>RQ-200x100x4.5-20.1 kg/m.</t>
  </si>
  <si>
    <t>C-100x50x5x7.5 mm. -9.36 kg/m</t>
  </si>
  <si>
    <t>Steel Plate Stair Case 3.2 mm. THK.</t>
  </si>
  <si>
    <t>L-Bolt-M12-300L (A325)</t>
  </si>
  <si>
    <t>10.3</t>
  </si>
  <si>
    <t>บันได ST09 (ref. dwg A423-A424 ,S1-703)</t>
  </si>
  <si>
    <t>WF-250x250x9x14 mm.-72.4 kg/m.</t>
  </si>
  <si>
    <t>J-Bolt-M20-350L (A325)</t>
  </si>
  <si>
    <t>10.4</t>
  </si>
  <si>
    <t>บันไดเวียน ST10 (ref. dwg S1-704)</t>
  </si>
  <si>
    <t>Pipe 200x6 mm. -28.71 kg/m</t>
  </si>
  <si>
    <t>10.5</t>
  </si>
  <si>
    <t>ทางเชื่อม ST10 (ref. dwg S1-704)</t>
  </si>
  <si>
    <t>เหล็กกล่อง 150x50x6 mm.</t>
  </si>
  <si>
    <t>เหล็กกล่อง 200x100x6 mm.</t>
  </si>
  <si>
    <t>10.6</t>
  </si>
  <si>
    <t>บันได Urban void (ref. dwg S1-1002)</t>
  </si>
  <si>
    <t>เหล็กกล่อง-50x50x3.2 mm.</t>
  </si>
  <si>
    <t>เหล็กกล่อง-100x50x3.2 mm.</t>
  </si>
  <si>
    <t>เหล็กกล่อง-100x100x3.2 mm.</t>
  </si>
  <si>
    <t>Bolt-M10-90L (HAS/RE500)</t>
  </si>
  <si>
    <t>บันได Auditorium (ref. dwg S1-1301)</t>
  </si>
  <si>
    <t>เหล็กกล่อง-50x50x2.3 mm.</t>
  </si>
  <si>
    <t>รวมราคางานบันไดโครงสร้างเหล็ก</t>
  </si>
  <si>
    <t>11.1</t>
  </si>
  <si>
    <t>งานเหล็กโครงสร้าง Support furniture</t>
  </si>
  <si>
    <t>CH-100x50x5x7.5</t>
  </si>
  <si>
    <t>WF200x200x8x12</t>
  </si>
  <si>
    <t>PIPE-60.5x2.3</t>
  </si>
  <si>
    <t>TUBE-100x50x3.2</t>
  </si>
  <si>
    <t>TUBE-125x50x4.5mm</t>
  </si>
  <si>
    <t>TUBE-100x50x2.3</t>
  </si>
  <si>
    <t>รวมราคางานโครงสร้าง Support furniture</t>
  </si>
  <si>
    <t xml:space="preserve">งานระบบสุขาภิบาลและดับเพลิง  (RKCA 1)     </t>
  </si>
  <si>
    <t>สรุปราคาค่าก่อสร้างงานระบบไฟฟ้าและสื่อสาร</t>
  </si>
  <si>
    <t>ระบบไฟฟ้าแรงสูง</t>
  </si>
  <si>
    <t>งานอุปกรณ์ติดตั้งหม้อแปลงไฟฟ้า</t>
  </si>
  <si>
    <t>งานอุปกรณ์ติดตั้งเครื่องกำเนิดไฟฟ้าสำรอง</t>
  </si>
  <si>
    <t>งานอุปกรณ์ติดตั้งเครื่องจ่ายไฟแบบต่อเนื่อง UPS</t>
  </si>
  <si>
    <t xml:space="preserve">ตู้ไฟฟ้า </t>
  </si>
  <si>
    <t xml:space="preserve">สายไฟฟ้า </t>
  </si>
  <si>
    <t>ท่อและรางเดินสายไฟฟ้า</t>
  </si>
  <si>
    <t>ดวงโคมไฟฟ้า</t>
  </si>
  <si>
    <t>แสงสว่างฉุกเฉิน และป้ายทางออกฉุกเฉิน</t>
  </si>
  <si>
    <t xml:space="preserve">สวิตช์ เต้ารับไฟฟ้า </t>
  </si>
  <si>
    <t>ระบบการต่อลงดิน และการป้องกันฟ้าผ่า</t>
  </si>
  <si>
    <t>ระบบป้องกันไฟลาม</t>
  </si>
  <si>
    <t>ระบบควบคุมไฟฟ้าแสงสว่าง</t>
  </si>
  <si>
    <t>ระบบเสียงประกาศ</t>
  </si>
  <si>
    <t>ระบบแจ้งเหตุเพลิงไหม้</t>
  </si>
  <si>
    <t>ระบบกล้องวงจรปิด</t>
  </si>
  <si>
    <t>ระบบคอมพิวเตอร์</t>
  </si>
  <si>
    <t xml:space="preserve">ระบบบริหารจัดการอาคาร </t>
  </si>
  <si>
    <t>ค่าขยายเขตการไฟฟ้า</t>
  </si>
  <si>
    <t>รวมราคาค่าก่อสร้างงานระบบไฟฟ้าและสื่อสาร</t>
  </si>
  <si>
    <t>สายไฟฟ้าแรงสูง (HV Cable)</t>
  </si>
  <si>
    <t>สายไฟแรงสูงชนิด CU XLPE Cable 1C 12/20kV (24kV)</t>
  </si>
  <si>
    <t>70 มม2</t>
  </si>
  <si>
    <t>240 มม2</t>
  </si>
  <si>
    <t>ท่อร้อยสายไฟฟ้าชนิด IMC</t>
  </si>
  <si>
    <t xml:space="preserve"> 100 มม.  Ø</t>
  </si>
  <si>
    <t>HDPE w/ Concrete Encased (Ductbank 2x2)</t>
  </si>
  <si>
    <t>Manhole (TypeA3)</t>
  </si>
  <si>
    <t xml:space="preserve">RMU. : 2 IN - 2 OUT </t>
  </si>
  <si>
    <t xml:space="preserve">RMU. : 2 IN - 1 OUT </t>
  </si>
  <si>
    <t>Outdoor Enclosure for Ring Main Unit With Meetering MEA. 24 kV</t>
  </si>
  <si>
    <t xml:space="preserve">Cable Trench </t>
  </si>
  <si>
    <t>รวมรายการที่ 1</t>
  </si>
  <si>
    <t>Dry Type Transformer 1,250 kVA 24 kV</t>
  </si>
  <si>
    <t xml:space="preserve">Concrete Foundation </t>
  </si>
  <si>
    <t>รวมรายการที่ 2</t>
  </si>
  <si>
    <t xml:space="preserve">Generator Set 500  kVA 0.8PF Prime Rating </t>
  </si>
  <si>
    <t xml:space="preserve">Generator Control Panel </t>
  </si>
  <si>
    <t xml:space="preserve"> CB, 3P  800AT/800AF, 3P, IC ≥ 45 kA</t>
  </si>
  <si>
    <t>INC.</t>
  </si>
  <si>
    <t xml:space="preserve"> Cubicle w/ Busbar &amp; Accessories</t>
  </si>
  <si>
    <t xml:space="preserve">Day Tank </t>
  </si>
  <si>
    <t>Air Intake Louve,Sound Attenuator</t>
  </si>
  <si>
    <t>Sound Proof Wall</t>
  </si>
  <si>
    <t>ตรม.</t>
  </si>
  <si>
    <t>รวมรายการที่ 3</t>
  </si>
  <si>
    <t>Uninterruptible Power Supply 150 kVA Modilar Type</t>
  </si>
  <si>
    <t>Battery Backup Time 15 min.</t>
  </si>
  <si>
    <t>Communacation Module</t>
  </si>
  <si>
    <t>รวมรายการที่ 4</t>
  </si>
  <si>
    <t>Main Distribution Board</t>
  </si>
  <si>
    <t>5.1.1</t>
  </si>
  <si>
    <t>MDB01-TIE-MDB02</t>
  </si>
  <si>
    <t>MDB01 ประกอบด้วย</t>
  </si>
  <si>
    <t xml:space="preserve">  -  Cubicle w/ Busbar , Metering &amp; Acc.</t>
  </si>
  <si>
    <t xml:space="preserve">  -  Digital Power Meter</t>
  </si>
  <si>
    <t xml:space="preserve">  -  Digital Meter</t>
  </si>
  <si>
    <t xml:space="preserve">  -   MCCB 50AT/100AF 3P </t>
  </si>
  <si>
    <t xml:space="preserve">  -   MCCB 100AT/100AF 3P </t>
  </si>
  <si>
    <t xml:space="preserve">  -   MCCB 200AT/250AF 3P </t>
  </si>
  <si>
    <t xml:space="preserve">  -   MCCB 630AT/630AF 3P </t>
  </si>
  <si>
    <t xml:space="preserve">  -  ACB 1000AT/1000AF 3P </t>
  </si>
  <si>
    <t xml:space="preserve">  -  ACB 2000AT/2000AF 3P </t>
  </si>
  <si>
    <t xml:space="preserve">  -  ACB 2500AT/2500AF 3P</t>
  </si>
  <si>
    <t xml:space="preserve">  -  ACB 2500AT/2500AF 3P (TIE)</t>
  </si>
  <si>
    <t>CAP01 ประกอบด้วย</t>
  </si>
  <si>
    <t xml:space="preserve"> - Fuse 100 A. w/Base</t>
  </si>
  <si>
    <t xml:space="preserve"> -  Magnetic Contector 100 A.</t>
  </si>
  <si>
    <t xml:space="preserve"> -  Capacitor Bank 50 KVA. (525 V.)</t>
  </si>
  <si>
    <t xml:space="preserve"> -  Cubicle w/ Busbar , Metering &amp; Acc.</t>
  </si>
  <si>
    <t>MDB02 ประกอบด้วย</t>
  </si>
  <si>
    <t xml:space="preserve">  -   MCCB 800AT/800AF 3P </t>
  </si>
  <si>
    <t xml:space="preserve">  -   MCCB 1000AT/1000AF 3P </t>
  </si>
  <si>
    <t xml:space="preserve">  -   MCCB 1250AT/1250AF 3P </t>
  </si>
  <si>
    <t>Connection Busbar</t>
  </si>
  <si>
    <t xml:space="preserve"> -  Connection Busbar to ACB 2000A</t>
  </si>
  <si>
    <t xml:space="preserve"> -  Connection Busbar to ACB 1250A</t>
  </si>
  <si>
    <t xml:space="preserve"> -  Connection Busbar to ACB 1000A</t>
  </si>
  <si>
    <t>5.1.2</t>
  </si>
  <si>
    <t>EMDB</t>
  </si>
  <si>
    <t xml:space="preserve">CB, IC ≥ 50  kA ประกอบด้วย </t>
  </si>
  <si>
    <t xml:space="preserve"> 3P  30A</t>
  </si>
  <si>
    <t xml:space="preserve"> 3P  50A</t>
  </si>
  <si>
    <t xml:space="preserve"> 3P  60A</t>
  </si>
  <si>
    <t xml:space="preserve"> 3P  100A</t>
  </si>
  <si>
    <t xml:space="preserve"> 3P  125A</t>
  </si>
  <si>
    <t xml:space="preserve"> 3P  160A</t>
  </si>
  <si>
    <t xml:space="preserve"> 3P  300A</t>
  </si>
  <si>
    <t xml:space="preserve"> 3P  800A</t>
  </si>
  <si>
    <t xml:space="preserve">ATS, 800A, 3P With Control </t>
  </si>
  <si>
    <t>Digital Meter</t>
  </si>
  <si>
    <t>ตู้ไฟฟ้า,อุปกรณ์เครื่องวัด และอุปกรณ์ประกอบ (Metering)</t>
  </si>
  <si>
    <t>(Cubicle w/ Busbar , Metering &amp; Acc.)</t>
  </si>
  <si>
    <t>Distribution Board and Digital Meter</t>
  </si>
  <si>
    <t xml:space="preserve"> AMCC1</t>
  </si>
  <si>
    <t>By HVAC</t>
  </si>
  <si>
    <t xml:space="preserve"> AMCC2</t>
  </si>
  <si>
    <t xml:space="preserve"> C1-BDB1</t>
  </si>
  <si>
    <t xml:space="preserve"> C1-1DB1</t>
  </si>
  <si>
    <t xml:space="preserve"> C1-2DB1</t>
  </si>
  <si>
    <t xml:space="preserve"> C1-3DB1</t>
  </si>
  <si>
    <t xml:space="preserve"> C2-BDB1</t>
  </si>
  <si>
    <t xml:space="preserve"> C2-1DB1</t>
  </si>
  <si>
    <t xml:space="preserve"> C2-2DB1</t>
  </si>
  <si>
    <t xml:space="preserve"> C2-3DB1</t>
  </si>
  <si>
    <t>Essential Distribution board</t>
  </si>
  <si>
    <t xml:space="preserve"> Smoke Exhuaust</t>
  </si>
  <si>
    <t xml:space="preserve"> Pressurized Fan</t>
  </si>
  <si>
    <t xml:space="preserve"> SMCC1</t>
  </si>
  <si>
    <t>By SN</t>
  </si>
  <si>
    <t xml:space="preserve"> Lift</t>
  </si>
  <si>
    <t xml:space="preserve"> C1-EDB1</t>
  </si>
  <si>
    <t xml:space="preserve"> C2-EDB1</t>
  </si>
  <si>
    <t xml:space="preserve"> C1-E1DB1</t>
  </si>
  <si>
    <t xml:space="preserve"> C2-E1DB1</t>
  </si>
  <si>
    <t xml:space="preserve"> C1-E2DB1</t>
  </si>
  <si>
    <t xml:space="preserve"> C2-E2DB1</t>
  </si>
  <si>
    <t xml:space="preserve"> C1-E3DB1</t>
  </si>
  <si>
    <t xml:space="preserve"> C2-E3DB1</t>
  </si>
  <si>
    <t>IN-UPS</t>
  </si>
  <si>
    <t>UPD</t>
  </si>
  <si>
    <t>Panel Board</t>
  </si>
  <si>
    <t xml:space="preserve"> C1-EBP1</t>
  </si>
  <si>
    <t>LP WITH MAIN CB 30AT/100AF 3P IC &gt; 25KA CCT 42</t>
  </si>
  <si>
    <t>CB 16A1P IC = 6KA</t>
  </si>
  <si>
    <t>CB 20A1P IC = 6KA</t>
  </si>
  <si>
    <t>RCBO 20A 1P IC = 6KA</t>
  </si>
  <si>
    <t>C2-EBP1</t>
  </si>
  <si>
    <t>LP WITH MAIN CB 30AT/100AF 3P IC &gt; 25KA CCT 30</t>
  </si>
  <si>
    <t>C1-E1P1</t>
  </si>
  <si>
    <t>C2-E1P1</t>
  </si>
  <si>
    <t>C1-E2P1</t>
  </si>
  <si>
    <t>C2-E2P2</t>
  </si>
  <si>
    <t>C1-3EP1</t>
  </si>
  <si>
    <t>C2-3EP1</t>
  </si>
  <si>
    <t>C1-BP1</t>
  </si>
  <si>
    <t>LP WITH MAIN CB 50AT/100AF 3P IC &gt; 25KA CCT 42</t>
  </si>
  <si>
    <t>LPCK</t>
  </si>
  <si>
    <t>LP WITH MAIN CB 125AT/250AF 3P IC &gt; 25KA CCT 42</t>
  </si>
  <si>
    <t>RCBO 30A 1P IC = 6KA</t>
  </si>
  <si>
    <t xml:space="preserve"> C2-BP1</t>
  </si>
  <si>
    <t>LP WITH MAIN CB 80AT/100AF 3P IC &gt; 25KA CCT 42</t>
  </si>
  <si>
    <t xml:space="preserve"> LPTK</t>
  </si>
  <si>
    <t xml:space="preserve"> C1-1P1</t>
  </si>
  <si>
    <t>C1-1P2</t>
  </si>
  <si>
    <t xml:space="preserve"> C2-1P1</t>
  </si>
  <si>
    <t xml:space="preserve">  C2-1P2</t>
  </si>
  <si>
    <t xml:space="preserve">  C1-2P1</t>
  </si>
  <si>
    <t xml:space="preserve"> C1-2P2</t>
  </si>
  <si>
    <t>C2-2P1</t>
  </si>
  <si>
    <t>C2-2P2</t>
  </si>
  <si>
    <t xml:space="preserve"> C1-3P1</t>
  </si>
  <si>
    <t>C1-3P2</t>
  </si>
  <si>
    <t>C2-3P1</t>
  </si>
  <si>
    <t>C2-3P2</t>
  </si>
  <si>
    <t>CB Box &amp; Disconnecting Switch(Non-Fuse)</t>
  </si>
  <si>
    <t>5.5.1</t>
  </si>
  <si>
    <t xml:space="preserve">CB Box , IC ≥ 25  kA </t>
  </si>
  <si>
    <t xml:space="preserve"> CB Box w/ 3P CB  30A</t>
  </si>
  <si>
    <t>5.5.2</t>
  </si>
  <si>
    <t>Disconnecting Switch(Non-Fuse)</t>
  </si>
  <si>
    <t xml:space="preserve"> 3P 30A</t>
  </si>
  <si>
    <t xml:space="preserve"> 3P 50A</t>
  </si>
  <si>
    <t xml:space="preserve"> 3P 100A</t>
  </si>
  <si>
    <t>5.5.3</t>
  </si>
  <si>
    <t>Junction Box</t>
  </si>
  <si>
    <t>รวมรายการที่ 5</t>
  </si>
  <si>
    <t>Busduct</t>
  </si>
  <si>
    <t>6.1.1</t>
  </si>
  <si>
    <t xml:space="preserve">AL Busduct, Feeder </t>
  </si>
  <si>
    <t>1000A</t>
  </si>
  <si>
    <t>6.1.2</t>
  </si>
  <si>
    <t>AL Busduct, Plug-In</t>
  </si>
  <si>
    <t>6.1.3</t>
  </si>
  <si>
    <t>1250A</t>
  </si>
  <si>
    <t>6.1.4</t>
  </si>
  <si>
    <t>2000A</t>
  </si>
  <si>
    <t>6.1.5</t>
  </si>
  <si>
    <t xml:space="preserve">Plug-In Unit </t>
  </si>
  <si>
    <t xml:space="preserve">w/ 3P CB 200A, IC ≥ 36  kA </t>
  </si>
  <si>
    <t xml:space="preserve">w/ 3P CB 250A, IC ≥ 36  kA </t>
  </si>
  <si>
    <t xml:space="preserve">w/ 3P CB 300A, IC ≥ 36  kA </t>
  </si>
  <si>
    <t xml:space="preserve">w/ 3P CB 1250A, IC ≥ 36  kA </t>
  </si>
  <si>
    <t xml:space="preserve">w/ 3P CB 2000A, IC ≥ 36  kA </t>
  </si>
  <si>
    <t>6.1.6</t>
  </si>
  <si>
    <t>Elbow</t>
  </si>
  <si>
    <t>6.1.7</t>
  </si>
  <si>
    <t>Flanged - End</t>
  </si>
  <si>
    <t>6.1.12</t>
  </si>
  <si>
    <t>End Closure</t>
  </si>
  <si>
    <t>6.2.1</t>
  </si>
  <si>
    <t>สายไฟฟ้าชนิด IEC01,750V 70 °C</t>
  </si>
  <si>
    <t>2.5 มม2</t>
  </si>
  <si>
    <t>ราคามีแก้ไขตามกระทรวงพาณิชย์ กทม. พ.ย.67</t>
  </si>
  <si>
    <t>4 มม2</t>
  </si>
  <si>
    <t>6 มม2</t>
  </si>
  <si>
    <t>10 มม2</t>
  </si>
  <si>
    <t>16 มม2</t>
  </si>
  <si>
    <t>25 มม2</t>
  </si>
  <si>
    <t>35 มม2</t>
  </si>
  <si>
    <t>50 มม2</t>
  </si>
  <si>
    <t>95 มม2</t>
  </si>
  <si>
    <t>สายไฟฟ้าชนิด CV-FD(0.6/1KV) 90 °C</t>
  </si>
  <si>
    <t>120 มม2</t>
  </si>
  <si>
    <t>150 มม2</t>
  </si>
  <si>
    <t>185 มม2</t>
  </si>
  <si>
    <t>6.2.2</t>
  </si>
  <si>
    <t>สายไฟฟ้าขนิด NYY,750V  70 °C</t>
  </si>
  <si>
    <t>1 Core, 6 มม2</t>
  </si>
  <si>
    <t>1 Core, 10 มม2</t>
  </si>
  <si>
    <t>6.2.3</t>
  </si>
  <si>
    <t>สายไฟฟ้าขนิดทนไฟ (Fire Resistant Cable : FRC)</t>
  </si>
  <si>
    <t>1 Core,4 มม2</t>
  </si>
  <si>
    <t>1 Core, 16 มม2</t>
  </si>
  <si>
    <t>1 Core, 50 มม2</t>
  </si>
  <si>
    <t>1 Core, 70 มม2</t>
  </si>
  <si>
    <t>6.2.4</t>
  </si>
  <si>
    <t>สายไฟฟ้าชนิดกันควันลาม (Low Smoke Halogen Free : LSZH)</t>
  </si>
  <si>
    <t>1 Core, 2.5 มม2</t>
  </si>
  <si>
    <t>1 Core, 4 มม2</t>
  </si>
  <si>
    <t>Accessories</t>
  </si>
  <si>
    <t>เหมา</t>
  </si>
  <si>
    <t>รวมรายการที่ 6</t>
  </si>
  <si>
    <t>ท่อร้อยสายไฟฟ้าชนิด EMT (EMT Conduit) รวม Accessories</t>
  </si>
  <si>
    <t>15  มม.  Ø</t>
  </si>
  <si>
    <t>20  มม.  Ø</t>
  </si>
  <si>
    <t>25  มม.  Ø</t>
  </si>
  <si>
    <t>ท่อร้อยสายไฟฟ้าชนิด IMC (IMC Conduit) รวม Accessories</t>
  </si>
  <si>
    <t>32  มม.  Ø</t>
  </si>
  <si>
    <t>40  มม.  Ø</t>
  </si>
  <si>
    <t>50  มม.  Ø</t>
  </si>
  <si>
    <t>65  มม.  Ø</t>
  </si>
  <si>
    <t>80  มม.  Ø</t>
  </si>
  <si>
    <t>90  มม.  Ø</t>
  </si>
  <si>
    <t>100  มม.  Ø</t>
  </si>
  <si>
    <t>ท่อร้อยสายไฟฟ้าชนิด HDPE PN6</t>
  </si>
  <si>
    <t>75  มม.  Ø</t>
  </si>
  <si>
    <t>ท่ออ่อนกันน้ำ (Flexible Conduit)</t>
  </si>
  <si>
    <t>ท่ออ่อน (Flexible Conduit)</t>
  </si>
  <si>
    <t>รางเดินสาย (Wireway, HDG)</t>
  </si>
  <si>
    <t>50x100 mm.</t>
  </si>
  <si>
    <t>75x100 mm.</t>
  </si>
  <si>
    <t>100x100 mm.</t>
  </si>
  <si>
    <t>100x150 mm.</t>
  </si>
  <si>
    <t>100x200 mm.</t>
  </si>
  <si>
    <t>100x250 mm.</t>
  </si>
  <si>
    <t>100x300 mm.</t>
  </si>
  <si>
    <t>Hangers , Supports &amp; Accessories</t>
  </si>
  <si>
    <t>รวมรายการที่ 7</t>
  </si>
  <si>
    <t>ดวงโคมไฟฟ้าส่วนงาน LANDSCAPE</t>
  </si>
  <si>
    <t>AX1</t>
  </si>
  <si>
    <t>AREA LIGHT STREETLIGHTING (SIDE THROW) , IP66 , GREY ALUMINIUM (RAL9007) , LED , 48W , 220V , STREETLIGHTING DISTRIBUTION [S65] , 3000K / CRI80 , INTEGRAL EC ELECTRONIC CONVERTER , LUMINAIRE LUMEN ~5903 (± APPROX.10%)</t>
  </si>
  <si>
    <t>AX2</t>
  </si>
  <si>
    <t>AREA LIGHT STREETLIGHTING (FORWARD THROW) , IP66 , GREY ALUMINIUM (RAL9007) , LED , 48W , 220V , ASYMMETRIC, 'FORWARD THROW' [A60] , 3000K / CRI80 , INTEGRAL EC ELECTRONIC CONVERTER , LUMINAIRE LUMEN ~5903 (± APPROX.10%)</t>
  </si>
  <si>
    <t>BX1</t>
  </si>
  <si>
    <t>BOLLARD , IP66 , RAL9007 GREY ALUMINIUM , LED , 11W , 300mA , SYMMETRIC (C70) , 3000K / CRI80 , INTEGRAL EC ELECTRONIC CONVERTER , LUMINAIRE LUMEN ~1395 (± APPROX.10%)</t>
  </si>
  <si>
    <t>PX1</t>
  </si>
  <si>
    <t>MOUNTING POLE FOR AREALIGHT 1xAX1 , - , GREY ALUMINIUM (RAL9007)</t>
  </si>
  <si>
    <t>PX1A</t>
  </si>
  <si>
    <t>MOUNTING POLE FOR AREALIGHT 1xAX1 , SPOTLIGHT 1xSX3 , - , GREY ALUMINIUM (RAL9007)</t>
  </si>
  <si>
    <t>PX1B</t>
  </si>
  <si>
    <t xml:space="preserve">MOUNTING POLE FOR AREALIGHT 1xAX1 , SPOTLIGHT 1xSX3 ,  1xSX4 , - , GREY ALUMINIUM (RAL9007) </t>
  </si>
  <si>
    <t>PX2C</t>
  </si>
  <si>
    <t>MOUNTING POLE FOR AREALIGHT 1xAX2 , SPOTLIGHT 2xSX3 , - , GREY ALUMINIUM (RAL9007)</t>
  </si>
  <si>
    <t>PX3</t>
  </si>
  <si>
    <t>MOUNTING POLE FOR AREALIGHT 1xAX1 , SPOTLIGHT 2xSF5 , - , GREY ALUMINIUM (RAL9007)</t>
  </si>
  <si>
    <t>SX1</t>
  </si>
  <si>
    <t>SPOTLIGHT MOUNT ON SHORT POLE , IP65 , DARK GREY , LED , 30W , 220V , 47° , 3000K CRI80 , INTEGRAL LED DRIVER , LUMINAIRE LUMEN ~1820 (± APPROX.10%)</t>
  </si>
  <si>
    <t>SX2</t>
  </si>
  <si>
    <t>SPOTLIGHT MOUNT ON SHORT POLE , IP65 , DARK GREY , LED , 20W , 220V , 38° , 3000K CRI80 , INTEGRAL LED DRIVER , LUMINAIRE LUMEN ~1160 (± APPROX.10%)</t>
  </si>
  <si>
    <t>SX3</t>
  </si>
  <si>
    <t>SPOTLIGHT MOUNT ON POLE , IP66 , RAL9007 GREY ALUMINIUM , LED , 48W , 220V , 8.4°/8.4° (EE) + SPREAD LENS , 3000K CRI80 , 1-10V DIMMABLE INTEGRAL ELECTRONIC CONVERTER , LUMINAIRE LUMEN ~5903 (± APPROX.10%)</t>
  </si>
  <si>
    <t>SX4</t>
  </si>
  <si>
    <t>SPOTLIGHT MOUNT ON POLE , IP66 , RAL9007 GREY ALUMINIUM , LED , 48W , 220V , 7.0°/7.0° (EE) , 3000K CRI80 , 1-10V DIMMABLE INTEGRAL ELECTRONIC CONVERTER , LUMINAIRE LUMEN ~5903 (± APPROX.10%)</t>
  </si>
  <si>
    <t>UX1</t>
  </si>
  <si>
    <t>FLOOR RECESSED UPLIGHT FOR TREE , IP67 , SILVER , LED , 19W , 220V , 25° , 3000K CRI80 , INTEGRAL LED DRIVER , LUMINAIRE LUMEN ~1860 (± APPROX.10%)</t>
  </si>
  <si>
    <t>ดวงโคมไฟฟ้าส่วนงาน FAÇADE</t>
  </si>
  <si>
    <t>DF1</t>
  </si>
  <si>
    <t>ROUND - FIXED RECESSED DOWNLIGHT , IP54 , WHITE TRIM , LED COB , 12.5W , 34V , 25° (MEDIUM) , 3000K / CRI98 , PHASE DIMMABLE REMOTED ELECTRONIC TRANSFORMER , LUMINAIRE LUMEN OUTPUT ~979 (± APPROX.10%)</t>
  </si>
  <si>
    <t>DF2</t>
  </si>
  <si>
    <t>ROUND - ADJUSTABLE RECESSED DOWNLIGHT , IP54 , WHITE TRIM , LED COB , 12.5W , 34V , 19° (NARROW) , 3000K / CRI98 , PHASE DIMMABLE REMOTED ELECTRONIC TRANSFORMER , LUMINAIRE LUMEN ~1021 (± APPROX.10%)</t>
  </si>
  <si>
    <t>DF3</t>
  </si>
  <si>
    <t>ROUND - FIXED RECESSED DOWNLIGHT , IP54 , COPPER TRIM , LED COB , 11.4W , 34V , 42° (WIDE) , 3000K / CRI98 , PHASE DIMMABLE REMOTED ELECTRONIC TRANSFORMER , LUMINAIRE LUMEN ~649 (± APPROX.10%)</t>
  </si>
  <si>
    <t>DF4</t>
  </si>
  <si>
    <t>ROUND - ADJUSTABLE RECESSED DOWNLIGHT , IP54 , COPPER TRIM , LED COB , 11.4W , 34V , 27° (MEDIUM) , 3000K / CRI98 , PHASE DIMMABLE REMOTED ELECTRONIC TRANSFORMER , LUMINAIRE LUMEN ~684 (± APPROX.10%)</t>
  </si>
  <si>
    <t>DF5</t>
  </si>
  <si>
    <t>ROUND - FIXED RECESSED DOWNLIGHT , IP54 , WHITE TRIM , LED COB , 11.4W , 34V , 27° (MEDIUM) , 3000K / CRI98 , PHASE DIMMABLE REMOTED ELECTRONIC TRANSFORMER , LUMINAIRE LUMEN ~646 (± APPROX.10%)</t>
  </si>
  <si>
    <t>DF6</t>
  </si>
  <si>
    <t>ROUND - FIXED RECESSED DOWNLIGHT , IP54 , WHITE TRIM , LED COB , 11.4W , 34V , 42° (WIDE) , 3000K / CRI98 , PHASE DIMMABLE REMOTED ELECTRONIC TRANSFORMER , LUMINAIRE LUMEN ~649 (± APPROX.10%)</t>
  </si>
  <si>
    <t>DF7</t>
  </si>
  <si>
    <t>ROUND - FIXED RECESSED DOWNLIGHT , IP54 , WHITE TRIM , LED COB , 12.5W , 34V , 25° (MEDIUM) , 3000K / CRI98 , PHASE DIMMABLE REMOTED ELECTRONIC TRANSFORMER , LUMINAIRE LUMEN ~979 (± APPROX.10%)</t>
  </si>
  <si>
    <t>DF8</t>
  </si>
  <si>
    <t>ROUND - ADJUSTABLE RECESSED DOWNLIGHT , IP54 , COPPER TRIM , LED COB , 11.4W , 34V , 58° (WASH) , 3000K / CRI98 , PHASE DIMMABLE REMOTED ELECTRONIC TRANSFORMER , LUMINAIRE LUMEN ~803 (± APPROX.10%)</t>
  </si>
  <si>
    <t>DF9</t>
  </si>
  <si>
    <t>ROUND - ADJUSTABLE RECESSED DOWNLIGHT , IP54 , WHITE TRIM , LED COB , 11.4W , 34V , 49° (MEDIUM) , 3000K / CRI98 , PHASE DIMMABLE REMOTED ELECTRONIC TRANSFORMER , LUMINAIRE LUMEN ~647 (± APPROX.10%)</t>
  </si>
  <si>
    <t>LF1</t>
  </si>
  <si>
    <t>LINEAR LED FLEX SIDE BEND IN CUSTOM PROFILE , IP67 , WHITE , LINEAR LED FLEX , 14W , 24V , 160° , 3000K / CRI90 , LED POWER SUPPLY (SWITCHING) , 1-10V DIMMING CONTROLER , LUMINAIRE LUMEN ~460lm/m (± APPROX.10%)</t>
  </si>
  <si>
    <t>LF2</t>
  </si>
  <si>
    <t>LINEAR LED FLEX UP-DOWN BEND IN CUSTOM PROFILE , IP67 , WHITE , LINEAR LED FLEX , 16W , 24V , 160° , 3000K / CRI90 , REMOTE LED POWER SUPPLY (SWITCHING), MANUAL FIXED-DIM EQUIPMENT , LUMINAIRE LUMEN ~960lm/m (± APPROX.10%)</t>
  </si>
  <si>
    <t>LF3</t>
  </si>
  <si>
    <t>WATERPROOF LINEAR LED IN INGROUND CUSTOM PROFILE , IP68 , WHITE , WATERPROOF LINEAR LED , 19W , 24V , 160° , 3000K / CRI80 , REMOTE LED POWER SUPPLY (SWITCHING), MANUAL FIXED-DIM EQUIPMENT , LUMINAIRE LUMEN ~1824lm/m (± APPROX.10%)</t>
  </si>
  <si>
    <t>LF4</t>
  </si>
  <si>
    <t>LINEAR LED CUSTOM IN ACRYLIC SEALED , IP65 , WHITE , LINEAR LED , 7.0W , 24V , 160° , 3000K / CRI90 , REMOTE LED POWER SUPPLY (SWITCHING), MANUAL FIXED-DIM EQUIPMENT , LUMINAIRE LUMEN ~909lm/m (± APPROX.10%)</t>
  </si>
  <si>
    <t>LF6</t>
  </si>
  <si>
    <t>LINEAR LED WALL WASHER MODULE , IP66 , METALLIC GREY , LINEAR LED MODULE , 21W , 24V , 30°X60° , 3000K / CRI80 , 1-10V DIMMABLE REMOTED LED DRIVER , LUMINAIRE LUMEN ~2016lm/m (± APPROX.10%)</t>
  </si>
  <si>
    <t>LF7</t>
  </si>
  <si>
    <t>LF10</t>
  </si>
  <si>
    <t>LF10A</t>
  </si>
  <si>
    <t>LF11</t>
  </si>
  <si>
    <t>SF1</t>
  </si>
  <si>
    <t>SPOTLIGHT SURFACE MOUNT , IP66 , RAL9007 GREY ALUMINIUM , LED , 24W , 220V , 17.3°/17.3° (M) , 3000K / CRI80 , INTEGRAL ELECTRONIC CONVERTER , LUMINAIRE LUMEN ~2951 (± APPROX.10%)</t>
  </si>
  <si>
    <t>SF2</t>
  </si>
  <si>
    <t>SPOTLIGHT SURFACE MOUNT , IP66 , RAL9007 GREY ALUMINIUM , LED , 48W , 220V , 7.0°/7.0° (EE) , 3000K / CRI80 , INTEGRAL ELECTRONIC CONVERTER , LUMINAIRE LUMEN ~5903 (± APPROX.10%)</t>
  </si>
  <si>
    <t>SF3</t>
  </si>
  <si>
    <t>SPOTLIGHT SURFACE MOUNT , IP66 , RAL9007 GREY ALUMINIUM , LED , 24W , 220V , 17.3°/17.3° (M) + LINEAR SPREAD LENS , 3000K / CRI80 , INTEGRAL ELECTRONIC CONVERTER , LUMINAIRE LUMEN ~2951 (± APPROX.10%)</t>
  </si>
  <si>
    <t>SF4</t>
  </si>
  <si>
    <t>SPOTLIGHT SURFACE MOUNT , IP66 , RAL9007 GREY ALUMINIUM , LED , 18W , 220V , 19.1°/19.1° (M) , 3000K / CRI80 , INTEGRAL ELECTRONIC CONVERTER , LUMINAIRE LUMEN ~2580 (± APPROX.10%)</t>
  </si>
  <si>
    <t>SF5</t>
  </si>
  <si>
    <t>SPOTLIGHT SURFACE MOUNT , IP66 , RAL9007 GREY ALUMINIUM , LED , 48W , 220V , 5.2°/5.2° (EES) + LINEAR SPREAD LENS , 3000K / CRI80 , INTEGRAL ELECTRONIC CONVERTER , LUMINAIRE LUMEN ~6960 (± APPROX.10%)</t>
  </si>
  <si>
    <t>UF1</t>
  </si>
  <si>
    <t>FLOOR RECESSED WALL WASAHER UPLIGHT , IP67 , BLACK TRIM , LED , 48W , 220V , WALLWASH , 3000K / CRI80 , INTEGRAL ELECTRONIC CONVERTER , LUMINAIRE LUMEN ~5760 (± APPROX.10%)</t>
  </si>
  <si>
    <t>UF3</t>
  </si>
  <si>
    <t>FLOOR RECESSED UPLIGHT , IP67 , BLACK TRIM , LED , 20W , 220V , WALLWASH , 3000K / CRI80 , INTEGRAL ELECTRONIC CONVERTER , LUMINAIRE LUMEN ~2880 (± APPROX.10%)</t>
  </si>
  <si>
    <t>WF2</t>
  </si>
  <si>
    <t>WALL RECESSED LUMINAIRE , IP66 , DARK GREY , LED , 7W , 220V , DIFFUSE , 3000K / CRI80 , INTEGRAL LED DRIVER , LUMINAIRE LUMEN ~250 (± APPROX.10%)</t>
  </si>
  <si>
    <t>WF3</t>
  </si>
  <si>
    <t>WF4</t>
  </si>
  <si>
    <t>WF5</t>
  </si>
  <si>
    <t>WALL SURFACE MOUNT LUMINAIRE , IP66 , RAL9007 GREY ALUMINIUM , LED , 26W , 220V , 7.2°/7.2° (E) , 3000K / CRI80 , INTEGRAL ELECTRONIC CONVERTER , LUMINAIRE LUMEN ~3300 (± APPROX.10%)</t>
  </si>
  <si>
    <t>ดวงโคมไฟฟ้าส่วนงาน BASEMENT</t>
  </si>
  <si>
    <t>DB1</t>
  </si>
  <si>
    <t>ROUND - FIXED RECESSED DOWNLIGHT (SUPER WIDE BEAM) / WHITE TRIM , IP20 , WHITE , LED COB , 14.2W , 220V , 45° , 4000K CRI83 , REMOTED LED DRIVER , CRI ≥ 83 / 1602 LUMEN</t>
  </si>
  <si>
    <t>DB1A</t>
  </si>
  <si>
    <t>SQUARE - FIXED RECESSED DOWNLIGHT (WIDE BEAM) / WHITE TRIM, IP20 , WHITE , LED COB , 10W , 220V , 36° , 4000K CRI80 , REMOTED LED DRIVER , CRI ≥ 80 / 1144 LUMEN</t>
  </si>
  <si>
    <t>DB1B</t>
  </si>
  <si>
    <t>SQUARE - FIXED RECESSED DOWNLIGHT (WIDE BEAM) / BLACK TRIM, IP20 , BLACK , LED COB , 10W , 220V , 36° , 4000K CRI80 , REMOTED LED DRIVER , CRI ≥ 80 / 1144 LUMEN</t>
  </si>
  <si>
    <t>DB2</t>
  </si>
  <si>
    <t>ROUND ADJUSTABLE RECESSED DOWNLIGHT (NARROW BEAM) / WHITE TRIM , IP20 , WHITE , LED COB , 14.2W , 220V , 16° , 4000K CRI83 , REMOTED LED DRIVER , CRI ≥ 83 / 1602 LUMEN</t>
  </si>
  <si>
    <t>DB2A</t>
  </si>
  <si>
    <t>SQUARE - ADJUSTABLE RECESSED DOWNLIGHT (MEDIUM BEAM) / WHITE TRIM, IP20 , WHITE , LED COB , 10W , 220V , 27° , 4000K CRI83 , REMOTED LED DRIVER , CRI ≥ 83 / 929 LUMEN</t>
  </si>
  <si>
    <t>DB3</t>
  </si>
  <si>
    <t>ROUND - WALLWASHER RECESSED DOWNLIGHT , IP20 , WHITE , LED , 10.2W , 220V , WALLWASHER , 4000K CRI83 , REMOTED COMPATIBLE PHASE DIM LED DRIVER , CRI ≥ 83 / 1242 LUMEN</t>
  </si>
  <si>
    <t>DB5</t>
  </si>
  <si>
    <t>SQUARE - RECESSED DOWNLIGHT , IP20 , BLACK , LED MR16 , 7W , 12V DIMMABLE WITH DRIVER , - , 4000K CRI90 , REMOTED LED DRIVER , CRI ≥ 90 / 480 LUMEN</t>
  </si>
  <si>
    <t>DB6</t>
  </si>
  <si>
    <t>RECTANGULAR - RECESSED DOWNLIGHT , IP20 , BLACK , 2 X LED MR16 , 2 X 7W , 12V DIMMABLE WITH DRIVER , - , 4000K CRI90 , REMOTED LED DRIVER , CRI ≥ 90 / 2 X 480 LUMEN</t>
  </si>
  <si>
    <t>DB7</t>
  </si>
  <si>
    <t>RECTANGULAR - RECESSED DOWNLIGHT , IP20 , BLACK , LED , 24W , 700mA WITH DRIVER , - , 4000K CRI90 , REMOTED LED DRIVER , CRI ≥ 90 / 2400 LUMEN</t>
  </si>
  <si>
    <t>DB8</t>
  </si>
  <si>
    <t>ROUND - FIXED RECESSED DOWNLIGHT , IP20 , WHITE , LED MR16 7W , 7W , 12V , 36° , 4000K CRI80 , REMOTED COMPATIBLE NON DIM LED DRIVER , CRI ≥ 97 / 480 LUMEN</t>
  </si>
  <si>
    <t>DB8A</t>
  </si>
  <si>
    <t>ROUND - FIXED RECESSED DOWNLIGHT , IP20 , WHITE , LED MR16 7W , 7W , 12V DIMMABLE , 36° , 4000K CRI80 , REMOTED COMPATIBLE NON DIM LED DRIVER , CRI ≥ 97 / 480 LUMEN</t>
  </si>
  <si>
    <t>DB9</t>
  </si>
  <si>
    <t>ROUND - ADJUSTABLE RECESSED DOWNLIGHT , IP20 , WHITE , LED MR16 7W , 7W , 12V , 24° , 4000K CRI80 , REMOTED COMPATIBLE NON DIM LED DRIVER , CRI ≥ 97 / 480 LUMEN</t>
  </si>
  <si>
    <t>DB10</t>
  </si>
  <si>
    <t>ROUND - SURFACE MOUNTED DOWNLIGHT , IP20 , AS CEILING COLOUR , LED COB 14W , 14W , 220V , 98° , 4000K CRI80 , - , CRI ≥ 80/ 1594 LUMEN</t>
  </si>
  <si>
    <t>DB11</t>
  </si>
  <si>
    <t>SUSPENDED DOWNLIGHT (MEDIUM BEAM) , IP20 , WHITE COLOR , LED COB , 23W , 220V , 25゜ , 4000K , REMOTED DRIVER , CRI ≥ 90 / 2174 LUMEN</t>
  </si>
  <si>
    <t>DB12</t>
  </si>
  <si>
    <t>ROUND - FIXED RECESSED DOWNLIGHT (MEDIUM BEAM) / WHITE TRIM, IP20 , WHITE , LED COB , 10W , 220V , 46° , 4000K CRI83 , REMOTED LED DRIVER , CRI ≥ 83 / 929 LUMEN</t>
  </si>
  <si>
    <t>DB15</t>
  </si>
  <si>
    <t>ROUND - SURFACE MOUNTED DOWNLIGHT (MEDIUM BEAM) / BLACK, IP20 , BLACK , LED COB , 20W , 220V , 25° , 4000K CRI90 , REMOTED LED DRIVER , CRI ≥ 90 / 1769 LUMEN</t>
  </si>
  <si>
    <t>DB16</t>
  </si>
  <si>
    <t>ROUND - SURFACE MOUNTED DOWNLIGHT (MEDIUM BEAM) / WHITE TRIM, IP20 , WHITE , LED COB , 10W , 220V , 27° , 4000K CRI83 , REMOTED LED DRIVER , CRI ≥ 83 / 1344 LUMEN</t>
  </si>
  <si>
    <t>FB1</t>
  </si>
  <si>
    <t>SURFACE MOUNTED FLUORESCENT LUMIAIRE WITH WIRE GUARD , IP20 , LED , 18W , 220V , WIDE , 4000K , CRI83 , INTEGRAL LED DRIVER , CRI ≥ 83 / 1480 LUMEN</t>
  </si>
  <si>
    <t>FB2</t>
  </si>
  <si>
    <t>FLUORESCENT LED WITH PRYMATIC COVER ( IN OFFICE ) , IP20 , WHITE PROFILE WITH MIRROR ANODIZED ALUMINIUM , LED , 36 , 220V , WIDE , 4000K , CRI ≥ 83 / 3650 LUMEN</t>
  </si>
  <si>
    <t>FB3</t>
  </si>
  <si>
    <t>SURFACE MOUNTED LUMINAIRE , IP20 , WHITE , 2 x LED T8 (2x2100lm) , 36W , 220V , DIFFUSE , 4000K , INTEGRAL LED DRIVER , CRI83 , REMOTED LED DRIVER , CRI ≥ 83 / 1480 LUMEN</t>
  </si>
  <si>
    <t>FB3A</t>
  </si>
  <si>
    <t>RECESSED UMINAIRE , IP20 , WHITE , 2 x LED T8 (2x2100lm) , 36W , 220V , DIFFUSE , 4000K , INTEGRAL LED DRIVER , CRI83 , REMOTED LED DRIVER , CRI ≥ 83 / 1480 LUMEN</t>
  </si>
  <si>
    <t>FB4</t>
  </si>
  <si>
    <t>SURFACE MOUNTED FLUORESCENT LUMINAIRE , IP20 , WHITE , 2 x LED T8 (2x2100lm) , 36W , 220V , DIFFUSE , 4000K , INTEGRAL LED DRIVER , 3650 LUMEN</t>
  </si>
  <si>
    <t>FL1</t>
  </si>
  <si>
    <t>SURFACE CEILING LIGHT</t>
  </si>
  <si>
    <t>PB1</t>
  </si>
  <si>
    <t>LINEAR LED MODULE (PENTA WIDE) #0.30 M. WITH CLIPSO 96 SQ.M. , IP67 , WHITE , LED 1.98W , 1.98W , 700mA , 160° , 4000K , LED POWER SUPPLY, 0-10V DIMMING CONTROLER , 63 FITTINGS PER 1 REMOTED LED POWER SUPPLY UNIT (150W)</t>
  </si>
  <si>
    <t>LB1</t>
  </si>
  <si>
    <t>LINEAR STRIPLIGHT 13.8W 4000K (NON-DIM) , IP20 , SILVER , LED , 13.8W , 24VDC , 120° , 4000K , REMOTED POWER SUPPLY (NUMBER OF DRIVER TO BE SPECIFIED BY SUPPLIER) , CRI ≥ 80</t>
  </si>
  <si>
    <t>LB2</t>
  </si>
  <si>
    <t>LED LINEAR STRIPLIGHT 12W IN DOTLESS PROFILE (NON-DIM) , IP20 , SAME AS FURNITURE , LED , 12W , 24VDC , 120° , 4000K , REMOTED POWER SUPPLY (NUMBER OF DRIVER TO BE SPECIFIED BY SUPPLIER) , CRI ≥ 80</t>
  </si>
  <si>
    <t>LB2A</t>
  </si>
  <si>
    <t>LINEAR STRIPLIGHT 13.8W 4000K (NON-DIM) , IP20 , SAME AS FURNITURE , LED , 13.8W , 24VDC , 120° , 4000K , REMOTED POWER SUPPLY (NUMBER OF DRIVER TO BE SPECIFIED BY SUPPLIER) , CRI ≥ 80</t>
  </si>
  <si>
    <t>LB3</t>
  </si>
  <si>
    <t>LED LINEAR STRIPLIGHT 12W IN DOTLESS PROFILE 4000K (NON-DIM) , IP20 , SAME AS CEILING COLOUR , LED , 12W , 24VDC , 120° , 4000K , REMOTED POWER SUPPLY (NUMBER OF DRIVER TO BE SPECIFIED BY SUPPLIER) , CRI ≥ 80</t>
  </si>
  <si>
    <t>LB4</t>
  </si>
  <si>
    <t>LINEAR STRIPLIGHT 13.8W 4000K (NON-DIM) , IP20 , SAME AS CEILING COLOUR , LED , 13.8W , 24VDC , 120° , 4000K , REMOTED POWER SUPPLY (NUMBER OF DRIVER TO BE SPECIFIED BY SUPPLIER) , CRI ≥ 80</t>
  </si>
  <si>
    <t>LB5A</t>
  </si>
  <si>
    <t>LINEAR LED BATTERN /W OPAL ACRYLIC DIFFUSER 2M, 40W , 24VDC , 120° , 4000K , INTEGRAL LED DRIVER , CRI ≥ 80</t>
  </si>
  <si>
    <t>LB5B</t>
  </si>
  <si>
    <t>LINEAR LED BATTERN /W OPAL ACRYLIC DIFFUSER 2M, 60W , 24VDC , 120° , 4000K , INTEGRAL LED DRIVER , CRI ≥ 80</t>
  </si>
  <si>
    <t>LB5C</t>
  </si>
  <si>
    <t>LINEAR LED BATTERN /W OPAL ACRYLIC DIFFUSER 2M, 80W , 24VDC , 120° , 4000K , INTEGRAL LED DRIVER , CRI ≥ 80</t>
  </si>
  <si>
    <t>LB6</t>
  </si>
  <si>
    <t>RECESSED LINEAR LED LUMINAIRE , IP20 , AS CEILING COLOUR , LED , 36W , 46V 700mA , 105° , 4000K , REMOTED POWER SUPPLY (NUMBER OF DRIVER TO BE SPECIFIED BY SUPPLIER) , CRI ≥ 90/ 4400 LUMEN</t>
  </si>
  <si>
    <t>LB7</t>
  </si>
  <si>
    <t>JEDI FLEX - SIDE BEND 10W , IP67 , - , LED , 10W , 24VDC , 120° , 4000K , REMOTED POWER SUPPLY (NUMBER OF DRIVER TO BE SPECIFIED BY SUPPLIER) , CRI ≥ 80</t>
  </si>
  <si>
    <t>LB8</t>
  </si>
  <si>
    <t>LB9</t>
  </si>
  <si>
    <t>LINEAR STRIPLIGHT 2 x 13.8W 5000K (NON-DIM) , IP20 , SILVER , LED , 2 x 13.8W , 24VDC , 120° , 4000K , REMOTED POWER SUPPLY (NUMBER OF DRIVER TO BE SPECIFIED BY SUPPLIER) , CRI ≥ 80</t>
  </si>
  <si>
    <t>SB1</t>
  </si>
  <si>
    <t>SPOTLIGHT MOUNTED ON TRACK , IP20 , BLACK , LED PAR16 7W , 7W , 220V , 10° , 4000K , REMOTED POWER SUPPLY (NUMBER OF DRIVER TO BE SPECIFIED BY SUPPLIER) , CRI ≥ 80</t>
  </si>
  <si>
    <t>TRB1_1.50M</t>
  </si>
  <si>
    <t>TRACK LIGHT RECESSED - 1 CIRCUIT, LENGTH 1.50M , IP20 , BLACK</t>
  </si>
  <si>
    <t>SB1A</t>
  </si>
  <si>
    <t>SPOTLIGHT MOUNTED ON TRACK , IP20 , WHITE , LED PAR16 7W , 7W , 220V , 10° , 4000K , REMOTED POWER SUPPLY (NUMBER OF DRIVER TO BE SPECIFIED BY SUPPLIER) , CRI ≥ 80</t>
  </si>
  <si>
    <t>TRB1_2.00M</t>
  </si>
  <si>
    <t>TRACK LIGHT RECESSED - 1 CIRCUIT, LENGTH 2.00M , IP20 , WHITE</t>
  </si>
  <si>
    <t>TRB1A_1.50M</t>
  </si>
  <si>
    <t>TRACK LIGHT RECESSED - 1 CIRCUIT, LENGTH 1.50M , IP20 , WHITE</t>
  </si>
  <si>
    <t>WB1</t>
  </si>
  <si>
    <t>RECESSED WALL LUMINAIRE, ASYMMETRICAL BEAM ANGLE , IP55 , GREY RAL9007 , LED , 12W , 350mA , 4000K , INTEGRAL LED DRIVER , 3650 LUMEN</t>
  </si>
  <si>
    <t>ดวงโคมไฟฟ้าส่วนงาน BOOKWALL ชั้น 1 และ ห้องสมุดชั้น 2</t>
  </si>
  <si>
    <t>SH1A</t>
  </si>
  <si>
    <t>SPOTLIGHT ON TRACK (ZOOM-MEDIUM BEAM)</t>
  </si>
  <si>
    <t>SH1B</t>
  </si>
  <si>
    <t>SPOTLIGHT ON TRACK (ZOOM-WIDE BEAM)</t>
  </si>
  <si>
    <t>SH1C</t>
  </si>
  <si>
    <t>SPOTLIGHT ON TRACK (NARROW BEAM)</t>
  </si>
  <si>
    <t>SH2</t>
  </si>
  <si>
    <t>WHITE SPOTLIGHT ON TRACK NARROW BEAM</t>
  </si>
  <si>
    <t>SH3</t>
  </si>
  <si>
    <t>WHITE SPOTLIGHT ON TRACK MEDIUM BEAM</t>
  </si>
  <si>
    <t>SH4</t>
  </si>
  <si>
    <t>BLACK SPOTLIGHT ON TRACK NAROOW BEAM</t>
  </si>
  <si>
    <t>SH5</t>
  </si>
  <si>
    <t>BLACK SPOTLIGHT ON TRACK MEDIUM BEAM</t>
  </si>
  <si>
    <t>TR1</t>
  </si>
  <si>
    <t>2M LONG RECESSED TRACK FOR NEKO ROXY S</t>
  </si>
  <si>
    <t>TR2</t>
  </si>
  <si>
    <t>2M LONG RECESSED TRACK FOR PURE Art Tracklight PUA2-9401815F-WW</t>
  </si>
  <si>
    <t>TR3</t>
  </si>
  <si>
    <t>2M LONG RECESSED TRACK FOR PURE Art Tracklight PUA2-9403615P-BB</t>
  </si>
  <si>
    <t>DH1</t>
  </si>
  <si>
    <t>RECESSED  DDOWNLIGHT FIXED MIRROR (MEDIUM BEAM)</t>
  </si>
  <si>
    <t>DH1D</t>
  </si>
  <si>
    <t>DH1B</t>
  </si>
  <si>
    <t>GLARE-LESS RECESSED  DOWNLIGHT FIXED MIRROR (ULTRA WIDE BEAM)</t>
  </si>
  <si>
    <t>DH2</t>
  </si>
  <si>
    <t>RECESSED  DDOWNLIGHT FIXED MIRROR (ULTRA WIDE BEAM WITH LENS)</t>
  </si>
  <si>
    <t>DH2N</t>
  </si>
  <si>
    <t>RECESSED  DDOWNLIGHT FIXED MIRROR (ULTRA WIDE BEAM )</t>
  </si>
  <si>
    <t>DH3</t>
  </si>
  <si>
    <t>GLARE-LESS DOWNLIGHT FIXED MIRROR SQUARE FRAME OPTION</t>
  </si>
  <si>
    <t>DH4</t>
  </si>
  <si>
    <t>GLARE-LESS RECESSED  DOWNLIGHT FIXED MIRROR ( MEDIUM BEAM)</t>
  </si>
  <si>
    <t>DH4N</t>
  </si>
  <si>
    <t>DH5A</t>
  </si>
  <si>
    <t>GLARE-LESS RECESSED  DOWNLIGHT FIXED MIRROR ( WIDE BEAM)</t>
  </si>
  <si>
    <t>DH5AN</t>
  </si>
  <si>
    <t xml:space="preserve"> DH5B</t>
  </si>
  <si>
    <t>DH6</t>
  </si>
  <si>
    <t>WHITE TRIM RECESSED DOWNLIGHT FIXED MIRROR REFLECTOR (MEDIUM BEAM FOR COLUMN)</t>
  </si>
  <si>
    <t>DH6B</t>
  </si>
  <si>
    <t>BLACK TRIM RECESSED DOWNLIGHT FIXED MIRROR REFLECTOR (MEDIUM BEAM FOR COLUMN)</t>
  </si>
  <si>
    <t>DH7</t>
  </si>
  <si>
    <t>FLUORESCENT CEILING MOUNTED TASK LIGHT</t>
  </si>
  <si>
    <t>DH8</t>
  </si>
  <si>
    <t>RECESSED DOWNLIGHT WITH DARKLIGHT REFLECTOR AND LAMP HOLDER</t>
  </si>
  <si>
    <t>DH9</t>
  </si>
  <si>
    <t>RECESSED DOWNLIGHT FOR BACK OF THE HOUSE AREA</t>
  </si>
  <si>
    <t>DH10</t>
  </si>
  <si>
    <t>GLARE-LESS RECESSED DOWNLIGHT WALLWASHER MIRROR</t>
  </si>
  <si>
    <t>DH11</t>
  </si>
  <si>
    <t xml:space="preserve">BLACK TRIM RECESSED DOWNLIGHT FIXED MIRROR REFLECTOR </t>
  </si>
  <si>
    <t>DH12</t>
  </si>
  <si>
    <t>CYLINDER DOWNLIGHT FOR CELL CEILING 65MM</t>
  </si>
  <si>
    <t>DH13</t>
  </si>
  <si>
    <t>RECESSED WALL WASHER FOR CELL CEILING</t>
  </si>
  <si>
    <t>DH14</t>
  </si>
  <si>
    <t>CEILING MOUNTED ADJUSTABLE DOWNLIGHT</t>
  </si>
  <si>
    <t>LH1</t>
  </si>
  <si>
    <t>LINEAR STRIPLIGHT 4.8W (DIM)  WITH STRAIGHT-BEND CHANNEL</t>
  </si>
  <si>
    <t>LH2</t>
  </si>
  <si>
    <t>HI-POWER LED LINEAR LUMINAIRE-BLACK FIXED CURVE CHANNEL</t>
  </si>
  <si>
    <t>LH3</t>
  </si>
  <si>
    <t>LINEAR STIPLIGHT- SIDE BEND 14W</t>
  </si>
  <si>
    <t>LH3B</t>
  </si>
  <si>
    <t>LINEAR STIPLIGHT- SIDE BEND 14W-black</t>
  </si>
  <si>
    <t>LH4</t>
  </si>
  <si>
    <t xml:space="preserve">ULTRA THIN LINEAR STIPLIGHT- WITH STRAIGHT CHANNEL </t>
  </si>
  <si>
    <t>LH5</t>
  </si>
  <si>
    <t>SILICONE NEON FLEX-SIDE BEND WITH FLEXIBLE CHANNEL</t>
  </si>
  <si>
    <t>LH6</t>
  </si>
  <si>
    <t>FLOOR RECESSED LINEAR LIGHT- WITH LOUVRE</t>
  </si>
  <si>
    <t>LH7</t>
  </si>
  <si>
    <t>CEILING RECESSED LINEAR LIGHT- WITH LOUVRE</t>
  </si>
  <si>
    <t>LH8</t>
  </si>
  <si>
    <t>SILICONE NEON FLEX-TOP BEND WITH FLEXIBLE CHANNEL</t>
  </si>
  <si>
    <t>ดวงโคมไฟฟ้าส่วนงาน AUDITORIUM &amp; CONFERENCE</t>
  </si>
  <si>
    <t>DA1</t>
  </si>
  <si>
    <t>RECTANGLE-ADJUSTABLE DOWNLIGHT WITH CUSTOM HOUSING FOR HANGING SYSTEM (WIDE BEAM)   , IP20 , BLACK TRIM - BLACK REFLECTOR , LED  , 24W , 30V (700mA) , 40  DEGREE , 3000K CRI≥90 , REMOTED LED DRIVER &amp; DALI DIMMING DRIVER , 1800 lm</t>
  </si>
  <si>
    <t>DA2</t>
  </si>
  <si>
    <t>RECTANGLE-ADJUSTABLE DOWNLIGHT WITH CUSTOM HOUSING FOR HANGING SYSTEM (MEDIUM BEAM)   , IP20 , BLACK TRIM - BLACK REFLECTOR , LED  , 24W , 30V (700mA) , 24 DEGREE , 3000K CRI≥90 , REMOTED LED DRIVER &amp; DALI DIMMING DRIVER , 1800 lm</t>
  </si>
  <si>
    <t>DA3</t>
  </si>
  <si>
    <t>DA4</t>
  </si>
  <si>
    <t>ROUND - FIXED RECESSED DOWNLIGHT (SUPER WIDE BEAM)WHITE TRIM (0-10V DIMMING) , IP20 , WHITE TRIM  , LED , 10W , 220V , 55 DEGREE , 4000K CRI≥83 , REMOTED LED DRIVER &amp; 0-10VDIMMING DRIVER , 1000 LUMEN</t>
  </si>
  <si>
    <t>DA4L</t>
  </si>
  <si>
    <t>ROUND - ADJUSTABLE RECESSED DOWNLIGHT (SUPER WIDE BEAM)WHITE TRIM (0-10V DIMMING) , IP20 , WHITE TRIM  , LED , 10W , 220V , 52 DEGREE , 4000K CRI≥83 , REMOTED LED DRIVER &amp; 0-10VDIMMING DRIVER , 929 LUMEN</t>
  </si>
  <si>
    <t>DA4N</t>
  </si>
  <si>
    <t>ROUND - ADJUSTABLE RECESSED DOWNLIGHT NON-DIM (SUPER WIDE BEAM)WHITE TRIM (NON DIMMING) , IP20 , WHITE TRIM  , LED , 10W , 220V , 52 DEGREE , 4000K CRI≥83 , REMOTED LED DRIVER &amp; NON-DIM DRIVER , 929 LUMEN</t>
  </si>
  <si>
    <t>DA4B</t>
  </si>
  <si>
    <t>ROUND - ADJUSTABLE RECESSED DOWNLIGHT (SUPER WIDE BEAM) BLACK TRIM (0-10V DIMMING) , IP20 , BLACK TRIM , LED , 10W , 220V , 52 DEGREE , 4000K CRI≥83 , REMOTED LED DRIVER &amp; 0-10VDIMMING DRIVER , 929 LUMEN</t>
  </si>
  <si>
    <t>DA5</t>
  </si>
  <si>
    <t>ROUND - ADJUSTABLE RECESSED DOWNLIGHT (MEDIUM BEAM) WHITE TRIM (0-10V DIMMING) , IP20 , WHITE TRIM  , LED , 10W , 220V , 27 DEGREE , 4000K CRI≥83 , REMOTED LED DRIVER &amp; 0-10VDIMMING DRIVER ,  832 LUMEN</t>
  </si>
  <si>
    <t>DA5B</t>
  </si>
  <si>
    <t>ROUND - ADJUSTABLE RECESSED DOWNLIGHT (MEDIUM BEAM) BLACK TRIM (0-10V DIMMING) , IP20 , BLACK TRIM , LED , 10W , 220V , 27 DEGREE , 4000K CRI≥83 , REMOTED LED DRIVER &amp; 0-10VDIMMING DRIVER ,  832 LUMEN</t>
  </si>
  <si>
    <t>DA5S</t>
  </si>
  <si>
    <t>ROUND - ADJUSTABLE SURFACED DOWNLIGHT (MEDIUM BEAM) 
BLACK HOUSING (0-10V DIMMING) , IP20 , BLACK HOUSING - MIRROR CONE , LED , 10W , 220V , 27 DEGREE , 4000K CRI≥83 , REMOTED LED DRIVER &amp; 0-10VDIMMING DRIVER ,  832 LUMEN</t>
  </si>
  <si>
    <t>DA6</t>
  </si>
  <si>
    <t>ROUND - ADJUSTABLE RECESSED DOWNLIGHT (MEDIUM BEAM) 
BLACK TRIM (DALI DIMMING) , IP20 , BLACK TRIM  , LED , 10W , 220V , 27 DEGREE , 4000K CRI≥83 , REMOTED LED DRIVER &amp;DALI DIMMING DRIVER ,  832 LUMEN</t>
  </si>
  <si>
    <t>DAEA</t>
  </si>
  <si>
    <t>RECTANGLE - ADJUSTABLE RECESSED DOWNLIGHT (MEDIUM BEAM) 
BLACK TRIM (0-10V DIMMING) , IP20 , BLACK TRIM  , LED , 10W , 220V , 27 DEGREE , 4000K CRI≥83 , REMOTED LED DRIVER &amp; 0-10VDIMMING DRIVER ,  832 LUMEN</t>
  </si>
  <si>
    <t>DAEC</t>
  </si>
  <si>
    <t>RECTANGLE - ADJUSTABLE RECESSED DOWNLIGHT (SUPER WIDE BEAM)WHITE TRIM (0-10V DIMMING) , IP20 , BLACK TRIM  , LED , 10W , 220V , 52 DEGREE , 4000K CRI≥83 , REMOTED LED DRIVER &amp; 0-10VDIMMING DRIVER , 929 LUMEN</t>
  </si>
  <si>
    <t>DANA</t>
  </si>
  <si>
    <t>NON-DIM RECTANGLE - ADJUSTABLE RECESSED DOWNLIGHT (MEDIUM BEAM) 
BLACK TRIM (NON DIMMING) , IP20 , BLACK TRIM  , LED , 10W , 220V , 27 DEGREE , 4000K CRI≥83 , REMOTED LED DRIVER &amp; NON-DIM DRIVER ,  832 LUMEN</t>
  </si>
  <si>
    <t>DANC</t>
  </si>
  <si>
    <t>NON-DIM RECTANGLE - ADJUSTABLE RECESSED DOWNLIGHT (SUPER WIDE BEAM)WHITE TRIM (NON DIMMING) , IP20 , BLACK TRIM  , LED , 10W , 220V , 52 DEGREE , 4000K CRI≥83 , REMOTED LED DRIVER &amp; NON-DIM DRIVER , 929 LUMEN</t>
  </si>
  <si>
    <t>DAWB</t>
  </si>
  <si>
    <t>ROUND ADJUSTABLE RECESSED DOWNLIGHT (MEDIUM BEAM)  / WHITE TRIM , IP20 , WHITE TRIM  , LED  MR16 (GU5.3) , 6.5W , 12V , 24 DEGREE , 4000K CRI≥90 , REMOTED  COMPATIBLE  ELECTRONIC LED DRIVER  (ET-S 10) NON-DIM , -</t>
  </si>
  <si>
    <t>DAWC</t>
  </si>
  <si>
    <t>ROUND ADJUSTABLE RECESSED DOWNLIGHT (WIDE BEAM)  / WHITE TRIM , IP20 , WHITE TRIM  , LED  MR16 (GU5.3) , 6.5W , 12V , 36 DEGREE , 4000K CRI≥90 , REMOTED  COMPATIBLE  ELECTRONIC LED DRIVER  (ET-S 10) NON-DIM , -</t>
  </si>
  <si>
    <t>DAWF</t>
  </si>
  <si>
    <t>ROUND ADJUSTABLE RECESSED DOWNLIGHT (AMBIENT)  / WHITE TRIM , IP20 , WHITE TRIM  , LED  MR16 (GU5.3) , 7W , 12V , 60 DEGREE , 4000K CRI≥90 , REMOTED  COMPATIBLE  ELECTRONIC LED DRIVER  (ET-S 10) NON-DIM , -</t>
  </si>
  <si>
    <t>DAX</t>
  </si>
  <si>
    <t>RECTANGLE-ADJUSTABLE RECESSED DOWNLIGHT (WIDE BEAM) OUTDOOR , IP65 , BLACK TRIM - BLACK REFLECTOR , LED , 24W , 30V (700mA) , 45 DEGREE , 3000K CRI≥90 , REMOTED LED DRIVER &amp; DALI DIMMING DRIVER , 1350 lm</t>
  </si>
  <si>
    <t>SURFACED LED BATTEN / L: 1.2M (2LAMPS) , IP40 , WHITE , LED T8 x 2  , 32W , 220V , - , 4000K , - , 2100 LUMEN</t>
  </si>
  <si>
    <t>LA1A</t>
  </si>
  <si>
    <t xml:space="preserve"> LINEAR STRIPLIGHT  13.8W 3000K  / DALI DIM , IP20 , - , LED , 13.8 , 24VDC , 120 DEGREE , 3000K CRI≥90 , REMOTED POWER SUPPLY (NUMBER OF DRIVER TO BE SPECIFIED BY SUPPLIER) , 1813 Lm/m</t>
  </si>
  <si>
    <t>LA1E</t>
  </si>
  <si>
    <t>LINEAR STRIPLIGHT 13.8W 4000K  / 1-10V DIM , IP20 , - , LED , 13.8 , 24VDC , 120 DEGREE , 4000K CRI≥90 , REMOTED POWER SUPPLY (NUMBER OF DRIVER TO BE SPECIFIED BY SUPPLIER) , 1813 Lm/m</t>
  </si>
  <si>
    <t>LA1J</t>
  </si>
  <si>
    <t>LED LINEAR STRIPLIGHT 13.8W 3000KIN DOTLESS PROFILE  / DALI DIM , IP20 , STARNDARD PROFILE (WHITE) , LED , 13.8W , 24VDC , 120 DEGREE , 3000K CRI≥90 , REMOTED POWER SUPPLY (NUMBER OF DRIVER TO BE SPECIFIED BY SUPPLIER) , 1813 Lm/m</t>
  </si>
  <si>
    <t>LA2F</t>
  </si>
  <si>
    <t>JEDI FLEX - SIDE BEND 12W 3000K DALI DIM , IP67 , - , LED , 12W , 24VDC , 120 DEGREE , 3000K , REMOTED POWER SUPPLY (NUMBER OF DRIVER TO BE SPECIFIED BY SUPPLIER) , -</t>
  </si>
  <si>
    <t>LA2J</t>
  </si>
  <si>
    <t>LED LINEAR STRIPLIGHT 8.0W 3000KIN DOTLESS PROFILE  / DALI DIM , IP20 , STARNDARD PROFILE (WHITE) , LED , 8.0W , 24VDC , 120 DEGREE , 3000K CRI≥90 , REMOTED POWER SUPPLY (NUMBER OF DRIVER TO BE SPECIFIED BY SUPPLIER) , 760 Lm/m</t>
  </si>
  <si>
    <t>LA4J</t>
  </si>
  <si>
    <t>LED LINEAR STRIPLIGHT 8.0W 4000KIN DOTLESS PROFILE  / 1-10V DIM , IP20 , STARNDARD PROFILE (BLACK) , LED , 8.0W , 24VDC , 120 DEGREE , 4000K CRI≥90 , REMOTED POWER SUPPLY (NUMBER OF DRIVER TO BE SPECIFIED BY SUPPLIER) , 760 Lm/m</t>
  </si>
  <si>
    <t>LAW</t>
  </si>
  <si>
    <t>LINEAR STRIPLIGHT 13.8W 4000K (FIXED-DIMMING) , IP20 , - , LED , 13.8W , 24VDC , 120 DEGREE , 4000K , REMOTED POWER SUPPLY (NUMBER OF DRIVER TO BE SPECIFIED BY SUPPLIER) , 1813 Lm/m</t>
  </si>
  <si>
    <t>LAWJ</t>
  </si>
  <si>
    <t>LED LINEAR STRIPLIGHT 8.0W 3000KIN DOTLESS PROFILE (FIXED-DIMMING) , IP20 , STARNDARD PROFILE (BLACK) , LED , 8.0W , 24VDC , 120 DEGREE , 3000K CRI≥90 , REMOTED POWER SUPPLY (NUMBER OF DRIVER TO BE SPECIFIED BY SUPPLIER) , 760 Lm/m</t>
  </si>
  <si>
    <t>SAA</t>
  </si>
  <si>
    <t>ZOOMABLE SPOTLIGHT MOUNTED ON TRACK FOR URBAN VOID DISPLAY , IP20 , BLACK , LED , 21W , 36V (350mA) , 18-35 DEGREE , 3000K CRI90 , - , 1700 lm</t>
  </si>
  <si>
    <t>TAA_5.0M</t>
  </si>
  <si>
    <t>TRACK FOR URBAN VOID DISPLAY , IP20 , BLACK , LED , 0W , 220V , - , - , COMPATIBLE WITH DALI SPOTLIGHT (RECHECKED BEFORE ORDERED) , -</t>
  </si>
  <si>
    <t>DCA1</t>
  </si>
  <si>
    <t>RECTANGLE - ADJUSTABLE RECESSED DOWNLIGHT (SUPER WIDE BEAM)WHITE TRIM (0-10V DIMMING) , IP20 , BLACK TRIM  , LED , 10W , 220V , 52 DEGREE , 4000K CRI≥83 , REMOTED LED DRIVER , 929 LUMEN</t>
  </si>
  <si>
    <t>DCA2</t>
  </si>
  <si>
    <t>RECTANGLE - ADJUSTABLE RECESSED DOWNLIGHT (MEDIUM BEAM) 
BLACK TRIM (0-10V DIMMING) , IP20 , BLACK TRIM  , LED , 10W , 220V , 27 DEGREE , 4000K CRI≥83 , REMOTED LED DRIVER ,  832 LUMEN</t>
  </si>
  <si>
    <t>DCE1</t>
  </si>
  <si>
    <t>ROUND - FIXED RECESSED DOWNLIGHT (SUPER WIDE BEAM) WHITE TRIM (0-10V DIMMING) , IP20 , WHITE TRIM  , LED COB , 13.7W , 12V , 55° , 4000K CRI≥83 , REMOTED LED DRIVER , 1369LUMEN</t>
  </si>
  <si>
    <t>DCE2</t>
  </si>
  <si>
    <t>ROUND -  ADJUSTABLE RECESSED DOWNLIGHT (SUPER WIDE BEAM) WHITE TRIM (0-10V DIMMING) , IP20 , WHITE TRIM  , LED COB , 13.7W , 12V , 52° , 4000K CRI≥83 , REMOTED LED DRIVER , 1272 LUMEN</t>
  </si>
  <si>
    <t>DCE3</t>
  </si>
  <si>
    <t>ROUND - ADJUSTABLE RECESSED DOWNLIGHT (MEDIUM BEAM) 
 BLACK TRIM - AT STAINLESS CEILING (0-10V DIMMING) , IP20 , BLCK TRIM , LED COB , 13.7W , 12V , 27° , 4000K CRI≥83 , REMOTED LED DRIVER , 1139 LUMEN</t>
  </si>
  <si>
    <t>DCE4</t>
  </si>
  <si>
    <t>ROUND - ADJUSTABLE RECESSED DOWNLIGHT (MEDIUM BEAM) 
WHITE TRIM (0-10V DIMMING) , IP20 , WHITE TRIM  , LED COB , 13.7W , 12V , 27° , 4000K CRI≥83 , REMOTED LED DRIVER , 1139 LUMEN</t>
  </si>
  <si>
    <t>DCE5</t>
  </si>
  <si>
    <t>ROUND - ADJUSTABLE RECESSED DOWNLIGHT (MEDIUM BEAM) 
 BLACK TRIM  (0-10V DIMMING) , IP20 , BLCK TRIM , LED COB , 13.7W , 12V , 27° , 4000K CRI≥83 , REMOTED LED DRIVER , 1139 LUMEN</t>
  </si>
  <si>
    <t>DCE6</t>
  </si>
  <si>
    <t>DCES</t>
  </si>
  <si>
    <t>ROUND - FIXED RECESSED DOWNLIGHT (SUPER WIDE BEAM) WHITE TRIM - STORAGE (NON DIMMING) , IP20 , WHITE TRIM  , LED COB , 13.7W , 12V , 55° , 4000K CRI≥83 , REMOTED LED DRIVER , 1369LUMEN</t>
  </si>
  <si>
    <t>DCH</t>
  </si>
  <si>
    <t>ROUND - ADJUSTABLE SURFACED DOWNLIGHT (SUPER WIDE BEAM) 
BLACK HOUSING (NON DIMMING) , IP20 , BLACK HOUSING - MIRROR CONE , LED , 10W , 220V , 52 DEGREE , 4000K CRI≥83 , REMOTED LED DRIVER &amp; NON DIMMING DRIVER , 929 LUMEN</t>
  </si>
  <si>
    <t>DCN2</t>
  </si>
  <si>
    <t>RECTANGLE - ADJUSTABLE RECESSED DOWNLIGHT (MEDIUM BEAM) 
BLACK TRIM (NON DIMMING) , IP20 , BLACK TRIM  , LED , 10W , 220V , 27 DEGREE , 4000K CRI≥83 , REMOTED LED DRIVER &amp; NON DIMMING DRIVER ,  832 LUMEN</t>
  </si>
  <si>
    <t>DCS1</t>
  </si>
  <si>
    <t>DOUBLE HEAD RECTANGLE FIXED SURFACED DOWNLIGHT(AMBIENT) , IP20 , BLACK , LED  , 14W , 12V , 60 DEGREE , 4000K CRI≥90 , REMOTED  COMPATIBLE  ELECTRONIC LED DRIVER  (ET-S 60) , -</t>
  </si>
  <si>
    <t>DCWB</t>
  </si>
  <si>
    <t>ROUND ADJUSTABLE RECESSED DOWNLIGHT (MEDIUM BEAM)  / WHITE TRIM , IP20 , WHITE TRIM  , LED  MR16 (GU5.3) , 7W , 12V , 24 DEGREE , 4000K CRI≥90 , REMOTED  COMPATIBLE  ELECTRONIC LED DRIVER  (ET-S 60) , -</t>
  </si>
  <si>
    <t>DCWC</t>
  </si>
  <si>
    <t>ROUND ADJUSTABLE RECESSED DOWNLIGHT (WIDE BEAM)  / WHITE TRIM , IP20 , WHITE TRIM  , LED  MR16 (GU5.3) , 7W , 12V , 36 DEGREE , 4000K CRI≥90 , REMOTED  COMPATIBLE  ELECTRONIC LED DRIVER  (ET-S 60) , -</t>
  </si>
  <si>
    <t>DCWF</t>
  </si>
  <si>
    <t>ROUND ADJUSTABLE RECESSED DOWNLIGHT (AMBIENT)  / WHITE TRIM , IP20 , WHITE TRIM  , LED  MR16 (GU5.3) , 7W , 12V , 60 DEGREE , 4000K CRI≥90 , REMOTED  COMPATIBLE  ELECTRONIC LED DRIVER  (ET-S 60) , -</t>
  </si>
  <si>
    <t>FCS</t>
  </si>
  <si>
    <t>LED BATTEN 4000K WITH DOTLESS DIFFUSER , IP20 , WHITE , LED , 13W , 220V , WIDE , 4000K , - , 1200 lm</t>
  </si>
  <si>
    <t>LC1A</t>
  </si>
  <si>
    <t>LC1J</t>
  </si>
  <si>
    <t>LED LINEAR STRIPLIGHT 13.8W 4000KIN DOTLESS PROFILE  / 1-10V DIM , IP20 , STARNDARD PROFILE (WHITE) , LED , 13.8W , 24VDC , 120 DEGREE , 4000K CRI≥90 , REMOTED POWER SUPPLY (NUMBER OF DRIVER TO BE SPECIFIED BY SUPPLIER) , 1813 Lm/m</t>
  </si>
  <si>
    <t>LCP</t>
  </si>
  <si>
    <t>LINEAR HIGH POWER  , IP66 , ALUMINIUM , LED , 21W , 24VDC , 30x60 DEGREE , 4000K , REMOTED POWER SUPPLY (NUMBER OF DRIVER TO BE SPECIFIED BY SUPPLIER) , -</t>
  </si>
  <si>
    <t>LCW</t>
  </si>
  <si>
    <t>LINEAR STRIPLIGHT 14.4W 4000K (FIXED-DIMMING) , IP20 , - , LED , 14.4W , 24VDC , 120 DEGREE , 4000K , REMOTED POWER SUPPLY (NUMBER OF DRIVER TO BE SPECIFIED BY SUPPLIER) , 1813 Lm/m</t>
  </si>
  <si>
    <t>LCWJ</t>
  </si>
  <si>
    <t>SCA</t>
  </si>
  <si>
    <t>DALI SPOTLIGHT MOUNTED ON TRACK NARROW BEAM , IP20 , WHITE COLOR , LED  , 19.1W , 220V , 12 DEGREE , 4000K - CRI97 (MODIFILED) , DALI DRIVER , 1085 Lm</t>
  </si>
  <si>
    <t>SCC</t>
  </si>
  <si>
    <t>DALI SPOTLIGHT MOUNTED ON TRACK  WIDE BEAM , IP20 , WHITE COLOR , LED  , 19.1W , 220V , 32 DEGREE , 4000K - CRI97 (MODIFILED) , DALI DRIVER , 1941 Lm</t>
  </si>
  <si>
    <t>TC1</t>
  </si>
  <si>
    <t>SURFACED TRACK LIGHT (DALI) , IP20 , WHITE , LED , 0W , 220V , - , - , COMPATIBLE WITH DALI SPOTLIGHT (RECHECKED BEFORE ORDERED) , -</t>
  </si>
  <si>
    <t>ดวงโคมไฟฟ้าส่วนงาน LIBRARY</t>
  </si>
  <si>
    <t>ROUND - FIXED RECESSED DOWNLIGHT , IP20 , WHITE , LED COB , 10W , 12V , 60° , 4000K CRI90 , REMOTED COMPATIBLE LED DRIVER , CRI ≥ 90 / 680 LUMEN</t>
  </si>
  <si>
    <t>ROUND - ADJUSTABLE RECESSED DOWNLIGHT , IP20 , WHITE , LED COB , 10W , 12V , 36° , 4000K CRI90 , REMOTED COMPATIBLE LED DRIVER , CRI ≥ 90 / 680 LUMEN</t>
  </si>
  <si>
    <t>ROUND - ADJUSTABLE RECESSED DOWNLIGHT , IP20 , WHITE , LED COB , 10W , 12V , 24° , 4000K CRI90 , REMOTED COMPATIBLE LED DRIVER , CRI ≥ 90 / 680 LUMEN</t>
  </si>
  <si>
    <t>DL3A</t>
  </si>
  <si>
    <t>ROUND - FIXED RECESSED DOWNLIGHT (SUPER WIDE BEAM) , IP20 , WHITE , LED COB , 10W , 12V , 55° , 4000K CRI83 , REMOTED COMPATIBLE LED DRIVER , CRI ≥ 83 / 1000 LUMEN</t>
  </si>
  <si>
    <t>DL3B</t>
  </si>
  <si>
    <t>ROUND - FIXED RECESSED DOWNLIGHT DOWNLIGHT (WIDE BEAM)
 , IP20 , WHITE , LED COB , 9.9W , 12V , 33° , 4000K CRI83 , REMOTED COMPATIBLE LED DRIVER , CRI ≥ 83 / 889 LUMEN</t>
  </si>
  <si>
    <t>DL3C</t>
  </si>
  <si>
    <t>DL4</t>
  </si>
  <si>
    <t>ROUND - ADJUSTABLE RECESSED DOWNLIGHT , IP20 , WHITE , LED MR16 7W , 7W , 12V , 60° , 4000K CRI97 , REMOTED COMPATIBLE LED DRIVER , CRI ≥ 97 / 480 LUMEN</t>
  </si>
  <si>
    <t>DL5A</t>
  </si>
  <si>
    <t>SQUARE - FIXED RECESSED DOWNLIGHT (WIDE BEAM) , IP20 , BLACK , LED COB , 13.6W , 12V , 34° , 4000K CRI83 , REMOTED COMPATIBLE LED DRIVER , CRI ≥ 83 / 1281 LUMEN</t>
  </si>
  <si>
    <t>DL6A</t>
  </si>
  <si>
    <t>SQUARE - FIXED RECESSED DOWNLIGHT (WIDE BEAM) , IP20 , BLACK , LED COB , 10W , 12V , 55° , 4000K CRI83 , REMOTED COMPATIBLE LED DRIVER , CRI ≥ 83 / 1000 LUMEN</t>
  </si>
  <si>
    <t>DL6B</t>
  </si>
  <si>
    <t>SQUARE - ADJUSTABLE RECESSED DOWNLIGHT (MEDIUM BEAM)
 , IP20 , BLACK , LED COB , 10W , 12V , 27° , 4000K CRI83 , REMOTED COMPATIBLE LED DRIVER , CRI ≥ 83 / 832 LUMEN</t>
  </si>
  <si>
    <t>DL7</t>
  </si>
  <si>
    <t>ROUND - FIXED SURFACED DOWNLIGHT (WIDE BEAM) , IP20 , WHITE , LED COB , 19.6W , 12V , 59° , 4000K CRI83 , REMOTED COMPATIBLE LED DRIVER , CRI ≥ 83 / 2029 LUMEN</t>
  </si>
  <si>
    <t>SURFACED LED BATTEN / L: 1.2M (2LAMPS) , IP40 , WHITE , LED T8 x 2 , 32W , 220V , 4000K , 2100 LUMEN</t>
  </si>
  <si>
    <t>FL2</t>
  </si>
  <si>
    <t>SURFACED LED BATTEN / L: 1.2M (1LAMP) , IP40 , WHITE , LED T8 x 1 , 16W , 220V , 4000K , 4200 LUMEN</t>
  </si>
  <si>
    <t>LL1N</t>
  </si>
  <si>
    <t>LINEAR LED (CEILING COVE) , IP20 , LED STRIPLIGHT , 13.8W , 24VDC , 120° , 4000K CRI90 , LED POWER SUPPLY (SWITCHING) , CRI ≥ 90 / 1813 LUMEN/M</t>
  </si>
  <si>
    <t>LL2</t>
  </si>
  <si>
    <t>LED LINEAR JEDI IN ALUMINIUM AND ACRYLIC PROFILE (FURNITURE) , IP20 , BLACK , LED STRIPLIGHT , 4.5W , 24VDC , 120° , 4000K CRI90 , LED POWER SUPPLY (SWITCHING) + MANUAL FIXED-DIM , CRI ≥ 90 / 384 LUMEN</t>
  </si>
  <si>
    <t>LL3</t>
  </si>
  <si>
    <t>LED LINEAR NEON FLEX , IP67 , WHITE , LED NEON FLEX , 14W , 24VDC , 120° , 4000K CRI90 , LED POWER SUPPLY (SWITCHING) + MANUAL FIXED-DIM , CRI ≥ 90 / 470 LUMEN</t>
  </si>
  <si>
    <t>LL4</t>
  </si>
  <si>
    <t>LED LINEAR NEON FLEX (BOOK WALL) , IP67 , WHITE , LED NEON FLEX , 14W , 24VDC , 120° , 4000K CRI90 , LED POWER SUPPLY (SWITCHING) + MANUAL FIXED-DIM , CRI ≥ 90 / 470 LUMEN</t>
  </si>
  <si>
    <t>LL5A</t>
  </si>
  <si>
    <t>LED LINEAR SLIM WALLWASHER (BOOK WALL) , IP65 , BLACK , LED STRIPLIGHT , 18W , 24VDC , 60° , 4000K CRI80 , LED POWER SUPPLY (SWITCHING) + MANUAL FIXED-DIM , CRI ≥ 80 / 1780 LUMEN</t>
  </si>
  <si>
    <t>LL5B</t>
  </si>
  <si>
    <t>LL6</t>
  </si>
  <si>
    <t>LED LINEAR SLIM FLEX (IN SHELF) , IP20 , LED STRIPLIGHT , 8W , 24VDC , 120° , 4000K CRI90 , LED POWER SUPPLY (SWITCHING) + MANUAL FIXED-DIM , CRI ≥ 90 / 760 LUMEN</t>
  </si>
  <si>
    <t>LL8A</t>
  </si>
  <si>
    <t>LED LINEAR RECESSED DOWNLIGHT (4620mm) , IP20 , WHITE TRIM  , LED  , 144W , 220V , WIDE BEAM , 4000K , BUILT-IN LED DRIVER</t>
  </si>
  <si>
    <t>LL8B</t>
  </si>
  <si>
    <t>LED LINEAR RECESSED DOWNLIGHT (5197.5mm) , IP20 , WHITE TRIM  , LED  , 162W , 220V , WIDE BEAM , 4000K , BUILT-IN LED DRIVER</t>
  </si>
  <si>
    <t>LL8C</t>
  </si>
  <si>
    <t>LED LINEAR RECESSED DOWNLIGHT (6930mm) , IP20 , WHITE TRIM  , LED  , 216W , 220V , WIDE BEAM , 4000K , BUILT-IN LED DRIVER</t>
  </si>
  <si>
    <t>LL8D</t>
  </si>
  <si>
    <t>LED LINEAR RECESSED DOWNLIGHT (3465mm) , IP20 , WHITE TRIM  , LED  , 108W , 220V , WIDE BEAM , 4000K , BUILT-IN LED DRIVER</t>
  </si>
  <si>
    <t>PL1</t>
  </si>
  <si>
    <t>LINEAR PENDENT (L: 3.6M) , IP20 , WHITE , LED STRIP MODULE , 96W , 220V , 4000K CRI80 , BUILT-IN LED DRIVER</t>
  </si>
  <si>
    <t>PL2</t>
  </si>
  <si>
    <t>LINEAR PENDENT (L: 3M) , IP20 , WHITE , LED STRIP MODULE , 80W , 220V , 4000K CRI80 , BUILT-IN LED DRIVER</t>
  </si>
  <si>
    <t>PL3</t>
  </si>
  <si>
    <t>LINEAR PENDENT (L: 1.8M) , IP20 , WHITE , LED STRIP MODULE , 48W , 220V , 4000K CRI80 , BUILT-IN LED DRIVER</t>
  </si>
  <si>
    <t>SL1</t>
  </si>
  <si>
    <t>SPOTLIGHT ON 48V TRACK SYSTEM , IP20 , WHITE , LED COB , 20W , 48V , 50° , 4000K CRI90 , BUILT-IN LED DRIVER , CRI ≥ 90 / 1600 LUMEN</t>
  </si>
  <si>
    <t>SL2</t>
  </si>
  <si>
    <t>SPOTLIGHT ON 48V TRACK SYSTEM , IP20 , WHITE , LED COB , 26W , 48V , 110° , 4000K CRI90 , BUILT-IN LED DRIVER , CRI ≥ 90 / 1700 LUMEN</t>
  </si>
  <si>
    <t>TRL1</t>
  </si>
  <si>
    <t>LOW VOLTAGE 48V TRACK , IP20 , WHITE , 48V , REMOTED COMPATIBLE LED DRIVER</t>
  </si>
  <si>
    <t>TRL2</t>
  </si>
  <si>
    <t>SURFACED TRACK LIGHT (DALI) , IP20 , WHITE , 220V , COMPATIBLE WITH DALI SPOTLIGHT</t>
  </si>
  <si>
    <t>TL1</t>
  </si>
  <si>
    <t>TABLE LAMP (L: 2.2M) , IP20 , STAINLESS STEEL HAIRLINE , LED STRIPLIGHT , 21.2W , 24VDC , 4000K , REMOTED LED DRIVER</t>
  </si>
  <si>
    <t>TL2</t>
  </si>
  <si>
    <t>TABLE LAMP (L: 3.1M) , IP20 , STAINLESS STEEL HAIRLINE , LED STRIPLIGHT , 29.8W , 24VDC , 4000K , REMOTED LED DRIVER</t>
  </si>
  <si>
    <t>TL3</t>
  </si>
  <si>
    <t>TABLE LAMP (L: 4.2M) , IP20 , STAINLESS STEEL HAIRLINE , LED STRIPLIGHT , 40.4W , 24VDC , 4000K , REMOTED LED DRIVER</t>
  </si>
  <si>
    <t>UL1</t>
  </si>
  <si>
    <t>LED UPLIGHT WALLWASHER , IP68 , STAINLESS STEEL , LED , 6W , 220V , WALL WASH , 4000K CRI80 , INTEGRAL EC ELECTRONIC INVERTER , CRI ≥ 80 / 738 LUMEN</t>
  </si>
  <si>
    <t>UL2</t>
  </si>
  <si>
    <t>LED UPLIGHT , IP68 , STAINLESS STEEL , LED , 3.9W , 12VDC , 19° , 4000K CRI80 , REMOTED LED DRIVER , CRI ≥ 80 / 180 LUMEN</t>
  </si>
  <si>
    <t>UL3</t>
  </si>
  <si>
    <t>LED UPLIGHT , IP67 , STAINLESS STEEL , LED , 10W , 12VDC , 46° , 4000K CRI80 , REMOTED LED DRIVER , CRI ≥ 80 / 790 LUMEN</t>
  </si>
  <si>
    <t>WL1</t>
  </si>
  <si>
    <t>CUSTOM-MADE DECORATIVE WALL LAMP , IP20 , STAINLESS STEEL , LED , 4.8W , 24VDC , 4000K , REMOTED LED DRIVER</t>
  </si>
  <si>
    <t>รวมรายการที่ 8</t>
  </si>
  <si>
    <t>Automatic  Central  Emergency  300W, 12VDC</t>
  </si>
  <si>
    <t xml:space="preserve">LED Downlight Remote Lamp for Emergency Light </t>
  </si>
  <si>
    <t>Emergency Light 2x12 W. LED Backup Time 2Hr.</t>
  </si>
  <si>
    <t>Exit &amp; Fire Exit Sign</t>
  </si>
  <si>
    <t>ป้ายเรืองแสง</t>
  </si>
  <si>
    <t>ป้ายเรืองแสง (FIRE HOSE)</t>
  </si>
  <si>
    <t>รวมรายการที่ 9</t>
  </si>
  <si>
    <t>สวิตซ์และเต้ารับ (Switch &amp; Outlet)</t>
  </si>
  <si>
    <t xml:space="preserve"> 16A 250V,Single Pole Switch</t>
  </si>
  <si>
    <t xml:space="preserve"> 16A 250V,Single Pole 2-way Switch</t>
  </si>
  <si>
    <t xml:space="preserve"> 16A 250V,Single Pole Switch w/Lamp</t>
  </si>
  <si>
    <t xml:space="preserve"> 16A 250V,Duplex Outlet</t>
  </si>
  <si>
    <t xml:space="preserve"> 16A 250V,Duplex Outlet (WP)</t>
  </si>
  <si>
    <t>Floor Outlet</t>
  </si>
  <si>
    <t xml:space="preserve"> 1xDuplex Socket 15A., W/Ground</t>
  </si>
  <si>
    <t xml:space="preserve"> 1xDuplex Socket 15A., W/Ground + 1xComputer Outlet RJ45 (CAT6a)  </t>
  </si>
  <si>
    <t xml:space="preserve"> 1xDuplex Socket 15A., W/Ground + 2xComputer Outlet RJ45 (CAT6a)  </t>
  </si>
  <si>
    <t>Power Plug</t>
  </si>
  <si>
    <t xml:space="preserve"> Surface Socket IP67, 3P+N+E, 230V, 32A (สีฟ้า)</t>
  </si>
  <si>
    <t>Disconnecting Switch (WP)</t>
  </si>
  <si>
    <t xml:space="preserve"> 2P 20A. (WP)</t>
  </si>
  <si>
    <t xml:space="preserve"> 2P 30A. (WP)</t>
  </si>
  <si>
    <t xml:space="preserve"> 3P 30A. (WP)</t>
  </si>
  <si>
    <t xml:space="preserve"> 3P 60A. (WP)</t>
  </si>
  <si>
    <t>Cover Plate &amp; Box and Accessories</t>
  </si>
  <si>
    <t>รวมรายการที่ 10</t>
  </si>
  <si>
    <t>Ground Rod</t>
  </si>
  <si>
    <t>สายไฟฟ้าชนิด IEC01 ,750V  70 °C</t>
  </si>
  <si>
    <t xml:space="preserve"> 120 มม²</t>
  </si>
  <si>
    <t>สายทองแดงเปลือย (Bare Copper Wire)</t>
  </si>
  <si>
    <t xml:space="preserve"> 50 มม²</t>
  </si>
  <si>
    <t xml:space="preserve"> 90 มม²</t>
  </si>
  <si>
    <t>CU. Copper Tap 25x3 mm.</t>
  </si>
  <si>
    <t>Ground Test Box</t>
  </si>
  <si>
    <t>Ground Bar</t>
  </si>
  <si>
    <t>Ground Pit Box</t>
  </si>
  <si>
    <t>Cu Air Terminal</t>
  </si>
  <si>
    <t>รางเดินสายไฟฟ้า (Raceway)</t>
  </si>
  <si>
    <t>11.9.1</t>
  </si>
  <si>
    <t xml:space="preserve"> 25  มม.  Ø</t>
  </si>
  <si>
    <t>11.9.2</t>
  </si>
  <si>
    <t xml:space="preserve">ท่อร้อยสายไฟฟ้าชนิด PVC (PVC Conduit) </t>
  </si>
  <si>
    <t>Exotherminal Weld</t>
  </si>
  <si>
    <t>รวมรายการที่ 11</t>
  </si>
  <si>
    <t>ระบบ้องกันไฟและควันลาม (Fire Barrier System)</t>
  </si>
  <si>
    <t>ตร.ม</t>
  </si>
  <si>
    <t>รวมรายการที่ 12</t>
  </si>
  <si>
    <t>Main Equipment</t>
  </si>
  <si>
    <t>Desktop Computer Set (with Windows Licence)</t>
  </si>
  <si>
    <t>Touch Screen Unit</t>
  </si>
  <si>
    <t>Ethernet Network Interface</t>
  </si>
  <si>
    <t>HUB 8 Port</t>
  </si>
  <si>
    <t xml:space="preserve"> Network Bridge Unit</t>
  </si>
  <si>
    <t xml:space="preserve"> Power Supply Unit</t>
  </si>
  <si>
    <t xml:space="preserve"> Desktop Computer Set (with Windows Licence)</t>
  </si>
  <si>
    <t xml:space="preserve"> Operation Software</t>
  </si>
  <si>
    <t xml:space="preserve"> Panel &amp; Accessories</t>
  </si>
  <si>
    <t xml:space="preserve"> UPS 1000 VA</t>
  </si>
  <si>
    <t>Relay Panel</t>
  </si>
  <si>
    <t>13.2.1</t>
  </si>
  <si>
    <t xml:space="preserve">Relay Panel </t>
  </si>
  <si>
    <t>Relay Panel 1L.LCP</t>
  </si>
  <si>
    <t xml:space="preserve"> 12Channel Relay Unit (10A./Ch.)</t>
  </si>
  <si>
    <t>Relay Panel F.LCP</t>
  </si>
  <si>
    <t>8 CH. Dimmer (1A./Ch.)</t>
  </si>
  <si>
    <t>4 CH. Dimmer (2A./Ch.)</t>
  </si>
  <si>
    <t>13.2.2</t>
  </si>
  <si>
    <t>Relay Panel B1.LCP</t>
  </si>
  <si>
    <t>4 Channel Relay Unit (10A./Ch.)</t>
  </si>
  <si>
    <t>13.2.3</t>
  </si>
  <si>
    <t>Relay Panel B2.LCP</t>
  </si>
  <si>
    <t>12 Channel Relay Unit (10A./Ch)</t>
  </si>
  <si>
    <t>4 Channel Analogue Output 0-10 V.</t>
  </si>
  <si>
    <t>Relay Panel 1.1LCP</t>
  </si>
  <si>
    <t>2 Channel Dali Gateway C/W 2xDIN PS</t>
  </si>
  <si>
    <t>13.2.4</t>
  </si>
  <si>
    <t>Relay Panel 1.2LCP</t>
  </si>
  <si>
    <t>13.2.5</t>
  </si>
  <si>
    <t>Relay Panel 2.1LCP</t>
  </si>
  <si>
    <t xml:space="preserve"> 4 Channel Relay Unit (10A./Ch.)</t>
  </si>
  <si>
    <t>13.2.6</t>
  </si>
  <si>
    <t>Relay Panel 2.2LCP</t>
  </si>
  <si>
    <t>8 Channel Relay Unit (10A./Ch)</t>
  </si>
  <si>
    <t>13.2.7</t>
  </si>
  <si>
    <t>Relay Panel LCP1.B</t>
  </si>
  <si>
    <t>13.2.8</t>
  </si>
  <si>
    <t>Relay Panel LCP1.C</t>
  </si>
  <si>
    <t>13.2.9</t>
  </si>
  <si>
    <t>Relay Panel LCP2.B</t>
  </si>
  <si>
    <t>13.2.10</t>
  </si>
  <si>
    <t>Relay Panel 3.1LCP</t>
  </si>
  <si>
    <t>13.2.11</t>
  </si>
  <si>
    <t>Relay Panel 3.2LCP</t>
  </si>
  <si>
    <t>13.2.12</t>
  </si>
  <si>
    <t>Relay Panel 3M.LCP</t>
  </si>
  <si>
    <t>Local Switch</t>
  </si>
  <si>
    <t>8 Key Input (Neo)</t>
  </si>
  <si>
    <t>Local Switch 2 Key Input</t>
  </si>
  <si>
    <t>Local Switch 4 Key Input</t>
  </si>
  <si>
    <t>Sensor Divice</t>
  </si>
  <si>
    <t>Motion Sersor</t>
  </si>
  <si>
    <t>Daylight Sersor</t>
  </si>
  <si>
    <t>สายสื่อสาร (Cable &amp; Wire)</t>
  </si>
  <si>
    <t xml:space="preserve"> UTP CAT6</t>
  </si>
  <si>
    <t>Fitting, support and accessories</t>
  </si>
  <si>
    <t>รวมรายการที่ 13</t>
  </si>
  <si>
    <t>พื้นชั้นใต้ดิน (B)</t>
  </si>
  <si>
    <t>14.1.1</t>
  </si>
  <si>
    <t xml:space="preserve"> IP PA Controller </t>
  </si>
  <si>
    <t xml:space="preserve"> PC Interface Unit</t>
  </si>
  <si>
    <t xml:space="preserve"> Multi Function Supply</t>
  </si>
  <si>
    <t xml:space="preserve"> Pre-Amplifier</t>
  </si>
  <si>
    <t xml:space="preserve"> IP Call station</t>
  </si>
  <si>
    <t xml:space="preserve"> Audio Input</t>
  </si>
  <si>
    <t xml:space="preserve"> Media Player</t>
  </si>
  <si>
    <t xml:space="preserve"> FM Tuner Player</t>
  </si>
  <si>
    <t xml:space="preserve"> Sound Monitor Panel</t>
  </si>
  <si>
    <t xml:space="preserve"> Sound Computer Station w/LED Monitor 19-inch</t>
  </si>
  <si>
    <t xml:space="preserve">  4-Chanel IP Power Amplifier 600 W</t>
  </si>
  <si>
    <t xml:space="preserve"> Extension Power Supply</t>
  </si>
  <si>
    <t xml:space="preserve"> Override Control Set</t>
  </si>
  <si>
    <t xml:space="preserve"> IP Interface Module</t>
  </si>
  <si>
    <t xml:space="preserve"> UPS 2 kVA</t>
  </si>
  <si>
    <t xml:space="preserve"> Ceiling Speaker 6 W.</t>
  </si>
  <si>
    <t xml:space="preserve"> Cabinet Speaker 15 W.</t>
  </si>
  <si>
    <t xml:space="preserve"> Volume Control 100 W.</t>
  </si>
  <si>
    <t xml:space="preserve"> Test and Commissioning</t>
  </si>
  <si>
    <t>14.1.2</t>
  </si>
  <si>
    <t xml:space="preserve"> 3C-2.5 Sq.mm.VCT</t>
  </si>
  <si>
    <t xml:space="preserve"> 2-2.5 Sq.mm.VTF</t>
  </si>
  <si>
    <t>14.1.3</t>
  </si>
  <si>
    <t>14.1.4</t>
  </si>
  <si>
    <t>พื้นชั้นล่าง (1)</t>
  </si>
  <si>
    <t>14.2.1</t>
  </si>
  <si>
    <t>14.2.2</t>
  </si>
  <si>
    <t>14.2.3</t>
  </si>
  <si>
    <t>14.2.4</t>
  </si>
  <si>
    <t>พื้นชั้นสอง (2)</t>
  </si>
  <si>
    <t>14.3.1</t>
  </si>
  <si>
    <t>14.3.2</t>
  </si>
  <si>
    <t>14.3.3</t>
  </si>
  <si>
    <t>14.3.4</t>
  </si>
  <si>
    <t>พื้นชั้นสาม (3)</t>
  </si>
  <si>
    <t>14.4.1</t>
  </si>
  <si>
    <t xml:space="preserve"> 4-Chanel IP Power Amplifier 600 W</t>
  </si>
  <si>
    <t>14.4.2</t>
  </si>
  <si>
    <t>14.4.3</t>
  </si>
  <si>
    <t>14.4.4</t>
  </si>
  <si>
    <t>พื้นชั้นลอย (3M)</t>
  </si>
  <si>
    <t>14.5.1</t>
  </si>
  <si>
    <t>14.5.2</t>
  </si>
  <si>
    <t>14.5.3</t>
  </si>
  <si>
    <t>14.5.4</t>
  </si>
  <si>
    <t>รวมรายการที่ 14</t>
  </si>
  <si>
    <t>15.1.1</t>
  </si>
  <si>
    <t xml:space="preserve"> FCP Control Panel</t>
  </si>
  <si>
    <t xml:space="preserve"> Graphic Annuacitor</t>
  </si>
  <si>
    <t xml:space="preserve"> PC Work Station and 20" Monitor</t>
  </si>
  <si>
    <t xml:space="preserve"> Power Supply with Battery</t>
  </si>
  <si>
    <t xml:space="preserve"> UPS 1 kVA</t>
  </si>
  <si>
    <t xml:space="preserve"> Monitor Module</t>
  </si>
  <si>
    <t xml:space="preserve"> Control Module </t>
  </si>
  <si>
    <t xml:space="preserve"> Input Module </t>
  </si>
  <si>
    <t xml:space="preserve"> Isolator Module</t>
  </si>
  <si>
    <t xml:space="preserve"> FATB Box </t>
  </si>
  <si>
    <t xml:space="preserve"> Beam Detector</t>
  </si>
  <si>
    <t xml:space="preserve"> Smoke Conventional </t>
  </si>
  <si>
    <t xml:space="preserve"> Heat Conventional </t>
  </si>
  <si>
    <t xml:space="preserve"> Manual Station</t>
  </si>
  <si>
    <t xml:space="preserve"> Strobe with Horn</t>
  </si>
  <si>
    <t xml:space="preserve"> Software and Commissioning</t>
  </si>
  <si>
    <t>15.1.2</t>
  </si>
  <si>
    <t xml:space="preserve"> IEC01, 2.5 มม2</t>
  </si>
  <si>
    <t xml:space="preserve"> FRC, 2.5 มม2</t>
  </si>
  <si>
    <t xml:space="preserve"> 16 AWG. Twisted Pair Shielded FRC for Riser Loop and Manual Station</t>
  </si>
  <si>
    <t>15.1.3</t>
  </si>
  <si>
    <t>15.1.4</t>
  </si>
  <si>
    <t>15.2.1</t>
  </si>
  <si>
    <t>15.2.2</t>
  </si>
  <si>
    <t>15.2.3</t>
  </si>
  <si>
    <t>15.2.4</t>
  </si>
  <si>
    <t>15.3.1</t>
  </si>
  <si>
    <t>15.3.2</t>
  </si>
  <si>
    <t>15.3.3</t>
  </si>
  <si>
    <t>15.3.4</t>
  </si>
  <si>
    <t>15.4.1</t>
  </si>
  <si>
    <t>15.4.2</t>
  </si>
  <si>
    <t>15.4.3</t>
  </si>
  <si>
    <t>15.4.4</t>
  </si>
  <si>
    <t>15.5.1</t>
  </si>
  <si>
    <t>15.5.2</t>
  </si>
  <si>
    <t>15.5.3</t>
  </si>
  <si>
    <t>15.5.4</t>
  </si>
  <si>
    <t>รวมรายการที่ 15</t>
  </si>
  <si>
    <t>16.1.1</t>
  </si>
  <si>
    <t xml:space="preserve"> ตู้ Rack 19"42 U, + Ventilating Fan Set 3x4" + AC Power, 12 Outlet</t>
  </si>
  <si>
    <t xml:space="preserve"> Main Switch</t>
  </si>
  <si>
    <t xml:space="preserve"> Network Switch 24P (POE.)</t>
  </si>
  <si>
    <t xml:space="preserve"> CCTV Server</t>
  </si>
  <si>
    <t xml:space="preserve"> CCTV Workstation </t>
  </si>
  <si>
    <t xml:space="preserve"> Monitor LED 50" </t>
  </si>
  <si>
    <t xml:space="preserve"> Monitor LED 24" </t>
  </si>
  <si>
    <t xml:space="preserve"> License CCTV expansion</t>
  </si>
  <si>
    <t xml:space="preserve"> 8 TB HDD storage</t>
  </si>
  <si>
    <t xml:space="preserve"> FDU Single mode with accessories</t>
  </si>
  <si>
    <t xml:space="preserve"> UTP Patch Panel 24P</t>
  </si>
  <si>
    <t xml:space="preserve"> UTP Patch Cord 1m.</t>
  </si>
  <si>
    <t xml:space="preserve"> SFP Module, SM</t>
  </si>
  <si>
    <t xml:space="preserve"> UPS 6 kVA</t>
  </si>
  <si>
    <t xml:space="preserve"> IP Camera Dome Type 2MP</t>
  </si>
  <si>
    <t xml:space="preserve"> IP Camera Bullet Type 2MP</t>
  </si>
  <si>
    <t xml:space="preserve"> IP Camera Dome Type 2MP for Lift</t>
  </si>
  <si>
    <t xml:space="preserve"> IP Camera Fixed Type 2MP</t>
  </si>
  <si>
    <t xml:space="preserve"> Eco Converter Tx-Rx </t>
  </si>
  <si>
    <t>16.1.2</t>
  </si>
  <si>
    <t xml:space="preserve"> 6 Core Siingle mode</t>
  </si>
  <si>
    <t>16.1.3</t>
  </si>
  <si>
    <t>16.1.4</t>
  </si>
  <si>
    <t>16.2.1</t>
  </si>
  <si>
    <t>16.3.1</t>
  </si>
  <si>
    <t>UPS 1 kVA</t>
  </si>
  <si>
    <t>16.3.2</t>
  </si>
  <si>
    <t>16.3.3</t>
  </si>
  <si>
    <t>16.3.4</t>
  </si>
  <si>
    <t>16.4.1</t>
  </si>
  <si>
    <t>16.4.2</t>
  </si>
  <si>
    <t>16.4.3</t>
  </si>
  <si>
    <t>16.4.4</t>
  </si>
  <si>
    <t>16.5.1</t>
  </si>
  <si>
    <t>16.5.2</t>
  </si>
  <si>
    <t>16.5.3</t>
  </si>
  <si>
    <t>16.5.4</t>
  </si>
  <si>
    <t>รวมรายการที่ 16</t>
  </si>
  <si>
    <t>ระบบสื่อสารเข้าอาคาร</t>
  </si>
  <si>
    <t>Manhole</t>
  </si>
  <si>
    <t>Switching</t>
  </si>
  <si>
    <t>POE Access Point (Wireless)</t>
  </si>
  <si>
    <t>เต้ารับข้อมูล (RJ45 Cat. 6a  Modular Kack)</t>
  </si>
  <si>
    <t>เต้ารับข้อมูล (RJ45 Cat. 6a  Modular Kack) ฝั่งพื้น</t>
  </si>
  <si>
    <t>แผงรวมสาย (Patch Panel)</t>
  </si>
  <si>
    <t>17.5.1</t>
  </si>
  <si>
    <t>UTP Cat. 6a  Patch Panel</t>
  </si>
  <si>
    <t xml:space="preserve"> 1 x 24 Ports</t>
  </si>
  <si>
    <t>17.5.2</t>
  </si>
  <si>
    <t xml:space="preserve"> 1 x 12 Ports</t>
  </si>
  <si>
    <t>17.5.3</t>
  </si>
  <si>
    <t>ตู้ Rack 19"</t>
  </si>
  <si>
    <t xml:space="preserve"> 42 U, + Ventilating Fan Set 3x4" + AC Power, 12 Outlet</t>
  </si>
  <si>
    <t>Cat. 6 Patch Cords 7 Ft</t>
  </si>
  <si>
    <t>Cat. 6 Patch Cords 10 Ft</t>
  </si>
  <si>
    <t>Fiber Optic Patch Cord 3 m.</t>
  </si>
  <si>
    <t>Cable Management Panel</t>
  </si>
  <si>
    <t>Surge Protection Device</t>
  </si>
  <si>
    <t>UPS  6  kVA</t>
  </si>
  <si>
    <t>สายส่งข้อมูล (Cable &amp; Wire)</t>
  </si>
  <si>
    <t xml:space="preserve"> 6 Core Siingle mode Indoor/ Outdoor</t>
  </si>
  <si>
    <t xml:space="preserve"> UTP CAT6a</t>
  </si>
  <si>
    <t>รวมรายการที่ 17</t>
  </si>
  <si>
    <t>Server &amp; Workstation</t>
  </si>
  <si>
    <t>BMS Server</t>
  </si>
  <si>
    <t>BMS Workstation with Monitor 23"</t>
  </si>
  <si>
    <t>TV Monitor 42"</t>
  </si>
  <si>
    <t>Dot Matrix Printer</t>
  </si>
  <si>
    <t>Laser Printer</t>
  </si>
  <si>
    <t>UPS 2KVA 30min.</t>
  </si>
  <si>
    <t>Switch Layer 3, 24 Ports</t>
  </si>
  <si>
    <t>BAS SOFTWARE</t>
  </si>
  <si>
    <t>BAS Software with 1 Niagara License</t>
  </si>
  <si>
    <t>BAS NETWORK CONTROL MODULE</t>
  </si>
  <si>
    <t>Control Panel and Acc.</t>
  </si>
  <si>
    <t>Network Control Module</t>
  </si>
  <si>
    <t>Interface Gateway</t>
  </si>
  <si>
    <t>Interface Other Systems By BACnet or Modbus</t>
  </si>
  <si>
    <t>FIELD EQUIPMENT CONTROLLER</t>
  </si>
  <si>
    <t>Control Panel and Acc. (C1-BRPU)</t>
  </si>
  <si>
    <t>Field Equipment Controller with BacNet IP</t>
  </si>
  <si>
    <t>Control Panel and Acc. (C2-BRPU)</t>
  </si>
  <si>
    <t>Expansion module</t>
  </si>
  <si>
    <t>Control Panel and Acc. (C1-1RPU)</t>
  </si>
  <si>
    <t>Control Panel and Acc. (C2-1RPU)</t>
  </si>
  <si>
    <t>Control Panel and Acc. (C1-2RPU)</t>
  </si>
  <si>
    <t>Control Panel and Acc. (C2-2RPU)</t>
  </si>
  <si>
    <t>Control Panel and Acc. (C1-3RPU)</t>
  </si>
  <si>
    <t>Control Panel and Acc. (C2-3RPU)</t>
  </si>
  <si>
    <t>Control Panel and Acc. (C2-3MRPU)</t>
  </si>
  <si>
    <t>BAS Field Sensor</t>
  </si>
  <si>
    <t>Air Diff. Pressure Switch</t>
  </si>
  <si>
    <t>Room Temp. Sensor</t>
  </si>
  <si>
    <t>Water Level Switch</t>
  </si>
  <si>
    <t>ENGINEERING AND SERVICES</t>
  </si>
  <si>
    <t>Engineering, Testing and Commissioning</t>
  </si>
  <si>
    <t>รวมรายการที่ 18</t>
  </si>
  <si>
    <t>ระบบบริหารจัดการจอดรถ (Smart parking)</t>
  </si>
  <si>
    <t>Parking IN</t>
  </si>
  <si>
    <t>QR Slip Entry Station</t>
  </si>
  <si>
    <t>รวมในรายการ</t>
  </si>
  <si>
    <t>ชุด LED Display</t>
  </si>
  <si>
    <t>ชุดแผงยึดอุปกรณ์-ชุดยึดอุปกรณ์ด้านใน</t>
  </si>
  <si>
    <t>Warp3 + QR Reader</t>
  </si>
  <si>
    <t>ชุด Printer 80mm</t>
  </si>
  <si>
    <t>No touch Exit Sensor 1 ช่อง</t>
  </si>
  <si>
    <t>ชุด  PC + UPS 1000VA</t>
  </si>
  <si>
    <t>Main Control + Power Supply</t>
  </si>
  <si>
    <t>I/O Controller</t>
  </si>
  <si>
    <t>19.2</t>
  </si>
  <si>
    <t xml:space="preserve">Camera license plate (อ่านค่าได้ 80-90%) </t>
  </si>
  <si>
    <t>Stand for LPR</t>
  </si>
  <si>
    <t>19.4</t>
  </si>
  <si>
    <t>Barrier Boom 3m .</t>
  </si>
  <si>
    <t>Loop detector</t>
  </si>
  <si>
    <t>19.6</t>
  </si>
  <si>
    <t>Infrared sensor</t>
  </si>
  <si>
    <t>Stand for infrared sensor</t>
  </si>
  <si>
    <t>19.8</t>
  </si>
  <si>
    <t>Switch hub 8 port</t>
  </si>
  <si>
    <t>Accessories (ex. cabinet, braker, terminal, cable tie, cable glands, wire duct)</t>
  </si>
  <si>
    <t>19.10</t>
  </si>
  <si>
    <t>Parking Exit</t>
  </si>
  <si>
    <t xml:space="preserve">QR Reader with Stand </t>
  </si>
  <si>
    <t>Power Supply 12V</t>
  </si>
  <si>
    <t>IP CAM For Capture Driver</t>
  </si>
  <si>
    <t>Main Control</t>
  </si>
  <si>
    <t>PC Set Core I5, RAM 8GB, HDD 1TB, Windows 10 (ไมรวม MS Office)</t>
  </si>
  <si>
    <t xml:space="preserve">UPS 1000VA </t>
  </si>
  <si>
    <t>UPB QR Reader</t>
  </si>
  <si>
    <t xml:space="preserve">Thermal Printer </t>
  </si>
  <si>
    <t>Cash Drawer</t>
  </si>
  <si>
    <t>Computer Server DELL EMC PowerEdge 2xHDD2TB RAM32GB</t>
  </si>
  <si>
    <t>Microsoft Windows Server 2022 Standard</t>
  </si>
  <si>
    <t>Microsoft SQL Server 2019 Standard Edition</t>
  </si>
  <si>
    <t>SQLCAL2019 SNGL NL DEVCAL</t>
  </si>
  <si>
    <t>APC SmartUPS 1000VA 2U SMC</t>
  </si>
  <si>
    <t>Cisco switch 24 Port</t>
  </si>
  <si>
    <t>Server Rack 19" 15U</t>
  </si>
  <si>
    <t>Monitor 21.5 inch + USB Mouse &amp; Keyboard</t>
  </si>
  <si>
    <t>Kiosk (ตู้ชำระค่าจอดรถ)</t>
  </si>
  <si>
    <t>Parking management</t>
  </si>
  <si>
    <t>Visitor management</t>
  </si>
  <si>
    <t>ค่าติดตั้งและทดสอบระบบ Smart paking</t>
  </si>
  <si>
    <t>ค่าติดตั้ง Kiosk</t>
  </si>
  <si>
    <t>รวมรายการที่ 19</t>
  </si>
  <si>
    <t>ระบบประตูอัตโนมัติ (Access control system)</t>
  </si>
  <si>
    <t>ประตูอัตโนมัติ แบบที่ ACC.1A</t>
  </si>
  <si>
    <t>Access control 7'' (Face scan &amp; RFID)</t>
  </si>
  <si>
    <t>Face Capacity : 10,000</t>
  </si>
  <si>
    <t>Card Capacity : 50,000</t>
  </si>
  <si>
    <t>ประตูหน้าบาน 1 หน้าบาน เปิดทางเดียว</t>
  </si>
  <si>
    <t xml:space="preserve">Controller, Magnetic lock, Magnetic lock bracket, break glass, </t>
  </si>
  <si>
    <t>battery, Touchless exit button, Wires and accessories</t>
  </si>
  <si>
    <t>ประตูอัตโนมัติ แบบที่ 'ACC.1B</t>
  </si>
  <si>
    <t>ประตูหน้าบาน 1 หน้าบาน เปิดสองทาง</t>
  </si>
  <si>
    <t>ประตูอัตโนมัติ แบบที่ ACC.2A</t>
  </si>
  <si>
    <t>ประตูหน้าบาน 2 หน้าบาน เปิดทางเดียว</t>
  </si>
  <si>
    <t>ประตูอัตโนมัติ แบบที่ ACC.2B</t>
  </si>
  <si>
    <t>ประตูหน้าบาน 2 หน้าบาน เปิดสองทาง</t>
  </si>
  <si>
    <t>Controller, Magnetic lock, Magnetic lock bracket, break glass</t>
  </si>
  <si>
    <t>ชุดควบคุมการเปิด เชื่อมกับรางเลี่ยนอัตโนมัติ</t>
  </si>
  <si>
    <t>ชุดควบคุมประตูบานเปิดคู่ (บาน Swing ไฟฟ้า) ด้วยรีโมทคอนโทรล</t>
  </si>
  <si>
    <t>บานเลื่ยน Manaul ชุดควบคุมการเปิดด้วย Magnetic Door Lock</t>
  </si>
  <si>
    <t>Kiosk for register (จอ 24" แบบฝังผนัง)</t>
  </si>
  <si>
    <t>Access control &amp; time attendance management</t>
  </si>
  <si>
    <t>kiosk management</t>
  </si>
  <si>
    <t xml:space="preserve">ราคาการเชื่อมต่อกับ TK และระบบ BMS </t>
  </si>
  <si>
    <t>รวมรายการที่ 20</t>
  </si>
  <si>
    <t>ระบบ Smart Booking &amp; Desk booking</t>
  </si>
  <si>
    <t>Smart booking 8'' ยืนยันตัวตนโดย PIn &amp; QR (C scan B)</t>
  </si>
  <si>
    <t>ควบคุมระบบเปิด/ปิดไฟ</t>
  </si>
  <si>
    <t>ควบคุมประตูหน้าบาน 1 หน้าบาน เปิดทางเดียว</t>
  </si>
  <si>
    <t xml:space="preserve">Controller, Magnetic contactor, Touchless exit button, </t>
  </si>
  <si>
    <t>Wires and accessories</t>
  </si>
  <si>
    <t>ควบคุมประตูหน้าบาน 1 หน้าบาน เปิดสองทาง</t>
  </si>
  <si>
    <t>ควบคุมประตูหน้าบาน 2 หน้าบาน เปิดสองทาง</t>
  </si>
  <si>
    <t>Desk booking 4.2"</t>
  </si>
  <si>
    <t>Smart booking &amp; Desk booking management</t>
  </si>
  <si>
    <t>รวมรายการที่ 21</t>
  </si>
  <si>
    <t>ระบบตรวจนับคน (People Counting)</t>
  </si>
  <si>
    <t>Camera และฐาน</t>
  </si>
  <si>
    <t>NVR deep learning</t>
  </si>
  <si>
    <t>ค่าทำ software deep learning , API</t>
  </si>
  <si>
    <t>รวมรายการที่ 22</t>
  </si>
  <si>
    <t>ค่าธรรมเนียมการขอใช้ไฟฟ้า ประกอบด้วย</t>
  </si>
  <si>
    <t>ค่าธรรมเนียมต่อไฟ</t>
  </si>
  <si>
    <t>ค่าตรวจสอบการติดตั้งอุปกรณ์ไฟฟ้าภายใน</t>
  </si>
  <si>
    <t>ค่าส่วนเฉลี่ยการใช้พลังไฟฟ้า</t>
  </si>
  <si>
    <t>เงินประกันการใช้ไฟฟ้า</t>
  </si>
  <si>
    <t>รวมรายการที่ 24</t>
  </si>
  <si>
    <t>สรุปราคาค่าก่อสร้างงานระบบสุขาภิบาลและดับเพลิง</t>
  </si>
  <si>
    <t>งานระบบประปา</t>
  </si>
  <si>
    <t>งานระบบนำน้ำผ่านการบำบัดกลับมาใช้</t>
  </si>
  <si>
    <t>งานระบบน้ำเสีย</t>
  </si>
  <si>
    <t>งานระบบระบายน้ำฝน</t>
  </si>
  <si>
    <t>งานระบบดับเพลิง</t>
  </si>
  <si>
    <t>รวมราคาค่าก่อสร้างงานระบบสุขาภิบาลและดับเพลิง</t>
  </si>
  <si>
    <t>เครื่องสูบน้ำเพิ่มแรงดัน และอุปกรณ์ประกอบ</t>
  </si>
  <si>
    <t xml:space="preserve">       - CWPBS-01</t>
  </si>
  <si>
    <t>งานท่อ (Piping Work)</t>
  </si>
  <si>
    <t>ราคาพาณิชย์เดือนพ.ย</t>
  </si>
  <si>
    <t>ท่อ PP-R  PN 10</t>
  </si>
  <si>
    <t xml:space="preserve">     - Ø 20  มม. (15 มม. )</t>
  </si>
  <si>
    <t xml:space="preserve">     - Ø 25  มม. (20 มม. )</t>
  </si>
  <si>
    <t>กระทรวงพาณิชย์</t>
  </si>
  <si>
    <t xml:space="preserve">     - Ø 32  มม. (25 มม.)</t>
  </si>
  <si>
    <t xml:space="preserve">     - Ø 40  มม. (32 มม.)</t>
  </si>
  <si>
    <t xml:space="preserve">     - Ø 50  มม. (40 มม.)</t>
  </si>
  <si>
    <t xml:space="preserve">     - Ø 63  มม. (50 มม.)</t>
  </si>
  <si>
    <t xml:space="preserve">     - Ø 75  มม. (65 มม.)</t>
  </si>
  <si>
    <t xml:space="preserve">     - Ø 90  มม. (80 มม.)</t>
  </si>
  <si>
    <t xml:space="preserve">     - Ø 110  มม. (100 มม.)</t>
  </si>
  <si>
    <t>ท่อ HDPE  PN 10</t>
  </si>
  <si>
    <t>TAP</t>
  </si>
  <si>
    <t>ข้อต่ออุปกรณ์ท่อ</t>
  </si>
  <si>
    <t>เหล็กยึดท่อ</t>
  </si>
  <si>
    <t>ทดสอบ ทำความสะอาด ทาสีทำสัญลักษณ์</t>
  </si>
  <si>
    <t>งานวาล์วและอุปกรณ์</t>
  </si>
  <si>
    <t>Butterfly Valve</t>
  </si>
  <si>
    <t xml:space="preserve">     - Ø 80  มม.</t>
  </si>
  <si>
    <t xml:space="preserve">     - Ø 100  มม.</t>
  </si>
  <si>
    <t>Double Check Valve</t>
  </si>
  <si>
    <t>Gate Valve</t>
  </si>
  <si>
    <t xml:space="preserve">     - Ø 20  มม</t>
  </si>
  <si>
    <t xml:space="preserve">     - Ø 25  มม</t>
  </si>
  <si>
    <t xml:space="preserve">     - Ø 32  มม</t>
  </si>
  <si>
    <t xml:space="preserve">     - Ø 40  มม</t>
  </si>
  <si>
    <t xml:space="preserve">     - Ø 50  มม.</t>
  </si>
  <si>
    <t xml:space="preserve">     - Ø 65  มม.</t>
  </si>
  <si>
    <t>Modulating Floating Valve</t>
  </si>
  <si>
    <t>Strainer</t>
  </si>
  <si>
    <t xml:space="preserve">     - Ø 40  มม.</t>
  </si>
  <si>
    <t>Flexible Connection</t>
  </si>
  <si>
    <t>Digital Water Meter</t>
  </si>
  <si>
    <t>1.14</t>
  </si>
  <si>
    <t>Water Meter (Turbine Type)</t>
  </si>
  <si>
    <t>ค่าแรงใส่ตัวคูณผิด</t>
  </si>
  <si>
    <t xml:space="preserve"> Automatic Air Vent</t>
  </si>
  <si>
    <t>Stop Valve สำหรับ โถสุขภัณฑ์</t>
  </si>
  <si>
    <t xml:space="preserve">     -Ø 15  มม</t>
  </si>
  <si>
    <t>1.17</t>
  </si>
  <si>
    <t>ก๊อกสนาม</t>
  </si>
  <si>
    <t xml:space="preserve">     - Ø 15  มม</t>
  </si>
  <si>
    <t xml:space="preserve"> Water Hammer Arrestor</t>
  </si>
  <si>
    <t xml:space="preserve">     - 1-11 FU</t>
  </si>
  <si>
    <t xml:space="preserve">     - 12-32 FU</t>
  </si>
  <si>
    <t xml:space="preserve">     - 33-60 FU</t>
  </si>
  <si>
    <t>Accessed Panel</t>
  </si>
  <si>
    <t xml:space="preserve"> - 0.45 x 0.45  ม.</t>
  </si>
  <si>
    <t xml:space="preserve">       - RWPBS-01</t>
  </si>
  <si>
    <t>ระบบกรองน้ำผ่านการบำบัดเพื่อนำกลับมาใช้ พร้อมอุปกรณ์ประกอบ</t>
  </si>
  <si>
    <t xml:space="preserve">       - WFP-01,02</t>
  </si>
  <si>
    <t xml:space="preserve">       - SF-01,02</t>
  </si>
  <si>
    <t xml:space="preserve">       - CF-01,02</t>
  </si>
  <si>
    <t xml:space="preserve">       - CL-01</t>
  </si>
  <si>
    <t xml:space="preserve">     - Ø 150  มม.</t>
  </si>
  <si>
    <t>Check Valve</t>
  </si>
  <si>
    <t xml:space="preserve">     - Ø 50  มม</t>
  </si>
  <si>
    <t>Water Hammer Arrestor</t>
  </si>
  <si>
    <t>ระบบบำบัดน้ำเสียชนิด Activated Sludge พร้อมอุปกรณ์ประกอบครบชุด</t>
  </si>
  <si>
    <t>WWTP-1 @  90 ลบ.ม. ต่อวัน</t>
  </si>
  <si>
    <t xml:space="preserve"> EQP-01,02</t>
  </si>
  <si>
    <t xml:space="preserve"> SA-01,02</t>
  </si>
  <si>
    <t xml:space="preserve"> SLP-01,02</t>
  </si>
  <si>
    <t xml:space="preserve"> EFP-01,02</t>
  </si>
  <si>
    <t xml:space="preserve"> SE-01</t>
  </si>
  <si>
    <t>พร้อมอุปกรณ์ประกอบ</t>
  </si>
  <si>
    <t>เครื่องสูบน้ำเสีย พร้อมอุปกรณ์ประกอบ</t>
  </si>
  <si>
    <t xml:space="preserve">       - SP-01,02</t>
  </si>
  <si>
    <t xml:space="preserve">       - SP-03,04</t>
  </si>
  <si>
    <t xml:space="preserve">       - SP-05,06</t>
  </si>
  <si>
    <t>ถังบำบัดน้ำสำเร็จรูปแบบเติมอากาศ</t>
  </si>
  <si>
    <t>WWTP-01 (30 ลบ.ม./วัน)</t>
  </si>
  <si>
    <t xml:space="preserve"> - งานฐานราก WWTP-01</t>
  </si>
  <si>
    <t>ราคาอยู่ในงานโครงสร้าง</t>
  </si>
  <si>
    <t>WWTP-02 (5 ลบ.ม./วัน)</t>
  </si>
  <si>
    <t xml:space="preserve"> - งานฐานราก WWTP-02</t>
  </si>
  <si>
    <t>ถังดักไขมัน</t>
  </si>
  <si>
    <t xml:space="preserve">       - GT-01 (5 ลบ.ม.)</t>
  </si>
  <si>
    <t xml:space="preserve"> - งานฐานราก GT-01</t>
  </si>
  <si>
    <t>ท่อน้ำทิ้ง น้ำโสโครก และท่อน้ำทิ้งครัว ท่อพีวีซีชั้น 13.5 (PVC Pipe Class 13.5)</t>
  </si>
  <si>
    <t>ท่อน้ำไทย</t>
  </si>
  <si>
    <t>ท่ออากาศ ท่อพีวีซีชั้น 8.5 (PVC Pipe Class 8.5)</t>
  </si>
  <si>
    <t>ท่อน้ำทิ้ง น้ำโสโครก และท่ออากาศ ท่อ HDPE (PN 6)</t>
  </si>
  <si>
    <t xml:space="preserve">     - Ø 63  มม.( 50 มม.)</t>
  </si>
  <si>
    <t xml:space="preserve">     - Ø 75  มม.( 65 มม.)</t>
  </si>
  <si>
    <t xml:space="preserve">     - Ø 160  มม. (150 มม.)</t>
  </si>
  <si>
    <t xml:space="preserve">     - Ø 280  มม (250 มม.)</t>
  </si>
  <si>
    <t>ช่องระบายน้ำจากพื้น (Floor Drain)</t>
  </si>
  <si>
    <t>ช่องสำหรับทำความสะอาดท่อจากพื้น (Floor Cleanout)</t>
  </si>
  <si>
    <t>ช่องสำหรับทำความสะอาดท่อ (Cleanout)</t>
  </si>
  <si>
    <t>Vent Through Roof</t>
  </si>
  <si>
    <t xml:space="preserve">     - Ø 200  มม.</t>
  </si>
  <si>
    <t xml:space="preserve">     - Ø 250  มม.</t>
  </si>
  <si>
    <t>บ่อดักขยะ</t>
  </si>
  <si>
    <t>MANHOLE COVER Heavy Duty W/Double Seals</t>
  </si>
  <si>
    <t xml:space="preserve">     - Ø 800  มม.</t>
  </si>
  <si>
    <t xml:space="preserve">     - Ø 600  มม.</t>
  </si>
  <si>
    <t>เครื่องสูบน้ำระบายน้ำ พร้อมอุปกรณ์ประกอบ</t>
  </si>
  <si>
    <t xml:space="preserve">       - DP-01,02</t>
  </si>
  <si>
    <t xml:space="preserve">       - DP-03,04</t>
  </si>
  <si>
    <t xml:space="preserve">       - DP-05,06</t>
  </si>
  <si>
    <t xml:space="preserve">       - DP-07,08</t>
  </si>
  <si>
    <t xml:space="preserve">       - DP-09,10</t>
  </si>
  <si>
    <t>ท่อ PVC ( PVC Class 13.5)</t>
  </si>
  <si>
    <t xml:space="preserve">     - Ø 200  มม. </t>
  </si>
  <si>
    <t xml:space="preserve">     - Ø 250  มม. </t>
  </si>
  <si>
    <t xml:space="preserve">     - Ø 300  มม. </t>
  </si>
  <si>
    <t>ท่อ HDPE (PN 6)</t>
  </si>
  <si>
    <t xml:space="preserve">     - Ø 225  มม (200 มม.)</t>
  </si>
  <si>
    <t xml:space="preserve">     - Ø 330  มม (300 มม.)</t>
  </si>
  <si>
    <t>4.4</t>
  </si>
  <si>
    <t>4.5</t>
  </si>
  <si>
    <t>4.6</t>
  </si>
  <si>
    <t>ช่องระบายน้ำฝน (Roof Drain)</t>
  </si>
  <si>
    <t>ช่องระบายน้ำฝนบริเวณปลูกต้นไม้ (Plant Drain)</t>
  </si>
  <si>
    <t>Flexible Pipe Connector, Non-Pressure</t>
  </si>
  <si>
    <t>Man Hole</t>
  </si>
  <si>
    <t xml:space="preserve">     - Ø 0.80 x 0.80  ม.</t>
  </si>
  <si>
    <t xml:space="preserve">     - Ø 1.20 x 1.20  ม.</t>
  </si>
  <si>
    <t xml:space="preserve">     - Ø 1.35 x 1.35  ม.</t>
  </si>
  <si>
    <t>RCP pipe Class ll</t>
  </si>
  <si>
    <t xml:space="preserve">     - Ø 400  มม.</t>
  </si>
  <si>
    <t>เครื่องสูบน้ำดับเพลิง และอุปกรณ์ประกอบ</t>
  </si>
  <si>
    <t xml:space="preserve">       - Diesel Engine Fire Pump (DFP-01)</t>
  </si>
  <si>
    <t xml:space="preserve">       - Jocking Pump (JP-01)</t>
  </si>
  <si>
    <t>ท่อเหล็กดำ Sch.40 A53, GR.A มีตะเข็บ</t>
  </si>
  <si>
    <t>(Black Steel Pipe Sch.40, A53 GR.A, Seam)</t>
  </si>
  <si>
    <t xml:space="preserve">     - Ø 25  มม.</t>
  </si>
  <si>
    <t xml:space="preserve">     - Ø 32  มม.</t>
  </si>
  <si>
    <t xml:space="preserve">     - Ø 125  มม.</t>
  </si>
  <si>
    <t>ท่อ HDPE (PN 16)</t>
  </si>
  <si>
    <t xml:space="preserve">     - Ø 160  มม.</t>
  </si>
  <si>
    <t xml:space="preserve">     - Ø 225  มม.</t>
  </si>
  <si>
    <t>ท่อระบายน้ำทดสอบระบบ (Galvanized Steel pipe Class M)</t>
  </si>
  <si>
    <t>Water Sprinkler</t>
  </si>
  <si>
    <t xml:space="preserve">     - Upright Type</t>
  </si>
  <si>
    <t xml:space="preserve">     - Pendant Type</t>
  </si>
  <si>
    <t xml:space="preserve">     - Pendant Type (Ceiling Concealed)</t>
  </si>
  <si>
    <t>Fire Hose Cabinet</t>
  </si>
  <si>
    <t xml:space="preserve">     - Recess Type Cabinet</t>
  </si>
  <si>
    <t xml:space="preserve">     - Dry Chemical Portable Fire Extinguisher  @ 4.5 kg</t>
  </si>
  <si>
    <t xml:space="preserve">     - 25 mm Ø x 30 m  Automatic Hose &amp; Reel</t>
  </si>
  <si>
    <t xml:space="preserve">     - 65 mm Ø Angle Hose Valve</t>
  </si>
  <si>
    <t xml:space="preserve">     - 65 mm Ø  Coupling Adaptor w/Cap &amp; Chain</t>
  </si>
  <si>
    <t xml:space="preserve">     - 25 mm Ø  Ball Valve</t>
  </si>
  <si>
    <t>Fire Extinguisher Cabinet</t>
  </si>
  <si>
    <t xml:space="preserve">     - CO2 Portable Fire Extinguisher  @ 4.5 kg.</t>
  </si>
  <si>
    <t xml:space="preserve">     - Wet Chemical Portable Fire Extinguisher (Type K)</t>
  </si>
  <si>
    <t>OS&amp;Y Gate Valve with Supervisory Switch</t>
  </si>
  <si>
    <t xml:space="preserve">     - Ø 65  มม</t>
  </si>
  <si>
    <t xml:space="preserve">     - Ø 100  มม</t>
  </si>
  <si>
    <t xml:space="preserve">     - Ø 150  มม</t>
  </si>
  <si>
    <t xml:space="preserve">     - Ø 200  มม</t>
  </si>
  <si>
    <t xml:space="preserve">OS&amp;Y Gate Valve </t>
  </si>
  <si>
    <t xml:space="preserve">     - Ø 50 มม</t>
  </si>
  <si>
    <t>Butterfly Valve with Supervisory Switch</t>
  </si>
  <si>
    <t xml:space="preserve">     - Ø 150 มม</t>
  </si>
  <si>
    <t xml:space="preserve">     - Ø 200 มม</t>
  </si>
  <si>
    <t>Flow Switch</t>
  </si>
  <si>
    <t xml:space="preserve">     - Ø 20 มม</t>
  </si>
  <si>
    <t>Ball Valve</t>
  </si>
  <si>
    <t xml:space="preserve">     - Ø 15 มม</t>
  </si>
  <si>
    <t xml:space="preserve">     - Ø 25 มม</t>
  </si>
  <si>
    <t>Sight Glass</t>
  </si>
  <si>
    <t>Union with Brass Orifice Disk</t>
  </si>
  <si>
    <t>Globe Valve</t>
  </si>
  <si>
    <t xml:space="preserve">Automatic Air Vent </t>
  </si>
  <si>
    <t xml:space="preserve">Alarm Valve </t>
  </si>
  <si>
    <t>Fire Department Connection 2 - 65 mm x 100 mm</t>
  </si>
  <si>
    <t>Flow Meter</t>
  </si>
  <si>
    <t>Relieve Valve with Accessories</t>
  </si>
  <si>
    <t>Test Station</t>
  </si>
  <si>
    <t>Pressure Gauge</t>
  </si>
  <si>
    <t>Annunciator Panel</t>
  </si>
  <si>
    <t>Fire Suppression System</t>
  </si>
  <si>
    <t>Pre-Action Valve Station completed set with accessories &amp; Air Compressor</t>
  </si>
  <si>
    <t>GEN Room - Ø 50 มม</t>
  </si>
  <si>
    <t>MDB Room - Ø 50 มม</t>
  </si>
  <si>
    <t>UPS Room - Ø 50 มม</t>
  </si>
  <si>
    <t>RMU Room - Ø 50 มม</t>
  </si>
  <si>
    <t>Exhibition Room - Ø 100 มม</t>
  </si>
  <si>
    <t>Preparation &amp; Storage - Ø 65 มม</t>
  </si>
  <si>
    <t>Installation for Pre-Action System</t>
  </si>
  <si>
    <t>ระบบดับเพลิงด้วยสาร NOVEC 1230 พร้อมอุปกรณ์ประกอบ</t>
  </si>
  <si>
    <t>Control Room</t>
  </si>
  <si>
    <t>CCTV Room</t>
  </si>
  <si>
    <t>Equipment Room</t>
  </si>
  <si>
    <t>Server/IT Room</t>
  </si>
  <si>
    <t>ห้องเก็บหนังสือสำคัญ</t>
  </si>
  <si>
    <t xml:space="preserve">งานระบบปรับอากาศและระบายอากาศ (RKCA 1)     </t>
  </si>
  <si>
    <t>สรุปราคาค่าก่อสร้างงานระบบปรับอากาศและระบายอากาศ</t>
  </si>
  <si>
    <t>เครื่องปรับอากาศแบบปรับปริมาณน้ำยาอัตโนมัติ(VRF)</t>
  </si>
  <si>
    <t>พัดลมระบายอากาศ</t>
  </si>
  <si>
    <t>ท่อน้ำยาและท่อน้ำทิ้ง</t>
  </si>
  <si>
    <t>งานท่อลม</t>
  </si>
  <si>
    <t>หัวจ่ายลมและหน้ากากกลม</t>
  </si>
  <si>
    <t>อุปกรณ์ควบคุมอัตโนมัติ (Automatic Control Equipment)</t>
  </si>
  <si>
    <t>ระบบไฟฟ้าและควบคุม (Electrical &amp; Control System)</t>
  </si>
  <si>
    <t>ค่าดำเนินการอื่นๆ</t>
  </si>
  <si>
    <t>รวมราคาค่าก่อสร้างงานระบบปรับอากาศและระบายอากาศ</t>
  </si>
  <si>
    <t>ชั้นใต้ดิน</t>
  </si>
  <si>
    <t>FCU-B01/1 TO B01/2</t>
  </si>
  <si>
    <t>24,000 BTU ; WE</t>
  </si>
  <si>
    <t>FCU-B02,03</t>
  </si>
  <si>
    <t>96,000 BTU ; CC</t>
  </si>
  <si>
    <t>FCU-B04/1 TO B04/2</t>
  </si>
  <si>
    <t>18,000 BTU ; WE</t>
  </si>
  <si>
    <t>FCU-B05/1 TO 05/5</t>
  </si>
  <si>
    <t>76,000 BTU ; CC</t>
  </si>
  <si>
    <t>FCU-B06</t>
  </si>
  <si>
    <t>FCU-B07</t>
  </si>
  <si>
    <t>18,000 BTU ; CC</t>
  </si>
  <si>
    <t>FCU-B08</t>
  </si>
  <si>
    <t>15,000 BTU ; CC</t>
  </si>
  <si>
    <t>FCU-B09</t>
  </si>
  <si>
    <t>24,000 BTU ; CC</t>
  </si>
  <si>
    <t>FCU-B10 TO 11</t>
  </si>
  <si>
    <t>30,000 BTU ; CC</t>
  </si>
  <si>
    <t>FCU-B12</t>
  </si>
  <si>
    <t>9,000 BTU ; CC</t>
  </si>
  <si>
    <t>FCU-B13</t>
  </si>
  <si>
    <t>FCU-B14</t>
  </si>
  <si>
    <t>FCU-B15</t>
  </si>
  <si>
    <t>FCU-B16</t>
  </si>
  <si>
    <t>FCU-B17</t>
  </si>
  <si>
    <t>18,000 BTU ; CS4W</t>
  </si>
  <si>
    <t>FCU-B18</t>
  </si>
  <si>
    <t>FCU-B19</t>
  </si>
  <si>
    <t>36,000 BTU ; CC</t>
  </si>
  <si>
    <t>FCU-B20/1 TO 20/2</t>
  </si>
  <si>
    <t>48,000 BTU ; CC</t>
  </si>
  <si>
    <t>FCU/CDU-B21</t>
  </si>
  <si>
    <t>12,300 BTU ; WE</t>
  </si>
  <si>
    <t>FCU/CDU-B22</t>
  </si>
  <si>
    <r>
      <rPr>
        <sz val="16"/>
        <rFont val="Angsana New"/>
        <charset val="134"/>
      </rPr>
      <t xml:space="preserve">42,000 </t>
    </r>
    <r>
      <rPr>
        <b/>
        <sz val="16"/>
        <rFont val="Angsana New"/>
        <charset val="134"/>
      </rPr>
      <t>BTU ;</t>
    </r>
    <r>
      <rPr>
        <sz val="16"/>
        <rFont val="Angsana New"/>
        <charset val="134"/>
      </rPr>
      <t xml:space="preserve"> CE</t>
    </r>
  </si>
  <si>
    <t>ชั้น 1</t>
  </si>
  <si>
    <t>FCU-101</t>
  </si>
  <si>
    <t>FCU-102</t>
  </si>
  <si>
    <t>FCU-103</t>
  </si>
  <si>
    <t>15,000 BTU ; CS4W</t>
  </si>
  <si>
    <t>FCU-104</t>
  </si>
  <si>
    <t>FCU-105</t>
  </si>
  <si>
    <t>18,000 BTU ;CS4W</t>
  </si>
  <si>
    <t>FCU-105/1 TO 105/25</t>
  </si>
  <si>
    <t>FCU-106 TO 07</t>
  </si>
  <si>
    <t>FCU-108/1 TO 108/7,(108/7-1,-2,-3)</t>
  </si>
  <si>
    <r>
      <rPr>
        <sz val="16"/>
        <rFont val="Angsana New"/>
        <charset val="134"/>
      </rPr>
      <t xml:space="preserve">96,000/50,000 </t>
    </r>
    <r>
      <rPr>
        <b/>
        <sz val="16"/>
        <rFont val="Angsana New"/>
        <charset val="134"/>
      </rPr>
      <t xml:space="preserve">BTU ; </t>
    </r>
    <r>
      <rPr>
        <sz val="16"/>
        <rFont val="Angsana New"/>
        <charset val="134"/>
      </rPr>
      <t>CC</t>
    </r>
  </si>
  <si>
    <t>FCU-109</t>
  </si>
  <si>
    <t>12,000 BTU ; CC</t>
  </si>
  <si>
    <t>FCU-110 TO 11</t>
  </si>
  <si>
    <t>54,000 BTU ; CC</t>
  </si>
  <si>
    <t>FCU-112</t>
  </si>
  <si>
    <t>FCU-113</t>
  </si>
  <si>
    <t>FCU-114</t>
  </si>
  <si>
    <t>ชั้น 2</t>
  </si>
  <si>
    <t>FCU-203 TO 204</t>
  </si>
  <si>
    <t>FCU-205 TO 206</t>
  </si>
  <si>
    <t>FCU-207/1 TO 207/10</t>
  </si>
  <si>
    <t>FCU-207/15 TO 207/38</t>
  </si>
  <si>
    <t>96,000  BTU ;CC</t>
  </si>
  <si>
    <t>FCU-208/1 TO 208/4</t>
  </si>
  <si>
    <t>36,000 BTU ; FC</t>
  </si>
  <si>
    <t>FCU-209</t>
  </si>
  <si>
    <t>18,000  BTU ; WE</t>
  </si>
  <si>
    <t>FCU-210/1 TO 201/2</t>
  </si>
  <si>
    <t>24,000  BTU ; WE</t>
  </si>
  <si>
    <t>FCU-211</t>
  </si>
  <si>
    <t>15,000 BTU ; WE</t>
  </si>
  <si>
    <t>FCU-212</t>
  </si>
  <si>
    <t>FCU-213 TO 214</t>
  </si>
  <si>
    <t>ชั้น 3</t>
  </si>
  <si>
    <t>FCU-301 TO 302</t>
  </si>
  <si>
    <t>FCU-303 TO 304</t>
  </si>
  <si>
    <t>36,000 BTU ; CS4W</t>
  </si>
  <si>
    <t>FCU-305</t>
  </si>
  <si>
    <t>12,000 BTU ; WE</t>
  </si>
  <si>
    <t>FCU-306</t>
  </si>
  <si>
    <t>FCU-307/1 TO 307/24</t>
  </si>
  <si>
    <t>FCU-307/25-1,-2,-3,-4 TO 307/40</t>
  </si>
  <si>
    <t xml:space="preserve">96,000 BTU ; CC </t>
  </si>
  <si>
    <t>FCU-308 TO 310</t>
  </si>
  <si>
    <t>FCU-311</t>
  </si>
  <si>
    <t>48,000 BTU ; CS4W</t>
  </si>
  <si>
    <t>FCU-312 TO 313</t>
  </si>
  <si>
    <t>FCU-314</t>
  </si>
  <si>
    <t>FCU-315</t>
  </si>
  <si>
    <t>AHU301</t>
  </si>
  <si>
    <t>768,000 BTU ; HH</t>
  </si>
  <si>
    <t>ชั้น 3M</t>
  </si>
  <si>
    <t>FCU-3M01 T0 3M02</t>
  </si>
  <si>
    <t>FCU-3M03 T0 3M04</t>
  </si>
  <si>
    <t>FCU-3M05</t>
  </si>
  <si>
    <t>FCU-3M06</t>
  </si>
  <si>
    <t>FCU-3M07</t>
  </si>
  <si>
    <t>FCU-3M08</t>
  </si>
  <si>
    <t>FCU-3M09</t>
  </si>
  <si>
    <t>FCU-3M10</t>
  </si>
  <si>
    <t>FCU-3M11</t>
  </si>
  <si>
    <t>FCU-3M12/1 T0 3M12/2</t>
  </si>
  <si>
    <t>ROOF</t>
  </si>
  <si>
    <t xml:space="preserve">DOAS-RO1                             </t>
  </si>
  <si>
    <t xml:space="preserve">530,000 BTU </t>
  </si>
  <si>
    <t xml:space="preserve">DOAS-RO2               </t>
  </si>
  <si>
    <t xml:space="preserve">550,000 BTU </t>
  </si>
  <si>
    <t>CDU</t>
  </si>
  <si>
    <t xml:space="preserve">CDU-B01                                </t>
  </si>
  <si>
    <t xml:space="preserve">573,000 BTU </t>
  </si>
  <si>
    <t xml:space="preserve">CDU-B02                                </t>
  </si>
  <si>
    <t xml:space="preserve">210,000 BTU </t>
  </si>
  <si>
    <t xml:space="preserve">CDU-B03                                </t>
  </si>
  <si>
    <t>362,000 BTU</t>
  </si>
  <si>
    <t xml:space="preserve">CDU-101                                   </t>
  </si>
  <si>
    <t>512,000 BTU</t>
  </si>
  <si>
    <t xml:space="preserve">CDU-102                                </t>
  </si>
  <si>
    <t>382,000 BTU</t>
  </si>
  <si>
    <t xml:space="preserve">CDU-103                                  </t>
  </si>
  <si>
    <t xml:space="preserve">CDU-104                                </t>
  </si>
  <si>
    <t xml:space="preserve">CDU-105                                   </t>
  </si>
  <si>
    <t>573,000 BTU</t>
  </si>
  <si>
    <t xml:space="preserve">CDU-106                                   </t>
  </si>
  <si>
    <t xml:space="preserve">CDU-107                              </t>
  </si>
  <si>
    <t xml:space="preserve">CDU-201                               </t>
  </si>
  <si>
    <t xml:space="preserve">CDU-202                                </t>
  </si>
  <si>
    <t xml:space="preserve">CDU-203                             </t>
  </si>
  <si>
    <t xml:space="preserve">CDU-204                             </t>
  </si>
  <si>
    <t xml:space="preserve">CDU-205                                  </t>
  </si>
  <si>
    <t xml:space="preserve">382,000 BTU </t>
  </si>
  <si>
    <r>
      <rPr>
        <sz val="16"/>
        <rFont val="Angsana New"/>
        <charset val="134"/>
      </rPr>
      <t xml:space="preserve">CDU-206                                  </t>
    </r>
    <r>
      <rPr>
        <b/>
        <sz val="16"/>
        <rFont val="Angsana New"/>
        <charset val="134"/>
      </rPr>
      <t xml:space="preserve"> </t>
    </r>
  </si>
  <si>
    <t xml:space="preserve">CDU-207                                   </t>
  </si>
  <si>
    <t xml:space="preserve">CDU-208                                  </t>
  </si>
  <si>
    <t>191,000 BTU</t>
  </si>
  <si>
    <t xml:space="preserve">CDU-209                                  </t>
  </si>
  <si>
    <t xml:space="preserve">285,000 BTU </t>
  </si>
  <si>
    <t xml:space="preserve">CDU-210/1                            </t>
  </si>
  <si>
    <t xml:space="preserve">444,000 BTU </t>
  </si>
  <si>
    <t xml:space="preserve">CDU-210/2                      </t>
  </si>
  <si>
    <t xml:space="preserve">CDU-301                                   </t>
  </si>
  <si>
    <t>210,000 BTU</t>
  </si>
  <si>
    <t xml:space="preserve">CDU-302                            </t>
  </si>
  <si>
    <t xml:space="preserve">CDU-303                              </t>
  </si>
  <si>
    <t xml:space="preserve">CDU-304                                </t>
  </si>
  <si>
    <t xml:space="preserve">CDU-305                             </t>
  </si>
  <si>
    <t xml:space="preserve">CDU-306                            </t>
  </si>
  <si>
    <t xml:space="preserve">CDU-307                            </t>
  </si>
  <si>
    <t xml:space="preserve">CDU-308                            </t>
  </si>
  <si>
    <t xml:space="preserve">CDU-309                                  </t>
  </si>
  <si>
    <t xml:space="preserve">362,000 BTU </t>
  </si>
  <si>
    <t xml:space="preserve">CDU-310                             </t>
  </si>
  <si>
    <t>CDU-R01/1 TO R01/2</t>
  </si>
  <si>
    <t>CDU-R02/1 TO R02/2</t>
  </si>
  <si>
    <t>(ดูรายละเอียดข้อ 3.5)</t>
  </si>
  <si>
    <t>(ดูรายละเอียดข้อ 3.6)</t>
  </si>
  <si>
    <t>(ดูรายละเอียดข้อ 3.7)</t>
  </si>
  <si>
    <t>EF-B01</t>
  </si>
  <si>
    <t>CFFS</t>
  </si>
  <si>
    <t>EF-B02</t>
  </si>
  <si>
    <t xml:space="preserve">CF/FS </t>
  </si>
  <si>
    <t>EF-B03</t>
  </si>
  <si>
    <t xml:space="preserve">CLF </t>
  </si>
  <si>
    <t>EF-B04</t>
  </si>
  <si>
    <t>EF-B05</t>
  </si>
  <si>
    <t>EF-B06</t>
  </si>
  <si>
    <t>EF-B07</t>
  </si>
  <si>
    <t>EF-B08</t>
  </si>
  <si>
    <t>KEF-B01</t>
  </si>
  <si>
    <t>CF/BO</t>
  </si>
  <si>
    <t>KFA-B01</t>
  </si>
  <si>
    <t>JF-B01 TO B06</t>
  </si>
  <si>
    <t>JET</t>
  </si>
  <si>
    <t xml:space="preserve">EF-101   </t>
  </si>
  <si>
    <t xml:space="preserve">HPI,SHUTTER,RAIN HOOD,WG </t>
  </si>
  <si>
    <t>EF-102</t>
  </si>
  <si>
    <t>LNC</t>
  </si>
  <si>
    <t xml:space="preserve">EF-201  </t>
  </si>
  <si>
    <t>HPI,SHUTTER,RAIN HOOD,WG</t>
  </si>
  <si>
    <t>EF-202</t>
  </si>
  <si>
    <t>หลังคา</t>
  </si>
  <si>
    <t>PF-R01 TO R08</t>
  </si>
  <si>
    <t>AXDP,SILENCER</t>
  </si>
  <si>
    <t>SF-R01 TO R02</t>
  </si>
  <si>
    <t>ท่อทองแดง Class  L (Copper Pipe Class L)</t>
  </si>
  <si>
    <t xml:space="preserve">   -   3/8" Ø</t>
  </si>
  <si>
    <t>ม</t>
  </si>
  <si>
    <t xml:space="preserve">   -   5/8" Ø</t>
  </si>
  <si>
    <t xml:space="preserve">   -   3/4" Ø</t>
  </si>
  <si>
    <t xml:space="preserve">   -   7/8" Ø</t>
  </si>
  <si>
    <t xml:space="preserve">   -   1 1/8" Ø</t>
  </si>
  <si>
    <t xml:space="preserve">   -   1 3/8" Ø</t>
  </si>
  <si>
    <t>ท่อพีวีซีชั้น 8.5 (PVC Pipe Class 8.5)</t>
  </si>
  <si>
    <t xml:space="preserve">   -   1" Ø</t>
  </si>
  <si>
    <t>ฉนวนหุ้มท่อ (Pipe Insulation)</t>
  </si>
  <si>
    <t>20-mm Closed Cell Foam</t>
  </si>
  <si>
    <t>15-mm Closed Cell Foam (หุ้มท่อน้ำทิ้งจากเครื่องปรับอากาศ)</t>
  </si>
  <si>
    <t>ALUMINIUM JACKET</t>
  </si>
  <si>
    <t>สังกะสีแผ่นเรียบ (Galvanized Steel Sheet)</t>
  </si>
  <si>
    <t>สังกะสีเบอร์ 22 GA</t>
  </si>
  <si>
    <t>ฟุต²</t>
  </si>
  <si>
    <t>สังกะสีเบอร์ 24 GA</t>
  </si>
  <si>
    <t>สังกะสีเบอร์ 26 GA</t>
  </si>
  <si>
    <t xml:space="preserve">ฉนวนหุ้มท่อลม </t>
  </si>
  <si>
    <t>'Filber glass 1"</t>
  </si>
  <si>
    <t xml:space="preserve">ACOUSTIC LINING </t>
  </si>
  <si>
    <t>SOUND ALTERNATOR</t>
  </si>
  <si>
    <t>RETURN AIR CHAMBER AND PLENUM</t>
  </si>
  <si>
    <t>SERVICE PLANEL</t>
  </si>
  <si>
    <t>Exhaust Air Grille w/VD</t>
  </si>
  <si>
    <t>EAG 8"x8"</t>
  </si>
  <si>
    <t>Exhuast Air Grille w/ Insect Screen</t>
  </si>
  <si>
    <t>EAG 34"x12"</t>
  </si>
  <si>
    <t>EAG 26"x12"</t>
  </si>
  <si>
    <t>EAG 16"x12"</t>
  </si>
  <si>
    <t>EAG 14"x12"</t>
  </si>
  <si>
    <t>EAG 14"x10"</t>
  </si>
  <si>
    <t>EAG 10"x10"</t>
  </si>
  <si>
    <t>Return Air Grilled</t>
  </si>
  <si>
    <t>RAG 48"x24"</t>
  </si>
  <si>
    <t>Presserized Air Grilled</t>
  </si>
  <si>
    <t>SAR 48"x24"</t>
  </si>
  <si>
    <t>Counter Weight Relief Damper</t>
  </si>
  <si>
    <t>500x300 W/FRD (40 PA)</t>
  </si>
  <si>
    <t>Jet Diffuser</t>
  </si>
  <si>
    <t>dia12"</t>
  </si>
  <si>
    <t>dai10"</t>
  </si>
  <si>
    <t>Supply Air Grilled</t>
  </si>
  <si>
    <t>dia20"</t>
  </si>
  <si>
    <t>dia16"</t>
  </si>
  <si>
    <t>dia14"</t>
  </si>
  <si>
    <t>Slot diffuser</t>
  </si>
  <si>
    <t>2LSD 10M</t>
  </si>
  <si>
    <t>2LSD 9M</t>
  </si>
  <si>
    <t>3LSD 1.5M</t>
  </si>
  <si>
    <t>3LSD 2M</t>
  </si>
  <si>
    <t>3LSD 2.5M</t>
  </si>
  <si>
    <t>3LSD 3M</t>
  </si>
  <si>
    <t>3LSD 3.5M</t>
  </si>
  <si>
    <t>3LSD 4M</t>
  </si>
  <si>
    <t>3LSD 4.5M</t>
  </si>
  <si>
    <t>3LSD 5M</t>
  </si>
  <si>
    <t>3LSD 6M</t>
  </si>
  <si>
    <t>6LSD 10M</t>
  </si>
  <si>
    <t>6LSD return air grilled</t>
  </si>
  <si>
    <t>110Mx0.20M</t>
  </si>
  <si>
    <t>Volume damper</t>
  </si>
  <si>
    <t>Backdraft Damper</t>
  </si>
  <si>
    <t>VRV System Interface Gateway &amp; accessories</t>
  </si>
  <si>
    <t>Intelligent Touch Manager</t>
  </si>
  <si>
    <t>DIII Plus adaptor(option)</t>
  </si>
  <si>
    <t>DIII Plus adaptor slot (option)</t>
  </si>
  <si>
    <t>D.T.NET</t>
  </si>
  <si>
    <t>THERMO ROOM</t>
  </si>
  <si>
    <t>SMOKE DETECTOR</t>
  </si>
  <si>
    <t>CO2 SENSER</t>
  </si>
  <si>
    <t>Electical Control Panel</t>
  </si>
  <si>
    <t xml:space="preserve">AMCC-CDU-1(OUT DOOR TYPE) </t>
  </si>
  <si>
    <t xml:space="preserve">AMCC-CDU-2(OUT DOOR TYPE) </t>
  </si>
  <si>
    <t xml:space="preserve">AMCC-CDU-3(OUT DOOR TYPE) </t>
  </si>
  <si>
    <t xml:space="preserve">AMCC-CDU-4(OUT DOOR TYPE) </t>
  </si>
  <si>
    <t>SEFTY SWITCH</t>
  </si>
  <si>
    <t>LP-FCU-B1</t>
  </si>
  <si>
    <t>LP-FCU-B2</t>
  </si>
  <si>
    <t>LP-FCU-11</t>
  </si>
  <si>
    <t>LP-FCU-12</t>
  </si>
  <si>
    <t>LP-FCU-13</t>
  </si>
  <si>
    <t>LP-FCU-21</t>
  </si>
  <si>
    <t>LP-FCU-22</t>
  </si>
  <si>
    <t>LP-FCU-23</t>
  </si>
  <si>
    <t>LP-FCU-24</t>
  </si>
  <si>
    <t>LP-FCU-31</t>
  </si>
  <si>
    <t>LP-FCU-32</t>
  </si>
  <si>
    <t>LP-FCU-3M1</t>
  </si>
  <si>
    <t>LP-FCU-3M2</t>
  </si>
  <si>
    <t>LP-FCU-3M3</t>
  </si>
  <si>
    <t>LP-FCU-3M4</t>
  </si>
  <si>
    <t>LSP-EF-B01</t>
  </si>
  <si>
    <t>LSP-EF-B02</t>
  </si>
  <si>
    <t>LSP-EF-B04</t>
  </si>
  <si>
    <t>LSP-EF-B05</t>
  </si>
  <si>
    <t>LSP-KEF-B01</t>
  </si>
  <si>
    <t>LSP-KFA-B01</t>
  </si>
  <si>
    <t>LSP-JF-B01</t>
  </si>
  <si>
    <t>LSP-JF-B02</t>
  </si>
  <si>
    <t>LSP-JF-B03</t>
  </si>
  <si>
    <t>LSP-JF-B04</t>
  </si>
  <si>
    <t>LSP-JF-B05</t>
  </si>
  <si>
    <t>LSP-JF-B06</t>
  </si>
  <si>
    <t>LSP-AHU-301</t>
  </si>
  <si>
    <t>LSP-PF-R01</t>
  </si>
  <si>
    <t>LSP-PF-R02</t>
  </si>
  <si>
    <t>LSP-PF-R03</t>
  </si>
  <si>
    <t>LSP-PF-R04</t>
  </si>
  <si>
    <t>LSP-SF-R01</t>
  </si>
  <si>
    <t>LSP-SF-R02</t>
  </si>
  <si>
    <t>LSP-DOAS-01</t>
  </si>
  <si>
    <t>LSP-DOAS-02</t>
  </si>
  <si>
    <t>Cable  and Conduit</t>
  </si>
  <si>
    <t>8,1</t>
  </si>
  <si>
    <t>Test &amp; Commissioning</t>
  </si>
  <si>
    <t xml:space="preserve">งานภูมิสถาปัตยกรรมส่วน HARDSCAPE  (RC 1) </t>
  </si>
  <si>
    <t>สรุปราคาค่าก่อสร้างงานภูมิสถาปัตยกรรมส่วน HARDSCAPE</t>
  </si>
  <si>
    <t>งานพื้น</t>
  </si>
  <si>
    <t>งานขอบพื้น</t>
  </si>
  <si>
    <t>งานระบบรดน้ำ</t>
  </si>
  <si>
    <t>รวมราคาค่าก่อสร้างงานภูมิสถาปัตยกรรม Hardscape</t>
  </si>
  <si>
    <t>หมวดงาน HARDSCAPE</t>
  </si>
  <si>
    <t>พื้นค.ส.ล. ปูกระเบื้องเซรามิกหนา 20 มม. ผิว R11 หรือกันลื่น</t>
  </si>
  <si>
    <t>พ1</t>
  </si>
  <si>
    <t>สีเบจอ่อน</t>
  </si>
  <si>
    <t>พ2</t>
  </si>
  <si>
    <t>สีเบจกลาง</t>
  </si>
  <si>
    <t>พ3</t>
  </si>
  <si>
    <t>สีเบจเข้ม</t>
  </si>
  <si>
    <t>พื้นค.ส.ล.ปูบล็อคซึมน้ำ หนา 80 มม.</t>
  </si>
  <si>
    <t>พ4</t>
  </si>
  <si>
    <t>พ5</t>
  </si>
  <si>
    <t>พ6</t>
  </si>
  <si>
    <t>ทรายปรับระดับ 50 มม.</t>
  </si>
  <si>
    <t>พ7</t>
  </si>
  <si>
    <t>พื้นหินแกรนิตสีเหลืองทรายทอง หนา 20 มม.</t>
  </si>
  <si>
    <t>รวมราคางานพื้น</t>
  </si>
  <si>
    <t>ผ1</t>
  </si>
  <si>
    <t>ขอบหินแกรนิตสีเหลืองทรายทองสั่งตัดพิเศษสำหรับขอบบันได</t>
  </si>
  <si>
    <t>ผ2</t>
  </si>
  <si>
    <t>ขอบหินแกรนิตสีเหลืองทรายทองสั่งตัดพิเศษสำหรับขอบที่นั่ง</t>
  </si>
  <si>
    <t>ผ3</t>
  </si>
  <si>
    <t>ขอบค.ส.ล.กรุหินแกรนิตสีเหลืองทรายทอง หนา 20 มม.</t>
  </si>
  <si>
    <t>รวมราคางานผนัง</t>
  </si>
  <si>
    <t>ข1</t>
  </si>
  <si>
    <t>ข2</t>
  </si>
  <si>
    <t>ขอบค.ส.ล.ทำผิวหินขัด หนา 10 มม.</t>
  </si>
  <si>
    <t>ข3</t>
  </si>
  <si>
    <t>ขอบค.ส.ล.สำเร็จรูปมาตรฐาน ขนาด 150x300x1000 มม.</t>
  </si>
  <si>
    <t>ข4</t>
  </si>
  <si>
    <t>ขอบคิ้วสแตนเลสตัว T กว้าง 1 นิ้ว หนา 3 มม.</t>
  </si>
  <si>
    <t>ข5</t>
  </si>
  <si>
    <t>ขอบเหล็กแบนขนาด 2 นิ้ว หนา 12 มม. ทำสีดำ</t>
  </si>
  <si>
    <t>รวมราคางานขอบพื้น</t>
  </si>
  <si>
    <t>งานระบบรดน้ำหัวก๊อก</t>
  </si>
  <si>
    <t>จุด</t>
  </si>
  <si>
    <t>งานระบบรดน้ำแบบน้ำซึม</t>
  </si>
  <si>
    <t>รวมราคางานระบบรดน้ำ</t>
  </si>
  <si>
    <t>สลิงยึดติดผนังสำหรับปลูกไม้เลื้อย (สูง 3 ม.)</t>
  </si>
  <si>
    <t>รวมราคางานเบ็ดเตล็ด</t>
  </si>
  <si>
    <t xml:space="preserve">แบบ ปร.5ข    </t>
  </si>
  <si>
    <t>แบบสรุปราคาค่าก่อสร้างงานครุภัณฑ์จัดซื้อ</t>
  </si>
  <si>
    <t>แบบ ปร.4 (ข) ที่แนบ</t>
  </si>
  <si>
    <t>44  แผ่น</t>
  </si>
  <si>
    <t>ภาษีมูลค่าเพิ่ม</t>
  </si>
  <si>
    <t xml:space="preserve"> งานครุภัณฑ์ประจำอาคาร </t>
  </si>
  <si>
    <t xml:space="preserve"> งานครุภัณฑ์ลอยตัว </t>
  </si>
  <si>
    <t xml:space="preserve"> งานครุภัณฑ์ห้องสมุด </t>
  </si>
  <si>
    <t xml:space="preserve"> งานครุภัณฑ์ระบบภาพและเสียง </t>
  </si>
  <si>
    <t xml:space="preserve"> งานครุภัณฑ์ผ้าม่าน </t>
  </si>
  <si>
    <t xml:space="preserve"> งานครุภัณฑ์งานป้ายสัญลักษณ์ </t>
  </si>
  <si>
    <t xml:space="preserve"> งานครุภัณฑ์ภูมิสถาปัตยกรรม </t>
  </si>
  <si>
    <t>งานครุภัณฑ์ประจำอาคาร</t>
  </si>
  <si>
    <t>สรุปราคาค่าก่อสร้างงานครุภัณฑ์ประจำอาคาร</t>
  </si>
  <si>
    <t>งานครุภัณฑ์ลิฟต์</t>
  </si>
  <si>
    <t>งานครุภัณฑ์ระบบวิศวกรรมไฟฟ้า</t>
  </si>
  <si>
    <t>งานครุภัณฑ์งานระบบสุขาภิบาลและดับเพลิง</t>
  </si>
  <si>
    <t>งานครุภัณฑ์งานระบบปรับอากาศและระบายอากาศ</t>
  </si>
  <si>
    <t>รวมราคางานครุภัณฑ์ประจำอาคาร</t>
  </si>
  <si>
    <t>งานครุภัณฑ์ลิฟต์และบันไดเลื่อน</t>
  </si>
  <si>
    <t>ลิฟต์โดยสาร</t>
  </si>
  <si>
    <t>L1</t>
  </si>
  <si>
    <t>L2</t>
  </si>
  <si>
    <t>L3</t>
  </si>
  <si>
    <t>L4</t>
  </si>
  <si>
    <t>L5</t>
  </si>
  <si>
    <t>L6</t>
  </si>
  <si>
    <t>L7</t>
  </si>
  <si>
    <t>ลิฟต์ขนของ</t>
  </si>
  <si>
    <t>บันไดเลื่อน</t>
  </si>
  <si>
    <t>ES1,2</t>
  </si>
  <si>
    <t>ES3,4</t>
  </si>
  <si>
    <t>ES5,6</t>
  </si>
  <si>
    <t>รวมราคางานครุภัณฑ์ลิฟต์</t>
  </si>
  <si>
    <t>หม้อแปลงไฟฟ้า</t>
  </si>
  <si>
    <t>เครื่องกำเนิดไฟฟ้าสำรอง</t>
  </si>
  <si>
    <t>Generator Set 500  kVA 0.8PF Prime Rating</t>
  </si>
  <si>
    <t>รวมราคางานระบบวิศวกรรมไฟฟ้า</t>
  </si>
  <si>
    <t>รวมราคางานระบบสุขาภิบาลและดับเพลิง</t>
  </si>
  <si>
    <t>FCU-316</t>
  </si>
  <si>
    <t>AHU-301</t>
  </si>
  <si>
    <t>ชั้น 3 M</t>
  </si>
  <si>
    <t>FCU-3M01 TO 3M02</t>
  </si>
  <si>
    <t>FCU-3M03 TO 3M04</t>
  </si>
  <si>
    <t>FCU-3M12/1 TO 3M12/2</t>
  </si>
  <si>
    <t>DOAS-RO1</t>
  </si>
  <si>
    <t>DOAS-RO2</t>
  </si>
  <si>
    <t>CDU-B01</t>
  </si>
  <si>
    <t>CDU-B02</t>
  </si>
  <si>
    <t>CDU-B03</t>
  </si>
  <si>
    <t>CDU-101</t>
  </si>
  <si>
    <t>CDU-102</t>
  </si>
  <si>
    <t>CDU-103</t>
  </si>
  <si>
    <t>CDU-104</t>
  </si>
  <si>
    <t>CDU-105</t>
  </si>
  <si>
    <t>CDU-106</t>
  </si>
  <si>
    <t>CDU-107</t>
  </si>
  <si>
    <t>CDU-201</t>
  </si>
  <si>
    <t>CDU-202</t>
  </si>
  <si>
    <t>CDU-203</t>
  </si>
  <si>
    <t>CDU-204</t>
  </si>
  <si>
    <t>CDU-205</t>
  </si>
  <si>
    <t>CDU-206</t>
  </si>
  <si>
    <t>CDU-207</t>
  </si>
  <si>
    <t>CDU-208</t>
  </si>
  <si>
    <t>CDU-209</t>
  </si>
  <si>
    <t>CDU-210/1</t>
  </si>
  <si>
    <t>CDU-210/2</t>
  </si>
  <si>
    <t>CDU-301</t>
  </si>
  <si>
    <t>CDU-302</t>
  </si>
  <si>
    <t>CDU-303</t>
  </si>
  <si>
    <t>CDU-304</t>
  </si>
  <si>
    <t>CDU-305</t>
  </si>
  <si>
    <t>CDU-306</t>
  </si>
  <si>
    <t>CDU-307</t>
  </si>
  <si>
    <t>CDU-308</t>
  </si>
  <si>
    <t>CDU-309</t>
  </si>
  <si>
    <t>CDU-310</t>
  </si>
  <si>
    <t>รวมราคางานระบบปรับอากาศและระบายอากาศ</t>
  </si>
  <si>
    <t>งานครุภัณฑ์ลอยตัว (RC1)</t>
  </si>
  <si>
    <t>สรุปราคาค่าก่อสร้างงานครุภัณฑ์ลอยตัว</t>
  </si>
  <si>
    <t>รวมราคาค่าก่อสร้างงานครุภัณฑ์ลอยตัว</t>
  </si>
  <si>
    <t>งานครุภัณฑ์เฟอร์นิเจอร์</t>
  </si>
  <si>
    <t>LF.CB01</t>
  </si>
  <si>
    <t>เก้าอี้สำนักงาน</t>
  </si>
  <si>
    <t>LF.CB02</t>
  </si>
  <si>
    <t>เก้าอี้พนักงานต้อนรับ</t>
  </si>
  <si>
    <t>LF.CB03</t>
  </si>
  <si>
    <t>เก้าอี้สตูลเล็ก</t>
  </si>
  <si>
    <t>LF.CB04</t>
  </si>
  <si>
    <t>LF.CB05</t>
  </si>
  <si>
    <t>เก้าอี้ทานอาหาร</t>
  </si>
  <si>
    <t>LF.CB06</t>
  </si>
  <si>
    <t>เก้าอี้พนักงานต้อนรับ มีที่รองแขน</t>
  </si>
  <si>
    <t>LF.CB07</t>
  </si>
  <si>
    <t>เก้าอี้สตูลสูงมีพนักพิง</t>
  </si>
  <si>
    <t>LF.CB08</t>
  </si>
  <si>
    <t>เก้าอี้นั่งทำงานคอมพิวเตอร์</t>
  </si>
  <si>
    <t>LF.CB09</t>
  </si>
  <si>
    <t>เก้าอี้ TRAINING</t>
  </si>
  <si>
    <t>LF.CB10</t>
  </si>
  <si>
    <t>เก้าอี้ซ้อนเก็บ</t>
  </si>
  <si>
    <t>LF.CB10A</t>
  </si>
  <si>
    <t>รถเข็นสำหรับเก็บเก้าอี้</t>
  </si>
  <si>
    <t>LF.CB11</t>
  </si>
  <si>
    <t>เก้าอี้ห้องแต่งตัว</t>
  </si>
  <si>
    <t>LF.CB12</t>
  </si>
  <si>
    <t>LF.CB13</t>
  </si>
  <si>
    <t>LF.LB01</t>
  </si>
  <si>
    <t>LOCKER</t>
  </si>
  <si>
    <t>1.20 X 0.40 X 2.00</t>
  </si>
  <si>
    <t>LF.LB02</t>
  </si>
  <si>
    <t>2.40 X 0.40 X 2.00</t>
  </si>
  <si>
    <t>LF.RB01</t>
  </si>
  <si>
    <t>ชั้นเก็บของด้านบนไม่มีหน้าบาน</t>
  </si>
  <si>
    <t>0.90 X 0.40 X 1.85</t>
  </si>
  <si>
    <t>LF.RB02</t>
  </si>
  <si>
    <t>2.30 X 0.40 X 2.00</t>
  </si>
  <si>
    <t>LF.RB03</t>
  </si>
  <si>
    <t>ชั้นเก็บของมีหน้าบาน</t>
  </si>
  <si>
    <t>LF.RB04</t>
  </si>
  <si>
    <t>ชั้นเก็บของไม่มีหน้าบาน</t>
  </si>
  <si>
    <t>LF.RB05</t>
  </si>
  <si>
    <t>ชั้นเก็บของไม้กวาด</t>
  </si>
  <si>
    <t>0.40 X 0.40 X 1.85</t>
  </si>
  <si>
    <t>LF.SB01</t>
  </si>
  <si>
    <t>โซฟาเบาะผ้าไม่มีพนักพิง</t>
  </si>
  <si>
    <t>0.60 x 0.60</t>
  </si>
  <si>
    <t>LF.SB02</t>
  </si>
  <si>
    <t>โซฟาเบาะผ้ามีพนักพิงใหญ่</t>
  </si>
  <si>
    <t>LF.SB03</t>
  </si>
  <si>
    <t>โซฟาเบาะผ้ามีพนักพิงเล็ก</t>
  </si>
  <si>
    <t>LF.TB01</t>
  </si>
  <si>
    <t>โต๊ะสำนักงานพร้อมลิ้นชัก</t>
  </si>
  <si>
    <t>1.525 x 0.60 x 0.73 m.</t>
  </si>
  <si>
    <t>LF.TB02</t>
  </si>
  <si>
    <t>4.324 x 0.60 x 0.73 m.</t>
  </si>
  <si>
    <t>LF.TB03</t>
  </si>
  <si>
    <t>โต๊ะทานอาหาร</t>
  </si>
  <si>
    <t>0.60 x 0.60 x 0.73 m.</t>
  </si>
  <si>
    <t>LF.TB04</t>
  </si>
  <si>
    <t>โต๊ะทำงานบาร์สูงพร้อมปลั๊ก</t>
  </si>
  <si>
    <t>2.00 x 0.50 m.</t>
  </si>
  <si>
    <t>LF.TB05</t>
  </si>
  <si>
    <t>โต๊ะทำงานคอมพิวเตอร์</t>
  </si>
  <si>
    <t>1.50 x 1.00 x 0.73 m.</t>
  </si>
  <si>
    <t>LF.TB06</t>
  </si>
  <si>
    <t>1.45 x 1.00 x 0.73 m.</t>
  </si>
  <si>
    <t>LF.TB07</t>
  </si>
  <si>
    <t>LF.TB08</t>
  </si>
  <si>
    <t>โต๊ะข้างวงกลม</t>
  </si>
  <si>
    <t>R 0.30</t>
  </si>
  <si>
    <t>LF.TB09</t>
  </si>
  <si>
    <t>1.20 x 0.60 x 0.73 m.</t>
  </si>
  <si>
    <t>LF.TB10</t>
  </si>
  <si>
    <t>1.50 x 0.80 x 0.73 m.</t>
  </si>
  <si>
    <t>LF.C101</t>
  </si>
  <si>
    <t>LF.C102</t>
  </si>
  <si>
    <t>เก้าอี้อ่านหนังสือไม้</t>
  </si>
  <si>
    <t>LF.C103</t>
  </si>
  <si>
    <t>เก้าอี้อลูมิเนียม</t>
  </si>
  <si>
    <t>LF.C104</t>
  </si>
  <si>
    <t>เก้าอี้อลูมิเนียม โยกได้</t>
  </si>
  <si>
    <t>LF.C105</t>
  </si>
  <si>
    <t>เก้าอี้สตูลบาร์สูง</t>
  </si>
  <si>
    <t>LF.C106</t>
  </si>
  <si>
    <t>เก้าอี้คาเฟ่</t>
  </si>
  <si>
    <t>LF.C107</t>
  </si>
  <si>
    <t>เก้าอี้ WORKSHOP</t>
  </si>
  <si>
    <t>LF.C108</t>
  </si>
  <si>
    <t>LF.C109</t>
  </si>
  <si>
    <t>LF.C110</t>
  </si>
  <si>
    <t>LF.C111</t>
  </si>
  <si>
    <t>เก้าอี้ AUDITORIUM</t>
  </si>
  <si>
    <t>LF.C111A</t>
  </si>
  <si>
    <t>อุปกรณล้อเลื่อนเก้าอี้ AUDITORIUM</t>
  </si>
  <si>
    <t>LF.R101</t>
  </si>
  <si>
    <t>ชั้นวางโชว์หนังสือ</t>
  </si>
  <si>
    <t>0.60 x 0.30 m.</t>
  </si>
  <si>
    <t>LF.R102</t>
  </si>
  <si>
    <t>1.00 x 0.30 m.</t>
  </si>
  <si>
    <t>LF.L101</t>
  </si>
  <si>
    <t>LF.S101</t>
  </si>
  <si>
    <t>ที่นั่งทรงก้อนหิน</t>
  </si>
  <si>
    <t>L</t>
  </si>
  <si>
    <t>LF.S102</t>
  </si>
  <si>
    <t>M</t>
  </si>
  <si>
    <t>LF.S103</t>
  </si>
  <si>
    <t>S</t>
  </si>
  <si>
    <t>LF.S104</t>
  </si>
  <si>
    <t>XS</t>
  </si>
  <si>
    <t>LF.S104A</t>
  </si>
  <si>
    <t>ค่าทำโมลด์สำหรับที่นั่งทรงก้อนหิน LF.S101,102,103,104</t>
  </si>
  <si>
    <t>LF.S105</t>
  </si>
  <si>
    <t>แผ่นรองนั่งวงกลม</t>
  </si>
  <si>
    <t>Dia 0.50 m. H 7cm.</t>
  </si>
  <si>
    <t>LF.T101</t>
  </si>
  <si>
    <t>โต๊ะข้างที่นั่ง</t>
  </si>
  <si>
    <t>LF.T102</t>
  </si>
  <si>
    <t>โต๊ะอ่านหนังสือพร้อมปลั๊ก</t>
  </si>
  <si>
    <t>2.40 x 1.00 m.</t>
  </si>
  <si>
    <t>LF.T103</t>
  </si>
  <si>
    <t>โต๊ะอลูมิเนียมวงกลม</t>
  </si>
  <si>
    <t>Dia 0.53 m. H 72 cm.</t>
  </si>
  <si>
    <t>LF.T104</t>
  </si>
  <si>
    <t>โต๊ะกาแฟ</t>
  </si>
  <si>
    <t>LF.T105</t>
  </si>
  <si>
    <t>โต๊ะอลูมิเนียมท็อปไม้จริง</t>
  </si>
  <si>
    <t>2.40 x 1.20 x0.90 m.</t>
  </si>
  <si>
    <t>LF.T105A</t>
  </si>
  <si>
    <t>ชั้นใต้โต๊ะอลูมิเนียม</t>
  </si>
  <si>
    <t>0.60 x 0.60 x 0.25 m.</t>
  </si>
  <si>
    <t>LF.T105B</t>
  </si>
  <si>
    <t>0.60 x 0.60 x 0.50 m.</t>
  </si>
  <si>
    <t>LF.T105C</t>
  </si>
  <si>
    <t>0.60 x 0.60 x 0.75 m.</t>
  </si>
  <si>
    <t>LF.T106</t>
  </si>
  <si>
    <t>โต๊ะWORKSHOP</t>
  </si>
  <si>
    <t>LF.T107</t>
  </si>
  <si>
    <t>โต๊ะพับ จัดกิจกรรม</t>
  </si>
  <si>
    <t>1.50 x 0.60 m.</t>
  </si>
  <si>
    <t>LF.T108</t>
  </si>
  <si>
    <t>โต๊ะทำงานปรับระดับไฟฟ้า</t>
  </si>
  <si>
    <t>1.80 x 0.90 x 0.75-1.00 m.</t>
  </si>
  <si>
    <t>LF.B201</t>
  </si>
  <si>
    <t>เตียงพยาบาล</t>
  </si>
  <si>
    <t>2.10 x 0.92 x 0.70 m.</t>
  </si>
  <si>
    <t>LF.C201</t>
  </si>
  <si>
    <t>LF.C202</t>
  </si>
  <si>
    <t>เก้าอี้มีพนักพิงสำหรับเด็ก</t>
  </si>
  <si>
    <t>LF.C203</t>
  </si>
  <si>
    <t>เก้าอี้ไม่มีพนักพิงสำหรับเด็ก</t>
  </si>
  <si>
    <t>LF.C204</t>
  </si>
  <si>
    <t>เก้าอี้มีพนักพิงผ้าสำหรับเด็ก</t>
  </si>
  <si>
    <t>LF.C205</t>
  </si>
  <si>
    <t>เก้าอี้สตูลไม้หมุนได้รอบตัว</t>
  </si>
  <si>
    <t>LF.C206</t>
  </si>
  <si>
    <t>LF.C207</t>
  </si>
  <si>
    <t>เก้าอ้พักคอย</t>
  </si>
  <si>
    <t>LF.C208</t>
  </si>
  <si>
    <t>เก้าอี้ทำงาน</t>
  </si>
  <si>
    <t>LF.C209</t>
  </si>
  <si>
    <t>เก้าอี้อ่านหนังสือเบาะผ้า</t>
  </si>
  <si>
    <t>LF.R201</t>
  </si>
  <si>
    <t>รถเข็นหนังสือ</t>
  </si>
  <si>
    <t>LF.R202</t>
  </si>
  <si>
    <t>ตู้ลิ้นชักหัวเตียง</t>
  </si>
  <si>
    <t>LF.R203</t>
  </si>
  <si>
    <t>ชุดเคาน์เตอร์พร้อมอ่างล้างมือ</t>
  </si>
  <si>
    <t>4.25 x 0.60 x 2.00 m.</t>
  </si>
  <si>
    <t>LF.L201</t>
  </si>
  <si>
    <t>3.775 x 0.40 x 2.00 m.</t>
  </si>
  <si>
    <t>LF.S201</t>
  </si>
  <si>
    <t>สตูลโซฟากลมเตี้ย</t>
  </si>
  <si>
    <t>LF.S202</t>
  </si>
  <si>
    <t>เบาะที่นั่งทรงสามเหลี่ยม</t>
  </si>
  <si>
    <t>LF.S203</t>
  </si>
  <si>
    <t>เบาะที่นั่งทรงวงกลม</t>
  </si>
  <si>
    <t>LF.T201</t>
  </si>
  <si>
    <t>โต๊ะกลมอ่านหนังสือ</t>
  </si>
  <si>
    <t>LF.T202</t>
  </si>
  <si>
    <t>โต๊ะสำหรับเด็ก</t>
  </si>
  <si>
    <t>0.60 x 0.60 x 0.65</t>
  </si>
  <si>
    <t>LF.T203</t>
  </si>
  <si>
    <t>โต๊ะทำงานช่าง</t>
  </si>
  <si>
    <t>1.50 x 0.90 x 0.73</t>
  </si>
  <si>
    <t>LF.T204</t>
  </si>
  <si>
    <t>1.50 x 0.60 m</t>
  </si>
  <si>
    <t>LF.T205</t>
  </si>
  <si>
    <t>โต๊ะทำงานกลุ่ม</t>
  </si>
  <si>
    <t>2.40 x 0.80 x 0.74 m</t>
  </si>
  <si>
    <t>LF.C301</t>
  </si>
  <si>
    <t>LF.C302</t>
  </si>
  <si>
    <t>เก้าอี้อ่านหนังสือเบาะหนัง</t>
  </si>
  <si>
    <t>LF.C303</t>
  </si>
  <si>
    <t>LF.C304</t>
  </si>
  <si>
    <t>เก้าอี้ทรงสูงเบาะผ้า</t>
  </si>
  <si>
    <t>LF.C305</t>
  </si>
  <si>
    <t>LF.C306</t>
  </si>
  <si>
    <t>LF.C307</t>
  </si>
  <si>
    <t>LF.C308</t>
  </si>
  <si>
    <t>เก้าอี้ประชุม</t>
  </si>
  <si>
    <t>LF.C309</t>
  </si>
  <si>
    <t>เก้าอี้สตูลสูง</t>
  </si>
  <si>
    <t>LF.C310</t>
  </si>
  <si>
    <t>LF.C311</t>
  </si>
  <si>
    <t>CHAIR</t>
  </si>
  <si>
    <t>LF.C312</t>
  </si>
  <si>
    <t>เก้าอี้อ่านหนังสือเบาะผ้าพนักพิงไม้</t>
  </si>
  <si>
    <t>LF.R301</t>
  </si>
  <si>
    <t>LF.R302</t>
  </si>
  <si>
    <t>LF.R303A</t>
  </si>
  <si>
    <t>ชั้นหนังสือโค้ง</t>
  </si>
  <si>
    <t>LF.R303B</t>
  </si>
  <si>
    <t>LF.R303C</t>
  </si>
  <si>
    <t>LF.R303D</t>
  </si>
  <si>
    <t>LF.R304</t>
  </si>
  <si>
    <t>ชั้นเก็บหนังสือ</t>
  </si>
  <si>
    <t>0.80 x 0.40 x 2.00 m.</t>
  </si>
  <si>
    <t>LF.S301</t>
  </si>
  <si>
    <t>โซฟาโค้ง</t>
  </si>
  <si>
    <t>LF.S302</t>
  </si>
  <si>
    <t>โซฟาโค้งพร้อมโต๊ะ</t>
  </si>
  <si>
    <t>LF.S303</t>
  </si>
  <si>
    <t>เบาะรองนั่งวงกลม</t>
  </si>
  <si>
    <t>Dia 0.90 m. H 7cm.</t>
  </si>
  <si>
    <t>LF.S304</t>
  </si>
  <si>
    <t>โซฟานั่งอ่านหนังสือ</t>
  </si>
  <si>
    <t>LF.S305</t>
  </si>
  <si>
    <t>เบาะนั่งพักคอย</t>
  </si>
  <si>
    <t>LF.S306</t>
  </si>
  <si>
    <t>เก้าอี้โซฟาเบาะผ้า</t>
  </si>
  <si>
    <t>LF.S307</t>
  </si>
  <si>
    <t>เบาะโซฟาสเตปบันไดเบาะผ้า</t>
  </si>
  <si>
    <t>LF.S308</t>
  </si>
  <si>
    <t>ซุ้มโซฟานั่งอ่านหนังสือพร้อมโต๊ะข้าง</t>
  </si>
  <si>
    <t>LF.S309</t>
  </si>
  <si>
    <t>เบาะทรงกลมนั่งอ่านหนังสือ</t>
  </si>
  <si>
    <t>LF.T301</t>
  </si>
  <si>
    <t>โต๊ะพร้อมไฟอ่านหนังสือ</t>
  </si>
  <si>
    <t>2.40 X 1.20 x 0.75 m.</t>
  </si>
  <si>
    <t>LF.T302</t>
  </si>
  <si>
    <t>3.30 X 1.40  x 0.75 m.</t>
  </si>
  <si>
    <t>LF.T303</t>
  </si>
  <si>
    <t>4.40 X 1.40  x 0.75 m.</t>
  </si>
  <si>
    <t>LF.T304</t>
  </si>
  <si>
    <t>โต๊ะวงกลมอ่านหนังสือ</t>
  </si>
  <si>
    <t>Dia 0.70 m. H 0.75 m.</t>
  </si>
  <si>
    <t>LF.T305</t>
  </si>
  <si>
    <t>Dia 0.90 m. H 0.75 m.</t>
  </si>
  <si>
    <t>LF.T306</t>
  </si>
  <si>
    <t>LF.T307</t>
  </si>
  <si>
    <t>โต๊ะสี่เหลี่ยมอ่านหนังสือ</t>
  </si>
  <si>
    <t>0.80 X 0.80 x 0.65 m.</t>
  </si>
  <si>
    <t>LF.T308</t>
  </si>
  <si>
    <t>Dia 0.70 m. H 0.55 m.</t>
  </si>
  <si>
    <t>LF.T309</t>
  </si>
  <si>
    <t>1.80 X 1.10  x 0.75 m.</t>
  </si>
  <si>
    <t>LF.T310</t>
  </si>
  <si>
    <t>0.80 X 0.80 x 0.75 m.</t>
  </si>
  <si>
    <t>LF.T311</t>
  </si>
  <si>
    <t>3.50 X 1.20 x 0.75 m.</t>
  </si>
  <si>
    <t>LF.T312</t>
  </si>
  <si>
    <t>2.50 X 1.20 x 0.75 m.</t>
  </si>
  <si>
    <t>LF.T313</t>
  </si>
  <si>
    <t>โต๊ะบนโซฟาทรงกลม</t>
  </si>
  <si>
    <t>Dia 0.45 m. H 0.27 m.</t>
  </si>
  <si>
    <t>LF.T314</t>
  </si>
  <si>
    <t>1.50 x 0.60</t>
  </si>
  <si>
    <t>LF.T315</t>
  </si>
  <si>
    <t>โต๊ะทำงานพร้อมแผงกั้นและตู้ลิ้นชัก</t>
  </si>
  <si>
    <t>1.30 X 0.75 x 0.74 m.</t>
  </si>
  <si>
    <t>LF.T316</t>
  </si>
  <si>
    <t>โต๊ะประชุม</t>
  </si>
  <si>
    <t>1.80 X 1.00 x 0.74 m.</t>
  </si>
  <si>
    <t>LF.T317</t>
  </si>
  <si>
    <t>โต๊ะบาร์สูง</t>
  </si>
  <si>
    <t>1.80 X 1.00 x1.05 m.</t>
  </si>
  <si>
    <t>LF.T318</t>
  </si>
  <si>
    <t>โต๊ะทำงานพร้อมลิ้นชัก</t>
  </si>
  <si>
    <t>1.886 X 0.60 m.</t>
  </si>
  <si>
    <t>LF.T319</t>
  </si>
  <si>
    <t>LF.T320</t>
  </si>
  <si>
    <t>โต๊ะอ่านหนังสือกลุ่ม</t>
  </si>
  <si>
    <t>1.20 X 1.20 x 0.75 m.</t>
  </si>
  <si>
    <t>LF.C3M01</t>
  </si>
  <si>
    <t>LF.C3M02</t>
  </si>
  <si>
    <t>เก้าอี้พร้อมเบาะรองนั่ง</t>
  </si>
  <si>
    <t>LF.C3M03A</t>
  </si>
  <si>
    <t>LF.C3M03B</t>
  </si>
  <si>
    <t>เก้าอี้ประชุม-ประธาน</t>
  </si>
  <si>
    <t>LF.C3M04</t>
  </si>
  <si>
    <t>LF.C3M05</t>
  </si>
  <si>
    <t>LF.C3M06</t>
  </si>
  <si>
    <t>เก้าอี้มีเท้าแขนและมีล้อ</t>
  </si>
  <si>
    <t>LF.S3M01</t>
  </si>
  <si>
    <t>เก้าอี้เบาะผ้าพนักพิงสูง</t>
  </si>
  <si>
    <t>LF.S3M02</t>
  </si>
  <si>
    <t>เบาะที่นั่งทรงสี่เหลี่ยมใหญ่</t>
  </si>
  <si>
    <t>LF.S3M03</t>
  </si>
  <si>
    <t>LF.S3M04</t>
  </si>
  <si>
    <t>เก้าอี้โซฟาพนักพิงไม้</t>
  </si>
  <si>
    <t>LF.S3M05</t>
  </si>
  <si>
    <t>เก้าอี้สตูลโซฟาไม่มีพนักพิง</t>
  </si>
  <si>
    <t>5.125 x 0.60 x 0.74 m.</t>
  </si>
  <si>
    <t>LF.T3M01</t>
  </si>
  <si>
    <t>โต๊ะข้างทรงกลม</t>
  </si>
  <si>
    <t>Dia 0.60 m. H 0.35 m.</t>
  </si>
  <si>
    <t>LF.T3M02</t>
  </si>
  <si>
    <t>LF.T3M03</t>
  </si>
  <si>
    <t>LF.T3M04</t>
  </si>
  <si>
    <t>LF.T3M05</t>
  </si>
  <si>
    <t>7.40 x 1.60 x 0.74 m.</t>
  </si>
  <si>
    <t>LF.T3M06</t>
  </si>
  <si>
    <t>4.00 x 1.20 x 0.74 m.</t>
  </si>
  <si>
    <t>LF.T3M07</t>
  </si>
  <si>
    <t>3.00 x 1.00 x0.75 m.</t>
  </si>
  <si>
    <t>LF.S01</t>
  </si>
  <si>
    <t>บันไดชั้นหนังสือ</t>
  </si>
  <si>
    <t>รวมราคาหมวดงานครุภัณฑ์เฟอร์นิเจอร์</t>
  </si>
  <si>
    <t>งานครุภัณฑ์โคมไฟ</t>
  </si>
  <si>
    <t>LF.LP101</t>
  </si>
  <si>
    <t xml:space="preserve">โคมไฟตั้งพื้น </t>
  </si>
  <si>
    <t>LF.LP301</t>
  </si>
  <si>
    <t>LF.LP302</t>
  </si>
  <si>
    <t>LF.LP303</t>
  </si>
  <si>
    <t>LF.LP304</t>
  </si>
  <si>
    <t>รวมราคาหมวดงานครุภัณฑ์งานครุภัณฑ์โคมไฟ</t>
  </si>
  <si>
    <t>งานครุภัณฑ์พรม</t>
  </si>
  <si>
    <t>LF.CP101</t>
  </si>
  <si>
    <t>พรมวงกลม dia 5 เมตร</t>
  </si>
  <si>
    <t>ผืน</t>
  </si>
  <si>
    <t>รวมราคาหมวดงานครุภัณฑ์งานครุภัณฑ์พรม</t>
  </si>
  <si>
    <t>งานครุภัณฑ์ระบบห้องสมุด (RC1)</t>
  </si>
  <si>
    <t>สรุปราคาค่าก่อสร้างงานครุภัณฑ์ระบบห้องสมุด</t>
  </si>
  <si>
    <t>งานครุภัณฑ์ห้องสมุด</t>
  </si>
  <si>
    <t>งานครุภัณฑ์ห้องFABLAB</t>
  </si>
  <si>
    <t>รวมราคาค่าก่อสร้างงานครุภัณฑ์ระบบห้องสมุด</t>
  </si>
  <si>
    <t xml:space="preserve">งานคุรุภัณฑ์ห้องสมุด </t>
  </si>
  <si>
    <t>LE-01A1</t>
  </si>
  <si>
    <t>แผงควบคุมหนังสือเข้า-ออก 2 ช่องทาง (1 + 1 VIP) B fl.</t>
  </si>
  <si>
    <t>LE-01A2</t>
  </si>
  <si>
    <t>ชุดประตูควบคุมการเข้า-ออก 2 ช่องทาง (1 + 1 VIP) B fl.</t>
  </si>
  <si>
    <t>พร้อม เครื่องสำรองไฟฟ้า ขนาด 2 KVA (RFID Gate , Barrier)</t>
  </si>
  <si>
    <t>LE-01B1</t>
  </si>
  <si>
    <t>แผงควบคุมหนังสือเข้า-ออก 3 ช่องทาง (2 + 1 VIP) 1st fl.</t>
  </si>
  <si>
    <t>LE-01B2</t>
  </si>
  <si>
    <t>ชุดประตูควบคุมการเข้า-ออก 3 ช่องทาง (2 + 1 VIP) 1st fl.</t>
  </si>
  <si>
    <t>LE-01C1</t>
  </si>
  <si>
    <t>แผงควบคุมหนังสือเข้า-ออก 5 ช่องทาง (4 + 1 VIP) 1st fl.</t>
  </si>
  <si>
    <t>LE-01C2</t>
  </si>
  <si>
    <t>ชุดประตูควบคุมการเข้า-ออก 5 ช่องทาง (4 + 1 VIP) 1st fl</t>
  </si>
  <si>
    <t>LE-01D1</t>
  </si>
  <si>
    <t>แผงควบคุมหนังสือเข้า-ออก 2 ช่องทาง 2 nd fl.</t>
  </si>
  <si>
    <t>LE-01D2</t>
  </si>
  <si>
    <t>ชุดประตูควบคุมการเข้า-ออก 2 ช่องทาง 2 nd fl.</t>
  </si>
  <si>
    <t>LE-01A,B,C,D2</t>
  </si>
  <si>
    <t>SOFTWAREและค่าติดตั้งทดสอบระบบ</t>
  </si>
  <si>
    <t>LE-02A</t>
  </si>
  <si>
    <t xml:space="preserve">อุปกรณ์อ่านและเขียนข้อมูลแผ่น HF RFID </t>
  </si>
  <si>
    <t>LE-02B</t>
  </si>
  <si>
    <t>แผ่นบันทึกข้อมูล HF RFID + Sticker</t>
  </si>
  <si>
    <t>แผ่น</t>
  </si>
  <si>
    <t>LE-03A</t>
  </si>
  <si>
    <t xml:space="preserve">เครื่องคืนหนังสือ Wall mount 3 Sorter </t>
  </si>
  <si>
    <t>พร้อมเครื่องสำรองไฟฟ้า ขนาด 3 KVA (Book Return)</t>
  </si>
  <si>
    <t>LE-03B</t>
  </si>
  <si>
    <t>รถคืนหนังสือ</t>
  </si>
  <si>
    <t>คัน</t>
  </si>
  <si>
    <t>LE-04</t>
  </si>
  <si>
    <t>เครื่องยืม-คืนหนังสือด้วยตนเอง</t>
  </si>
  <si>
    <t>LE-05</t>
  </si>
  <si>
    <t xml:space="preserve">ตู้ยืมคืนหนังสือจองอัตโนมัติ </t>
  </si>
  <si>
    <t>LE-06A</t>
  </si>
  <si>
    <t xml:space="preserve">เครื่องสืบค้นหนังสือ : COMPUTER ALL IN ONE </t>
  </si>
  <si>
    <t>พร้อมเครื่องสำรองไฟ  (Book Search)</t>
  </si>
  <si>
    <t>LE-06B</t>
  </si>
  <si>
    <t>เครื่องสืบค้นหนังสือ : TABLETพร้อม stand ติดตั้ง</t>
  </si>
  <si>
    <t>LE-08</t>
  </si>
  <si>
    <t>เครื่องอ่าน QR Code</t>
  </si>
  <si>
    <t>LE-09A</t>
  </si>
  <si>
    <t>เครื่องปริ๊นสลิปร้อน พร้อมกระดาษความร้อน 10 ม้วน</t>
  </si>
  <si>
    <t>LE-09B</t>
  </si>
  <si>
    <t>LE-10</t>
  </si>
  <si>
    <t>เครื่องอบยูวี</t>
  </si>
  <si>
    <t>LE-11</t>
  </si>
  <si>
    <t>แผ่นอะครีลิคตั้งหนังสือโชว์ปก</t>
  </si>
  <si>
    <t>รวมราคาหมวดงานครุภัณฑ์ระบบห้องสมุด</t>
  </si>
  <si>
    <t>งานคุรุภัณฑ์ห้องFABLAB</t>
  </si>
  <si>
    <t>FB-01</t>
  </si>
  <si>
    <t>Laser Cut</t>
  </si>
  <si>
    <t>FB-02</t>
  </si>
  <si>
    <t>3D Printer</t>
  </si>
  <si>
    <t>FB-03</t>
  </si>
  <si>
    <t>Digital Knitting Machine</t>
  </si>
  <si>
    <t>รวมราคาหมวดงานคุรุภัณฑ์ห้องFABLAB</t>
  </si>
  <si>
    <t>งานครุภัณฑ์ระบบภาพและเสียง</t>
  </si>
  <si>
    <t>สรุปงานครุภัณฑ์ระบบภาพและเสียง</t>
  </si>
  <si>
    <t>ระบบ</t>
  </si>
  <si>
    <t>MUSEUM</t>
  </si>
  <si>
    <t>รวมราคางานครุภัณฑ์ระบบภาพและเสียง</t>
  </si>
  <si>
    <t>จอ Digital Signage</t>
  </si>
  <si>
    <t>F0_Cooking Studio</t>
  </si>
  <si>
    <t>จอ LED TV 65 นิ้ว พร้อมขาแขวน</t>
  </si>
  <si>
    <t>จอ</t>
  </si>
  <si>
    <t>Digital Signage Player</t>
  </si>
  <si>
    <t>เครื่อง</t>
  </si>
  <si>
    <t>F0_Entrance Hall</t>
  </si>
  <si>
    <t>จอ LED WALL ขนาด 55 นิ้ว แบบ 1x3 พร้อมขาแขวน</t>
  </si>
  <si>
    <t>F1_Entrance Hall</t>
  </si>
  <si>
    <t>50" QLED (VERTICAL) for DIGITAL SIGNAGE FRAME SERIES</t>
  </si>
  <si>
    <t>F1_Auditorium</t>
  </si>
  <si>
    <t>จอ LED P1.89 ขนาด 2.47 x 3.46 เมตร</t>
  </si>
  <si>
    <t>F2_Kid Zone</t>
  </si>
  <si>
    <t>จอ LED TV 85 นิ้ว พร้อมขาแขวน</t>
  </si>
  <si>
    <t>F2_Foyer</t>
  </si>
  <si>
    <t>F3_Living Library</t>
  </si>
  <si>
    <t>จอแสดงผลภาพขนาด 65 นิ้ว แบบสัมผัส พร้อมขาแขวน</t>
  </si>
  <si>
    <t>Digital Signage Player - Touch</t>
  </si>
  <si>
    <t>คอมพิวเตอร์ควบคุมระบบสื่อประสัมพันธ์</t>
  </si>
  <si>
    <t>ค่าแรงติดตั้งอุปกรณ์ พร้อมทดสอบระบบ</t>
  </si>
  <si>
    <t>(ไม่รวมงานเดินสาย LAN และสายไฟฟ้า)</t>
  </si>
  <si>
    <t>สรุปราคา จอ Digital Signage</t>
  </si>
  <si>
    <t xml:space="preserve">Audio system </t>
  </si>
  <si>
    <t>ลำโพงฝังในฝ้าเพดาน ขนาด 6 นิ้ว</t>
  </si>
  <si>
    <t>ตัว</t>
  </si>
  <si>
    <t>ไมโครโฟนไร้สายแบบมือถือ</t>
  </si>
  <si>
    <t>ไมโครโฟนไร้สายแบบ เกี่ยวหู</t>
  </si>
  <si>
    <t>เครื่องผสมสัญญาณเสียง ขนาด 12 ช่อง</t>
  </si>
  <si>
    <t>เครื่องขยายสัญญาณเสียงแบบ 2 ช่อง ขนาด 200 วัตต์</t>
  </si>
  <si>
    <t>ตู้เก็บอุปกรณ์ ขนาด 15U</t>
  </si>
  <si>
    <t>Video system</t>
  </si>
  <si>
    <t>จอแสดงผลภาพขนาด 86 นิ้ว แบบสัมผัส</t>
  </si>
  <si>
    <t>ค่าแรงเดินท่อร้อยสาย ติดตั้ง พร้อมทดสอบระบบ</t>
  </si>
  <si>
    <t>สรุปราคางานอุปกรณ์ ห้อง Cooking Studio</t>
  </si>
  <si>
    <t>B27 Production Room</t>
  </si>
  <si>
    <t xml:space="preserve">Audio &amp; Visual system </t>
  </si>
  <si>
    <t>ไมโครโฟนไร้สายแบบเกี่ยวหู</t>
  </si>
  <si>
    <t>ลำโพงมอนิเตอร์ ขนาด 5 นิ้ว (ห้องสตูดิโอ)</t>
  </si>
  <si>
    <t>กล้องถ่ายโทรทัศน์ชนิด Super 35 ความละเอียด 4K</t>
  </si>
  <si>
    <t>เลนส์ถ่ายภาพ 24-105 มิลลิเมตร พร้อมฟิลเตอร์</t>
  </si>
  <si>
    <t>แบตเตอรี่สำรอง</t>
  </si>
  <si>
    <t>ก้อน</t>
  </si>
  <si>
    <t xml:space="preserve">กล้องถ่ายภาพโทรทัศน์ชนิดหมุนส่าย  </t>
  </si>
  <si>
    <t xml:space="preserve">เครื่องควบคุมกล้องถ่ายภาพโทรทัศน์ </t>
  </si>
  <si>
    <t>สื่อบันทึกข้อมูล ชนิด SDXC - 64GB</t>
  </si>
  <si>
    <t>ล้อม้วนสายสัญญาณ HD-SDI ขนาด 50 เมตร</t>
  </si>
  <si>
    <t>สายสัญญาณ HD-SDI พร้อมหัว BNC ยาว 35 เมตร</t>
  </si>
  <si>
    <t>ล้อเก็บสายไฟ VCT 3x2.5Sq.mm. ยาว 20 เมตร</t>
  </si>
  <si>
    <t xml:space="preserve">ขาตั้งกล้องโทรทัศน์ ชนิด 3 ขา </t>
  </si>
  <si>
    <t xml:space="preserve">ล้อเลื่อน Dolly สำหรับเคลื่อนย้าย </t>
  </si>
  <si>
    <t xml:space="preserve">จอ LED TV ขนาด 43 นิ้ว </t>
  </si>
  <si>
    <t>เครื่องแปลงสัญญาณ SDI to HDMI</t>
  </si>
  <si>
    <t>ขาตั้งทีวีแบบเคลื่อนย้ายได้</t>
  </si>
  <si>
    <t xml:space="preserve">โคมไฟสตูดิโอแอลอีดี ขนาด 48 วัตต์ </t>
  </si>
  <si>
    <t>โคม</t>
  </si>
  <si>
    <t>ฉากเขียวสตูดิโอ ขนาด 3x4 เมตร พร้อมขาตั้ง</t>
  </si>
  <si>
    <t xml:space="preserve">รางแขวนไฟสตูดิโอแบบ Pantrograph </t>
  </si>
  <si>
    <t xml:space="preserve">เครื่องสื่อสารไร้สาย Wireless Intercom </t>
  </si>
  <si>
    <t>เครี่อง</t>
  </si>
  <si>
    <t>ค่าอุปกรณ์ติดตั้ง และค่าแรง พร้อมทดสอบระบบ</t>
  </si>
  <si>
    <t>สรุปราคางานอุปกรณ์ B27 Production Room</t>
  </si>
  <si>
    <t>B28 Post Production Room</t>
  </si>
  <si>
    <t>เครื่องผสมสัญญาณเสียงแบบดิจิตอล ขนาด 8 ช่อง</t>
  </si>
  <si>
    <t>ลำโพงมอนิเตอร์ ขนาด 5 นิ้ว (ห้องควบคุม)</t>
  </si>
  <si>
    <t xml:space="preserve">เครื่องควบคุมไฟสตูดิโอ DMX </t>
  </si>
  <si>
    <t xml:space="preserve">เครื่องกระจายสัญญาณควบคุม DMX </t>
  </si>
  <si>
    <t>จอ LED TV ขนาด 43 นิ้ว พร้อมขาแขวน</t>
  </si>
  <si>
    <t xml:space="preserve">เครื่องสลับสัญญาณภาพพร้อมเทคนิคพิเศษ  </t>
  </si>
  <si>
    <t xml:space="preserve">เครื่องบันทึกภาพโทรทัศน์ระบบดิจิทัล </t>
  </si>
  <si>
    <t xml:space="preserve">สื่อบันทึกดิจิทัลชนิด HDD ขนาด 500 GB </t>
  </si>
  <si>
    <t xml:space="preserve">เครื่องจ่ายกระแสไฟฟ้า (Power Sequencer) </t>
  </si>
  <si>
    <t>เครื่องสำรองไฟฟ้า ขนาด 2 kVA</t>
  </si>
  <si>
    <t xml:space="preserve">เครื่องพิวเตอร์พร้อมซอฟแวร์สำหรับตัดต่อภาพวิดีโอ  </t>
  </si>
  <si>
    <t>ตู้เก็บอุปกรณ์ 19 นิ้ว ขนาด 15U</t>
  </si>
  <si>
    <t>สรุปราคางานอุปกรณ์ ห้อง B28 Post Production Room</t>
  </si>
  <si>
    <t>B29 Post Production Room</t>
  </si>
  <si>
    <t>ไมโครโฟนแบบตั้งโต๊ะ</t>
  </si>
  <si>
    <t>ลำโพงมอนิเตอร์ ขนาด 5 นิ้ว (ห้องบันทึกเสียง)</t>
  </si>
  <si>
    <t>เครื่องขยายสัญญาณหูฟัง แบบที่ 1</t>
  </si>
  <si>
    <t>หูฟังแบบครอบหู (ผู้ประกาศ)</t>
  </si>
  <si>
    <t xml:space="preserve">เครื่องพิวเตอร์พร้อมซอฟแวร์ สำหรับตัดต่อบันทึกเสียง  </t>
  </si>
  <si>
    <t>แผงรับสัญญาณเสียงแบบติดผนัง</t>
  </si>
  <si>
    <t>สรุปราคางานอุปกรณ์ ห้อง B29 Post Production Room</t>
  </si>
  <si>
    <t>B30 Production Room</t>
  </si>
  <si>
    <t>ไมโครโฟนแบบคอนเดนเซอร์</t>
  </si>
  <si>
    <t xml:space="preserve">ขาตั้งไมโครโฟนแบบยึดตัวโต๊ะ </t>
  </si>
  <si>
    <t>ค่าแรงในการติดตั้งอุปกรณ์ พร้อมเข้าระบบและทดสอบระบบ</t>
  </si>
  <si>
    <t>สรุปราคางานอุปกรณ์ ห้อง B30 Production Room</t>
  </si>
  <si>
    <t>B31 Photograph Room</t>
  </si>
  <si>
    <t>กล้อง ผลิตงานแบบมืออาชีพ</t>
  </si>
  <si>
    <t xml:space="preserve"> ตัว </t>
  </si>
  <si>
    <t>ขาตั้งกล้อง แบบมืออาชีพ</t>
  </si>
  <si>
    <t xml:space="preserve"> เครื่อง </t>
  </si>
  <si>
    <t>ฉากถ่ายภาพ ขนาดใหญ่</t>
  </si>
  <si>
    <t xml:space="preserve"> ชุด </t>
  </si>
  <si>
    <t xml:space="preserve">ไฟต่อเนื่อง พร้อมขาตั้ง </t>
  </si>
  <si>
    <t>สรุปราคางานอุปกรณ์ ห้อง B31 Photograph Room</t>
  </si>
  <si>
    <t>B32 Workshop Room</t>
  </si>
  <si>
    <t>ระบบภาพและเสียง</t>
  </si>
  <si>
    <t>เครื่องผสมสัญญาณเสียงแบบอะนาล็อก ขนาด 12 ช่อง</t>
  </si>
  <si>
    <t>เครื่องปรับแต่งสัญญาณเสียง แบบที่ 1</t>
  </si>
  <si>
    <t>เครื่องขยายสัญญาณเสียง แบบ 2 ช่อง ขนาด 400 วัตต์</t>
  </si>
  <si>
    <t>ลำโพงคอลัมน์แบบติดผนัง ขนาด 120 วัตต์</t>
  </si>
  <si>
    <t>แผงรับ-ส่งสัญญาณภาพและเสียง แบบ HDMI + USB ผ่านสาย LAN</t>
  </si>
  <si>
    <t>เครื่องรับ-ส่งสัญญาณภาพและเสียง ผ่านสาย LAN แบบที่ 1</t>
  </si>
  <si>
    <t>เครื่องเลือกสัญญาณภาพ</t>
  </si>
  <si>
    <t>จอแสดงผลภาพ ขนาด 98 นิ้ว แบบสัมผัส</t>
  </si>
  <si>
    <t>สรุปราคางานอุปกรณ์ ห้อง B32 Workshop Room</t>
  </si>
  <si>
    <t>สรุปราคางานอุปกรณ์ ห้อง Media LAB</t>
  </si>
  <si>
    <t>PERFORMANCE ROOM</t>
  </si>
  <si>
    <t>B35,36 Music Room 1,2</t>
  </si>
  <si>
    <t>ไมโครโฟนมีสายแบบมือถือ</t>
  </si>
  <si>
    <t xml:space="preserve">ไมโครโฟนเครื่องดนตรี </t>
  </si>
  <si>
    <t>เครื่องผสมสัญญาณเสียงแบบอะนาล็อก ขนาด 16 ช่อง</t>
  </si>
  <si>
    <t>ชุดลำโพง พร้อมลำโพงเสียงต่ำ</t>
  </si>
  <si>
    <t>ชุดจัดเก็บลำโพงแบบเคลื่อนย้าย</t>
  </si>
  <si>
    <t>ขาตั้งไมโครโฟนแบบตั้งพื้น</t>
  </si>
  <si>
    <t>ตู้เก็บอุปกรณ์เคลื่อนย้ายได้</t>
  </si>
  <si>
    <t>สรุปราคางานอุปกรณ์ ห้อง B35,36 Music Room 1,2</t>
  </si>
  <si>
    <t>ห้อง</t>
  </si>
  <si>
    <t>B38  โถงหน้าห้อง Performance Room</t>
  </si>
  <si>
    <t>จอ LED TV 43 นิ้ว</t>
  </si>
  <si>
    <t>อุปกรณ์รับสัญญาณภาพผ่าน IP</t>
  </si>
  <si>
    <t>B39-40 Dressing Room</t>
  </si>
  <si>
    <t>ลำโพงฝังในฝ้าเพดาน ขนาด 4 นิ้ว</t>
  </si>
  <si>
    <t>แผงควบคุมเสียงขนาด 30 วัตต์</t>
  </si>
  <si>
    <t>สรุปราคางานอุปกรณ์ ห้อง B38, B39-40 Dressing Room</t>
  </si>
  <si>
    <t>B41  Performance Room</t>
  </si>
  <si>
    <t>ระบบเสียงและภาพ</t>
  </si>
  <si>
    <t>จอแสดงผลภาพ ขนาด 86 นิ้ว แบบสัมผัส</t>
  </si>
  <si>
    <t>สรุปราคางานอุปกรณ์ ห้อง B41  Performance Room</t>
  </si>
  <si>
    <t>สรุปราคางานอุปกรณ์ ห้อง Performance</t>
  </si>
  <si>
    <t>เครื่องผสมสัญญาณเสียงแบบดิจิตอล 32 ช่อง พร้อมชุดต่อขยายบนเวที</t>
  </si>
  <si>
    <t>เครื่องปรับแต่งสัญญาณเสียง แบบที่ 2</t>
  </si>
  <si>
    <t>เครื่องขยายสัญญาณเสียง แบบ 4 ช่อง ขนาด 200 วัตต์</t>
  </si>
  <si>
    <t>ลำโพงหลักแบบ Steerable Line Array</t>
  </si>
  <si>
    <t>ลำโพงเสียงต่ำ ขนาด 18 นิ้ว</t>
  </si>
  <si>
    <t>ลำโพง Front Fill ขนาด 6 นิ้ว</t>
  </si>
  <si>
    <t>ลำโพงมอนิเตอร์บนเวที</t>
  </si>
  <si>
    <t>ลำโพงฝังเพดาน ขนาด 4 นิ้ว</t>
  </si>
  <si>
    <t>แผงควบคุมเสียง ขนาด 30 วัตต์</t>
  </si>
  <si>
    <t>แผง</t>
  </si>
  <si>
    <t>หูฟังแบบครอบหู (ห้องควบคุม)</t>
  </si>
  <si>
    <t>ตู้เก็บอุปกรณ์ 19 นิ้ว ขนาด 42U</t>
  </si>
  <si>
    <t>เครื่องรับ-ส่งสัญญาณภาพและเสียง ผ่านสาย LAN แบบที่ 2</t>
  </si>
  <si>
    <t>แผงส่งสัญญาณภาพและเสียงผ่านเน็ตเวิร์ก แบบติดผนัง</t>
  </si>
  <si>
    <t xml:space="preserve">เครื่องรับสัญญาณภาพและเสียงผ่านเน็ตเวิร์ก </t>
  </si>
  <si>
    <t xml:space="preserve">เครื่องส่งสัญญาณภาพและเสียงผ่านเน็ตเวิร์ก </t>
  </si>
  <si>
    <t>เครื่องควบคุมสัญญาณภาพและเสียงผ่านเน็ตเวิร์ก</t>
  </si>
  <si>
    <t>เครื่องฉายภาพ ขนาด 10,000 ลูเมนส์ พร้อมเลนส์</t>
  </si>
  <si>
    <t>ลิฟท์สำหรับเครื่องฉายภาพ</t>
  </si>
  <si>
    <t>จอรับภาพโปรเจคเตอร์ ขนาด 275 นิ้ว (16:10)</t>
  </si>
  <si>
    <t>จอ LED TV ขนาด 43 นิ้ว พร้อมขาแขวน (Back stage)</t>
  </si>
  <si>
    <t>จอมอนิเตอร์ ขนาด 24 นิ้ว (ห้องควบคุม)</t>
  </si>
  <si>
    <t>เครื่องนำเสนอภาพแบบไร้สาย</t>
  </si>
  <si>
    <t>กล้องจับภาพผู้ประชุม แบบที่ 2</t>
  </si>
  <si>
    <t>ชุดควบคุมกล้อง</t>
  </si>
  <si>
    <t>เครื่องบันทึกภาพและเสียงแบบดิจิตอล พร้อมสตรีมมิ่ง</t>
  </si>
  <si>
    <t xml:space="preserve">เครื่องสลับสัญญาณภาพ พร้อมเทคนิคพิเศษ  </t>
  </si>
  <si>
    <t>เครื่องกระจายสัญญาณเครือข่าย ขนาด 48 ช่อง</t>
  </si>
  <si>
    <t>Control system</t>
  </si>
  <si>
    <t>เครื่องควมพิวเตอร์สำหรับควบคุม</t>
  </si>
  <si>
    <t>ชุดควบคุมแบบไร้สาย</t>
  </si>
  <si>
    <t>จอควบคุมและสั่งงานแบบสัมผัส</t>
  </si>
  <si>
    <t>เครื่องควบคุมอุปกรณ์</t>
  </si>
  <si>
    <t>เครื่องกระจายสัญญาณไร้สาย</t>
  </si>
  <si>
    <t>เครื่องกระจายสัญญาณเครือข่าย ขนาด 16 ช่อง</t>
  </si>
  <si>
    <t>Lighting system</t>
  </si>
  <si>
    <t>เครื่องควบคุมไฟเวที</t>
  </si>
  <si>
    <t>เครื่องกระจายสัญญาณ DMX ขนาด 8 ช่อง</t>
  </si>
  <si>
    <t>โคมไฟเวที LED Moving Head ขนาด 400 วัตต์</t>
  </si>
  <si>
    <t>โคมไฟเวที LED PAR ขนาด 150 วัตต์</t>
  </si>
  <si>
    <t>ราวแขวนไฟเวที</t>
  </si>
  <si>
    <t>สรุปราคางานอุปกรณ์ ห้อง AUDITORIUM</t>
  </si>
  <si>
    <t>เครื่องควบคุมไฟเวทีแบบตั้งโต๊ะ</t>
  </si>
  <si>
    <t>เครื่องพิวเตอร์ควบคุมไฟเวที พร้อม Interfade และโปรแกรม</t>
  </si>
  <si>
    <t>เครื่องรวมสัญญาณควบคุม DMX</t>
  </si>
  <si>
    <t xml:space="preserve">เครื่องกระจายสัญญาณเครือข่าย ขนาด 4 ช่อง </t>
  </si>
  <si>
    <t>เครื่องกระจายสัญญาณ DMX ขนาด 4 ช่อง ผ่านสาย LAN แบบติด TRUSS</t>
  </si>
  <si>
    <t>เครื่องกระจายสัญญาณ DMX ขนาด 6 ช่อง แบบติด TRUSS</t>
  </si>
  <si>
    <t>ตู้เก็บอุปกรณ์ 19 นิ้ว ขนาด 27U</t>
  </si>
  <si>
    <t>สรุปราคางานอุปกรณ์ ห้อง MUSEUM</t>
  </si>
  <si>
    <t>จอแสดงผลภาพ ขนาด 65 นิ้ว แบบสัมผัส</t>
  </si>
  <si>
    <t>ตู้เก็บอุปกรณ์แบบเคลื่อนย้าย</t>
  </si>
  <si>
    <t>สรุปราคางานอุปกรณ์ ห้อง Kid Zone</t>
  </si>
  <si>
    <t>Audio system</t>
  </si>
  <si>
    <t>เครื่องขยายสัญญาณหูฟัง แบบ 1</t>
  </si>
  <si>
    <t>เครื่องเล่นแผนเสียง</t>
  </si>
  <si>
    <t xml:space="preserve">หูฟังแบบครอบหู </t>
  </si>
  <si>
    <t>ควมพิวเตอร์ สำหรับควบคุม</t>
  </si>
  <si>
    <t>สรุปราคางานอุปกรณ์ ห้อง Music Digital</t>
  </si>
  <si>
    <t>MEETING ROOM</t>
  </si>
  <si>
    <t>3M07 MEETING ROOM A</t>
  </si>
  <si>
    <t>ไมโครโฟนชุดประชุม สำหรับประธาน</t>
  </si>
  <si>
    <t>ไมโครโฟนชุดประชุม สำหรับผู้ร่วมประชุม</t>
  </si>
  <si>
    <t>เครื่องควบคุมและจ่ายไฟชุดประชุม</t>
  </si>
  <si>
    <t>เครื่องขยายสัญญาณเสียง แบบ 2 ช่อง ขนาด 200 วัตต์</t>
  </si>
  <si>
    <t>ลำโพงฝังเพดาน ขนาด 6 นิ้ว</t>
  </si>
  <si>
    <t>Video Tracking system</t>
  </si>
  <si>
    <t>แผงรับ-ส่งสัญญาณภาพและเสียง แบบ HDMI+USB ผ่านสาย LAN</t>
  </si>
  <si>
    <t>เครื่องสลับสัญญาณภาพ แบบ 4x4 ช่อง</t>
  </si>
  <si>
    <t>กล้องจับภาพผู้ประชุม แบบที่ 1</t>
  </si>
  <si>
    <t xml:space="preserve">เครื่องเลือกสัญญาณภาพแบบไร้รอยต่อ </t>
  </si>
  <si>
    <t>อุปกรณ์แปลงสัญญาณ HDMI เป็น USB</t>
  </si>
  <si>
    <t>สรุปราคางานอุปกรณ์ ห้อง 3M07 MEETING ROOM A</t>
  </si>
  <si>
    <t>3M08 MEETING ROOM B</t>
  </si>
  <si>
    <t>ระบบประชุมทางไกล</t>
  </si>
  <si>
    <t>ไมโครโฟนสำหรับการประชุมทางไกล</t>
  </si>
  <si>
    <t>ชุดกล้องพร้อมลำโพงสำหรับประชุมทางไกล</t>
  </si>
  <si>
    <t>จอ LED TV ขนาด 65 นิ้ว พร้อมขาแขวน</t>
  </si>
  <si>
    <t>แผงรับสัญญาณ HDMI และ USB</t>
  </si>
  <si>
    <t>สรุปราคางานอุปกรณ์ ห้อง 3M08 MEETING ROOM B</t>
  </si>
  <si>
    <t>3M09 MEETING ROOM C</t>
  </si>
  <si>
    <t>สรุปราคางานอุปกรณ์ ห้อง 3M09 MEETING ROOM C</t>
  </si>
  <si>
    <t>3M10 MEETING ROOM D</t>
  </si>
  <si>
    <t>สรุปราคางานอุปกรณ์ ห้อง 3M10 MEETING ROOM D</t>
  </si>
  <si>
    <t>สรุปราคางานอุปกรณ์ ห้อง MEETING ROOM</t>
  </si>
  <si>
    <t>งานครุภัณฑ์ผ้าม่าน (RC1)</t>
  </si>
  <si>
    <t>สรุปราคาค่าก่อสร้างงานครุภัณฑ์ผ้าม่าน</t>
  </si>
  <si>
    <t>งานครุภัณฑ์ผ้าม่าน</t>
  </si>
  <si>
    <t>รวมราคาค่าก่อสร้างงานครุภัณฑ์ผ้าม่าน</t>
  </si>
  <si>
    <t>CT-B01</t>
  </si>
  <si>
    <t>ม่านม้วนBLACKOUT</t>
  </si>
  <si>
    <t>CT-B02</t>
  </si>
  <si>
    <t>CT-B03A</t>
  </si>
  <si>
    <t>CT-B03B</t>
  </si>
  <si>
    <t>CT-B04A</t>
  </si>
  <si>
    <t>CT-B04B</t>
  </si>
  <si>
    <t>CT-B05A</t>
  </si>
  <si>
    <t>CT-B05B</t>
  </si>
  <si>
    <t>CT-B06A</t>
  </si>
  <si>
    <t>CT-B06C</t>
  </si>
  <si>
    <t>CT-B06D</t>
  </si>
  <si>
    <t>CT-B06E</t>
  </si>
  <si>
    <t>CT-B06F</t>
  </si>
  <si>
    <t>CT-B06G</t>
  </si>
  <si>
    <t>CT-101A</t>
  </si>
  <si>
    <t>ม่านม้วนกรองแสง 3% ระบบออโต้</t>
  </si>
  <si>
    <t>CT-101B</t>
  </si>
  <si>
    <t>CT-101C</t>
  </si>
  <si>
    <t>CT-101D</t>
  </si>
  <si>
    <t>CT-102</t>
  </si>
  <si>
    <t>CT-103A</t>
  </si>
  <si>
    <t xml:space="preserve">ม่านม้วนกรองแสง 3% </t>
  </si>
  <si>
    <t>CT-103B</t>
  </si>
  <si>
    <t>CT-103C</t>
  </si>
  <si>
    <t>CT-103D</t>
  </si>
  <si>
    <t>CT-103E</t>
  </si>
  <si>
    <t>CT-103G</t>
  </si>
  <si>
    <t>CT-103H</t>
  </si>
  <si>
    <t>CT-104A</t>
  </si>
  <si>
    <t>CT-104B</t>
  </si>
  <si>
    <t>CT-105A</t>
  </si>
  <si>
    <t>ม่านม้วนกันเสียง</t>
  </si>
  <si>
    <t>CT-105B</t>
  </si>
  <si>
    <t>CT-106A</t>
  </si>
  <si>
    <t>CT-106B</t>
  </si>
  <si>
    <t>CT-107</t>
  </si>
  <si>
    <t>CT-201A</t>
  </si>
  <si>
    <t>CT-201B</t>
  </si>
  <si>
    <t>CT-201C</t>
  </si>
  <si>
    <t>CT-201D</t>
  </si>
  <si>
    <t>CT-201E</t>
  </si>
  <si>
    <t>CT-201F</t>
  </si>
  <si>
    <t>CT-201G</t>
  </si>
  <si>
    <t>CT-201H</t>
  </si>
  <si>
    <t>CT-202</t>
  </si>
  <si>
    <t>รีโมท 16 Channels</t>
  </si>
  <si>
    <t>CT-203A</t>
  </si>
  <si>
    <t>CT-203B</t>
  </si>
  <si>
    <t>ม่านม้วนBLACKOUT ระบบออโต้</t>
  </si>
  <si>
    <t>CT-203C</t>
  </si>
  <si>
    <t>CT-203D</t>
  </si>
  <si>
    <t>CT-203E</t>
  </si>
  <si>
    <t>CT-203F</t>
  </si>
  <si>
    <t>CT-203G</t>
  </si>
  <si>
    <t>CT-203H</t>
  </si>
  <si>
    <t>CT-203I</t>
  </si>
  <si>
    <t>CT-203J</t>
  </si>
  <si>
    <t>CT-204A</t>
  </si>
  <si>
    <t>CT-204B</t>
  </si>
  <si>
    <t>CT-204C</t>
  </si>
  <si>
    <t>CT-205A</t>
  </si>
  <si>
    <t>ม่านม้วนกรองแสง 3%</t>
  </si>
  <si>
    <t>CT-205B</t>
  </si>
  <si>
    <t>CT-205C</t>
  </si>
  <si>
    <t>CT-301A</t>
  </si>
  <si>
    <t>CT-301B</t>
  </si>
  <si>
    <t>CT-302A</t>
  </si>
  <si>
    <t>CT-302B</t>
  </si>
  <si>
    <t>CT-302C</t>
  </si>
  <si>
    <t>CT-302D</t>
  </si>
  <si>
    <t>CT-302E</t>
  </si>
  <si>
    <t>CT-302F</t>
  </si>
  <si>
    <t>CT-302G</t>
  </si>
  <si>
    <t>CT-302H</t>
  </si>
  <si>
    <t>CT-302I</t>
  </si>
  <si>
    <t>CT-302J</t>
  </si>
  <si>
    <t>CT-302K</t>
  </si>
  <si>
    <t>CT-302L</t>
  </si>
  <si>
    <t>CT-302M</t>
  </si>
  <si>
    <t>CT-302N</t>
  </si>
  <si>
    <t>CT-302O</t>
  </si>
  <si>
    <t>CT-302P</t>
  </si>
  <si>
    <t>CT-302Q</t>
  </si>
  <si>
    <t>CT-302R</t>
  </si>
  <si>
    <t>CT-302S</t>
  </si>
  <si>
    <t>CT-302T</t>
  </si>
  <si>
    <t>CT-302U</t>
  </si>
  <si>
    <t>CT-302V</t>
  </si>
  <si>
    <t>CT-302W</t>
  </si>
  <si>
    <t>CT-303A</t>
  </si>
  <si>
    <t>CT-303B</t>
  </si>
  <si>
    <t>CT-304A</t>
  </si>
  <si>
    <t>CT-304B</t>
  </si>
  <si>
    <t>CT-304C</t>
  </si>
  <si>
    <t>CT-304D</t>
  </si>
  <si>
    <t>CT-305A</t>
  </si>
  <si>
    <t>CT-305B</t>
  </si>
  <si>
    <t>CT-306A</t>
  </si>
  <si>
    <t>CT-306B</t>
  </si>
  <si>
    <t>CT-306C</t>
  </si>
  <si>
    <t>CT-307A</t>
  </si>
  <si>
    <t>CT-307B</t>
  </si>
  <si>
    <t>CT-307C</t>
  </si>
  <si>
    <t>CT-3M01A</t>
  </si>
  <si>
    <t>CT-3M01B</t>
  </si>
  <si>
    <t>CT-3M01C</t>
  </si>
  <si>
    <t>CT-3M02A</t>
  </si>
  <si>
    <t>CT-3M02B</t>
  </si>
  <si>
    <t>CT-3M02C</t>
  </si>
  <si>
    <t>CT-3M03A</t>
  </si>
  <si>
    <t>CT-3M03B</t>
  </si>
  <si>
    <t>รวมราคาหมวดงานครุภัณฑ์ผ้าม่าน</t>
  </si>
  <si>
    <t>งานครุภัณฑ์งานป้ายสัญลักษณ์ (RC1)</t>
  </si>
  <si>
    <t>สรุปราคาค่าก่อสร้างงานครุภัณฑ์ป้ายสัญลักษณ์</t>
  </si>
  <si>
    <t>งานครุภัณฑ์งานป้ายสัญลักษณ์</t>
  </si>
  <si>
    <t>รวมราคาค่าก่อสร้างงานครุภัณฑ์งานป้ายสัญลักษณ์</t>
  </si>
  <si>
    <t>ป้ายสัญลักษณ์</t>
  </si>
  <si>
    <t>ป้ายประเภทตั้งพื้น</t>
  </si>
  <si>
    <t>OBJ x0x' ป้ายตั้งมีแผนที่รวมทุกชั้น ไฟ</t>
  </si>
  <si>
    <t>OBJ x0x ป้ายตั้งมีแผนที่ ไฟ</t>
  </si>
  <si>
    <t>OBJ x1x ป้ายตั้งบอกวิง ไฟ</t>
  </si>
  <si>
    <t>OBJ x2x ป้ายตั้งบอกทาง ไฟ</t>
  </si>
  <si>
    <t>OBJ x3x ป้ายที่จอดรถ ไฟ</t>
  </si>
  <si>
    <t>ป้ายประเภทติดผนัง</t>
  </si>
  <si>
    <t>OBJ x4x ติดผนังบอกทาง Zinc</t>
  </si>
  <si>
    <t>OBJ x4x' ติดผนังบอกทาง Zinc</t>
  </si>
  <si>
    <t>OBJ x4x'' ติดผนังบอกทาง Zinc</t>
  </si>
  <si>
    <t xml:space="preserve">OBJ x5x ติดผนังบอกทาง อักษรลอย </t>
  </si>
  <si>
    <t>OBJ x6x ติดผนัง ชื่อห้อง Zinc</t>
  </si>
  <si>
    <t>OBJ x6x" ติดผนัง ชื่อห้อง Zinc</t>
  </si>
  <si>
    <t>OBJ x7x' ห้องน้ำ (รวม)</t>
  </si>
  <si>
    <t>OBJ x7x ห้องน้ำ (แยก)</t>
  </si>
  <si>
    <t>TXT x0x ชื่อห้อง อักษรลอย</t>
  </si>
  <si>
    <t>TXT x1x ชื่อห้องสติกเกอร์</t>
  </si>
  <si>
    <t>TXT x2x ชื่อคอลั่มเสา</t>
  </si>
  <si>
    <t>ป้ายประเภทชื่อพิเศษ</t>
  </si>
  <si>
    <t>LG 001 ชื่อพิเศษอคริลิกยกขอบ ไฟออกหน้า ไฟ</t>
  </si>
  <si>
    <t>LG  101 ชื่อพิเศษอคริลิกยกขอบ ไฟออกหน้า ไฟ</t>
  </si>
  <si>
    <t>LG 102 ชื่อพิเศษอคริลิกยกขอบ ไฟออกหน้า ไฟ(ใหญ่)</t>
  </si>
  <si>
    <t>LG  301 ชื่อพิเศษอคริลิกยกขอบ ไฟออกหน้า ไฟ</t>
  </si>
  <si>
    <t>LG 011 ชื่อพิเศษโลหะยกขอบ ไฟออกหลัง ไฟ</t>
  </si>
  <si>
    <t>LG  112 ชื่อพิเศษโลหะยกขอบ ไฟออกหลัง ไฟ</t>
  </si>
  <si>
    <t>LG  211 ชื่อพิเศษโลหะยกขอบ ไฟออกหลัง ไฟ</t>
  </si>
  <si>
    <t>LG 3M11 ชื่อพิเศษโลหะยกขอบ ไฟออกหลัง ไฟ</t>
  </si>
  <si>
    <t>LG 022 ชื่อพิเศษโลหะยกขอบ ไฟไม่ออกหลัง</t>
  </si>
  <si>
    <t>LG 121 ชื่อพิเศษโลหะยกขอบ ไฟไม่ออกหลัง</t>
  </si>
  <si>
    <t>LG 231 ชื่อพิเศษ อคริลิกลอยตัว ไฟรอบตัว ไฟ</t>
  </si>
  <si>
    <t>LG 141  ป้ายOKMD ไฟ</t>
  </si>
  <si>
    <t>ป้ายประเภทหมวดหนังสือ</t>
  </si>
  <si>
    <t>BM xxx ป้ายหมวดหนังสือ</t>
  </si>
  <si>
    <t>BM x1x ป้ายชั้นหนังสือ(lower floor)</t>
  </si>
  <si>
    <t>BM x1x ป้ายชั้นหนังสือ(Living LIB)</t>
  </si>
  <si>
    <t>ป้ายประเภทห้อย</t>
  </si>
  <si>
    <t>HNG x0x ป้ายที่จอดรถบอกทาง (ทางเข้า-ออก) ไฟ</t>
  </si>
  <si>
    <t>HNG x1x ป้ายที่จอดรถบอกระหว่างทาง ไฟ</t>
  </si>
  <si>
    <t>HNG x2x ป้ายบอกทางไปห้องน้ำภายในอาคาร ไฟ</t>
  </si>
  <si>
    <t>ค่าดำเนินการและค่าติดตั้ง</t>
  </si>
  <si>
    <t>ค่าทำ Shop Drawing</t>
  </si>
  <si>
    <t>ค่าติดตั้ง</t>
  </si>
  <si>
    <t>งานป้ายสัญลักษณ์</t>
  </si>
  <si>
    <t xml:space="preserve">งานครุภัณฑ์งานภูมิสถาปัตยกรรมและงานต้นไม้  (RC 1) </t>
  </si>
  <si>
    <t>สรุปราคาค่าก่อสร้างงานครุภัณฑ์ภูมิสถาปัตยกรรมและงานต้นไม้</t>
  </si>
  <si>
    <t>หมวดงาน SOFTSCAPE</t>
  </si>
  <si>
    <t>รวมราคางานครุภัณฑ์ภูมิสถาปัตยกรรมและงานต้นไม้</t>
  </si>
  <si>
    <t>ครุภัณฑ์งานภูมิสถาปัตยกรรมและงานต้นไม้</t>
  </si>
  <si>
    <t>งานกระถาง</t>
  </si>
  <si>
    <t>งานกระถางต้นไม้ภายนอกอาคาร</t>
  </si>
  <si>
    <t>ชุดกระถางพรรณไม้ในวรรณคดีชุดละ 3 ใบ(ก01,ก02,ก03)</t>
  </si>
  <si>
    <t>ชุดยึดล็อกป้องกันขโมยกระถาง</t>
  </si>
  <si>
    <t>งานกระถางต้นไม้ภายในอาคาร</t>
  </si>
  <si>
    <t>กระถางปากกลม ขนาด ⌀520 มม. สูง 530 มม.</t>
  </si>
  <si>
    <t>กระถางปากกลม ขนาด ⌀840 มม. สูง 890 มม.</t>
  </si>
  <si>
    <t>รวมราคางานกระถาง</t>
  </si>
  <si>
    <t>งานเฟอร์นิเจอร์</t>
  </si>
  <si>
    <t>(ข01)ม้านั่งเหล็กยาว ขนาดดูในแบบ</t>
  </si>
  <si>
    <t>(ข02)ม้านั่งเหล็กเดี่ยว ขนาดดูในแบบ</t>
  </si>
  <si>
    <t>(ข03)โต๊ะกลางเหล็ก ขนาดดูในแบบ</t>
  </si>
  <si>
    <t>(ข04)ม้านั่งเหล็กเดี่ยว ขนาดดูในแบบ</t>
  </si>
  <si>
    <t>2..5</t>
  </si>
  <si>
    <t>ม้านั่งล้อมต้นไม้และค้ำยันเหล็ก(รวมงานฐานราก)</t>
  </si>
  <si>
    <t>**ใช้ค้ำยัน ไทรย้อยใบแหลม สูง 8.00 ม. ทรงพุ่ม 6.00 ม. ⌀ ลำต้น 35 นิ้ว 1 ต้น</t>
  </si>
  <si>
    <t>ชุดยึดล็อกป้องกันขโมยเฟอร์นิเจอร์</t>
  </si>
  <si>
    <t>ค้ำยันเหล็ก(รวมงานฐานราก)</t>
  </si>
  <si>
    <t>***ใช้ค้ำยัน กันเกรา สูง 5.00 ม. ทรงพุ่ม 3.00ม. ⌀ ลำต้น 4นิ้ว   14 ต้น</t>
  </si>
  <si>
    <t>***ใช้ค้ำยันปีบ สูง 5.00 ม. ทรงพุ่ม 3.00ม. ⌀ ลำต้น 4นิ้ว  10 ต้น</t>
  </si>
  <si>
    <t>รวมราคางานเฟอร์นิเจอร์</t>
  </si>
  <si>
    <t>งานฝาตะแกรงเหล็ก</t>
  </si>
  <si>
    <t>ตะแกรงเหล็กปิดฝารางระบายน้ำสั่งทำลายพิเศษ ขนาด 200x600 มม. ทำสี</t>
  </si>
  <si>
    <t>ตะแกรงเหล็กปิดฝารางระบายน้ำสั่งทำลายพิเศษ ขนาด 300x600 มม. ทำสี</t>
  </si>
  <si>
    <t>ตะแกรงเหล็กคลุมรากต้นไม้ 1 ขนาด 5500x5590 มม.</t>
  </si>
  <si>
    <t>ตะแกรงเหล็กคลุมรากต้นไม้ 2 ขนาด 1000x1000 มม.</t>
  </si>
  <si>
    <t>รวมราคางานฝาตะแกรงเหล็ก</t>
  </si>
  <si>
    <t>เสากั้นไฟเบอร์กลาส BOLLARD 1</t>
  </si>
  <si>
    <t>เสากั้นไฟเบอร์กลาส BOLLARD 2</t>
  </si>
  <si>
    <t>เสานไฟเบอร์กลาสPower plug</t>
  </si>
  <si>
    <t>ราวจับ</t>
  </si>
  <si>
    <t>ชุดกั้นแนวน้ำท่วม</t>
  </si>
  <si>
    <t>เสาเสียบกั้นแนวน้ำท่วมแกรนิตสีเหลืองทรายทอง</t>
  </si>
  <si>
    <t>ชุดติดตั้งอุปกรณ์ (20 ซม.)</t>
  </si>
  <si>
    <t>รั้วเหล็กล้อมตู้ไฟฟ้า</t>
  </si>
  <si>
    <t>รวมราคางานครุภัณฑ์ภูมิสถาปัตยกรรม หมวดงาน HARDSCAPE</t>
  </si>
  <si>
    <t>งานต้นไม้ใหญ่</t>
  </si>
  <si>
    <t>2.1.1</t>
  </si>
  <si>
    <t>ไทรย้อยใบแหลม สูง 8.00 ม. ทรงพุ่ม 6.00 ม. ⌀ ลำต้น 35 นิ้ว (+-1 นิ้ว) (ม้านั่งล้อม+ค้ำยันเหล็ก)</t>
  </si>
  <si>
    <t>2.1.2</t>
  </si>
  <si>
    <t>ประดู่ป่า สูง 6.00 ม. ทรงพุ่ม 4.00ม. ⌀ ลำต้น 9 นิ้ว (ขนาดไม่ต่ำกว่าระบุ)</t>
  </si>
  <si>
    <t>2.1.3</t>
  </si>
  <si>
    <t>กันเกรา สูง 5.00 ม. ทรงพุ่ม 3.00ม. ⌀ ลำต้น 4นิ้ว  (ค้ำยันเหล็ก) (ขนาดไม่ต่ำกว่าระบุ)</t>
  </si>
  <si>
    <t>2.1.4</t>
  </si>
  <si>
    <t>ปีบ สูง 5.00 ม. ทรงพุ่ม 3.00ม. ⌀ ลำต้น 4นิ้ว  (ค้ำยันเหล็ก) (ขนาดไม่ต่ำกว่าระบุ)</t>
  </si>
  <si>
    <t>รวมราคางานต้นไม้ใหญ่ (**ราคานี้ยังไม่รวมราคาค้ำยันเหล็ก)</t>
  </si>
  <si>
    <t>งานไม้พุ่มและไม้คุลมดิน</t>
  </si>
  <si>
    <t>2.2.1</t>
  </si>
  <si>
    <t>แก้วต้น สูง 3.50 ม. ทรงพุ่ม 3.00 ม. (ขนาดไม่ต่ำกว่าระบุ)</t>
  </si>
  <si>
    <t>2.2.2</t>
  </si>
  <si>
    <t>แก้วต้น สูง 2.00 ม. ทรงพุ่ม 1.50 ม. (ขนาดไม่ต่ำกว่าระบุ)</t>
  </si>
  <si>
    <t>2.2.3</t>
  </si>
  <si>
    <t>ชาฮกเกี้ยน สูง 0.40 ม. ทรงพุ่ม 0.30 ม. ถุง 10 นิ้ว (ขนาดไม่ต่ำกว่าระบุ)</t>
  </si>
  <si>
    <t>2.2.4</t>
  </si>
  <si>
    <t>พวงทองต้น สูง 0.50 ม. ทรงพุ่ม 0.40 ม. กระถาง 11 นิ้ว (ขนาดไม่ต่ำกว่าระบุ)</t>
  </si>
  <si>
    <t>2.2.5</t>
  </si>
  <si>
    <t>ขาไก่ดำ สูง 0.30 ม. ทรงพุ่ม 0.20 ม. กระถาง 8 นิ้ว (ขนาดไม่ต่ำกว่าระบุ)</t>
  </si>
  <si>
    <t>2.2.6</t>
  </si>
  <si>
    <t>หลิวใบ สูง 0.20 ม. ทรงพุ่ม 0.20 ม. กระถาง 6 นิ้ว (ขนาดไม่ต่ำกว่าระบุ)</t>
  </si>
  <si>
    <t>2.2.7</t>
  </si>
  <si>
    <t>หญ้ามาเลเซีย</t>
  </si>
  <si>
    <t>2.2.8</t>
  </si>
  <si>
    <t>หญ้านวลน้อย</t>
  </si>
  <si>
    <t xml:space="preserve"> ตร.ม.</t>
  </si>
  <si>
    <t>รวมราคางานไม้พุ่มและไม้คุลมดิน</t>
  </si>
  <si>
    <t>งานไม้เลื้อย</t>
  </si>
  <si>
    <t>2.3.1</t>
  </si>
  <si>
    <t>รสสุคนธ์ สูง 1.50ม. ทรงพุ่ม 0.40 ม. กระถาง 15 นิ้ว (ความยาวไม่น้อยกว่า 1.50ม.)</t>
  </si>
  <si>
    <t>รวมราคางานไม้เลื้อย</t>
  </si>
  <si>
    <t>งานไม้กระถางภายนอกอาคาร</t>
  </si>
  <si>
    <t>2.4.1</t>
  </si>
  <si>
    <t>พุดจีบ สูง 3.50 ม. ทรงพุ่ม 2.50 ม. (ขนาดไม่ต่ำกว่าระบุ)</t>
  </si>
  <si>
    <t>2.4.2</t>
  </si>
  <si>
    <t>ข่อย (บอนไซ) สูง 1.00 ม. ทรงพุ่ม 1.20 ม. (ขนาดไม่ต่ำกว่าระบุ)</t>
  </si>
  <si>
    <t>2.4.3</t>
  </si>
  <si>
    <t>แก้วต้น สูง 1.00 ม. ทรงพุ่ม 0.80 ม. (ขนาดไม่ต่ำกว่าระบุ)</t>
  </si>
  <si>
    <t>2.4.4</t>
  </si>
  <si>
    <t>คล้าขุนแผน สูง 0.40ม. ทรงพุ่ม 0.30 ม. กระถาง 8 นิ้ว (ขนาดไม่ต่ำกว่าระบุ)</t>
  </si>
  <si>
    <t>2.4.5</t>
  </si>
  <si>
    <r>
      <rPr>
        <sz val="16"/>
        <rFont val="Angsana New"/>
        <charset val="134"/>
      </rPr>
      <t xml:space="preserve">โคลงเคลงเลื้อย สูง 0.15 ม. ทรงพุ่ม 0.20 ม. ถุง 6 นิ้ว </t>
    </r>
    <r>
      <rPr>
        <b/>
        <sz val="16"/>
        <rFont val="Angsana New"/>
        <charset val="134"/>
      </rPr>
      <t>(ขนาดไม่ต่ำกว่าระบุ)</t>
    </r>
  </si>
  <si>
    <t>รวมราคางานไม้กระถางภายนอกอาคาร</t>
  </si>
  <si>
    <t>งานไม้กระถางภายในอาคาร</t>
  </si>
  <si>
    <t>2.5.1</t>
  </si>
  <si>
    <t>หมากเหลือง สูง 1.00 ม. ทรงพุ่ม 0.60 ม. กระถาง 12 นิ้ว (ขนาดไม่ต่ำกว่าระบุ)</t>
  </si>
  <si>
    <t>2.5.2</t>
  </si>
  <si>
    <t>มอนสเตอรา สูง 0.60 ม. ทรงพุ่ม 0.60 ม. กระถาง 12 นิ้ว (ขนาดไม่ต่ำกว่าระบุ)</t>
  </si>
  <si>
    <t>2.5.3</t>
  </si>
  <si>
    <t>ฟิโลหูช้าง สูง 0.60 ม. ทรงพุ่ม 0.80 ม. กระถาง 12 นิ้ว (ขนาดไม่ต่ำกว่าระบุ)</t>
  </si>
  <si>
    <t>2.5.4</t>
  </si>
  <si>
    <t>บัวดอย สูง 0.60 ม. ทรงพุ่ม 0.30 ม. กระถาง 12 นิ้ว (ขนาดไม่ต่ำกว่าระบุ)</t>
  </si>
  <si>
    <t>2.5.5</t>
  </si>
  <si>
    <t>ไทรย้อยใบแหลม สูง 1.50 ม. ทรงพุ่ม 1.20 ม. กระถาง 15 นิ้ว (ขนาดไม่ต่ำกว่าระบุ)</t>
  </si>
  <si>
    <t>2.5.6</t>
  </si>
  <si>
    <t>ไทรใบสัก สูง 1.20 ม. ทรงพุ่ม 0.80 ม. กระถาง 15 นิ้ว (ขนาดไม่ต่ำกว่าระบุ)</t>
  </si>
  <si>
    <t>รวมราคางานไม้กระถางภายในอาคาร</t>
  </si>
  <si>
    <t>วัสดุอุปกรณ์</t>
  </si>
  <si>
    <t>2.6.1</t>
  </si>
  <si>
    <t>ค้ำยันไม้สน หรือไม้ยูคาลิปตัส ขนาด 3 นิ้ว</t>
  </si>
  <si>
    <t>***ใช้ค้ำยันประดู่ป่า สูง 6.00 ม. ทรงพุ่ม 4.00ม. ⌀ ลำต้น 9 นิ้ว  10 ต้น</t>
  </si>
  <si>
    <t>2.6.2</t>
  </si>
  <si>
    <t>ไม้ค้ำยันแบบ 4 ขา</t>
  </si>
  <si>
    <t>***ใช้ค้ำยันแก้วต้น สูง 3.50ม. ทรงพุ่ม 3.00 ม   1 ต้น</t>
  </si>
  <si>
    <t>***ใช้ค้ำยันแก้วต้น สูง 2.00ม. ทรงพุ่ม 1.50 ม.  2 ต้น</t>
  </si>
  <si>
    <t>***ใช้ค้ำยันพุดจีบ สูง 3.50 ม. ทรงพุ่ม 3.00 ม.   11 ต้น</t>
  </si>
  <si>
    <t>2.6.3</t>
  </si>
  <si>
    <t>ดินผสมปลูก</t>
  </si>
  <si>
    <t>ลบ.ม</t>
  </si>
  <si>
    <t>2.6.4</t>
  </si>
  <si>
    <t>DRAINAGE CELL 30 มม.</t>
  </si>
  <si>
    <t>2.6.5</t>
  </si>
  <si>
    <t>GEOTEXTILE</t>
  </si>
  <si>
    <t>2.6.6</t>
  </si>
  <si>
    <t>ดินผสมปลูกสำหรับงานไม้ใหญ่บน GRATING</t>
  </si>
  <si>
    <t>2.6.7</t>
  </si>
  <si>
    <t>ทรายหนา50มม.(สำหรับงานไม้พุ่มไม้คลุมดิน) และระบบDRAINAGE CELLหนา30มม.</t>
  </si>
  <si>
    <t>2.6.8</t>
  </si>
  <si>
    <t>ทรายสำหรับปูหญ้า หนา 100มม.</t>
  </si>
  <si>
    <t>2.6.9</t>
  </si>
  <si>
    <t>หินกรวด โรยปิดหน้ากระถาง</t>
  </si>
  <si>
    <t>รวมราคาวัสดุอุปกรณ์</t>
  </si>
  <si>
    <t>รวมราคางานครุภัณฑ์ภูมิสถาปัตยกรรม หมวดงาน SOFTSCAPE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</si>
</sst>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3" formatCode="_-* #,##0.00_-;\-* #,##0.00_-;_-* &quot;-&quot;??_-;_-@_-"/>
    <numFmt numFmtId="187" formatCode="0.000_);\(0.000\)"/>
    <numFmt numFmtId="188" formatCode="_(* #,##0_);_(* \(#,##0\);_(* &quot;-&quot;_);_(@_)"/>
    <numFmt numFmtId="189" formatCode="_(&quot;$&quot;* #,##0.00_);_(&quot;$&quot;* \(#,##0.00\);_(&quot;$&quot;* &quot;-&quot;??_);_(@_)"/>
    <numFmt numFmtId="190" formatCode="_-* #,##0.00_-;\-* #,##0.00_-;_-* \-??_-;_-@_-"/>
    <numFmt numFmtId="191" formatCode="0.0"/>
    <numFmt numFmtId="192" formatCode="_-* #,##0.0000_-;\-* #,##0.0000_-;_-* &quot;-&quot;??_-;_-@_-"/>
    <numFmt numFmtId="193" formatCode="_-* #,##0_-;\-* #,##0_-;_-* &quot;-&quot;??_-;_-@_-"/>
    <numFmt numFmtId="194" formatCode="_-* #,##0.000000000_-;\-* #,##0.000000000_-;_-* &quot;-&quot;??_-;_-@_-"/>
    <numFmt numFmtId="195" formatCode="_-* #,##0_-;\-* #,##0_-;_-* &quot;-&quot;?_-;_-@_-"/>
    <numFmt numFmtId="196" formatCode="_(* #,##0.00_);_(* \(#,##0.00\);_(* &quot;-&quot;??_);_(@_)"/>
    <numFmt numFmtId="197" formatCode="[$-1010409]d\ mmm\ yy;@"/>
    <numFmt numFmtId="198" formatCode="_(* #,##0_);_(* \(#,##0\);_(* &quot;-&quot;??_);_(@_)"/>
    <numFmt numFmtId="199" formatCode="B1d\-mmm\-yy"/>
    <numFmt numFmtId="200" formatCode="_-* #,##0.0_-;\-* #,##0.0_-;_-* &quot;-&quot;??_-;_-@_-"/>
    <numFmt numFmtId="201" formatCode="0.0_);\(0.0\)"/>
    <numFmt numFmtId="202" formatCode="0.00_);\(0.00\)"/>
    <numFmt numFmtId="203" formatCode="#,##0.0"/>
    <numFmt numFmtId="204" formatCode="[$-107041E]d\ mmm\ yy;@"/>
  </numFmts>
  <fonts count="27">
    <font>
      <sz val="16"/>
      <name val="DilleniaUPC"/>
      <charset val="134"/>
    </font>
    <font>
      <b/>
      <sz val="16"/>
      <name val="Angsana New"/>
      <charset val="134"/>
    </font>
    <font>
      <sz val="16"/>
      <name val="Angsana New"/>
      <charset val="134"/>
    </font>
    <font>
      <b/>
      <i/>
      <sz val="16"/>
      <name val="Angsana New"/>
      <charset val="134"/>
    </font>
    <font>
      <sz val="18"/>
      <name val="Angsana New"/>
      <charset val="134"/>
    </font>
    <font>
      <b/>
      <sz val="18"/>
      <name val="Angsana New"/>
      <charset val="134"/>
    </font>
    <font>
      <sz val="16"/>
      <color rgb="FF0000FF"/>
      <name val="Angsana New"/>
      <charset val="134"/>
    </font>
    <font>
      <sz val="16"/>
      <color theme="1"/>
      <name val="Angsana New"/>
      <charset val="134"/>
    </font>
    <font>
      <b/>
      <sz val="16"/>
      <color theme="1"/>
      <name val="Angsana New"/>
      <charset val="134"/>
    </font>
    <font>
      <b/>
      <sz val="16"/>
      <color rgb="FF0000FF"/>
      <name val="Angsana New"/>
      <charset val="134"/>
    </font>
    <font>
      <i/>
      <sz val="16"/>
      <name val="Angsana New"/>
      <charset val="134"/>
    </font>
    <font>
      <sz val="16"/>
      <color rgb="FFFF0000"/>
      <name val="Angsana New"/>
      <charset val="134"/>
    </font>
    <font>
      <b/>
      <sz val="18"/>
      <color theme="1"/>
      <name val="Angsana New"/>
      <charset val="134"/>
    </font>
    <font>
      <sz val="11"/>
      <color theme="1"/>
      <name val="Calibri"/>
      <charset val="222"/>
      <scheme val="minor"/>
    </font>
    <font>
      <sz val="14"/>
      <name val="Cordia New"/>
      <charset val="134"/>
    </font>
    <font>
      <sz val="14"/>
      <name val="AngsanaUPC"/>
      <charset val="134"/>
    </font>
    <font>
      <sz val="10"/>
      <name val="Arial"/>
      <charset val="134"/>
    </font>
    <font>
      <sz val="16"/>
      <name val="DilleniaUPC"/>
      <charset val="222"/>
    </font>
    <font>
      <sz val="11"/>
      <color theme="1"/>
      <name val="Calibri"/>
      <charset val="134"/>
      <scheme val="minor"/>
    </font>
    <font>
      <sz val="15"/>
      <name val="DilleniaUPC"/>
      <charset val="134"/>
    </font>
    <font>
      <sz val="14"/>
      <name val="CordiaUPC"/>
      <charset val="134"/>
    </font>
    <font>
      <sz val="14"/>
      <name val="AngsanaUPC"/>
      <charset val="222"/>
    </font>
    <font>
      <sz val="11"/>
      <color indexed="8"/>
      <name val="Tahoma"/>
      <charset val="222"/>
    </font>
    <font>
      <sz val="11"/>
      <color indexed="8"/>
      <name val="Tahoma"/>
      <charset val="134"/>
    </font>
    <font>
      <sz val="11"/>
      <color theme="1"/>
      <name val="Tahoma"/>
      <charset val="222"/>
    </font>
    <font>
      <sz val="15"/>
      <name val="DilleniaUPC"/>
      <charset val="222"/>
    </font>
    <font>
      <sz val="16"/>
      <name val="DilleniaUPC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DF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71">
    <xf numFmtId="0" fontId="0" fillId="0" borderId="0"/>
    <xf numFmtId="43" fontId="17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13" fillId="0" borderId="0"/>
    <xf numFmtId="0" fontId="20" fillId="0" borderId="0" applyFont="0" applyFill="0" applyBorder="0" applyAlignment="0" applyProtection="0"/>
    <xf numFmtId="0" fontId="22" fillId="0" borderId="0"/>
    <xf numFmtId="0" fontId="26" fillId="0" borderId="0"/>
    <xf numFmtId="0" fontId="14" fillId="0" borderId="0"/>
    <xf numFmtId="0" fontId="14" fillId="0" borderId="0"/>
    <xf numFmtId="0" fontId="13" fillId="0" borderId="0"/>
    <xf numFmtId="0" fontId="17" fillId="0" borderId="0"/>
    <xf numFmtId="0" fontId="13" fillId="0" borderId="0"/>
    <xf numFmtId="43" fontId="16" fillId="0" borderId="0" applyFont="0" applyFill="0" applyBorder="0" applyAlignment="0" applyProtection="0"/>
    <xf numFmtId="0" fontId="13" fillId="0" borderId="0"/>
    <xf numFmtId="0" fontId="26" fillId="0" borderId="0"/>
    <xf numFmtId="0" fontId="13" fillId="0" borderId="0"/>
    <xf numFmtId="0" fontId="13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88" fontId="26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190" fontId="17" fillId="0" borderId="0" applyBorder="0" applyAlignment="0" applyProtection="0"/>
    <xf numFmtId="43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6" fillId="0" borderId="0"/>
    <xf numFmtId="0" fontId="14" fillId="0" borderId="0"/>
    <xf numFmtId="0" fontId="14" fillId="0" borderId="0"/>
    <xf numFmtId="0" fontId="2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2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4" fillId="0" borderId="0"/>
    <xf numFmtId="0" fontId="20" fillId="0" borderId="0"/>
    <xf numFmtId="0" fontId="23" fillId="0" borderId="0"/>
    <xf numFmtId="0" fontId="25" fillId="0" borderId="0"/>
    <xf numFmtId="0" fontId="19" fillId="0" borderId="0"/>
    <xf numFmtId="0" fontId="15" fillId="0" borderId="0"/>
    <xf numFmtId="0" fontId="21" fillId="0" borderId="0"/>
    <xf numFmtId="0" fontId="21" fillId="0" borderId="0"/>
    <xf numFmtId="0" fontId="15" fillId="0" borderId="0"/>
    <xf numFmtId="0" fontId="16" fillId="0" borderId="0"/>
  </cellStyleXfs>
  <cellXfs count="1427">
    <xf numFmtId="0" fontId="0" fillId="0" borderId="0" xfId="0"/>
    <xf numFmtId="0" fontId="1" fillId="0" borderId="0" xfId="40" applyFont="1" applyAlignment="1">
      <alignment vertical="center"/>
    </xf>
    <xf numFmtId="0" fontId="1" fillId="0" borderId="0" xfId="40" applyFont="1" applyAlignment="1">
      <alignment horizontal="center" vertical="center"/>
    </xf>
    <xf numFmtId="43" fontId="1" fillId="0" borderId="0" xfId="1" applyFont="1" applyAlignment="1">
      <alignment vertical="center"/>
    </xf>
    <xf numFmtId="43" fontId="1" fillId="0" borderId="0" xfId="1" applyFont="1" applyFill="1" applyAlignment="1">
      <alignment vertical="center"/>
    </xf>
    <xf numFmtId="0" fontId="1" fillId="0" borderId="1" xfId="43" applyFont="1" applyBorder="1" applyAlignment="1">
      <alignment vertical="center"/>
    </xf>
    <xf numFmtId="0" fontId="1" fillId="0" borderId="2" xfId="43" applyFont="1" applyBorder="1" applyAlignment="1">
      <alignment vertical="center"/>
    </xf>
    <xf numFmtId="0" fontId="1" fillId="0" borderId="1" xfId="40" applyFont="1" applyBorder="1" applyAlignment="1">
      <alignment vertical="center"/>
    </xf>
    <xf numFmtId="43" fontId="1" fillId="0" borderId="2" xfId="1" applyFont="1" applyBorder="1" applyAlignment="1">
      <alignment vertical="center"/>
    </xf>
    <xf numFmtId="0" fontId="1" fillId="0" borderId="2" xfId="40" applyFont="1" applyBorder="1" applyAlignment="1">
      <alignment vertical="center"/>
    </xf>
    <xf numFmtId="43" fontId="1" fillId="0" borderId="3" xfId="1" applyFont="1" applyBorder="1" applyAlignment="1">
      <alignment horizontal="center" vertical="center"/>
    </xf>
    <xf numFmtId="0" fontId="1" fillId="0" borderId="11" xfId="40" applyFont="1" applyBorder="1" applyAlignment="1">
      <alignment horizontal="center" vertical="center"/>
    </xf>
    <xf numFmtId="43" fontId="1" fillId="0" borderId="9" xfId="1" applyFont="1" applyBorder="1" applyAlignment="1">
      <alignment horizontal="center" vertical="center"/>
    </xf>
    <xf numFmtId="43" fontId="1" fillId="0" borderId="9" xfId="1" applyFont="1" applyFill="1" applyBorder="1" applyAlignment="1">
      <alignment horizontal="center" vertical="center"/>
    </xf>
    <xf numFmtId="0" fontId="2" fillId="0" borderId="13" xfId="40" applyFont="1" applyBorder="1" applyAlignment="1">
      <alignment horizontal="center" vertical="center"/>
    </xf>
    <xf numFmtId="192" fontId="1" fillId="0" borderId="14" xfId="64" applyNumberFormat="1" applyFont="1" applyBorder="1" applyAlignment="1">
      <alignment horizontal="left" vertical="center"/>
    </xf>
    <xf numFmtId="192" fontId="2" fillId="0" borderId="14" xfId="64" applyNumberFormat="1" applyFont="1" applyBorder="1" applyAlignment="1">
      <alignment horizontal="left" vertical="center"/>
    </xf>
    <xf numFmtId="192" fontId="2" fillId="0" borderId="15" xfId="40" applyNumberFormat="1" applyFont="1" applyBorder="1" applyAlignment="1">
      <alignment vertical="center"/>
    </xf>
    <xf numFmtId="43" fontId="2" fillId="0" borderId="13" xfId="1" applyFont="1" applyFill="1" applyBorder="1" applyAlignment="1">
      <alignment vertical="center"/>
    </xf>
    <xf numFmtId="43" fontId="2" fillId="0" borderId="13" xfId="1" applyFont="1" applyBorder="1" applyAlignment="1">
      <alignment horizontal="center" vertical="center"/>
    </xf>
    <xf numFmtId="43" fontId="2" fillId="0" borderId="13" xfId="1" applyFont="1" applyFill="1" applyBorder="1" applyAlignment="1">
      <alignment horizontal="center" vertical="center"/>
    </xf>
    <xf numFmtId="0" fontId="2" fillId="0" borderId="16" xfId="40" applyFont="1" applyBorder="1" applyAlignment="1">
      <alignment horizontal="center" vertical="center"/>
    </xf>
    <xf numFmtId="43" fontId="1" fillId="0" borderId="17" xfId="64" applyNumberFormat="1" applyFont="1" applyBorder="1" applyAlignment="1">
      <alignment horizontal="left" vertical="center"/>
    </xf>
    <xf numFmtId="192" fontId="2" fillId="0" borderId="2" xfId="64" applyNumberFormat="1" applyFont="1" applyBorder="1" applyAlignment="1">
      <alignment horizontal="center" vertical="center"/>
    </xf>
    <xf numFmtId="192" fontId="2" fillId="0" borderId="18" xfId="40" applyNumberFormat="1" applyFont="1" applyBorder="1" applyAlignment="1">
      <alignment vertical="center"/>
    </xf>
    <xf numFmtId="43" fontId="2" fillId="0" borderId="16" xfId="1" applyFont="1" applyFill="1" applyBorder="1" applyAlignment="1">
      <alignment vertical="center"/>
    </xf>
    <xf numFmtId="43" fontId="2" fillId="0" borderId="16" xfId="1" applyFont="1" applyBorder="1" applyAlignment="1">
      <alignment horizontal="center" vertical="center"/>
    </xf>
    <xf numFmtId="192" fontId="2" fillId="0" borderId="17" xfId="64" applyNumberFormat="1" applyFont="1" applyBorder="1" applyAlignment="1">
      <alignment horizontal="left" vertical="center"/>
    </xf>
    <xf numFmtId="1" fontId="2" fillId="0" borderId="16" xfId="64" applyNumberFormat="1" applyFont="1" applyBorder="1" applyAlignment="1">
      <alignment horizontal="center" vertical="center"/>
    </xf>
    <xf numFmtId="192" fontId="2" fillId="0" borderId="2" xfId="64" applyNumberFormat="1" applyFont="1" applyBorder="1" applyAlignment="1">
      <alignment horizontal="left" vertical="center"/>
    </xf>
    <xf numFmtId="43" fontId="2" fillId="0" borderId="16" xfId="1" applyFont="1" applyFill="1" applyBorder="1" applyAlignment="1">
      <alignment horizontal="center" vertical="center"/>
    </xf>
    <xf numFmtId="192" fontId="1" fillId="0" borderId="17" xfId="64" applyNumberFormat="1" applyFont="1" applyBorder="1" applyAlignment="1">
      <alignment horizontal="center" vertical="center"/>
    </xf>
    <xf numFmtId="192" fontId="1" fillId="0" borderId="2" xfId="64" applyNumberFormat="1" applyFont="1" applyBorder="1" applyAlignment="1">
      <alignment horizontal="center" vertical="center"/>
    </xf>
    <xf numFmtId="192" fontId="1" fillId="0" borderId="18" xfId="64" applyNumberFormat="1" applyFont="1" applyBorder="1" applyAlignment="1">
      <alignment horizontal="center" vertical="center"/>
    </xf>
    <xf numFmtId="43" fontId="1" fillId="0" borderId="16" xfId="1" applyFont="1" applyFill="1" applyBorder="1" applyAlignment="1">
      <alignment vertical="center"/>
    </xf>
    <xf numFmtId="43" fontId="1" fillId="0" borderId="16" xfId="1" applyFont="1" applyBorder="1" applyAlignment="1">
      <alignment horizontal="center" vertical="center"/>
    </xf>
    <xf numFmtId="192" fontId="2" fillId="0" borderId="17" xfId="64" applyNumberFormat="1" applyFont="1" applyBorder="1" applyAlignment="1">
      <alignment horizontal="center" vertical="center"/>
    </xf>
    <xf numFmtId="192" fontId="2" fillId="0" borderId="18" xfId="40" applyNumberFormat="1" applyFont="1" applyBorder="1" applyAlignment="1">
      <alignment vertical="center" wrapText="1"/>
    </xf>
    <xf numFmtId="192" fontId="2" fillId="0" borderId="17" xfId="64" applyNumberFormat="1" applyFont="1" applyBorder="1" applyAlignment="1">
      <alignment vertical="center"/>
    </xf>
    <xf numFmtId="192" fontId="2" fillId="0" borderId="2" xfId="64" applyNumberFormat="1" applyFont="1" applyBorder="1" applyAlignment="1">
      <alignment vertical="center"/>
    </xf>
    <xf numFmtId="192" fontId="2" fillId="0" borderId="18" xfId="64" applyNumberFormat="1" applyFont="1" applyBorder="1" applyAlignment="1">
      <alignment vertical="center"/>
    </xf>
    <xf numFmtId="192" fontId="2" fillId="0" borderId="17" xfId="29" applyNumberFormat="1" applyFont="1" applyBorder="1" applyAlignment="1">
      <alignment vertical="center"/>
    </xf>
    <xf numFmtId="192" fontId="2" fillId="0" borderId="17" xfId="29" applyNumberFormat="1" applyFont="1" applyBorder="1" applyAlignment="1">
      <alignment horizontal="left" vertical="center"/>
    </xf>
    <xf numFmtId="192" fontId="2" fillId="0" borderId="2" xfId="40" applyNumberFormat="1" applyFont="1" applyBorder="1" applyAlignment="1">
      <alignment horizontal="center" vertical="center"/>
    </xf>
    <xf numFmtId="191" fontId="2" fillId="0" borderId="16" xfId="64" applyNumberFormat="1" applyFont="1" applyBorder="1" applyAlignment="1">
      <alignment horizontal="center" vertical="center"/>
    </xf>
    <xf numFmtId="192" fontId="2" fillId="0" borderId="18" xfId="64" applyNumberFormat="1" applyFont="1" applyBorder="1" applyAlignment="1">
      <alignment horizontal="center" vertical="center"/>
    </xf>
    <xf numFmtId="192" fontId="2" fillId="0" borderId="18" xfId="64" applyNumberFormat="1" applyFont="1" applyBorder="1" applyAlignment="1">
      <alignment horizontal="left" vertical="center"/>
    </xf>
    <xf numFmtId="192" fontId="2" fillId="0" borderId="2" xfId="40" applyNumberFormat="1" applyFont="1" applyBorder="1" applyAlignment="1">
      <alignment horizontal="left" vertical="center"/>
    </xf>
    <xf numFmtId="0" fontId="2" fillId="0" borderId="2" xfId="40" applyFont="1" applyBorder="1" applyAlignment="1">
      <alignment horizontal="center" vertical="center"/>
    </xf>
    <xf numFmtId="0" fontId="2" fillId="0" borderId="18" xfId="40" applyFont="1" applyBorder="1" applyAlignment="1">
      <alignment vertical="center"/>
    </xf>
    <xf numFmtId="0" fontId="2" fillId="0" borderId="19" xfId="40" applyFont="1" applyBorder="1" applyAlignment="1">
      <alignment horizontal="center" vertical="center"/>
    </xf>
    <xf numFmtId="192" fontId="2" fillId="0" borderId="20" xfId="64" applyNumberFormat="1" applyFont="1" applyBorder="1" applyAlignment="1">
      <alignment horizontal="center" vertical="center"/>
    </xf>
    <xf numFmtId="192" fontId="2" fillId="0" borderId="21" xfId="64" applyNumberFormat="1" applyFont="1" applyBorder="1" applyAlignment="1">
      <alignment horizontal="center" vertical="center"/>
    </xf>
    <xf numFmtId="192" fontId="2" fillId="0" borderId="22" xfId="64" applyNumberFormat="1" applyFont="1" applyBorder="1" applyAlignment="1">
      <alignment horizontal="center" vertical="center"/>
    </xf>
    <xf numFmtId="43" fontId="2" fillId="0" borderId="19" xfId="1" applyFont="1" applyFill="1" applyBorder="1" applyAlignment="1">
      <alignment vertical="center"/>
    </xf>
    <xf numFmtId="43" fontId="2" fillId="0" borderId="19" xfId="1" applyFont="1" applyBorder="1" applyAlignment="1">
      <alignment horizontal="center" vertical="center"/>
    </xf>
    <xf numFmtId="193" fontId="2" fillId="0" borderId="14" xfId="64" applyNumberFormat="1" applyFont="1" applyBorder="1" applyAlignment="1">
      <alignment horizontal="center" vertical="center"/>
    </xf>
    <xf numFmtId="193" fontId="2" fillId="0" borderId="15" xfId="64" applyNumberFormat="1" applyFont="1" applyBorder="1" applyAlignment="1">
      <alignment horizontal="center" vertical="center"/>
    </xf>
    <xf numFmtId="0" fontId="1" fillId="0" borderId="16" xfId="40" applyFont="1" applyBorder="1" applyAlignment="1">
      <alignment horizontal="center" vertical="center"/>
    </xf>
    <xf numFmtId="193" fontId="1" fillId="0" borderId="17" xfId="50" applyNumberFormat="1" applyFont="1" applyBorder="1" applyAlignment="1">
      <alignment horizontal="left" vertical="center"/>
    </xf>
    <xf numFmtId="193" fontId="1" fillId="0" borderId="2" xfId="64" applyNumberFormat="1" applyFont="1" applyBorder="1" applyAlignment="1">
      <alignment horizontal="center" vertical="center"/>
    </xf>
    <xf numFmtId="193" fontId="2" fillId="0" borderId="18" xfId="64" applyNumberFormat="1" applyFont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0" fontId="2" fillId="0" borderId="16" xfId="67" applyFont="1" applyBorder="1" applyAlignment="1">
      <alignment horizontal="center" vertical="center"/>
    </xf>
    <xf numFmtId="193" fontId="2" fillId="0" borderId="17" xfId="67" applyNumberFormat="1" applyFont="1" applyBorder="1" applyAlignment="1">
      <alignment horizontal="left" vertical="center"/>
    </xf>
    <xf numFmtId="193" fontId="2" fillId="0" borderId="2" xfId="50" applyNumberFormat="1" applyFont="1" applyBorder="1" applyAlignment="1">
      <alignment horizontal="center" vertical="center"/>
    </xf>
    <xf numFmtId="193" fontId="2" fillId="0" borderId="18" xfId="50" applyNumberFormat="1" applyFont="1" applyBorder="1" applyAlignment="1">
      <alignment vertical="center"/>
    </xf>
    <xf numFmtId="43" fontId="2" fillId="0" borderId="16" xfId="1" applyFont="1" applyFill="1" applyBorder="1" applyAlignment="1">
      <alignment horizontal="right" vertical="center"/>
    </xf>
    <xf numFmtId="193" fontId="2" fillId="0" borderId="2" xfId="40" applyNumberFormat="1" applyFont="1" applyBorder="1" applyAlignment="1">
      <alignment horizontal="center" vertical="center"/>
    </xf>
    <xf numFmtId="193" fontId="2" fillId="0" borderId="2" xfId="40" applyNumberFormat="1" applyFont="1" applyBorder="1" applyAlignment="1">
      <alignment vertical="center"/>
    </xf>
    <xf numFmtId="0" fontId="2" fillId="0" borderId="16" xfId="40" applyFont="1" applyBorder="1" applyAlignment="1">
      <alignment vertical="center"/>
    </xf>
    <xf numFmtId="193" fontId="2" fillId="0" borderId="2" xfId="50" applyNumberFormat="1" applyFont="1" applyBorder="1" applyAlignment="1">
      <alignment vertical="center"/>
    </xf>
    <xf numFmtId="43" fontId="2" fillId="0" borderId="16" xfId="1" applyFont="1" applyBorder="1" applyAlignment="1">
      <alignment vertical="center"/>
    </xf>
    <xf numFmtId="43" fontId="2" fillId="0" borderId="18" xfId="1" applyFont="1" applyBorder="1" applyAlignment="1">
      <alignment vertical="center"/>
    </xf>
    <xf numFmtId="193" fontId="1" fillId="0" borderId="17" xfId="40" applyNumberFormat="1" applyFont="1" applyBorder="1" applyAlignment="1">
      <alignment horizontal="center" vertical="center"/>
    </xf>
    <xf numFmtId="193" fontId="1" fillId="0" borderId="2" xfId="40" applyNumberFormat="1" applyFont="1" applyBorder="1" applyAlignment="1">
      <alignment horizontal="center" vertical="center"/>
    </xf>
    <xf numFmtId="193" fontId="2" fillId="0" borderId="18" xfId="40" applyNumberFormat="1" applyFont="1" applyBorder="1" applyAlignment="1">
      <alignment vertical="center"/>
    </xf>
    <xf numFmtId="0" fontId="1" fillId="0" borderId="16" xfId="67" applyFont="1" applyBorder="1" applyAlignment="1">
      <alignment horizontal="center" vertical="center"/>
    </xf>
    <xf numFmtId="193" fontId="1" fillId="0" borderId="2" xfId="40" applyNumberFormat="1" applyFont="1" applyBorder="1" applyAlignment="1">
      <alignment vertical="center"/>
    </xf>
    <xf numFmtId="43" fontId="2" fillId="0" borderId="2" xfId="1" applyFont="1" applyBorder="1" applyAlignment="1">
      <alignment vertical="center"/>
    </xf>
    <xf numFmtId="193" fontId="2" fillId="0" borderId="2" xfId="67" applyNumberFormat="1" applyFont="1" applyBorder="1" applyAlignment="1">
      <alignment horizontal="left" vertical="center"/>
    </xf>
    <xf numFmtId="43" fontId="2" fillId="0" borderId="18" xfId="1" applyFont="1" applyFill="1" applyBorder="1" applyAlignment="1">
      <alignment horizontal="right" vertical="center"/>
    </xf>
    <xf numFmtId="193" fontId="2" fillId="0" borderId="2" xfId="13" applyNumberFormat="1" applyFont="1" applyBorder="1" applyAlignment="1">
      <alignment horizontal="left" vertical="center"/>
    </xf>
    <xf numFmtId="193" fontId="2" fillId="0" borderId="2" xfId="50" applyNumberFormat="1" applyFont="1" applyBorder="1" applyAlignment="1">
      <alignment horizontal="left" vertical="center"/>
    </xf>
    <xf numFmtId="0" fontId="2" fillId="0" borderId="19" xfId="67" applyFont="1" applyBorder="1" applyAlignment="1">
      <alignment horizontal="center" vertical="center"/>
    </xf>
    <xf numFmtId="193" fontId="2" fillId="0" borderId="20" xfId="67" applyNumberFormat="1" applyFont="1" applyBorder="1" applyAlignment="1">
      <alignment horizontal="left" vertical="center"/>
    </xf>
    <xf numFmtId="193" fontId="2" fillId="0" borderId="21" xfId="13" applyNumberFormat="1" applyFont="1" applyBorder="1" applyAlignment="1">
      <alignment horizontal="left" vertical="center"/>
    </xf>
    <xf numFmtId="193" fontId="2" fillId="0" borderId="21" xfId="50" applyNumberFormat="1" applyFont="1" applyBorder="1" applyAlignment="1">
      <alignment horizontal="left" vertical="center"/>
    </xf>
    <xf numFmtId="43" fontId="2" fillId="0" borderId="19" xfId="1" applyFont="1" applyFill="1" applyBorder="1" applyAlignment="1">
      <alignment horizontal="right" vertical="center"/>
    </xf>
    <xf numFmtId="0" fontId="1" fillId="0" borderId="13" xfId="40" applyFont="1" applyBorder="1" applyAlignment="1">
      <alignment horizontal="center" vertical="center"/>
    </xf>
    <xf numFmtId="193" fontId="1" fillId="0" borderId="23" xfId="40" applyNumberFormat="1" applyFont="1" applyBorder="1" applyAlignment="1">
      <alignment vertical="center"/>
    </xf>
    <xf numFmtId="193" fontId="1" fillId="0" borderId="14" xfId="40" applyNumberFormat="1" applyFont="1" applyBorder="1" applyAlignment="1">
      <alignment horizontal="left" vertical="center"/>
    </xf>
    <xf numFmtId="193" fontId="2" fillId="0" borderId="15" xfId="40" applyNumberFormat="1" applyFont="1" applyBorder="1" applyAlignment="1">
      <alignment vertical="center"/>
    </xf>
    <xf numFmtId="43" fontId="2" fillId="0" borderId="13" xfId="1" applyFont="1" applyFill="1" applyBorder="1" applyAlignment="1">
      <alignment horizontal="right" vertical="center"/>
    </xf>
    <xf numFmtId="193" fontId="2" fillId="0" borderId="2" xfId="40" applyNumberFormat="1" applyFont="1" applyBorder="1" applyAlignment="1">
      <alignment horizontal="left" vertical="center"/>
    </xf>
    <xf numFmtId="43" fontId="1" fillId="0" borderId="1" xfId="1" applyFont="1" applyBorder="1" applyAlignment="1">
      <alignment horizontal="right" vertical="center"/>
    </xf>
    <xf numFmtId="43" fontId="1" fillId="0" borderId="2" xfId="1" applyFont="1" applyBorder="1" applyAlignment="1">
      <alignment horizontal="right" vertical="center"/>
    </xf>
    <xf numFmtId="43" fontId="2" fillId="0" borderId="2" xfId="1" applyFont="1" applyBorder="1" applyAlignment="1">
      <alignment horizontal="left" vertical="center"/>
    </xf>
    <xf numFmtId="43" fontId="1" fillId="0" borderId="2" xfId="1" applyFont="1" applyBorder="1" applyAlignment="1">
      <alignment horizontal="left" vertical="center"/>
    </xf>
    <xf numFmtId="43" fontId="1" fillId="0" borderId="3" xfId="1" applyFont="1" applyFill="1" applyBorder="1" applyAlignment="1">
      <alignment horizontal="center" vertical="center"/>
    </xf>
    <xf numFmtId="4" fontId="1" fillId="0" borderId="0" xfId="40" applyNumberFormat="1" applyFont="1" applyAlignment="1">
      <alignment vertical="center"/>
    </xf>
    <xf numFmtId="43" fontId="1" fillId="0" borderId="16" xfId="1" applyFont="1" applyFill="1" applyBorder="1" applyAlignment="1">
      <alignment horizontal="right" vertical="center"/>
    </xf>
    <xf numFmtId="43" fontId="1" fillId="0" borderId="16" xfId="1" applyFont="1" applyFill="1" applyBorder="1" applyAlignment="1">
      <alignment horizontal="center" vertical="center"/>
    </xf>
    <xf numFmtId="194" fontId="2" fillId="0" borderId="0" xfId="1" applyNumberFormat="1" applyFont="1" applyAlignment="1">
      <alignment vertical="center"/>
    </xf>
    <xf numFmtId="43" fontId="2" fillId="0" borderId="18" xfId="1" applyFont="1" applyFill="1" applyBorder="1" applyAlignment="1">
      <alignment vertical="center"/>
    </xf>
    <xf numFmtId="43" fontId="2" fillId="0" borderId="18" xfId="1" applyFont="1" applyBorder="1" applyAlignment="1">
      <alignment horizontal="right" vertical="center"/>
    </xf>
    <xf numFmtId="43" fontId="2" fillId="0" borderId="16" xfId="1" applyFont="1" applyBorder="1" applyAlignment="1">
      <alignment horizontal="right" vertical="center"/>
    </xf>
    <xf numFmtId="43" fontId="2" fillId="0" borderId="19" xfId="1" applyFont="1" applyBorder="1" applyAlignment="1">
      <alignment vertical="center"/>
    </xf>
    <xf numFmtId="43" fontId="2" fillId="0" borderId="13" xfId="1" applyFont="1" applyBorder="1" applyAlignment="1">
      <alignment vertical="center"/>
    </xf>
    <xf numFmtId="193" fontId="1" fillId="0" borderId="17" xfId="67" applyNumberFormat="1" applyFont="1" applyBorder="1" applyAlignment="1">
      <alignment horizontal="left" vertical="center"/>
    </xf>
    <xf numFmtId="193" fontId="1" fillId="0" borderId="2" xfId="50" applyNumberFormat="1" applyFont="1" applyBorder="1" applyAlignment="1">
      <alignment horizontal="center" vertical="center"/>
    </xf>
    <xf numFmtId="193" fontId="1" fillId="0" borderId="17" xfId="67" applyNumberFormat="1" applyFont="1" applyBorder="1" applyAlignment="1">
      <alignment horizontal="center" vertical="center"/>
    </xf>
    <xf numFmtId="193" fontId="1" fillId="0" borderId="2" xfId="67" applyNumberFormat="1" applyFont="1" applyBorder="1" applyAlignment="1">
      <alignment horizontal="center" vertical="center"/>
    </xf>
    <xf numFmtId="193" fontId="1" fillId="0" borderId="18" xfId="67" applyNumberFormat="1" applyFont="1" applyBorder="1" applyAlignment="1">
      <alignment horizontal="center" vertical="center"/>
    </xf>
    <xf numFmtId="43" fontId="2" fillId="0" borderId="17" xfId="1" applyFont="1" applyFill="1" applyBorder="1" applyAlignment="1">
      <alignment horizontal="right" vertical="center"/>
    </xf>
    <xf numFmtId="191" fontId="2" fillId="0" borderId="16" xfId="67" applyNumberFormat="1" applyFont="1" applyBorder="1" applyAlignment="1">
      <alignment horizontal="center" vertical="center"/>
    </xf>
    <xf numFmtId="193" fontId="1" fillId="0" borderId="17" xfId="64" applyNumberFormat="1" applyFont="1" applyBorder="1" applyAlignment="1">
      <alignment horizontal="center" vertical="center"/>
    </xf>
    <xf numFmtId="193" fontId="1" fillId="0" borderId="18" xfId="64" applyNumberFormat="1" applyFont="1" applyBorder="1" applyAlignment="1">
      <alignment horizontal="center" vertical="center"/>
    </xf>
    <xf numFmtId="43" fontId="2" fillId="0" borderId="17" xfId="1" applyFont="1" applyBorder="1" applyAlignment="1">
      <alignment horizontal="center" vertical="center"/>
    </xf>
    <xf numFmtId="43" fontId="2" fillId="0" borderId="18" xfId="1" applyFont="1" applyBorder="1" applyAlignment="1">
      <alignment horizontal="center" vertical="center"/>
    </xf>
    <xf numFmtId="0" fontId="1" fillId="0" borderId="16" xfId="61" applyFont="1" applyBorder="1" applyAlignment="1">
      <alignment horizontal="center" vertical="center"/>
    </xf>
    <xf numFmtId="193" fontId="1" fillId="0" borderId="2" xfId="67" applyNumberFormat="1" applyFont="1" applyBorder="1" applyAlignment="1">
      <alignment horizontal="left" vertical="center"/>
    </xf>
    <xf numFmtId="0" fontId="2" fillId="0" borderId="16" xfId="61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191" fontId="2" fillId="0" borderId="16" xfId="61" applyNumberFormat="1" applyFont="1" applyBorder="1" applyAlignment="1">
      <alignment horizontal="center" vertical="center"/>
    </xf>
    <xf numFmtId="0" fontId="2" fillId="0" borderId="17" xfId="61" applyFont="1" applyBorder="1" applyAlignment="1">
      <alignment horizontal="center" vertical="center"/>
    </xf>
    <xf numFmtId="43" fontId="1" fillId="0" borderId="16" xfId="1" applyFont="1" applyBorder="1" applyAlignment="1">
      <alignment vertical="center"/>
    </xf>
    <xf numFmtId="43" fontId="1" fillId="0" borderId="2" xfId="1" applyFont="1" applyFill="1" applyBorder="1" applyAlignment="1">
      <alignment vertical="center"/>
    </xf>
    <xf numFmtId="0" fontId="2" fillId="0" borderId="20" xfId="61" applyFont="1" applyBorder="1" applyAlignment="1">
      <alignment horizontal="center" vertical="center"/>
    </xf>
    <xf numFmtId="43" fontId="1" fillId="0" borderId="19" xfId="1" applyFont="1" applyBorder="1" applyAlignment="1">
      <alignment vertical="center"/>
    </xf>
    <xf numFmtId="43" fontId="1" fillId="0" borderId="19" xfId="1" applyFont="1" applyBorder="1" applyAlignment="1">
      <alignment horizontal="center" vertical="center"/>
    </xf>
    <xf numFmtId="43" fontId="1" fillId="0" borderId="21" xfId="1" applyFont="1" applyFill="1" applyBorder="1" applyAlignment="1">
      <alignment vertical="center"/>
    </xf>
    <xf numFmtId="0" fontId="2" fillId="0" borderId="23" xfId="61" applyFont="1" applyBorder="1" applyAlignment="1">
      <alignment horizontal="center" vertical="center"/>
    </xf>
    <xf numFmtId="193" fontId="2" fillId="0" borderId="23" xfId="67" applyNumberFormat="1" applyFont="1" applyBorder="1" applyAlignment="1">
      <alignment horizontal="center" vertical="center"/>
    </xf>
    <xf numFmtId="193" fontId="2" fillId="0" borderId="14" xfId="67" applyNumberFormat="1" applyFont="1" applyBorder="1" applyAlignment="1">
      <alignment horizontal="left" vertical="center"/>
    </xf>
    <xf numFmtId="193" fontId="2" fillId="0" borderId="14" xfId="50" applyNumberFormat="1" applyFont="1" applyBorder="1" applyAlignment="1">
      <alignment vertical="center"/>
    </xf>
    <xf numFmtId="1" fontId="2" fillId="0" borderId="16" xfId="67" applyNumberFormat="1" applyFont="1" applyBorder="1" applyAlignment="1">
      <alignment horizontal="center" vertical="center"/>
    </xf>
    <xf numFmtId="2" fontId="2" fillId="0" borderId="17" xfId="50" applyNumberFormat="1" applyFont="1" applyBorder="1" applyAlignment="1">
      <alignment horizontal="center" vertical="center"/>
    </xf>
    <xf numFmtId="0" fontId="2" fillId="0" borderId="19" xfId="61" applyFont="1" applyBorder="1" applyAlignment="1">
      <alignment horizontal="center" vertical="center"/>
    </xf>
    <xf numFmtId="193" fontId="2" fillId="0" borderId="21" xfId="67" applyNumberFormat="1" applyFont="1" applyBorder="1" applyAlignment="1">
      <alignment horizontal="left" vertical="center"/>
    </xf>
    <xf numFmtId="193" fontId="2" fillId="0" borderId="22" xfId="40" applyNumberFormat="1" applyFont="1" applyBorder="1" applyAlignment="1">
      <alignment vertical="center"/>
    </xf>
    <xf numFmtId="193" fontId="2" fillId="0" borderId="17" xfId="67" applyNumberFormat="1" applyFont="1" applyBorder="1" applyAlignment="1">
      <alignment horizontal="center" vertical="center"/>
    </xf>
    <xf numFmtId="193" fontId="2" fillId="0" borderId="2" xfId="67" applyNumberFormat="1" applyFont="1" applyBorder="1" applyAlignment="1">
      <alignment vertical="center"/>
    </xf>
    <xf numFmtId="43" fontId="1" fillId="0" borderId="19" xfId="1" applyFont="1" applyFill="1" applyBorder="1" applyAlignment="1">
      <alignment vertical="center"/>
    </xf>
    <xf numFmtId="43" fontId="1" fillId="0" borderId="19" xfId="1" applyFont="1" applyFill="1" applyBorder="1" applyAlignment="1">
      <alignment horizontal="right" vertical="center"/>
    </xf>
    <xf numFmtId="43" fontId="2" fillId="0" borderId="25" xfId="1" applyFont="1" applyFill="1" applyBorder="1" applyAlignment="1">
      <alignment horizontal="right" vertical="center"/>
    </xf>
    <xf numFmtId="43" fontId="2" fillId="0" borderId="19" xfId="1" applyFont="1" applyFill="1" applyBorder="1" applyAlignment="1">
      <alignment horizontal="center" vertical="center"/>
    </xf>
    <xf numFmtId="2" fontId="2" fillId="0" borderId="20" xfId="50" applyNumberFormat="1" applyFont="1" applyBorder="1" applyAlignment="1">
      <alignment horizontal="center" vertical="center"/>
    </xf>
    <xf numFmtId="193" fontId="2" fillId="0" borderId="20" xfId="67" applyNumberFormat="1" applyFont="1" applyBorder="1" applyAlignment="1">
      <alignment horizontal="center" vertical="center"/>
    </xf>
    <xf numFmtId="193" fontId="2" fillId="0" borderId="21" xfId="50" applyNumberFormat="1" applyFont="1" applyBorder="1" applyAlignment="1">
      <alignment vertical="center"/>
    </xf>
    <xf numFmtId="2" fontId="2" fillId="0" borderId="0" xfId="50" applyNumberFormat="1" applyFont="1" applyAlignment="1">
      <alignment horizontal="center" vertical="center"/>
    </xf>
    <xf numFmtId="193" fontId="2" fillId="0" borderId="0" xfId="67" applyNumberFormat="1" applyFont="1" applyAlignment="1">
      <alignment horizontal="center" vertical="center"/>
    </xf>
    <xf numFmtId="193" fontId="2" fillId="0" borderId="0" xfId="50" applyNumberFormat="1" applyFont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1" applyFont="1" applyAlignment="1">
      <alignment horizontal="center" vertical="center"/>
    </xf>
    <xf numFmtId="0" fontId="2" fillId="0" borderId="0" xfId="50" applyFont="1" applyAlignment="1">
      <alignment horizontal="center" vertical="center"/>
    </xf>
    <xf numFmtId="193" fontId="2" fillId="0" borderId="0" xfId="50" applyNumberFormat="1" applyFont="1" applyAlignment="1">
      <alignment horizontal="center" vertical="center"/>
    </xf>
    <xf numFmtId="43" fontId="2" fillId="0" borderId="0" xfId="1" applyFont="1" applyAlignment="1">
      <alignment vertical="center"/>
    </xf>
    <xf numFmtId="1" fontId="2" fillId="0" borderId="0" xfId="67" applyNumberFormat="1" applyFont="1" applyAlignment="1">
      <alignment horizontal="center" vertical="center"/>
    </xf>
    <xf numFmtId="193" fontId="2" fillId="0" borderId="0" xfId="67" applyNumberFormat="1" applyFont="1" applyAlignment="1">
      <alignment vertical="center"/>
    </xf>
    <xf numFmtId="193" fontId="2" fillId="0" borderId="0" xfId="67" applyNumberFormat="1" applyFont="1" applyAlignment="1">
      <alignment horizontal="left" vertical="center"/>
    </xf>
    <xf numFmtId="191" fontId="2" fillId="0" borderId="0" xfId="67" applyNumberFormat="1" applyFont="1" applyAlignment="1">
      <alignment horizontal="center" vertical="center"/>
    </xf>
    <xf numFmtId="193" fontId="2" fillId="0" borderId="0" xfId="69" applyNumberFormat="1" applyFont="1" applyAlignment="1">
      <alignment horizontal="left" vertical="center"/>
    </xf>
    <xf numFmtId="193" fontId="2" fillId="0" borderId="0" xfId="40" applyNumberFormat="1" applyFont="1" applyAlignment="1">
      <alignment vertical="center"/>
    </xf>
    <xf numFmtId="2" fontId="2" fillId="0" borderId="0" xfId="67" applyNumberFormat="1" applyFont="1" applyAlignment="1">
      <alignment horizontal="center" vertical="center"/>
    </xf>
    <xf numFmtId="192" fontId="2" fillId="0" borderId="0" xfId="69" applyNumberFormat="1" applyFont="1" applyAlignment="1">
      <alignment horizontal="left" vertical="center"/>
    </xf>
    <xf numFmtId="192" fontId="2" fillId="0" borderId="0" xfId="67" applyNumberFormat="1" applyFont="1" applyAlignment="1">
      <alignment vertical="center"/>
    </xf>
    <xf numFmtId="191" fontId="1" fillId="0" borderId="0" xfId="67" applyNumberFormat="1" applyFont="1" applyAlignment="1">
      <alignment horizontal="center" vertical="center"/>
    </xf>
    <xf numFmtId="192" fontId="1" fillId="0" borderId="0" xfId="67" applyNumberFormat="1" applyFont="1" applyAlignment="1">
      <alignment vertical="center"/>
    </xf>
    <xf numFmtId="43" fontId="1" fillId="0" borderId="0" xfId="1" applyFont="1" applyAlignment="1">
      <alignment horizontal="center" vertical="center"/>
    </xf>
    <xf numFmtId="43" fontId="1" fillId="0" borderId="0" xfId="1" applyFont="1" applyFill="1" applyBorder="1" applyAlignment="1">
      <alignment vertical="center"/>
    </xf>
    <xf numFmtId="192" fontId="1" fillId="0" borderId="0" xfId="67" applyNumberFormat="1" applyFont="1" applyAlignment="1">
      <alignment horizontal="center" vertical="center"/>
    </xf>
    <xf numFmtId="192" fontId="1" fillId="0" borderId="0" xfId="40" applyNumberFormat="1" applyFont="1" applyAlignment="1">
      <alignment vertical="center"/>
    </xf>
    <xf numFmtId="2" fontId="1" fillId="0" borderId="0" xfId="67" applyNumberFormat="1" applyFont="1" applyAlignment="1">
      <alignment horizontal="center" vertical="center"/>
    </xf>
    <xf numFmtId="192" fontId="1" fillId="0" borderId="0" xfId="50" applyNumberFormat="1" applyFont="1" applyAlignment="1">
      <alignment vertical="center"/>
    </xf>
    <xf numFmtId="2" fontId="1" fillId="0" borderId="0" xfId="50" applyNumberFormat="1" applyFont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1" fillId="0" borderId="0" xfId="50" applyFont="1" applyAlignment="1">
      <alignment horizontal="center" vertical="center"/>
    </xf>
    <xf numFmtId="192" fontId="1" fillId="0" borderId="0" xfId="50" applyNumberFormat="1" applyFont="1" applyAlignment="1">
      <alignment horizontal="center" vertical="center"/>
    </xf>
    <xf numFmtId="1" fontId="1" fillId="0" borderId="0" xfId="67" applyNumberFormat="1" applyFont="1" applyAlignment="1">
      <alignment horizontal="center" vertical="center"/>
    </xf>
    <xf numFmtId="0" fontId="1" fillId="0" borderId="0" xfId="67" applyFont="1" applyAlignment="1">
      <alignment vertical="center"/>
    </xf>
    <xf numFmtId="0" fontId="1" fillId="0" borderId="0" xfId="67" applyFont="1" applyAlignment="1">
      <alignment horizontal="left" vertical="center"/>
    </xf>
    <xf numFmtId="192" fontId="1" fillId="0" borderId="0" xfId="67" applyNumberFormat="1" applyFont="1" applyAlignment="1">
      <alignment horizontal="left" vertical="center"/>
    </xf>
    <xf numFmtId="192" fontId="1" fillId="0" borderId="0" xfId="69" applyNumberFormat="1" applyFont="1" applyAlignment="1">
      <alignment horizontal="left" vertical="center"/>
    </xf>
    <xf numFmtId="43" fontId="1" fillId="0" borderId="0" xfId="1" applyFont="1" applyFill="1" applyBorder="1" applyAlignment="1">
      <alignment horizontal="center" vertical="center"/>
    </xf>
    <xf numFmtId="192" fontId="1" fillId="0" borderId="0" xfId="50" applyNumberFormat="1" applyFont="1" applyAlignment="1">
      <alignment horizontal="left" vertical="center"/>
    </xf>
    <xf numFmtId="192" fontId="1" fillId="0" borderId="0" xfId="40" applyNumberFormat="1" applyFont="1" applyAlignment="1">
      <alignment horizontal="center" vertical="center"/>
    </xf>
    <xf numFmtId="192" fontId="1" fillId="0" borderId="0" xfId="40" applyNumberFormat="1" applyFont="1" applyAlignment="1">
      <alignment horizontal="left" vertical="center"/>
    </xf>
    <xf numFmtId="192" fontId="1" fillId="0" borderId="0" xfId="29" applyNumberFormat="1" applyFont="1" applyAlignment="1">
      <alignment vertical="center"/>
    </xf>
    <xf numFmtId="192" fontId="1" fillId="0" borderId="0" xfId="64" applyNumberFormat="1" applyFont="1" applyAlignment="1">
      <alignment vertical="center"/>
    </xf>
    <xf numFmtId="192" fontId="1" fillId="0" borderId="0" xfId="68" applyNumberFormat="1" applyFont="1" applyAlignment="1">
      <alignment horizontal="left" vertical="center"/>
    </xf>
    <xf numFmtId="2" fontId="1" fillId="0" borderId="0" xfId="40" applyNumberFormat="1" applyFont="1" applyAlignment="1">
      <alignment horizontal="center" vertical="center"/>
    </xf>
    <xf numFmtId="43" fontId="1" fillId="0" borderId="0" xfId="1" applyFont="1" applyAlignment="1">
      <alignment horizontal="centerContinuous" vertical="center"/>
    </xf>
    <xf numFmtId="43" fontId="1" fillId="0" borderId="0" xfId="1" applyFont="1" applyFill="1" applyBorder="1" applyAlignment="1">
      <alignment horizontal="right" vertical="center"/>
    </xf>
    <xf numFmtId="193" fontId="1" fillId="0" borderId="0" xfId="67" applyNumberFormat="1" applyFont="1" applyAlignment="1">
      <alignment horizontal="center" vertical="center"/>
    </xf>
    <xf numFmtId="193" fontId="1" fillId="0" borderId="0" xfId="67" applyNumberFormat="1" applyFont="1" applyAlignment="1">
      <alignment vertical="center"/>
    </xf>
    <xf numFmtId="43" fontId="1" fillId="0" borderId="0" xfId="1" applyFont="1" applyAlignment="1">
      <alignment horizontal="left" vertical="center"/>
    </xf>
    <xf numFmtId="193" fontId="1" fillId="0" borderId="0" xfId="67" applyNumberFormat="1" applyFont="1" applyAlignment="1">
      <alignment horizontal="left" vertical="center"/>
    </xf>
    <xf numFmtId="193" fontId="1" fillId="0" borderId="0" xfId="50" applyNumberFormat="1" applyFont="1" applyAlignment="1">
      <alignment horizontal="left" vertical="center"/>
    </xf>
    <xf numFmtId="193" fontId="1" fillId="0" borderId="0" xfId="40" applyNumberFormat="1" applyFont="1" applyAlignment="1">
      <alignment vertical="center"/>
    </xf>
    <xf numFmtId="2" fontId="1" fillId="0" borderId="0" xfId="40" applyNumberFormat="1" applyFont="1" applyAlignment="1">
      <alignment vertical="center"/>
    </xf>
    <xf numFmtId="193" fontId="1" fillId="0" borderId="0" xfId="69" applyNumberFormat="1" applyFont="1" applyAlignment="1">
      <alignment horizontal="center" vertical="center"/>
    </xf>
    <xf numFmtId="193" fontId="1" fillId="0" borderId="0" xfId="69" applyNumberFormat="1" applyFont="1" applyAlignment="1">
      <alignment vertical="center"/>
    </xf>
    <xf numFmtId="0" fontId="2" fillId="0" borderId="0" xfId="40" applyFont="1" applyAlignment="1">
      <alignment vertical="center"/>
    </xf>
    <xf numFmtId="0" fontId="2" fillId="0" borderId="0" xfId="40" applyFont="1" applyAlignment="1">
      <alignment horizontal="left" vertical="center"/>
    </xf>
    <xf numFmtId="0" fontId="2" fillId="0" borderId="0" xfId="40" applyFont="1" applyAlignment="1">
      <alignment horizontal="center" vertical="center"/>
    </xf>
    <xf numFmtId="0" fontId="1" fillId="0" borderId="0" xfId="40" applyFont="1" applyAlignment="1">
      <alignment horizontal="left" vertical="center"/>
    </xf>
    <xf numFmtId="0" fontId="2" fillId="0" borderId="16" xfId="29" applyFont="1" applyBorder="1" applyAlignment="1">
      <alignment horizontal="center" vertical="center"/>
    </xf>
    <xf numFmtId="194" fontId="2" fillId="0" borderId="2" xfId="64" applyNumberFormat="1" applyFont="1" applyBorder="1" applyAlignment="1">
      <alignment horizontal="left" vertical="center"/>
    </xf>
    <xf numFmtId="192" fontId="2" fillId="0" borderId="2" xfId="40" applyNumberFormat="1" applyFont="1" applyBorder="1" applyAlignment="1">
      <alignment vertical="center"/>
    </xf>
    <xf numFmtId="192" fontId="2" fillId="0" borderId="2" xfId="54" applyNumberFormat="1" applyFont="1" applyBorder="1" applyAlignment="1">
      <alignment vertical="center"/>
    </xf>
    <xf numFmtId="0" fontId="1" fillId="0" borderId="19" xfId="40" applyFont="1" applyBorder="1" applyAlignment="1">
      <alignment horizontal="center" vertical="center"/>
    </xf>
    <xf numFmtId="192" fontId="1" fillId="0" borderId="20" xfId="64" applyNumberFormat="1" applyFont="1" applyBorder="1" applyAlignment="1">
      <alignment horizontal="center" vertical="center"/>
    </xf>
    <xf numFmtId="192" fontId="1" fillId="0" borderId="21" xfId="64" applyNumberFormat="1" applyFont="1" applyBorder="1" applyAlignment="1">
      <alignment horizontal="center" vertical="center"/>
    </xf>
    <xf numFmtId="192" fontId="1" fillId="0" borderId="22" xfId="64" applyNumberFormat="1" applyFont="1" applyBorder="1" applyAlignment="1">
      <alignment horizontal="center" vertical="center"/>
    </xf>
    <xf numFmtId="1" fontId="1" fillId="0" borderId="13" xfId="64" applyNumberFormat="1" applyFont="1" applyBorder="1" applyAlignment="1">
      <alignment horizontal="center" vertical="center"/>
    </xf>
    <xf numFmtId="192" fontId="1" fillId="0" borderId="23" xfId="64" applyNumberFormat="1" applyFont="1" applyBorder="1" applyAlignment="1">
      <alignment horizontal="left" vertical="center"/>
    </xf>
    <xf numFmtId="192" fontId="1" fillId="0" borderId="14" xfId="59" applyNumberFormat="1" applyFont="1" applyBorder="1" applyAlignment="1">
      <alignment vertical="center"/>
    </xf>
    <xf numFmtId="43" fontId="1" fillId="0" borderId="13" xfId="1" applyFont="1" applyFill="1" applyBorder="1" applyAlignment="1">
      <alignment vertical="center"/>
    </xf>
    <xf numFmtId="43" fontId="1" fillId="0" borderId="13" xfId="1" applyFont="1" applyBorder="1" applyAlignment="1">
      <alignment horizontal="center" vertical="center"/>
    </xf>
    <xf numFmtId="1" fontId="1" fillId="0" borderId="16" xfId="64" applyNumberFormat="1" applyFont="1" applyBorder="1" applyAlignment="1">
      <alignment horizontal="center" vertical="center"/>
    </xf>
    <xf numFmtId="192" fontId="1" fillId="0" borderId="2" xfId="64" applyNumberFormat="1" applyFont="1" applyBorder="1" applyAlignment="1">
      <alignment horizontal="left" vertical="center"/>
    </xf>
    <xf numFmtId="192" fontId="1" fillId="0" borderId="2" xfId="59" applyNumberFormat="1" applyFont="1" applyBorder="1" applyAlignment="1">
      <alignment vertical="center"/>
    </xf>
    <xf numFmtId="194" fontId="2" fillId="0" borderId="17" xfId="29" applyNumberFormat="1" applyFont="1" applyBorder="1" applyAlignment="1">
      <alignment horizontal="left" vertical="center"/>
    </xf>
    <xf numFmtId="0" fontId="1" fillId="0" borderId="16" xfId="29" applyFont="1" applyBorder="1" applyAlignment="1">
      <alignment horizontal="center" vertical="center"/>
    </xf>
    <xf numFmtId="192" fontId="1" fillId="0" borderId="17" xfId="29" applyNumberFormat="1" applyFont="1" applyBorder="1" applyAlignment="1">
      <alignment vertical="center"/>
    </xf>
    <xf numFmtId="194" fontId="2" fillId="0" borderId="2" xfId="40" applyNumberFormat="1" applyFont="1" applyBorder="1" applyAlignment="1">
      <alignment horizontal="center" vertical="center"/>
    </xf>
    <xf numFmtId="194" fontId="2" fillId="0" borderId="17" xfId="40" applyNumberFormat="1" applyFont="1" applyBorder="1" applyAlignment="1">
      <alignment horizontal="left" vertical="center"/>
    </xf>
    <xf numFmtId="194" fontId="2" fillId="0" borderId="2" xfId="40" applyNumberFormat="1" applyFont="1" applyBorder="1" applyAlignment="1">
      <alignment vertical="center"/>
    </xf>
    <xf numFmtId="194" fontId="2" fillId="0" borderId="17" xfId="64" applyNumberFormat="1" applyFont="1" applyBorder="1" applyAlignment="1">
      <alignment horizontal="left" vertical="center"/>
    </xf>
    <xf numFmtId="192" fontId="2" fillId="0" borderId="2" xfId="53" applyNumberFormat="1" applyFont="1" applyBorder="1" applyAlignment="1">
      <alignment vertical="center"/>
    </xf>
    <xf numFmtId="194" fontId="2" fillId="0" borderId="2" xfId="53" applyNumberFormat="1" applyFont="1" applyBorder="1" applyAlignment="1">
      <alignment vertical="center"/>
    </xf>
    <xf numFmtId="194" fontId="1" fillId="0" borderId="17" xfId="40" applyNumberFormat="1" applyFont="1" applyBorder="1" applyAlignment="1">
      <alignment horizontal="left" vertical="center"/>
    </xf>
    <xf numFmtId="1" fontId="2" fillId="0" borderId="19" xfId="64" applyNumberFormat="1" applyFont="1" applyBorder="1" applyAlignment="1">
      <alignment horizontal="center" vertical="center"/>
    </xf>
    <xf numFmtId="194" fontId="2" fillId="0" borderId="20" xfId="40" applyNumberFormat="1" applyFont="1" applyBorder="1" applyAlignment="1">
      <alignment horizontal="left" vertical="center"/>
    </xf>
    <xf numFmtId="194" fontId="2" fillId="0" borderId="21" xfId="40" applyNumberFormat="1" applyFont="1" applyBorder="1" applyAlignment="1">
      <alignment horizontal="center" vertical="center"/>
    </xf>
    <xf numFmtId="0" fontId="2" fillId="0" borderId="22" xfId="40" applyFont="1" applyBorder="1" applyAlignment="1">
      <alignment vertical="center"/>
    </xf>
    <xf numFmtId="1" fontId="2" fillId="0" borderId="13" xfId="64" applyNumberFormat="1" applyFont="1" applyBorder="1" applyAlignment="1">
      <alignment horizontal="center" vertical="center"/>
    </xf>
    <xf numFmtId="194" fontId="2" fillId="0" borderId="23" xfId="40" applyNumberFormat="1" applyFont="1" applyBorder="1" applyAlignment="1">
      <alignment horizontal="left" vertical="center"/>
    </xf>
    <xf numFmtId="194" fontId="2" fillId="0" borderId="14" xfId="40" applyNumberFormat="1" applyFont="1" applyBorder="1" applyAlignment="1">
      <alignment horizontal="center" vertical="center"/>
    </xf>
    <xf numFmtId="0" fontId="2" fillId="0" borderId="15" xfId="40" applyFont="1" applyBorder="1" applyAlignment="1">
      <alignment vertical="center"/>
    </xf>
    <xf numFmtId="43" fontId="2" fillId="0" borderId="1" xfId="1" applyFont="1" applyBorder="1" applyAlignment="1">
      <alignment horizontal="left" vertical="center"/>
    </xf>
    <xf numFmtId="43" fontId="2" fillId="2" borderId="16" xfId="1" applyFont="1" applyFill="1" applyBorder="1" applyAlignment="1">
      <alignment vertical="center"/>
    </xf>
    <xf numFmtId="0" fontId="2" fillId="0" borderId="0" xfId="16" applyFont="1" applyAlignment="1">
      <alignment horizontal="center" vertical="center"/>
    </xf>
    <xf numFmtId="43" fontId="1" fillId="2" borderId="16" xfId="1" applyFont="1" applyFill="1" applyBorder="1" applyAlignment="1">
      <alignment vertical="center"/>
    </xf>
    <xf numFmtId="0" fontId="1" fillId="0" borderId="0" xfId="16" applyFont="1" applyAlignment="1">
      <alignment horizontal="center" vertical="center"/>
    </xf>
    <xf numFmtId="43" fontId="1" fillId="0" borderId="13" xfId="1" applyFont="1" applyFill="1" applyBorder="1" applyAlignment="1">
      <alignment horizontal="center" vertical="center"/>
    </xf>
    <xf numFmtId="43" fontId="1" fillId="0" borderId="25" xfId="1" applyFont="1" applyBorder="1" applyAlignment="1">
      <alignment horizontal="center" vertical="center"/>
    </xf>
    <xf numFmtId="43" fontId="2" fillId="0" borderId="25" xfId="1" applyFont="1" applyBorder="1" applyAlignment="1">
      <alignment horizontal="center" vertical="center"/>
    </xf>
    <xf numFmtId="43" fontId="2" fillId="0" borderId="25" xfId="1" applyFont="1" applyBorder="1" applyAlignment="1">
      <alignment horizontal="left" vertical="center"/>
    </xf>
    <xf numFmtId="194" fontId="2" fillId="0" borderId="16" xfId="33" applyNumberFormat="1" applyFont="1" applyFill="1" applyBorder="1" applyAlignment="1">
      <alignment vertical="center"/>
    </xf>
    <xf numFmtId="0" fontId="2" fillId="0" borderId="26" xfId="40" applyFont="1" applyBorder="1" applyAlignment="1">
      <alignment horizontal="center" vertical="center"/>
    </xf>
    <xf numFmtId="43" fontId="2" fillId="0" borderId="26" xfId="1" applyFont="1" applyFill="1" applyBorder="1" applyAlignment="1">
      <alignment vertical="center"/>
    </xf>
    <xf numFmtId="43" fontId="2" fillId="0" borderId="26" xfId="1" applyFont="1" applyBorder="1" applyAlignment="1">
      <alignment horizontal="center" vertical="center"/>
    </xf>
    <xf numFmtId="0" fontId="1" fillId="0" borderId="26" xfId="40" applyFont="1" applyBorder="1" applyAlignment="1">
      <alignment horizontal="center" vertical="center"/>
    </xf>
    <xf numFmtId="194" fontId="1" fillId="0" borderId="2" xfId="40" applyNumberFormat="1" applyFont="1" applyBorder="1" applyAlignment="1">
      <alignment horizontal="center" vertical="center"/>
    </xf>
    <xf numFmtId="0" fontId="1" fillId="0" borderId="17" xfId="40" applyFont="1" applyBorder="1" applyAlignment="1">
      <alignment horizontal="center" vertical="center"/>
    </xf>
    <xf numFmtId="0" fontId="1" fillId="0" borderId="2" xfId="40" applyFont="1" applyBorder="1" applyAlignment="1">
      <alignment horizontal="center" vertical="center"/>
    </xf>
    <xf numFmtId="0" fontId="1" fillId="0" borderId="18" xfId="40" applyFont="1" applyBorder="1" applyAlignment="1">
      <alignment horizontal="center" vertical="center"/>
    </xf>
    <xf numFmtId="0" fontId="2" fillId="0" borderId="27" xfId="40" applyFont="1" applyBorder="1" applyAlignment="1">
      <alignment horizontal="center" vertical="center"/>
    </xf>
    <xf numFmtId="192" fontId="2" fillId="0" borderId="27" xfId="40" applyNumberFormat="1" applyFont="1" applyBorder="1" applyAlignment="1">
      <alignment horizontal="left" vertical="center"/>
    </xf>
    <xf numFmtId="192" fontId="2" fillId="0" borderId="1" xfId="54" applyNumberFormat="1" applyFont="1" applyBorder="1" applyAlignment="1">
      <alignment vertical="center"/>
    </xf>
    <xf numFmtId="192" fontId="1" fillId="0" borderId="28" xfId="40" applyNumberFormat="1" applyFont="1" applyBorder="1" applyAlignment="1">
      <alignment vertical="center"/>
    </xf>
    <xf numFmtId="43" fontId="2" fillId="0" borderId="25" xfId="1" applyFont="1" applyFill="1" applyBorder="1" applyAlignment="1">
      <alignment vertical="center"/>
    </xf>
    <xf numFmtId="43" fontId="2" fillId="0" borderId="25" xfId="1" applyFont="1" applyBorder="1" applyAlignment="1">
      <alignment vertical="center"/>
    </xf>
    <xf numFmtId="0" fontId="2" fillId="0" borderId="17" xfId="40" applyFont="1" applyBorder="1" applyAlignment="1">
      <alignment horizontal="center" vertical="center"/>
    </xf>
    <xf numFmtId="192" fontId="2" fillId="0" borderId="17" xfId="40" applyNumberFormat="1" applyFont="1" applyBorder="1" applyAlignment="1">
      <alignment horizontal="left" vertical="center"/>
    </xf>
    <xf numFmtId="192" fontId="1" fillId="0" borderId="18" xfId="40" applyNumberFormat="1" applyFont="1" applyBorder="1" applyAlignment="1">
      <alignment vertical="center"/>
    </xf>
    <xf numFmtId="1" fontId="1" fillId="0" borderId="16" xfId="67" applyNumberFormat="1" applyFont="1" applyBorder="1" applyAlignment="1">
      <alignment horizontal="center" vertical="center"/>
    </xf>
    <xf numFmtId="192" fontId="1" fillId="0" borderId="17" xfId="67" applyNumberFormat="1" applyFont="1" applyBorder="1" applyAlignment="1">
      <alignment horizontal="left" vertical="center"/>
    </xf>
    <xf numFmtId="0" fontId="2" fillId="0" borderId="20" xfId="40" applyFont="1" applyBorder="1" applyAlignment="1">
      <alignment horizontal="left" vertical="center"/>
    </xf>
    <xf numFmtId="0" fontId="2" fillId="0" borderId="21" xfId="40" applyFont="1" applyBorder="1" applyAlignment="1">
      <alignment horizontal="center" vertical="center"/>
    </xf>
    <xf numFmtId="1" fontId="1" fillId="0" borderId="25" xfId="64" applyNumberFormat="1" applyFont="1" applyBorder="1" applyAlignment="1">
      <alignment horizontal="center" vertical="center"/>
    </xf>
    <xf numFmtId="192" fontId="1" fillId="0" borderId="27" xfId="64" applyNumberFormat="1" applyFont="1" applyBorder="1" applyAlignment="1">
      <alignment horizontal="left" vertical="center"/>
    </xf>
    <xf numFmtId="192" fontId="1" fillId="0" borderId="1" xfId="64" applyNumberFormat="1" applyFont="1" applyBorder="1" applyAlignment="1">
      <alignment horizontal="left" vertical="center"/>
    </xf>
    <xf numFmtId="191" fontId="2" fillId="0" borderId="27" xfId="67" applyNumberFormat="1" applyFont="1" applyBorder="1" applyAlignment="1">
      <alignment horizontal="center" vertical="center"/>
    </xf>
    <xf numFmtId="192" fontId="2" fillId="0" borderId="27" xfId="67" applyNumberFormat="1" applyFont="1" applyBorder="1" applyAlignment="1">
      <alignment horizontal="left" vertical="center"/>
    </xf>
    <xf numFmtId="192" fontId="2" fillId="0" borderId="1" xfId="67" applyNumberFormat="1" applyFont="1" applyBorder="1" applyAlignment="1">
      <alignment horizontal="left" vertical="center"/>
    </xf>
    <xf numFmtId="192" fontId="1" fillId="0" borderId="1" xfId="40" applyNumberFormat="1" applyFont="1" applyBorder="1" applyAlignment="1">
      <alignment vertical="center"/>
    </xf>
    <xf numFmtId="0" fontId="2" fillId="0" borderId="17" xfId="54" applyFont="1" applyBorder="1" applyAlignment="1">
      <alignment horizontal="center" vertical="center"/>
    </xf>
    <xf numFmtId="2" fontId="2" fillId="0" borderId="16" xfId="40" applyNumberFormat="1" applyFont="1" applyBorder="1" applyAlignment="1">
      <alignment horizontal="center" vertical="center"/>
    </xf>
    <xf numFmtId="2" fontId="2" fillId="0" borderId="27" xfId="67" applyNumberFormat="1" applyFont="1" applyBorder="1" applyAlignment="1">
      <alignment horizontal="center" vertical="center"/>
    </xf>
    <xf numFmtId="192" fontId="2" fillId="0" borderId="17" xfId="54" applyNumberFormat="1" applyFont="1" applyBorder="1" applyAlignment="1">
      <alignment horizontal="left" vertical="center"/>
    </xf>
    <xf numFmtId="192" fontId="2" fillId="0" borderId="17" xfId="67" applyNumberFormat="1" applyFont="1" applyBorder="1" applyAlignment="1">
      <alignment horizontal="left" vertical="center"/>
    </xf>
    <xf numFmtId="2" fontId="2" fillId="0" borderId="17" xfId="54" applyNumberFormat="1" applyFont="1" applyBorder="1" applyAlignment="1">
      <alignment horizontal="center" vertical="center"/>
    </xf>
    <xf numFmtId="192" fontId="2" fillId="0" borderId="2" xfId="67" applyNumberFormat="1" applyFont="1" applyBorder="1" applyAlignment="1">
      <alignment horizontal="left" vertical="center"/>
    </xf>
    <xf numFmtId="192" fontId="2" fillId="0" borderId="18" xfId="67" applyNumberFormat="1" applyFont="1" applyBorder="1" applyAlignment="1">
      <alignment vertical="center"/>
    </xf>
    <xf numFmtId="0" fontId="2" fillId="0" borderId="17" xfId="40" applyFont="1" applyBorder="1" applyAlignment="1">
      <alignment horizontal="left" vertical="center"/>
    </xf>
    <xf numFmtId="43" fontId="2" fillId="0" borderId="16" xfId="1" applyFont="1" applyBorder="1" applyAlignment="1">
      <alignment horizontal="left" vertical="center"/>
    </xf>
    <xf numFmtId="193" fontId="2" fillId="0" borderId="16" xfId="40" applyNumberFormat="1" applyFont="1" applyBorder="1" applyAlignment="1">
      <alignment horizontal="center" vertical="center"/>
    </xf>
    <xf numFmtId="193" fontId="2" fillId="0" borderId="19" xfId="40" applyNumberFormat="1" applyFont="1" applyBorder="1" applyAlignment="1">
      <alignment horizontal="center" vertical="center"/>
    </xf>
    <xf numFmtId="43" fontId="2" fillId="0" borderId="25" xfId="1" applyFont="1" applyFill="1" applyBorder="1" applyAlignment="1">
      <alignment horizontal="center" vertical="center"/>
    </xf>
    <xf numFmtId="43" fontId="1" fillId="0" borderId="25" xfId="1" applyFont="1" applyFill="1" applyBorder="1" applyAlignment="1">
      <alignment vertical="center"/>
    </xf>
    <xf numFmtId="193" fontId="2" fillId="0" borderId="13" xfId="40" applyNumberFormat="1" applyFont="1" applyBorder="1" applyAlignment="1">
      <alignment horizontal="center" vertical="center"/>
    </xf>
    <xf numFmtId="193" fontId="2" fillId="0" borderId="25" xfId="40" applyNumberFormat="1" applyFont="1" applyBorder="1" applyAlignment="1">
      <alignment horizontal="center" vertical="center"/>
    </xf>
    <xf numFmtId="193" fontId="2" fillId="0" borderId="16" xfId="54" applyNumberFormat="1" applyFont="1" applyBorder="1" applyAlignment="1">
      <alignment vertical="center"/>
    </xf>
    <xf numFmtId="0" fontId="2" fillId="0" borderId="25" xfId="40" applyFont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195" fontId="2" fillId="0" borderId="17" xfId="10" applyNumberFormat="1" applyFont="1" applyBorder="1" applyAlignment="1">
      <alignment horizontal="left" vertical="center"/>
    </xf>
    <xf numFmtId="195" fontId="2" fillId="0" borderId="17" xfId="63" applyNumberFormat="1" applyFont="1" applyBorder="1" applyAlignment="1">
      <alignment horizontal="left" vertical="center"/>
    </xf>
    <xf numFmtId="196" fontId="2" fillId="0" borderId="0" xfId="40" applyNumberFormat="1" applyFont="1" applyAlignment="1">
      <alignment vertical="center"/>
    </xf>
    <xf numFmtId="192" fontId="2" fillId="0" borderId="18" xfId="50" applyNumberFormat="1" applyFont="1" applyBorder="1" applyAlignment="1">
      <alignment vertical="center"/>
    </xf>
    <xf numFmtId="192" fontId="1" fillId="0" borderId="17" xfId="64" applyNumberFormat="1" applyFont="1" applyBorder="1" applyAlignment="1">
      <alignment horizontal="left" vertical="center"/>
    </xf>
    <xf numFmtId="192" fontId="1" fillId="0" borderId="18" xfId="50" applyNumberFormat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196" fontId="1" fillId="0" borderId="0" xfId="40" applyNumberFormat="1" applyFont="1" applyAlignment="1">
      <alignment vertical="center"/>
    </xf>
    <xf numFmtId="43" fontId="2" fillId="0" borderId="0" xfId="13" applyNumberFormat="1" applyFont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196" fontId="2" fillId="0" borderId="0" xfId="13" applyNumberFormat="1" applyFont="1" applyAlignment="1">
      <alignment vertical="center"/>
    </xf>
    <xf numFmtId="0" fontId="2" fillId="0" borderId="0" xfId="13" applyFont="1" applyAlignment="1">
      <alignment horizontal="center" vertical="center"/>
    </xf>
    <xf numFmtId="198" fontId="2" fillId="0" borderId="0" xfId="17" applyNumberFormat="1" applyFont="1" applyFill="1" applyAlignment="1">
      <alignment horizontal="center" vertical="center"/>
    </xf>
    <xf numFmtId="0" fontId="1" fillId="0" borderId="0" xfId="13" applyFont="1" applyAlignment="1">
      <alignment horizontal="center" vertical="center"/>
    </xf>
    <xf numFmtId="198" fontId="1" fillId="0" borderId="0" xfId="17" applyNumberFormat="1" applyFont="1" applyFill="1" applyAlignment="1">
      <alignment horizontal="center" vertical="center"/>
    </xf>
    <xf numFmtId="196" fontId="1" fillId="0" borderId="0" xfId="13" applyNumberFormat="1" applyFont="1" applyAlignment="1">
      <alignment vertical="center"/>
    </xf>
    <xf numFmtId="194" fontId="2" fillId="0" borderId="30" xfId="1" applyNumberFormat="1" applyFont="1" applyFill="1" applyBorder="1" applyAlignment="1">
      <alignment horizontal="left" vertical="center"/>
    </xf>
    <xf numFmtId="192" fontId="2" fillId="0" borderId="17" xfId="67" applyNumberFormat="1" applyFont="1" applyBorder="1" applyAlignment="1">
      <alignment vertical="center"/>
    </xf>
    <xf numFmtId="43" fontId="2" fillId="0" borderId="2" xfId="67" applyNumberFormat="1" applyFont="1" applyBorder="1" applyAlignment="1">
      <alignment horizontal="left" vertical="center"/>
    </xf>
    <xf numFmtId="192" fontId="1" fillId="0" borderId="17" xfId="67" applyNumberFormat="1" applyFont="1" applyBorder="1" applyAlignment="1">
      <alignment horizontal="center" vertical="center"/>
    </xf>
    <xf numFmtId="192" fontId="1" fillId="0" borderId="2" xfId="67" applyNumberFormat="1" applyFont="1" applyBorder="1" applyAlignment="1">
      <alignment horizontal="center" vertical="center"/>
    </xf>
    <xf numFmtId="192" fontId="1" fillId="0" borderId="18" xfId="67" applyNumberFormat="1" applyFont="1" applyBorder="1" applyAlignment="1">
      <alignment horizontal="center" vertical="center"/>
    </xf>
    <xf numFmtId="191" fontId="2" fillId="0" borderId="19" xfId="64" applyNumberFormat="1" applyFont="1" applyBorder="1" applyAlignment="1">
      <alignment horizontal="center" vertical="center"/>
    </xf>
    <xf numFmtId="192" fontId="2" fillId="0" borderId="20" xfId="64" applyNumberFormat="1" applyFont="1" applyBorder="1" applyAlignment="1">
      <alignment horizontal="left" vertical="center"/>
    </xf>
    <xf numFmtId="192" fontId="2" fillId="0" borderId="21" xfId="64" applyNumberFormat="1" applyFont="1" applyBorder="1" applyAlignment="1">
      <alignment horizontal="left" vertical="center"/>
    </xf>
    <xf numFmtId="192" fontId="1" fillId="0" borderId="22" xfId="40" applyNumberFormat="1" applyFont="1" applyBorder="1" applyAlignment="1">
      <alignment vertical="center"/>
    </xf>
    <xf numFmtId="0" fontId="2" fillId="0" borderId="30" xfId="40" applyFont="1" applyBorder="1" applyAlignment="1">
      <alignment vertical="center"/>
    </xf>
    <xf numFmtId="0" fontId="2" fillId="0" borderId="0" xfId="0" applyFont="1" applyAlignment="1">
      <alignment vertical="center"/>
    </xf>
    <xf numFmtId="1" fontId="2" fillId="0" borderId="0" xfId="40" applyNumberFormat="1" applyFont="1" applyAlignment="1">
      <alignment horizontal="center" vertical="center"/>
    </xf>
    <xf numFmtId="43" fontId="2" fillId="0" borderId="0" xfId="1" applyFont="1" applyFill="1" applyAlignment="1">
      <alignment vertical="center"/>
    </xf>
    <xf numFmtId="1" fontId="1" fillId="0" borderId="0" xfId="40" applyNumberFormat="1" applyFont="1" applyAlignment="1">
      <alignment horizontal="center" vertical="center"/>
    </xf>
    <xf numFmtId="0" fontId="1" fillId="0" borderId="23" xfId="64" applyFont="1" applyBorder="1" applyAlignment="1">
      <alignment horizontal="left" vertical="center"/>
    </xf>
    <xf numFmtId="43" fontId="1" fillId="0" borderId="14" xfId="64" applyNumberFormat="1" applyFont="1" applyBorder="1" applyAlignment="1">
      <alignment horizontal="left" vertical="center"/>
    </xf>
    <xf numFmtId="43" fontId="1" fillId="0" borderId="15" xfId="40" applyNumberFormat="1" applyFont="1" applyBorder="1" applyAlignment="1">
      <alignment vertical="center"/>
    </xf>
    <xf numFmtId="0" fontId="1" fillId="0" borderId="17" xfId="64" applyFont="1" applyBorder="1" applyAlignment="1">
      <alignment horizontal="left" vertical="center"/>
    </xf>
    <xf numFmtId="43" fontId="2" fillId="0" borderId="2" xfId="64" applyNumberFormat="1" applyFont="1" applyBorder="1" applyAlignment="1">
      <alignment horizontal="left" vertical="center"/>
    </xf>
    <xf numFmtId="43" fontId="1" fillId="0" borderId="18" xfId="40" applyNumberFormat="1" applyFont="1" applyBorder="1" applyAlignment="1">
      <alignment vertical="center"/>
    </xf>
    <xf numFmtId="0" fontId="2" fillId="0" borderId="17" xfId="64" applyFont="1" applyBorder="1" applyAlignment="1">
      <alignment horizontal="left" vertical="center"/>
    </xf>
    <xf numFmtId="43" fontId="2" fillId="0" borderId="18" xfId="3" applyNumberFormat="1" applyFont="1" applyBorder="1" applyAlignment="1">
      <alignment vertical="center"/>
    </xf>
    <xf numFmtId="192" fontId="2" fillId="0" borderId="18" xfId="56" applyNumberFormat="1" applyFont="1" applyBorder="1" applyAlignment="1">
      <alignment vertical="center"/>
    </xf>
    <xf numFmtId="192" fontId="3" fillId="0" borderId="17" xfId="64" applyNumberFormat="1" applyFont="1" applyBorder="1" applyAlignment="1">
      <alignment horizontal="left" vertical="center"/>
    </xf>
    <xf numFmtId="1" fontId="1" fillId="0" borderId="16" xfId="40" applyNumberFormat="1" applyFont="1" applyBorder="1" applyAlignment="1">
      <alignment horizontal="center" vertical="center"/>
    </xf>
    <xf numFmtId="43" fontId="1" fillId="0" borderId="1" xfId="1" applyFont="1" applyFill="1" applyBorder="1" applyAlignment="1">
      <alignment horizontal="right" vertical="center"/>
    </xf>
    <xf numFmtId="43" fontId="1" fillId="0" borderId="1" xfId="1" applyFont="1" applyFill="1" applyBorder="1" applyAlignment="1">
      <alignment horizontal="left" vertical="center"/>
    </xf>
    <xf numFmtId="0" fontId="1" fillId="0" borderId="0" xfId="9" applyFont="1" applyAlignment="1">
      <alignment horizontal="center" vertical="center"/>
    </xf>
    <xf numFmtId="43" fontId="1" fillId="0" borderId="0" xfId="40" applyNumberFormat="1" applyFont="1" applyAlignment="1">
      <alignment vertical="center"/>
    </xf>
    <xf numFmtId="0" fontId="2" fillId="0" borderId="17" xfId="5" applyFont="1" applyBorder="1" applyAlignment="1">
      <alignment horizontal="left" vertical="center" wrapText="1"/>
    </xf>
    <xf numFmtId="43" fontId="1" fillId="0" borderId="16" xfId="1" applyFont="1" applyBorder="1" applyAlignment="1">
      <alignment horizontal="left" vertical="center"/>
    </xf>
    <xf numFmtId="0" fontId="1" fillId="0" borderId="18" xfId="40" applyFont="1" applyBorder="1" applyAlignment="1">
      <alignment vertical="center"/>
    </xf>
    <xf numFmtId="43" fontId="1" fillId="0" borderId="16" xfId="1" applyFont="1" applyFill="1" applyBorder="1" applyAlignment="1">
      <alignment horizontal="left" vertical="center"/>
    </xf>
    <xf numFmtId="0" fontId="2" fillId="0" borderId="17" xfId="40" applyFont="1" applyBorder="1" applyAlignment="1">
      <alignment vertical="center"/>
    </xf>
    <xf numFmtId="0" fontId="2" fillId="0" borderId="2" xfId="40" applyFont="1" applyBorder="1" applyAlignment="1">
      <alignment vertical="center"/>
    </xf>
    <xf numFmtId="0" fontId="2" fillId="0" borderId="31" xfId="40" applyFont="1" applyBorder="1" applyAlignment="1">
      <alignment vertical="center"/>
    </xf>
    <xf numFmtId="43" fontId="2" fillId="0" borderId="31" xfId="1" applyFont="1" applyBorder="1" applyAlignment="1">
      <alignment vertical="center"/>
    </xf>
    <xf numFmtId="192" fontId="2" fillId="0" borderId="17" xfId="40" applyNumberFormat="1" applyFont="1" applyBorder="1" applyAlignment="1">
      <alignment vertical="center"/>
    </xf>
    <xf numFmtId="43" fontId="1" fillId="0" borderId="31" xfId="1" applyFont="1" applyFill="1" applyBorder="1" applyAlignment="1">
      <alignment vertical="center"/>
    </xf>
    <xf numFmtId="192" fontId="1" fillId="0" borderId="15" xfId="50" applyNumberFormat="1" applyFont="1" applyBorder="1" applyAlignment="1">
      <alignment vertical="center"/>
    </xf>
    <xf numFmtId="192" fontId="2" fillId="0" borderId="2" xfId="64" applyNumberFormat="1" applyFont="1" applyBorder="1" applyAlignment="1">
      <alignment horizontal="left" vertical="center" wrapText="1"/>
    </xf>
    <xf numFmtId="192" fontId="2" fillId="0" borderId="18" xfId="64" applyNumberFormat="1" applyFont="1" applyBorder="1" applyAlignment="1">
      <alignment horizontal="left" vertical="center" wrapText="1"/>
    </xf>
    <xf numFmtId="192" fontId="2" fillId="0" borderId="21" xfId="64" applyNumberFormat="1" applyFont="1" applyBorder="1" applyAlignment="1">
      <alignment horizontal="left" vertical="center" wrapText="1"/>
    </xf>
    <xf numFmtId="192" fontId="2" fillId="0" borderId="22" xfId="64" applyNumberFormat="1" applyFont="1" applyBorder="1" applyAlignment="1">
      <alignment horizontal="left" vertical="center" wrapText="1"/>
    </xf>
    <xf numFmtId="192" fontId="2" fillId="0" borderId="23" xfId="64" applyNumberFormat="1" applyFont="1" applyBorder="1" applyAlignment="1">
      <alignment horizontal="left" vertical="center"/>
    </xf>
    <xf numFmtId="192" fontId="2" fillId="0" borderId="14" xfId="64" applyNumberFormat="1" applyFont="1" applyBorder="1" applyAlignment="1">
      <alignment horizontal="left" vertical="center" wrapText="1"/>
    </xf>
    <xf numFmtId="192" fontId="2" fillId="0" borderId="15" xfId="64" applyNumberFormat="1" applyFont="1" applyBorder="1" applyAlignment="1">
      <alignment horizontal="left" vertical="center" wrapText="1"/>
    </xf>
    <xf numFmtId="43" fontId="2" fillId="0" borderId="26" xfId="1" applyFont="1" applyFill="1" applyBorder="1" applyAlignment="1">
      <alignment horizontal="center" vertical="center"/>
    </xf>
    <xf numFmtId="192" fontId="2" fillId="0" borderId="22" xfId="50" applyNumberFormat="1" applyFont="1" applyBorder="1" applyAlignment="1">
      <alignment vertical="center"/>
    </xf>
    <xf numFmtId="1" fontId="2" fillId="0" borderId="25" xfId="64" applyNumberFormat="1" applyFont="1" applyBorder="1" applyAlignment="1">
      <alignment horizontal="center" vertical="center"/>
    </xf>
    <xf numFmtId="192" fontId="2" fillId="0" borderId="27" xfId="64" applyNumberFormat="1" applyFont="1" applyBorder="1" applyAlignment="1">
      <alignment horizontal="left" vertical="center"/>
    </xf>
    <xf numFmtId="192" fontId="2" fillId="0" borderId="1" xfId="64" applyNumberFormat="1" applyFont="1" applyBorder="1" applyAlignment="1">
      <alignment horizontal="left" vertical="center"/>
    </xf>
    <xf numFmtId="192" fontId="2" fillId="0" borderId="1" xfId="50" applyNumberFormat="1" applyFont="1" applyBorder="1" applyAlignment="1">
      <alignment vertical="center"/>
    </xf>
    <xf numFmtId="192" fontId="2" fillId="0" borderId="2" xfId="50" applyNumberFormat="1" applyFont="1" applyBorder="1" applyAlignment="1">
      <alignment vertical="center"/>
    </xf>
    <xf numFmtId="0" fontId="1" fillId="0" borderId="21" xfId="40" applyFont="1" applyBorder="1" applyAlignment="1">
      <alignment horizontal="center" vertical="center"/>
    </xf>
    <xf numFmtId="0" fontId="1" fillId="0" borderId="22" xfId="40" applyFont="1" applyBorder="1" applyAlignment="1">
      <alignment horizontal="center" vertical="center"/>
    </xf>
    <xf numFmtId="0" fontId="2" fillId="0" borderId="27" xfId="50" applyFont="1" applyBorder="1" applyAlignment="1">
      <alignment horizontal="center" vertical="center"/>
    </xf>
    <xf numFmtId="0" fontId="2" fillId="0" borderId="17" xfId="50" applyFont="1" applyBorder="1" applyAlignment="1">
      <alignment horizontal="center" vertical="center"/>
    </xf>
    <xf numFmtId="192" fontId="2" fillId="0" borderId="17" xfId="50" applyNumberFormat="1" applyFont="1" applyBorder="1" applyAlignment="1">
      <alignment horizontal="left" vertical="center"/>
    </xf>
    <xf numFmtId="43" fontId="1" fillId="0" borderId="22" xfId="1" applyFont="1" applyBorder="1" applyAlignment="1">
      <alignment vertical="center"/>
    </xf>
    <xf numFmtId="1" fontId="2" fillId="0" borderId="0" xfId="40" applyNumberFormat="1" applyFont="1" applyAlignment="1">
      <alignment vertical="center"/>
    </xf>
    <xf numFmtId="1" fontId="1" fillId="0" borderId="0" xfId="40" applyNumberFormat="1" applyFont="1" applyAlignment="1">
      <alignment vertical="center"/>
    </xf>
    <xf numFmtId="1" fontId="2" fillId="0" borderId="16" xfId="40" applyNumberFormat="1" applyFont="1" applyBorder="1" applyAlignment="1">
      <alignment horizontal="center" vertical="center"/>
    </xf>
    <xf numFmtId="1" fontId="2" fillId="0" borderId="19" xfId="40" applyNumberFormat="1" applyFont="1" applyBorder="1" applyAlignment="1">
      <alignment horizontal="center" vertical="center"/>
    </xf>
    <xf numFmtId="192" fontId="1" fillId="0" borderId="15" xfId="40" applyNumberFormat="1" applyFont="1" applyBorder="1" applyAlignment="1">
      <alignment vertical="center"/>
    </xf>
    <xf numFmtId="1" fontId="2" fillId="2" borderId="16" xfId="64" applyNumberFormat="1" applyFont="1" applyFill="1" applyBorder="1" applyAlignment="1">
      <alignment horizontal="center" vertical="center"/>
    </xf>
    <xf numFmtId="192" fontId="2" fillId="2" borderId="17" xfId="64" applyNumberFormat="1" applyFont="1" applyFill="1" applyBorder="1" applyAlignment="1">
      <alignment horizontal="left" vertical="center"/>
    </xf>
    <xf numFmtId="192" fontId="2" fillId="2" borderId="2" xfId="64" applyNumberFormat="1" applyFont="1" applyFill="1" applyBorder="1" applyAlignment="1">
      <alignment horizontal="left" vertical="center"/>
    </xf>
    <xf numFmtId="192" fontId="1" fillId="2" borderId="18" xfId="40" applyNumberFormat="1" applyFont="1" applyFill="1" applyBorder="1" applyAlignment="1">
      <alignment vertical="center"/>
    </xf>
    <xf numFmtId="43" fontId="2" fillId="2" borderId="16" xfId="1" applyFont="1" applyFill="1" applyBorder="1" applyAlignment="1">
      <alignment horizontal="center" vertical="center"/>
    </xf>
    <xf numFmtId="1" fontId="1" fillId="0" borderId="17" xfId="40" applyNumberFormat="1" applyFont="1" applyBorder="1" applyAlignment="1">
      <alignment horizontal="center" vertical="center"/>
    </xf>
    <xf numFmtId="1" fontId="1" fillId="0" borderId="2" xfId="40" applyNumberFormat="1" applyFont="1" applyBorder="1" applyAlignment="1">
      <alignment horizontal="center" vertical="center"/>
    </xf>
    <xf numFmtId="1" fontId="1" fillId="0" borderId="18" xfId="40" applyNumberFormat="1" applyFont="1" applyBorder="1" applyAlignment="1">
      <alignment horizontal="center" vertical="center"/>
    </xf>
    <xf numFmtId="1" fontId="1" fillId="0" borderId="19" xfId="40" applyNumberFormat="1" applyFont="1" applyBorder="1" applyAlignment="1">
      <alignment horizontal="center" vertical="center"/>
    </xf>
    <xf numFmtId="1" fontId="1" fillId="0" borderId="20" xfId="40" applyNumberFormat="1" applyFont="1" applyBorder="1" applyAlignment="1">
      <alignment horizontal="center" vertical="center"/>
    </xf>
    <xf numFmtId="1" fontId="1" fillId="0" borderId="21" xfId="40" applyNumberFormat="1" applyFont="1" applyBorder="1" applyAlignment="1">
      <alignment horizontal="center" vertical="center"/>
    </xf>
    <xf numFmtId="1" fontId="1" fillId="0" borderId="22" xfId="40" applyNumberFormat="1" applyFont="1" applyBorder="1" applyAlignment="1">
      <alignment horizontal="center" vertical="center"/>
    </xf>
    <xf numFmtId="43" fontId="1" fillId="0" borderId="19" xfId="1" applyFont="1" applyFill="1" applyBorder="1" applyAlignment="1">
      <alignment horizontal="center" vertical="center"/>
    </xf>
    <xf numFmtId="1" fontId="1" fillId="0" borderId="23" xfId="64" applyNumberFormat="1" applyFont="1" applyBorder="1" applyAlignment="1">
      <alignment horizontal="left" vertical="center"/>
    </xf>
    <xf numFmtId="1" fontId="1" fillId="0" borderId="14" xfId="64" applyNumberFormat="1" applyFont="1" applyBorder="1" applyAlignment="1">
      <alignment horizontal="left" vertical="center"/>
    </xf>
    <xf numFmtId="1" fontId="1" fillId="0" borderId="15" xfId="50" applyNumberFormat="1" applyFont="1" applyBorder="1" applyAlignment="1">
      <alignment vertical="center"/>
    </xf>
    <xf numFmtId="1" fontId="1" fillId="0" borderId="17" xfId="64" applyNumberFormat="1" applyFont="1" applyBorder="1" applyAlignment="1">
      <alignment horizontal="left" vertical="center"/>
    </xf>
    <xf numFmtId="1" fontId="1" fillId="0" borderId="2" xfId="64" applyNumberFormat="1" applyFont="1" applyBorder="1" applyAlignment="1">
      <alignment horizontal="left" vertical="center"/>
    </xf>
    <xf numFmtId="1" fontId="1" fillId="0" borderId="18" xfId="50" applyNumberFormat="1" applyFont="1" applyBorder="1" applyAlignment="1">
      <alignment vertical="center"/>
    </xf>
    <xf numFmtId="192" fontId="2" fillId="0" borderId="2" xfId="67" applyNumberFormat="1" applyFont="1" applyBorder="1" applyAlignment="1">
      <alignment vertical="center"/>
    </xf>
    <xf numFmtId="1" fontId="2" fillId="0" borderId="16" xfId="50" applyNumberFormat="1" applyFont="1" applyBorder="1" applyAlignment="1">
      <alignment horizontal="center" vertical="center"/>
    </xf>
    <xf numFmtId="1" fontId="2" fillId="0" borderId="16" xfId="40" applyNumberFormat="1" applyFont="1" applyBorder="1" applyAlignment="1">
      <alignment vertical="center"/>
    </xf>
    <xf numFmtId="1" fontId="2" fillId="0" borderId="19" xfId="50" applyNumberFormat="1" applyFont="1" applyBorder="1" applyAlignment="1">
      <alignment horizontal="center" vertical="center"/>
    </xf>
    <xf numFmtId="192" fontId="2" fillId="0" borderId="21" xfId="50" applyNumberFormat="1" applyFont="1" applyBorder="1" applyAlignment="1">
      <alignment vertical="center"/>
    </xf>
    <xf numFmtId="1" fontId="2" fillId="0" borderId="27" xfId="67" applyNumberFormat="1" applyFont="1" applyBorder="1" applyAlignment="1">
      <alignment horizontal="center" vertical="center"/>
    </xf>
    <xf numFmtId="1" fontId="2" fillId="0" borderId="17" xfId="40" applyNumberFormat="1" applyFont="1" applyBorder="1" applyAlignment="1">
      <alignment horizontal="center" vertical="center"/>
    </xf>
    <xf numFmtId="1" fontId="2" fillId="0" borderId="17" xfId="50" applyNumberFormat="1" applyFont="1" applyBorder="1" applyAlignment="1">
      <alignment horizontal="center" vertical="center"/>
    </xf>
    <xf numFmtId="43" fontId="2" fillId="0" borderId="17" xfId="1" applyFont="1" applyFill="1" applyBorder="1" applyAlignment="1">
      <alignment horizontal="center" vertical="center"/>
    </xf>
    <xf numFmtId="194" fontId="2" fillId="0" borderId="2" xfId="50" applyNumberFormat="1" applyFont="1" applyBorder="1" applyAlignment="1">
      <alignment vertical="center"/>
    </xf>
    <xf numFmtId="192" fontId="1" fillId="0" borderId="18" xfId="64" applyNumberFormat="1" applyFont="1" applyBorder="1" applyAlignment="1">
      <alignment vertical="center"/>
    </xf>
    <xf numFmtId="192" fontId="2" fillId="0" borderId="17" xfId="64" applyNumberFormat="1" applyFont="1" applyBorder="1" applyAlignment="1">
      <alignment horizontal="right" vertical="center"/>
    </xf>
    <xf numFmtId="49" fontId="2" fillId="0" borderId="2" xfId="64" applyNumberFormat="1" applyFont="1" applyBorder="1" applyAlignment="1">
      <alignment horizontal="left" vertical="center"/>
    </xf>
    <xf numFmtId="49" fontId="1" fillId="0" borderId="18" xfId="40" applyNumberFormat="1" applyFont="1" applyBorder="1" applyAlignment="1">
      <alignment vertical="center"/>
    </xf>
    <xf numFmtId="2" fontId="2" fillId="0" borderId="16" xfId="64" applyNumberFormat="1" applyFont="1" applyBorder="1" applyAlignment="1">
      <alignment horizontal="center" vertical="center"/>
    </xf>
    <xf numFmtId="192" fontId="2" fillId="0" borderId="2" xfId="10" applyNumberFormat="1" applyFont="1" applyBorder="1" applyAlignment="1">
      <alignment vertical="center"/>
    </xf>
    <xf numFmtId="43" fontId="1" fillId="0" borderId="18" xfId="1" applyFont="1" applyBorder="1" applyAlignment="1">
      <alignment vertical="center"/>
    </xf>
    <xf numFmtId="192" fontId="2" fillId="0" borderId="2" xfId="52" applyNumberFormat="1" applyFont="1" applyBorder="1" applyAlignment="1">
      <alignment vertical="center"/>
    </xf>
    <xf numFmtId="192" fontId="2" fillId="0" borderId="18" xfId="52" applyNumberFormat="1" applyFont="1" applyBorder="1" applyAlignment="1">
      <alignment vertical="center"/>
    </xf>
    <xf numFmtId="49" fontId="1" fillId="0" borderId="17" xfId="29" applyNumberFormat="1" applyFont="1" applyBorder="1" applyAlignment="1">
      <alignment horizontal="left" vertical="center"/>
    </xf>
    <xf numFmtId="192" fontId="1" fillId="0" borderId="2" xfId="67" applyNumberFormat="1" applyFont="1" applyBorder="1" applyAlignment="1">
      <alignment horizontal="left" vertical="center"/>
    </xf>
    <xf numFmtId="0" fontId="2" fillId="0" borderId="17" xfId="29" applyFont="1" applyBorder="1" applyAlignment="1">
      <alignment horizontal="center" vertical="center"/>
    </xf>
    <xf numFmtId="49" fontId="2" fillId="0" borderId="17" xfId="29" applyNumberFormat="1" applyFont="1" applyBorder="1" applyAlignment="1">
      <alignment horizontal="left" vertical="center"/>
    </xf>
    <xf numFmtId="0" fontId="2" fillId="0" borderId="29" xfId="40" applyFont="1" applyBorder="1" applyAlignment="1">
      <alignment vertical="center"/>
    </xf>
    <xf numFmtId="0" fontId="2" fillId="0" borderId="29" xfId="40" applyFont="1" applyBorder="1" applyAlignment="1">
      <alignment horizontal="center" vertical="center"/>
    </xf>
    <xf numFmtId="193" fontId="2" fillId="0" borderId="0" xfId="1" applyNumberFormat="1" applyFont="1" applyFill="1" applyBorder="1" applyAlignment="1">
      <alignment horizontal="center" vertical="center"/>
    </xf>
    <xf numFmtId="0" fontId="1" fillId="0" borderId="29" xfId="0" applyFont="1" applyBorder="1" applyAlignment="1" applyProtection="1">
      <alignment vertical="center" wrapText="1"/>
      <protection locked="0"/>
    </xf>
    <xf numFmtId="193" fontId="2" fillId="0" borderId="29" xfId="1" applyNumberFormat="1" applyFont="1" applyFill="1" applyBorder="1" applyAlignment="1">
      <alignment horizontal="center" vertical="center"/>
    </xf>
    <xf numFmtId="199" fontId="2" fillId="0" borderId="29" xfId="40" applyNumberFormat="1" applyFont="1" applyBorder="1" applyAlignment="1">
      <alignment horizontal="center" vertical="center"/>
    </xf>
    <xf numFmtId="193" fontId="2" fillId="0" borderId="29" xfId="40" applyNumberFormat="1" applyFont="1" applyBorder="1" applyAlignment="1">
      <alignment horizontal="center" vertical="center"/>
    </xf>
    <xf numFmtId="193" fontId="1" fillId="0" borderId="29" xfId="1" applyNumberFormat="1" applyFont="1" applyFill="1" applyBorder="1" applyAlignment="1">
      <alignment vertical="center" wrapText="1"/>
    </xf>
    <xf numFmtId="43" fontId="1" fillId="0" borderId="29" xfId="1" applyFont="1" applyFill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197" fontId="1" fillId="0" borderId="29" xfId="0" applyNumberFormat="1" applyFont="1" applyBorder="1" applyAlignment="1">
      <alignment vertical="center" wrapText="1"/>
    </xf>
    <xf numFmtId="193" fontId="2" fillId="0" borderId="29" xfId="1" applyNumberFormat="1" applyFont="1" applyFill="1" applyBorder="1" applyAlignment="1">
      <alignment vertical="center"/>
    </xf>
    <xf numFmtId="197" fontId="1" fillId="0" borderId="29" xfId="0" applyNumberFormat="1" applyFont="1" applyBorder="1" applyAlignment="1">
      <alignment vertical="center"/>
    </xf>
    <xf numFmtId="193" fontId="1" fillId="0" borderId="29" xfId="40" applyNumberFormat="1" applyFont="1" applyBorder="1" applyAlignment="1">
      <alignment horizontal="center" vertical="center"/>
    </xf>
    <xf numFmtId="192" fontId="2" fillId="0" borderId="17" xfId="10" applyNumberFormat="1" applyFont="1" applyBorder="1" applyAlignment="1">
      <alignment vertical="center"/>
    </xf>
    <xf numFmtId="192" fontId="2" fillId="0" borderId="18" xfId="52" applyNumberFormat="1" applyFont="1" applyBorder="1" applyAlignment="1">
      <alignment horizontal="left" vertical="center"/>
    </xf>
    <xf numFmtId="3" fontId="2" fillId="0" borderId="0" xfId="40" applyNumberFormat="1" applyFont="1" applyAlignment="1">
      <alignment horizontal="center" vertical="center"/>
    </xf>
    <xf numFmtId="4" fontId="2" fillId="0" borderId="0" xfId="40" applyNumberFormat="1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9" xfId="40" applyFont="1" applyBorder="1" applyAlignment="1">
      <alignment vertical="center"/>
    </xf>
    <xf numFmtId="0" fontId="4" fillId="0" borderId="0" xfId="40" applyFont="1" applyAlignment="1">
      <alignment horizontal="center" vertical="center"/>
    </xf>
    <xf numFmtId="0" fontId="4" fillId="0" borderId="0" xfId="40" applyFont="1" applyAlignment="1">
      <alignment vertical="top"/>
    </xf>
    <xf numFmtId="0" fontId="4" fillId="0" borderId="0" xfId="40" applyFont="1" applyAlignment="1">
      <alignment vertical="center"/>
    </xf>
    <xf numFmtId="43" fontId="4" fillId="0" borderId="0" xfId="1" applyFont="1" applyAlignment="1">
      <alignment vertical="center"/>
    </xf>
    <xf numFmtId="0" fontId="4" fillId="0" borderId="0" xfId="40" applyFont="1" applyAlignment="1">
      <alignment horizontal="right" vertical="center"/>
    </xf>
    <xf numFmtId="0" fontId="5" fillId="0" borderId="0" xfId="40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0" fontId="4" fillId="0" borderId="1" xfId="40" applyFont="1" applyBorder="1" applyAlignment="1">
      <alignment vertical="top"/>
    </xf>
    <xf numFmtId="0" fontId="5" fillId="0" borderId="0" xfId="40" applyFont="1" applyAlignment="1">
      <alignment vertical="top"/>
    </xf>
    <xf numFmtId="43" fontId="4" fillId="0" borderId="0" xfId="1" applyFont="1" applyAlignment="1">
      <alignment vertical="top"/>
    </xf>
    <xf numFmtId="0" fontId="4" fillId="0" borderId="2" xfId="40" applyFont="1" applyBorder="1" applyAlignment="1">
      <alignment vertical="center"/>
    </xf>
    <xf numFmtId="0" fontId="5" fillId="0" borderId="1" xfId="40" applyFont="1" applyBorder="1" applyAlignment="1">
      <alignment vertical="center"/>
    </xf>
    <xf numFmtId="0" fontId="5" fillId="0" borderId="2" xfId="40" applyFont="1" applyBorder="1" applyAlignment="1">
      <alignment vertical="center"/>
    </xf>
    <xf numFmtId="0" fontId="5" fillId="0" borderId="0" xfId="40" applyFont="1" applyAlignment="1">
      <alignment vertical="center"/>
    </xf>
    <xf numFmtId="0" fontId="5" fillId="0" borderId="0" xfId="40" applyFont="1" applyAlignment="1">
      <alignment horizontal="left" vertical="center" shrinkToFit="1"/>
    </xf>
    <xf numFmtId="49" fontId="4" fillId="0" borderId="2" xfId="40" applyNumberFormat="1" applyFont="1" applyBorder="1" applyAlignment="1">
      <alignment horizontal="right" vertical="center"/>
    </xf>
    <xf numFmtId="49" fontId="4" fillId="0" borderId="2" xfId="40" applyNumberFormat="1" applyFont="1" applyBorder="1" applyAlignment="1">
      <alignment vertical="center"/>
    </xf>
    <xf numFmtId="49" fontId="5" fillId="0" borderId="2" xfId="40" applyNumberFormat="1" applyFont="1" applyBorder="1" applyAlignment="1">
      <alignment vertical="center"/>
    </xf>
    <xf numFmtId="49" fontId="5" fillId="0" borderId="0" xfId="40" applyNumberFormat="1" applyFont="1" applyAlignment="1">
      <alignment vertical="center"/>
    </xf>
    <xf numFmtId="0" fontId="5" fillId="0" borderId="2" xfId="40" applyFont="1" applyBorder="1" applyAlignment="1">
      <alignment horizontal="center" vertical="center"/>
    </xf>
    <xf numFmtId="193" fontId="4" fillId="0" borderId="0" xfId="40" applyNumberFormat="1" applyFont="1" applyAlignment="1">
      <alignment vertical="center"/>
    </xf>
    <xf numFmtId="0" fontId="5" fillId="2" borderId="3" xfId="40" applyFont="1" applyFill="1" applyBorder="1" applyAlignment="1">
      <alignment horizontal="center" vertical="center"/>
    </xf>
    <xf numFmtId="0" fontId="5" fillId="0" borderId="3" xfId="40" applyFont="1" applyBorder="1" applyAlignment="1">
      <alignment horizontal="center" vertical="center"/>
    </xf>
    <xf numFmtId="0" fontId="5" fillId="2" borderId="9" xfId="40" applyFont="1" applyFill="1" applyBorder="1" applyAlignment="1">
      <alignment horizontal="center" vertical="center"/>
    </xf>
    <xf numFmtId="0" fontId="4" fillId="0" borderId="13" xfId="40" applyFont="1" applyBorder="1" applyAlignment="1">
      <alignment horizontal="center" vertical="center"/>
    </xf>
    <xf numFmtId="0" fontId="5" fillId="0" borderId="13" xfId="40" applyFont="1" applyBorder="1" applyAlignment="1">
      <alignment vertical="center"/>
    </xf>
    <xf numFmtId="192" fontId="4" fillId="0" borderId="1" xfId="40" applyNumberFormat="1" applyFont="1" applyBorder="1" applyAlignment="1">
      <alignment vertical="center"/>
    </xf>
    <xf numFmtId="192" fontId="4" fillId="0" borderId="13" xfId="40" applyNumberFormat="1" applyFont="1" applyBorder="1" applyAlignment="1">
      <alignment vertical="center"/>
    </xf>
    <xf numFmtId="0" fontId="4" fillId="0" borderId="13" xfId="40" applyFont="1" applyBorder="1" applyAlignment="1">
      <alignment vertical="center"/>
    </xf>
    <xf numFmtId="0" fontId="4" fillId="0" borderId="25" xfId="40" applyFont="1" applyBorder="1" applyAlignment="1">
      <alignment horizontal="center" vertical="center"/>
    </xf>
    <xf numFmtId="0" fontId="5" fillId="0" borderId="17" xfId="64" applyFont="1" applyBorder="1" applyAlignment="1">
      <alignment horizontal="left" vertical="center"/>
    </xf>
    <xf numFmtId="192" fontId="4" fillId="0" borderId="16" xfId="40" applyNumberFormat="1" applyFont="1" applyBorder="1" applyAlignment="1">
      <alignment vertical="center"/>
    </xf>
    <xf numFmtId="192" fontId="4" fillId="0" borderId="25" xfId="40" applyNumberFormat="1" applyFont="1" applyBorder="1" applyAlignment="1">
      <alignment vertical="center"/>
    </xf>
    <xf numFmtId="0" fontId="4" fillId="0" borderId="25" xfId="40" applyFont="1" applyBorder="1" applyAlignment="1">
      <alignment vertical="center"/>
    </xf>
    <xf numFmtId="0" fontId="4" fillId="0" borderId="16" xfId="40" applyFont="1" applyBorder="1" applyAlignment="1">
      <alignment horizontal="center" vertical="center"/>
    </xf>
    <xf numFmtId="192" fontId="4" fillId="0" borderId="17" xfId="40" applyNumberFormat="1" applyFont="1" applyBorder="1" applyAlignment="1">
      <alignment vertical="center"/>
    </xf>
    <xf numFmtId="43" fontId="4" fillId="0" borderId="16" xfId="40" applyNumberFormat="1" applyFont="1" applyBorder="1" applyAlignment="1">
      <alignment vertical="center"/>
    </xf>
    <xf numFmtId="43" fontId="4" fillId="0" borderId="2" xfId="40" applyNumberFormat="1" applyFont="1" applyBorder="1" applyAlignment="1">
      <alignment vertical="center"/>
    </xf>
    <xf numFmtId="0" fontId="4" fillId="0" borderId="16" xfId="40" applyFont="1" applyBorder="1" applyAlignment="1">
      <alignment vertical="center"/>
    </xf>
    <xf numFmtId="196" fontId="4" fillId="0" borderId="25" xfId="40" applyNumberFormat="1" applyFont="1" applyBorder="1" applyAlignment="1">
      <alignment vertical="center"/>
    </xf>
    <xf numFmtId="192" fontId="4" fillId="0" borderId="16" xfId="40" applyNumberFormat="1" applyFont="1" applyBorder="1" applyAlignment="1">
      <alignment horizontal="left" vertical="center"/>
    </xf>
    <xf numFmtId="43" fontId="4" fillId="0" borderId="16" xfId="1" applyFont="1" applyFill="1" applyBorder="1" applyAlignment="1">
      <alignment vertical="center"/>
    </xf>
    <xf numFmtId="43" fontId="4" fillId="0" borderId="2" xfId="1" applyFont="1" applyBorder="1" applyAlignment="1">
      <alignment vertical="center"/>
    </xf>
    <xf numFmtId="43" fontId="4" fillId="0" borderId="16" xfId="0" applyNumberFormat="1" applyFont="1" applyBorder="1" applyAlignment="1">
      <alignment horizontal="right" vertical="center"/>
    </xf>
    <xf numFmtId="192" fontId="4" fillId="0" borderId="17" xfId="40" applyNumberFormat="1" applyFont="1" applyBorder="1" applyAlignment="1">
      <alignment horizontal="left" vertical="center"/>
    </xf>
    <xf numFmtId="193" fontId="4" fillId="0" borderId="17" xfId="40" applyNumberFormat="1" applyFont="1" applyBorder="1" applyAlignment="1">
      <alignment vertical="center"/>
    </xf>
    <xf numFmtId="193" fontId="4" fillId="0" borderId="16" xfId="40" applyNumberFormat="1" applyFont="1" applyBorder="1" applyAlignment="1">
      <alignment horizontal="left" vertical="center"/>
    </xf>
    <xf numFmtId="43" fontId="4" fillId="0" borderId="17" xfId="1" applyFont="1" applyFill="1" applyBorder="1" applyAlignment="1">
      <alignment vertical="center"/>
    </xf>
    <xf numFmtId="43" fontId="4" fillId="0" borderId="2" xfId="1" applyFont="1" applyFill="1" applyBorder="1" applyAlignment="1">
      <alignment vertical="center"/>
    </xf>
    <xf numFmtId="43" fontId="5" fillId="0" borderId="7" xfId="40" applyNumberFormat="1" applyFont="1" applyBorder="1" applyAlignment="1">
      <alignment vertical="center"/>
    </xf>
    <xf numFmtId="0" fontId="4" fillId="0" borderId="3" xfId="40" applyFont="1" applyBorder="1" applyAlignment="1">
      <alignment vertical="center"/>
    </xf>
    <xf numFmtId="0" fontId="5" fillId="0" borderId="9" xfId="40" applyFont="1" applyBorder="1" applyAlignment="1">
      <alignment vertical="center"/>
    </xf>
    <xf numFmtId="192" fontId="5" fillId="0" borderId="7" xfId="40" applyNumberFormat="1" applyFont="1" applyBorder="1" applyAlignment="1">
      <alignment vertical="center"/>
    </xf>
    <xf numFmtId="192" fontId="5" fillId="0" borderId="8" xfId="40" applyNumberFormat="1" applyFont="1" applyBorder="1" applyAlignment="1">
      <alignment vertical="center"/>
    </xf>
    <xf numFmtId="43" fontId="5" fillId="0" borderId="24" xfId="33" applyFont="1" applyFill="1" applyBorder="1" applyAlignment="1">
      <alignment vertical="center"/>
    </xf>
    <xf numFmtId="0" fontId="4" fillId="0" borderId="9" xfId="40" applyFont="1" applyBorder="1" applyAlignment="1">
      <alignment vertical="center"/>
    </xf>
    <xf numFmtId="0" fontId="4" fillId="0" borderId="0" xfId="22" applyFont="1" applyAlignment="1">
      <alignment horizontal="right" vertical="center"/>
    </xf>
    <xf numFmtId="43" fontId="5" fillId="0" borderId="0" xfId="1" applyFont="1" applyAlignment="1">
      <alignment horizontal="center" vertical="center"/>
    </xf>
    <xf numFmtId="43" fontId="5" fillId="0" borderId="0" xfId="1" applyFont="1" applyAlignment="1">
      <alignment horizontal="left" vertical="center"/>
    </xf>
    <xf numFmtId="43" fontId="5" fillId="0" borderId="0" xfId="1" applyFont="1" applyAlignment="1">
      <alignment vertical="center"/>
    </xf>
    <xf numFmtId="43" fontId="4" fillId="0" borderId="0" xfId="1" applyFont="1" applyAlignment="1">
      <alignment horizontal="left" vertical="center"/>
    </xf>
    <xf numFmtId="3" fontId="5" fillId="0" borderId="0" xfId="40" applyNumberFormat="1" applyFont="1" applyAlignment="1">
      <alignment horizontal="center" vertical="center"/>
    </xf>
    <xf numFmtId="0" fontId="5" fillId="0" borderId="0" xfId="40" applyFont="1" applyAlignment="1">
      <alignment horizontal="left" vertical="center"/>
    </xf>
    <xf numFmtId="43" fontId="5" fillId="0" borderId="0" xfId="1" applyFont="1" applyAlignment="1">
      <alignment vertical="top"/>
    </xf>
    <xf numFmtId="0" fontId="2" fillId="0" borderId="23" xfId="40" applyFont="1" applyBorder="1" applyAlignment="1">
      <alignment horizontal="center" vertical="center"/>
    </xf>
    <xf numFmtId="43" fontId="1" fillId="0" borderId="2" xfId="40" applyNumberFormat="1" applyFont="1" applyBorder="1" applyAlignment="1">
      <alignment vertical="center"/>
    </xf>
    <xf numFmtId="1" fontId="2" fillId="0" borderId="17" xfId="64" applyNumberFormat="1" applyFont="1" applyBorder="1" applyAlignment="1">
      <alignment horizontal="center" vertical="center"/>
    </xf>
    <xf numFmtId="43" fontId="2" fillId="0" borderId="2" xfId="50" applyNumberFormat="1" applyFont="1" applyBorder="1" applyAlignment="1">
      <alignment vertical="center"/>
    </xf>
    <xf numFmtId="189" fontId="2" fillId="0" borderId="1" xfId="64" applyNumberFormat="1" applyFont="1" applyBorder="1" applyAlignment="1">
      <alignment horizontal="left" vertical="center"/>
    </xf>
    <xf numFmtId="189" fontId="2" fillId="0" borderId="17" xfId="50" applyNumberFormat="1" applyFont="1" applyBorder="1" applyAlignment="1">
      <alignment horizontal="left" vertical="center"/>
    </xf>
    <xf numFmtId="189" fontId="2" fillId="0" borderId="27" xfId="50" applyNumberFormat="1" applyFont="1" applyBorder="1" applyAlignment="1">
      <alignment horizontal="left" vertical="center"/>
    </xf>
    <xf numFmtId="189" fontId="2" fillId="0" borderId="0" xfId="40" applyNumberFormat="1" applyFont="1" applyAlignment="1">
      <alignment vertical="center"/>
    </xf>
    <xf numFmtId="189" fontId="2" fillId="0" borderId="17" xfId="64" applyNumberFormat="1" applyFont="1" applyBorder="1" applyAlignment="1">
      <alignment horizontal="left" vertical="center"/>
    </xf>
    <xf numFmtId="192" fontId="1" fillId="0" borderId="17" xfId="64" applyNumberFormat="1" applyFont="1" applyBorder="1" applyAlignment="1">
      <alignment vertical="center"/>
    </xf>
    <xf numFmtId="1" fontId="1" fillId="0" borderId="19" xfId="64" applyNumberFormat="1" applyFont="1" applyBorder="1" applyAlignment="1">
      <alignment horizontal="center" vertical="center"/>
    </xf>
    <xf numFmtId="192" fontId="1" fillId="0" borderId="20" xfId="67" applyNumberFormat="1" applyFont="1" applyBorder="1" applyAlignment="1">
      <alignment horizontal="left" vertical="center"/>
    </xf>
    <xf numFmtId="192" fontId="1" fillId="0" borderId="21" xfId="64" applyNumberFormat="1" applyFont="1" applyBorder="1" applyAlignment="1">
      <alignment horizontal="left" vertical="center"/>
    </xf>
    <xf numFmtId="192" fontId="1" fillId="0" borderId="22" xfId="40" applyNumberFormat="1" applyFont="1" applyBorder="1" applyAlignment="1">
      <alignment horizontal="left" vertical="center"/>
    </xf>
    <xf numFmtId="1" fontId="1" fillId="0" borderId="13" xfId="67" applyNumberFormat="1" applyFont="1" applyBorder="1" applyAlignment="1">
      <alignment horizontal="center" vertical="center"/>
    </xf>
    <xf numFmtId="192" fontId="1" fillId="0" borderId="23" xfId="50" applyNumberFormat="1" applyFont="1" applyBorder="1" applyAlignment="1">
      <alignment horizontal="left" vertical="center"/>
    </xf>
    <xf numFmtId="192" fontId="1" fillId="0" borderId="14" xfId="67" applyNumberFormat="1" applyFont="1" applyBorder="1" applyAlignment="1">
      <alignment horizontal="left" vertical="center"/>
    </xf>
    <xf numFmtId="0" fontId="1" fillId="0" borderId="16" xfId="50" applyFont="1" applyBorder="1" applyAlignment="1">
      <alignment horizontal="center" vertical="center"/>
    </xf>
    <xf numFmtId="192" fontId="1" fillId="0" borderId="2" xfId="50" applyNumberFormat="1" applyFont="1" applyBorder="1" applyAlignment="1">
      <alignment horizontal="left" vertical="center"/>
    </xf>
    <xf numFmtId="0" fontId="2" fillId="0" borderId="16" xfId="50" applyFont="1" applyBorder="1" applyAlignment="1">
      <alignment horizontal="center" vertical="center"/>
    </xf>
    <xf numFmtId="192" fontId="2" fillId="0" borderId="2" xfId="50" applyNumberFormat="1" applyFont="1" applyBorder="1" applyAlignment="1">
      <alignment horizontal="left" vertical="center"/>
    </xf>
    <xf numFmtId="192" fontId="2" fillId="0" borderId="17" xfId="67" applyNumberFormat="1" applyFont="1" applyBorder="1" applyAlignment="1">
      <alignment horizontal="center" vertical="center"/>
    </xf>
    <xf numFmtId="192" fontId="1" fillId="0" borderId="16" xfId="50" applyNumberFormat="1" applyFont="1" applyBorder="1" applyAlignment="1">
      <alignment horizontal="left" vertical="center"/>
    </xf>
    <xf numFmtId="192" fontId="2" fillId="0" borderId="18" xfId="50" applyNumberFormat="1" applyFont="1" applyBorder="1" applyAlignment="1">
      <alignment horizontal="left" vertical="center"/>
    </xf>
    <xf numFmtId="0" fontId="1" fillId="0" borderId="14" xfId="40" applyFont="1" applyBorder="1" applyAlignment="1">
      <alignment vertical="center"/>
    </xf>
    <xf numFmtId="43" fontId="1" fillId="0" borderId="17" xfId="1" applyFont="1" applyFill="1" applyBorder="1" applyAlignment="1">
      <alignment horizontal="right" vertical="center"/>
    </xf>
    <xf numFmtId="2" fontId="2" fillId="0" borderId="16" xfId="50" applyNumberFormat="1" applyFont="1" applyBorder="1" applyAlignment="1">
      <alignment horizontal="center" vertical="center"/>
    </xf>
    <xf numFmtId="43" fontId="2" fillId="0" borderId="18" xfId="1" applyFont="1" applyFill="1" applyBorder="1" applyAlignment="1">
      <alignment horizontal="center" vertical="center"/>
    </xf>
    <xf numFmtId="0" fontId="2" fillId="0" borderId="18" xfId="40" applyFont="1" applyBorder="1" applyAlignment="1">
      <alignment horizontal="left" vertical="center"/>
    </xf>
    <xf numFmtId="43" fontId="2" fillId="2" borderId="16" xfId="1" applyFont="1" applyFill="1" applyBorder="1" applyAlignment="1">
      <alignment horizontal="right" vertical="center"/>
    </xf>
    <xf numFmtId="192" fontId="2" fillId="0" borderId="17" xfId="28" applyNumberFormat="1" applyFont="1" applyBorder="1" applyAlignment="1">
      <alignment vertical="center"/>
    </xf>
    <xf numFmtId="192" fontId="2" fillId="0" borderId="2" xfId="69" applyNumberFormat="1" applyFont="1" applyBorder="1" applyAlignment="1">
      <alignment vertical="center"/>
    </xf>
    <xf numFmtId="192" fontId="2" fillId="0" borderId="18" xfId="40" applyNumberFormat="1" applyFont="1" applyBorder="1" applyAlignment="1">
      <alignment horizontal="center" vertical="center"/>
    </xf>
    <xf numFmtId="2" fontId="2" fillId="0" borderId="16" xfId="67" applyNumberFormat="1" applyFont="1" applyBorder="1" applyAlignment="1">
      <alignment horizontal="center" vertical="center"/>
    </xf>
    <xf numFmtId="192" fontId="1" fillId="0" borderId="17" xfId="67" applyNumberFormat="1" applyFont="1" applyBorder="1" applyAlignment="1">
      <alignment vertical="center"/>
    </xf>
    <xf numFmtId="192" fontId="1" fillId="0" borderId="2" xfId="40" applyNumberFormat="1" applyFont="1" applyBorder="1" applyAlignment="1">
      <alignment horizontal="left" vertical="center"/>
    </xf>
    <xf numFmtId="2" fontId="1" fillId="0" borderId="16" xfId="50" applyNumberFormat="1" applyFont="1" applyBorder="1" applyAlignment="1">
      <alignment horizontal="center" vertical="center"/>
    </xf>
    <xf numFmtId="192" fontId="1" fillId="0" borderId="17" xfId="28" applyNumberFormat="1" applyFont="1" applyBorder="1" applyAlignment="1">
      <alignment vertical="center"/>
    </xf>
    <xf numFmtId="192" fontId="1" fillId="0" borderId="2" xfId="69" applyNumberFormat="1" applyFont="1" applyBorder="1" applyAlignment="1">
      <alignment vertical="center"/>
    </xf>
    <xf numFmtId="192" fontId="1" fillId="0" borderId="18" xfId="68" applyNumberFormat="1" applyFont="1" applyBorder="1" applyAlignment="1">
      <alignment vertical="center"/>
    </xf>
    <xf numFmtId="43" fontId="1" fillId="0" borderId="17" xfId="1" applyFont="1" applyBorder="1" applyAlignment="1">
      <alignment vertical="center"/>
    </xf>
    <xf numFmtId="2" fontId="1" fillId="0" borderId="19" xfId="50" applyNumberFormat="1" applyFont="1" applyBorder="1" applyAlignment="1">
      <alignment horizontal="center" vertical="center"/>
    </xf>
    <xf numFmtId="191" fontId="1" fillId="0" borderId="0" xfId="50" applyNumberFormat="1" applyFont="1" applyAlignment="1">
      <alignment horizontal="center" vertical="center"/>
    </xf>
    <xf numFmtId="0" fontId="2" fillId="0" borderId="16" xfId="8" applyFont="1" applyBorder="1" applyAlignment="1">
      <alignment horizontal="center" vertical="center"/>
    </xf>
    <xf numFmtId="192" fontId="2" fillId="0" borderId="17" xfId="23" applyNumberFormat="1" applyFont="1" applyBorder="1" applyAlignment="1">
      <alignment horizontal="left" vertical="center"/>
    </xf>
    <xf numFmtId="192" fontId="1" fillId="0" borderId="17" xfId="40" applyNumberFormat="1" applyFont="1" applyBorder="1" applyAlignment="1">
      <alignment vertical="center"/>
    </xf>
    <xf numFmtId="192" fontId="1" fillId="0" borderId="2" xfId="40" applyNumberFormat="1" applyFont="1" applyBorder="1" applyAlignment="1">
      <alignment vertical="center"/>
    </xf>
    <xf numFmtId="192" fontId="1" fillId="0" borderId="17" xfId="40" applyNumberFormat="1" applyFont="1" applyBorder="1" applyAlignment="1">
      <alignment horizontal="center" vertical="center"/>
    </xf>
    <xf numFmtId="192" fontId="1" fillId="0" borderId="2" xfId="40" applyNumberFormat="1" applyFont="1" applyBorder="1" applyAlignment="1">
      <alignment horizontal="center" vertical="center"/>
    </xf>
    <xf numFmtId="192" fontId="1" fillId="0" borderId="18" xfId="40" applyNumberFormat="1" applyFont="1" applyBorder="1" applyAlignment="1">
      <alignment horizontal="center" vertical="center"/>
    </xf>
    <xf numFmtId="0" fontId="1" fillId="0" borderId="16" xfId="8" applyFont="1" applyBorder="1" applyAlignment="1">
      <alignment horizontal="center" vertical="center"/>
    </xf>
    <xf numFmtId="192" fontId="1" fillId="0" borderId="17" xfId="10" applyNumberFormat="1" applyFont="1" applyBorder="1" applyAlignment="1">
      <alignment vertical="center"/>
    </xf>
    <xf numFmtId="0" fontId="2" fillId="0" borderId="16" xfId="52" applyFont="1" applyBorder="1" applyAlignment="1">
      <alignment horizontal="center" vertical="center"/>
    </xf>
    <xf numFmtId="193" fontId="2" fillId="0" borderId="0" xfId="1" applyNumberFormat="1" applyFont="1" applyFill="1" applyAlignment="1">
      <alignment horizontal="center" vertical="center"/>
    </xf>
    <xf numFmtId="43" fontId="2" fillId="0" borderId="0" xfId="40" applyNumberFormat="1" applyFont="1" applyAlignment="1">
      <alignment vertical="center"/>
    </xf>
    <xf numFmtId="193" fontId="2" fillId="0" borderId="0" xfId="1" applyNumberFormat="1" applyFont="1" applyFill="1" applyAlignment="1">
      <alignment vertical="center"/>
    </xf>
    <xf numFmtId="192" fontId="1" fillId="0" borderId="17" xfId="23" applyNumberFormat="1" applyFont="1" applyBorder="1" applyAlignment="1">
      <alignment horizontal="left" vertical="center"/>
    </xf>
    <xf numFmtId="192" fontId="2" fillId="0" borderId="2" xfId="23" applyNumberFormat="1" applyFont="1" applyBorder="1" applyAlignment="1">
      <alignment horizontal="left" vertical="center"/>
    </xf>
    <xf numFmtId="193" fontId="2" fillId="0" borderId="2" xfId="33" applyNumberFormat="1" applyFont="1" applyFill="1" applyBorder="1" applyAlignment="1">
      <alignment vertical="center"/>
    </xf>
    <xf numFmtId="193" fontId="2" fillId="0" borderId="29" xfId="40" applyNumberFormat="1" applyFont="1" applyBorder="1" applyAlignment="1">
      <alignment vertical="center"/>
    </xf>
    <xf numFmtId="43" fontId="2" fillId="0" borderId="29" xfId="1" applyFont="1" applyFill="1" applyBorder="1" applyAlignment="1">
      <alignment horizontal="center" vertical="center"/>
    </xf>
    <xf numFmtId="192" fontId="2" fillId="0" borderId="18" xfId="67" applyNumberFormat="1" applyFont="1" applyBorder="1" applyAlignment="1">
      <alignment horizontal="left" vertical="center"/>
    </xf>
    <xf numFmtId="43" fontId="2" fillId="0" borderId="16" xfId="1" applyFont="1" applyBorder="1" applyAlignment="1">
      <alignment vertical="center" wrapText="1"/>
    </xf>
    <xf numFmtId="193" fontId="1" fillId="0" borderId="29" xfId="0" applyNumberFormat="1" applyFont="1" applyBorder="1" applyAlignment="1">
      <alignment vertical="center" wrapText="1"/>
    </xf>
    <xf numFmtId="193" fontId="2" fillId="0" borderId="16" xfId="0" applyNumberFormat="1" applyFont="1" applyBorder="1" applyAlignment="1">
      <alignment vertical="center"/>
    </xf>
    <xf numFmtId="193" fontId="1" fillId="0" borderId="29" xfId="0" applyNumberFormat="1" applyFont="1" applyBorder="1" applyAlignment="1" applyProtection="1">
      <alignment vertical="center" wrapText="1"/>
      <protection locked="0"/>
    </xf>
    <xf numFmtId="193" fontId="2" fillId="0" borderId="0" xfId="1" applyNumberFormat="1" applyFont="1" applyFill="1" applyBorder="1" applyAlignment="1">
      <alignment vertical="center"/>
    </xf>
    <xf numFmtId="2" fontId="2" fillId="0" borderId="17" xfId="40" applyNumberFormat="1" applyFont="1" applyBorder="1" applyAlignment="1">
      <alignment horizontal="center" vertical="center"/>
    </xf>
    <xf numFmtId="192" fontId="2" fillId="0" borderId="2" xfId="51" applyNumberFormat="1" applyFont="1" applyBorder="1" applyAlignment="1">
      <alignment vertical="center"/>
    </xf>
    <xf numFmtId="0" fontId="2" fillId="0" borderId="2" xfId="4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9" xfId="52" applyFont="1" applyBorder="1" applyAlignment="1">
      <alignment horizontal="center" vertical="center"/>
    </xf>
    <xf numFmtId="0" fontId="2" fillId="0" borderId="25" xfId="52" applyFont="1" applyBorder="1" applyAlignment="1">
      <alignment horizontal="center" vertical="center"/>
    </xf>
    <xf numFmtId="0" fontId="1" fillId="0" borderId="1" xfId="40" applyFont="1" applyBorder="1" applyAlignment="1">
      <alignment horizontal="center" vertical="center"/>
    </xf>
    <xf numFmtId="0" fontId="1" fillId="0" borderId="28" xfId="40" applyFont="1" applyBorder="1" applyAlignment="1">
      <alignment horizontal="center" vertical="center"/>
    </xf>
    <xf numFmtId="43" fontId="1" fillId="0" borderId="1" xfId="1" applyFont="1" applyFill="1" applyBorder="1" applyAlignment="1">
      <alignment vertical="center"/>
    </xf>
    <xf numFmtId="49" fontId="2" fillId="0" borderId="17" xfId="29" applyNumberFormat="1" applyFont="1" applyBorder="1" applyAlignment="1">
      <alignment horizontal="center" vertical="center"/>
    </xf>
    <xf numFmtId="2" fontId="2" fillId="0" borderId="17" xfId="29" applyNumberFormat="1" applyFont="1" applyBorder="1" applyAlignment="1">
      <alignment horizontal="center" vertical="center"/>
    </xf>
    <xf numFmtId="191" fontId="2" fillId="0" borderId="17" xfId="29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left" vertical="center"/>
    </xf>
    <xf numFmtId="43" fontId="2" fillId="0" borderId="1" xfId="1" applyFont="1" applyFill="1" applyBorder="1" applyAlignment="1">
      <alignment vertical="center"/>
    </xf>
    <xf numFmtId="43" fontId="1" fillId="0" borderId="2" xfId="1" applyFont="1" applyFill="1" applyBorder="1" applyAlignment="1">
      <alignment horizontal="right" vertical="center"/>
    </xf>
    <xf numFmtId="43" fontId="2" fillId="0" borderId="2" xfId="1" applyFont="1" applyFill="1" applyBorder="1" applyAlignment="1">
      <alignment horizontal="left" vertical="center"/>
    </xf>
    <xf numFmtId="0" fontId="2" fillId="0" borderId="0" xfId="40" applyFont="1" applyAlignment="1">
      <alignment horizontal="right" vertical="center"/>
    </xf>
    <xf numFmtId="43" fontId="2" fillId="0" borderId="0" xfId="1" applyFont="1" applyBorder="1" applyAlignment="1">
      <alignment horizontal="center" vertical="center"/>
    </xf>
    <xf numFmtId="43" fontId="2" fillId="0" borderId="0" xfId="1" applyFont="1" applyFill="1" applyAlignment="1">
      <alignment horizontal="right" vertical="center"/>
    </xf>
    <xf numFmtId="43" fontId="1" fillId="0" borderId="0" xfId="1" applyFont="1" applyFill="1" applyAlignment="1">
      <alignment horizontal="right" vertical="center"/>
    </xf>
    <xf numFmtId="193" fontId="1" fillId="0" borderId="0" xfId="1" applyNumberFormat="1" applyFont="1" applyFill="1" applyAlignment="1">
      <alignment horizontal="right" vertical="center"/>
    </xf>
    <xf numFmtId="43" fontId="2" fillId="0" borderId="16" xfId="50" applyNumberFormat="1" applyFont="1" applyBorder="1" applyAlignment="1">
      <alignment vertical="center"/>
    </xf>
    <xf numFmtId="194" fontId="2" fillId="0" borderId="0" xfId="50" applyNumberFormat="1" applyFont="1" applyAlignment="1">
      <alignment vertical="center"/>
    </xf>
    <xf numFmtId="193" fontId="2" fillId="0" borderId="0" xfId="40" applyNumberFormat="1" applyFont="1" applyAlignment="1">
      <alignment horizontal="center" vertical="center"/>
    </xf>
    <xf numFmtId="0" fontId="2" fillId="0" borderId="29" xfId="40" applyFont="1" applyBorder="1" applyAlignment="1">
      <alignment horizontal="right" vertical="center"/>
    </xf>
    <xf numFmtId="193" fontId="2" fillId="0" borderId="29" xfId="1" applyNumberFormat="1" applyFont="1" applyFill="1" applyBorder="1" applyAlignment="1">
      <alignment horizontal="right" vertical="center"/>
    </xf>
    <xf numFmtId="193" fontId="1" fillId="0" borderId="29" xfId="1" applyNumberFormat="1" applyFont="1" applyFill="1" applyBorder="1" applyAlignment="1">
      <alignment horizontal="right" vertical="center"/>
    </xf>
    <xf numFmtId="43" fontId="2" fillId="0" borderId="29" xfId="1" applyFont="1" applyFill="1" applyBorder="1" applyAlignment="1">
      <alignment vertical="center"/>
    </xf>
    <xf numFmtId="0" fontId="1" fillId="0" borderId="29" xfId="40" applyFont="1" applyBorder="1" applyAlignment="1">
      <alignment horizontal="center" vertical="center"/>
    </xf>
    <xf numFmtId="2" fontId="2" fillId="0" borderId="29" xfId="40" applyNumberFormat="1" applyFont="1" applyBorder="1" applyAlignment="1">
      <alignment vertical="center"/>
    </xf>
    <xf numFmtId="193" fontId="2" fillId="0" borderId="29" xfId="1" applyNumberFormat="1" applyFont="1" applyBorder="1" applyAlignment="1">
      <alignment horizontal="center" vertical="center"/>
    </xf>
    <xf numFmtId="43" fontId="2" fillId="2" borderId="16" xfId="50" applyNumberFormat="1" applyFont="1" applyFill="1" applyBorder="1" applyAlignment="1">
      <alignment vertical="center"/>
    </xf>
    <xf numFmtId="193" fontId="2" fillId="0" borderId="16" xfId="50" applyNumberFormat="1" applyFont="1" applyBorder="1" applyAlignment="1">
      <alignment vertical="center"/>
    </xf>
    <xf numFmtId="193" fontId="2" fillId="0" borderId="29" xfId="0" applyNumberFormat="1" applyFont="1" applyBorder="1" applyAlignment="1">
      <alignment vertical="center"/>
    </xf>
    <xf numFmtId="193" fontId="2" fillId="0" borderId="29" xfId="33" applyNumberFormat="1" applyFont="1" applyFill="1" applyBorder="1" applyAlignment="1">
      <alignment horizontal="center" vertical="center"/>
    </xf>
    <xf numFmtId="0" fontId="2" fillId="0" borderId="29" xfId="40" applyFont="1" applyBorder="1" applyAlignment="1">
      <alignment horizontal="left" vertical="center"/>
    </xf>
    <xf numFmtId="193" fontId="2" fillId="0" borderId="29" xfId="1" applyNumberFormat="1" applyFont="1" applyBorder="1" applyAlignment="1">
      <alignment vertical="center"/>
    </xf>
    <xf numFmtId="193" fontId="2" fillId="0" borderId="0" xfId="1" applyNumberFormat="1" applyFont="1" applyAlignment="1">
      <alignment horizontal="center" vertical="center"/>
    </xf>
    <xf numFmtId="193" fontId="2" fillId="0" borderId="0" xfId="1" applyNumberFormat="1" applyFont="1" applyAlignment="1">
      <alignment vertical="center"/>
    </xf>
    <xf numFmtId="192" fontId="1" fillId="0" borderId="2" xfId="50" applyNumberFormat="1" applyFont="1" applyBorder="1" applyAlignment="1">
      <alignment vertical="center"/>
    </xf>
    <xf numFmtId="193" fontId="2" fillId="0" borderId="29" xfId="40" applyNumberFormat="1" applyFont="1" applyBorder="1" applyAlignment="1">
      <alignment horizontal="left" vertical="center"/>
    </xf>
    <xf numFmtId="193" fontId="2" fillId="3" borderId="29" xfId="0" applyNumberFormat="1" applyFont="1" applyFill="1" applyBorder="1" applyAlignment="1">
      <alignment vertical="center"/>
    </xf>
    <xf numFmtId="193" fontId="2" fillId="3" borderId="29" xfId="1" applyNumberFormat="1" applyFont="1" applyFill="1" applyBorder="1" applyAlignment="1">
      <alignment horizontal="right" vertical="center"/>
    </xf>
    <xf numFmtId="193" fontId="2" fillId="0" borderId="29" xfId="1" applyNumberFormat="1" applyFont="1" applyBorder="1" applyAlignment="1">
      <alignment horizontal="right" vertical="center"/>
    </xf>
    <xf numFmtId="0" fontId="1" fillId="0" borderId="0" xfId="40" applyFont="1" applyAlignment="1">
      <alignment horizontal="center" vertical="center" wrapText="1"/>
    </xf>
    <xf numFmtId="200" fontId="2" fillId="0" borderId="29" xfId="1" applyNumberFormat="1" applyFont="1" applyBorder="1" applyAlignment="1">
      <alignment vertical="center"/>
    </xf>
    <xf numFmtId="0" fontId="1" fillId="0" borderId="29" xfId="40" applyFont="1" applyBorder="1" applyAlignment="1">
      <alignment horizontal="left" vertical="center" wrapText="1"/>
    </xf>
    <xf numFmtId="0" fontId="1" fillId="0" borderId="29" xfId="40" applyFont="1" applyBorder="1" applyAlignment="1">
      <alignment horizontal="center" vertical="center" wrapText="1"/>
    </xf>
    <xf numFmtId="193" fontId="2" fillId="0" borderId="29" xfId="1" applyNumberFormat="1" applyFont="1" applyBorder="1" applyAlignment="1">
      <alignment horizontal="left" vertical="center"/>
    </xf>
    <xf numFmtId="193" fontId="1" fillId="0" borderId="29" xfId="1" applyNumberFormat="1" applyFont="1" applyBorder="1" applyAlignment="1">
      <alignment horizontal="center" vertical="center"/>
    </xf>
    <xf numFmtId="192" fontId="2" fillId="2" borderId="2" xfId="50" applyNumberFormat="1" applyFont="1" applyFill="1" applyBorder="1" applyAlignment="1">
      <alignment vertical="center"/>
    </xf>
    <xf numFmtId="193" fontId="1" fillId="0" borderId="16" xfId="50" applyNumberFormat="1" applyFont="1" applyBorder="1" applyAlignment="1">
      <alignment vertical="center"/>
    </xf>
    <xf numFmtId="193" fontId="2" fillId="2" borderId="29" xfId="0" applyNumberFormat="1" applyFont="1" applyFill="1" applyBorder="1" applyAlignment="1">
      <alignment vertical="center"/>
    </xf>
    <xf numFmtId="193" fontId="2" fillId="2" borderId="29" xfId="33" applyNumberFormat="1" applyFont="1" applyFill="1" applyBorder="1" applyAlignment="1">
      <alignment horizontal="center" vertical="center"/>
    </xf>
    <xf numFmtId="193" fontId="2" fillId="4" borderId="29" xfId="0" applyNumberFormat="1" applyFont="1" applyFill="1" applyBorder="1" applyAlignment="1">
      <alignment vertical="center"/>
    </xf>
    <xf numFmtId="43" fontId="1" fillId="0" borderId="29" xfId="1" applyFont="1" applyFill="1" applyBorder="1" applyAlignment="1">
      <alignment vertical="center"/>
    </xf>
    <xf numFmtId="0" fontId="1" fillId="0" borderId="29" xfId="40" applyFont="1" applyBorder="1" applyAlignment="1">
      <alignment horizontal="left" vertical="center"/>
    </xf>
    <xf numFmtId="196" fontId="2" fillId="0" borderId="29" xfId="40" applyNumberFormat="1" applyFont="1" applyBorder="1" applyAlignment="1">
      <alignment horizontal="center" vertical="center"/>
    </xf>
    <xf numFmtId="0" fontId="2" fillId="0" borderId="30" xfId="40" applyFont="1" applyBorder="1" applyAlignment="1">
      <alignment horizontal="center" vertical="center"/>
    </xf>
    <xf numFmtId="0" fontId="2" fillId="0" borderId="0" xfId="40" applyFont="1" applyAlignment="1">
      <alignment horizontal="center" vertical="center" wrapText="1"/>
    </xf>
    <xf numFmtId="0" fontId="2" fillId="0" borderId="32" xfId="40" applyFont="1" applyBorder="1" applyAlignment="1">
      <alignment vertical="center"/>
    </xf>
    <xf numFmtId="43" fontId="1" fillId="0" borderId="1" xfId="1" applyFont="1" applyBorder="1" applyAlignment="1">
      <alignment horizontal="left" vertical="center"/>
    </xf>
    <xf numFmtId="43" fontId="1" fillId="0" borderId="11" xfId="1" applyFont="1" applyFill="1" applyBorder="1" applyAlignment="1">
      <alignment horizontal="center" vertical="center"/>
    </xf>
    <xf numFmtId="192" fontId="1" fillId="0" borderId="23" xfId="65" applyNumberFormat="1" applyFont="1" applyBorder="1" applyAlignment="1">
      <alignment horizontal="left" vertical="center"/>
    </xf>
    <xf numFmtId="192" fontId="1" fillId="0" borderId="14" xfId="64" applyNumberFormat="1" applyFont="1" applyBorder="1" applyAlignment="1">
      <alignment horizontal="left" vertical="center" wrapText="1"/>
    </xf>
    <xf numFmtId="43" fontId="2" fillId="0" borderId="15" xfId="1" applyFont="1" applyFill="1" applyBorder="1" applyAlignment="1">
      <alignment horizontal="center" vertical="center"/>
    </xf>
    <xf numFmtId="192" fontId="1" fillId="0" borderId="2" xfId="64" applyNumberFormat="1" applyFont="1" applyBorder="1" applyAlignment="1">
      <alignment horizontal="left" vertical="center" wrapText="1"/>
    </xf>
    <xf numFmtId="194" fontId="2" fillId="0" borderId="2" xfId="64" applyNumberFormat="1" applyFont="1" applyBorder="1" applyAlignment="1">
      <alignment horizontal="left" vertical="center" wrapText="1"/>
    </xf>
    <xf numFmtId="194" fontId="2" fillId="0" borderId="2" xfId="40" applyNumberFormat="1" applyFont="1" applyBorder="1" applyAlignment="1">
      <alignment horizontal="center" vertical="center" wrapText="1"/>
    </xf>
    <xf numFmtId="194" fontId="2" fillId="0" borderId="2" xfId="40" applyNumberFormat="1" applyFont="1" applyBorder="1" applyAlignment="1">
      <alignment vertical="center" wrapText="1"/>
    </xf>
    <xf numFmtId="194" fontId="2" fillId="0" borderId="2" xfId="50" applyNumberFormat="1" applyFont="1" applyBorder="1" applyAlignment="1">
      <alignment vertical="center" wrapText="1"/>
    </xf>
    <xf numFmtId="0" fontId="2" fillId="0" borderId="2" xfId="40" applyFont="1" applyBorder="1" applyAlignment="1">
      <alignment horizontal="left" vertical="center" wrapText="1"/>
    </xf>
    <xf numFmtId="191" fontId="1" fillId="0" borderId="17" xfId="64" applyNumberFormat="1" applyFont="1" applyBorder="1" applyAlignment="1">
      <alignment horizontal="center" vertical="center"/>
    </xf>
    <xf numFmtId="43" fontId="1" fillId="0" borderId="18" xfId="1" applyFont="1" applyFill="1" applyBorder="1" applyAlignment="1">
      <alignment horizontal="center" vertical="center"/>
    </xf>
    <xf numFmtId="0" fontId="1" fillId="0" borderId="2" xfId="40" applyFont="1" applyBorder="1" applyAlignment="1">
      <alignment horizontal="center" vertical="center" wrapText="1"/>
    </xf>
    <xf numFmtId="1" fontId="1" fillId="0" borderId="17" xfId="64" applyNumberFormat="1" applyFont="1" applyBorder="1" applyAlignment="1">
      <alignment horizontal="center" vertical="center"/>
    </xf>
    <xf numFmtId="194" fontId="1" fillId="0" borderId="17" xfId="29" applyNumberFormat="1" applyFont="1" applyBorder="1" applyAlignment="1">
      <alignment horizontal="left" vertical="center"/>
    </xf>
    <xf numFmtId="49" fontId="1" fillId="0" borderId="2" xfId="64" applyNumberFormat="1" applyFont="1" applyBorder="1" applyAlignment="1">
      <alignment horizontal="left" vertical="center" wrapText="1"/>
    </xf>
    <xf numFmtId="191" fontId="2" fillId="0" borderId="17" xfId="64" applyNumberFormat="1" applyFont="1" applyBorder="1" applyAlignment="1">
      <alignment horizontal="center" vertical="center"/>
    </xf>
    <xf numFmtId="49" fontId="2" fillId="0" borderId="17" xfId="64" applyNumberFormat="1" applyFont="1" applyBorder="1" applyAlignment="1">
      <alignment horizontal="left" vertical="center"/>
    </xf>
    <xf numFmtId="49" fontId="1" fillId="0" borderId="2" xfId="40" applyNumberFormat="1" applyFont="1" applyBorder="1" applyAlignment="1">
      <alignment vertical="center" wrapText="1"/>
    </xf>
    <xf numFmtId="49" fontId="2" fillId="0" borderId="17" xfId="32" applyNumberFormat="1" applyFont="1" applyBorder="1" applyAlignment="1">
      <alignment horizontal="center" vertical="center"/>
    </xf>
    <xf numFmtId="49" fontId="2" fillId="0" borderId="2" xfId="50" applyNumberFormat="1" applyFont="1" applyBorder="1" applyAlignment="1">
      <alignment vertical="center" wrapText="1"/>
    </xf>
    <xf numFmtId="49" fontId="2" fillId="0" borderId="18" xfId="50" applyNumberFormat="1" applyFont="1" applyBorder="1" applyAlignment="1">
      <alignment vertical="center"/>
    </xf>
    <xf numFmtId="49" fontId="2" fillId="0" borderId="2" xfId="64" applyNumberFormat="1" applyFont="1" applyBorder="1" applyAlignment="1">
      <alignment horizontal="left" vertical="center" wrapText="1"/>
    </xf>
    <xf numFmtId="49" fontId="2" fillId="0" borderId="17" xfId="64" applyNumberFormat="1" applyFont="1" applyBorder="1" applyAlignment="1">
      <alignment vertical="center"/>
    </xf>
    <xf numFmtId="49" fontId="2" fillId="0" borderId="2" xfId="40" applyNumberFormat="1" applyFont="1" applyBorder="1" applyAlignment="1">
      <alignment vertical="center" wrapText="1"/>
    </xf>
    <xf numFmtId="49" fontId="2" fillId="0" borderId="18" xfId="40" applyNumberFormat="1" applyFont="1" applyBorder="1" applyAlignment="1">
      <alignment vertical="center"/>
    </xf>
    <xf numFmtId="49" fontId="2" fillId="0" borderId="2" xfId="64" applyNumberFormat="1" applyFont="1" applyBorder="1" applyAlignment="1">
      <alignment vertical="center" wrapText="1"/>
    </xf>
    <xf numFmtId="43" fontId="2" fillId="0" borderId="1" xfId="1" applyFont="1" applyBorder="1" applyAlignment="1">
      <alignment vertical="center"/>
    </xf>
    <xf numFmtId="194" fontId="2" fillId="0" borderId="0" xfId="50" applyNumberFormat="1" applyFont="1" applyAlignment="1">
      <alignment horizontal="left" vertical="center"/>
    </xf>
    <xf numFmtId="43" fontId="2" fillId="2" borderId="18" xfId="1" applyFont="1" applyFill="1" applyBorder="1" applyAlignment="1">
      <alignment horizontal="center" vertical="center"/>
    </xf>
    <xf numFmtId="49" fontId="2" fillId="0" borderId="17" xfId="40" applyNumberFormat="1" applyFont="1" applyBorder="1" applyAlignment="1">
      <alignment horizontal="left" vertical="center"/>
    </xf>
    <xf numFmtId="49" fontId="2" fillId="0" borderId="2" xfId="40" applyNumberFormat="1" applyFont="1" applyBorder="1" applyAlignment="1">
      <alignment horizontal="left" vertical="center" wrapText="1"/>
    </xf>
    <xf numFmtId="191" fontId="2" fillId="0" borderId="17" xfId="40" applyNumberFormat="1" applyFont="1" applyBorder="1" applyAlignment="1">
      <alignment horizontal="center" vertical="center"/>
    </xf>
    <xf numFmtId="191" fontId="2" fillId="2" borderId="17" xfId="40" applyNumberFormat="1" applyFont="1" applyFill="1" applyBorder="1" applyAlignment="1">
      <alignment horizontal="center" vertical="center"/>
    </xf>
    <xf numFmtId="49" fontId="2" fillId="2" borderId="18" xfId="40" applyNumberFormat="1" applyFont="1" applyFill="1" applyBorder="1" applyAlignment="1">
      <alignment vertical="center"/>
    </xf>
    <xf numFmtId="43" fontId="2" fillId="5" borderId="16" xfId="1" applyFont="1" applyFill="1" applyBorder="1" applyAlignment="1">
      <alignment horizontal="center" vertical="center"/>
    </xf>
    <xf numFmtId="194" fontId="2" fillId="0" borderId="18" xfId="40" applyNumberFormat="1" applyFont="1" applyBorder="1" applyAlignment="1">
      <alignment horizontal="center" vertical="center"/>
    </xf>
    <xf numFmtId="201" fontId="2" fillId="0" borderId="17" xfId="29" applyNumberFormat="1" applyFont="1" applyBorder="1" applyAlignment="1">
      <alignment horizontal="center" vertical="center"/>
    </xf>
    <xf numFmtId="194" fontId="2" fillId="0" borderId="2" xfId="40" applyNumberFormat="1" applyFont="1" applyBorder="1" applyAlignment="1">
      <alignment horizontal="left" vertical="center" wrapText="1"/>
    </xf>
    <xf numFmtId="43" fontId="2" fillId="0" borderId="18" xfId="1" applyFont="1" applyFill="1" applyBorder="1" applyAlignment="1">
      <alignment horizontal="left" vertical="center" wrapText="1"/>
    </xf>
    <xf numFmtId="43" fontId="2" fillId="0" borderId="16" xfId="1" applyFont="1" applyFill="1" applyBorder="1" applyAlignment="1">
      <alignment horizontal="right" vertical="center" wrapText="1"/>
    </xf>
    <xf numFmtId="43" fontId="2" fillId="5" borderId="16" xfId="1" applyFont="1" applyFill="1" applyBorder="1" applyAlignment="1">
      <alignment vertical="center"/>
    </xf>
    <xf numFmtId="43" fontId="2" fillId="0" borderId="16" xfId="1" applyFont="1" applyFill="1" applyBorder="1" applyAlignment="1">
      <alignment horizontal="center" vertical="center" wrapText="1"/>
    </xf>
    <xf numFmtId="202" fontId="2" fillId="0" borderId="17" xfId="29" applyNumberFormat="1" applyFont="1" applyBorder="1" applyAlignment="1">
      <alignment horizontal="center" vertical="center"/>
    </xf>
    <xf numFmtId="194" fontId="2" fillId="0" borderId="18" xfId="40" applyNumberFormat="1" applyFont="1" applyBorder="1" applyAlignment="1">
      <alignment vertical="center"/>
    </xf>
    <xf numFmtId="43" fontId="2" fillId="0" borderId="18" xfId="1" applyFont="1" applyFill="1" applyBorder="1" applyAlignment="1">
      <alignment horizontal="right" vertical="center" wrapText="1"/>
    </xf>
    <xf numFmtId="193" fontId="2" fillId="0" borderId="18" xfId="1" applyNumberFormat="1" applyFont="1" applyFill="1" applyBorder="1" applyAlignment="1">
      <alignment horizontal="right" vertical="center" wrapText="1"/>
    </xf>
    <xf numFmtId="0" fontId="2" fillId="0" borderId="18" xfId="40" applyFont="1" applyBorder="1" applyAlignment="1">
      <alignment horizontal="left" vertical="center" wrapText="1"/>
    </xf>
    <xf numFmtId="43" fontId="2" fillId="0" borderId="2" xfId="1" applyFont="1" applyFill="1" applyBorder="1" applyAlignment="1">
      <alignment horizontal="right" vertical="center"/>
    </xf>
    <xf numFmtId="43" fontId="2" fillId="0" borderId="2" xfId="1" applyFont="1" applyFill="1" applyBorder="1" applyAlignment="1">
      <alignment horizontal="right" vertical="center" wrapText="1"/>
    </xf>
    <xf numFmtId="187" fontId="2" fillId="0" borderId="17" xfId="29" applyNumberFormat="1" applyFont="1" applyBorder="1" applyAlignment="1">
      <alignment horizontal="center" vertical="center"/>
    </xf>
    <xf numFmtId="0" fontId="2" fillId="0" borderId="2" xfId="40" applyFont="1" applyBorder="1" applyAlignment="1">
      <alignment vertical="center" wrapText="1"/>
    </xf>
    <xf numFmtId="192" fontId="2" fillId="0" borderId="2" xfId="40" applyNumberFormat="1" applyFont="1" applyBorder="1" applyAlignment="1">
      <alignment vertical="center" wrapText="1"/>
    </xf>
    <xf numFmtId="43" fontId="2" fillId="5" borderId="16" xfId="1" applyFont="1" applyFill="1" applyBorder="1" applyAlignment="1">
      <alignment horizontal="right" vertical="center" wrapText="1"/>
    </xf>
    <xf numFmtId="43" fontId="2" fillId="5" borderId="16" xfId="1" applyFont="1" applyFill="1" applyBorder="1" applyAlignment="1">
      <alignment horizontal="center" vertical="center" wrapText="1"/>
    </xf>
    <xf numFmtId="49" fontId="2" fillId="0" borderId="17" xfId="40" applyNumberFormat="1" applyFont="1" applyBorder="1" applyAlignment="1">
      <alignment vertical="center"/>
    </xf>
    <xf numFmtId="49" fontId="1" fillId="0" borderId="2" xfId="40" applyNumberFormat="1" applyFont="1" applyBorder="1" applyAlignment="1">
      <alignment vertical="center"/>
    </xf>
    <xf numFmtId="49" fontId="2" fillId="0" borderId="2" xfId="40" applyNumberFormat="1" applyFont="1" applyBorder="1" applyAlignment="1">
      <alignment vertical="center"/>
    </xf>
    <xf numFmtId="49" fontId="1" fillId="0" borderId="18" xfId="40" applyNumberFormat="1" applyFont="1" applyBorder="1" applyAlignment="1">
      <alignment horizontal="left" vertical="center"/>
    </xf>
    <xf numFmtId="49" fontId="2" fillId="0" borderId="18" xfId="40" applyNumberFormat="1" applyFont="1" applyBorder="1" applyAlignment="1">
      <alignment horizontal="left" vertical="center"/>
    </xf>
    <xf numFmtId="194" fontId="2" fillId="0" borderId="18" xfId="29" applyNumberFormat="1" applyFont="1" applyBorder="1" applyAlignment="1">
      <alignment horizontal="center" vertical="center"/>
    </xf>
    <xf numFmtId="43" fontId="2" fillId="5" borderId="16" xfId="1" applyFont="1" applyFill="1" applyBorder="1" applyAlignment="1">
      <alignment horizontal="right" vertical="center"/>
    </xf>
    <xf numFmtId="2" fontId="2" fillId="0" borderId="17" xfId="64" applyNumberFormat="1" applyFont="1" applyBorder="1" applyAlignment="1">
      <alignment horizontal="center" vertical="center"/>
    </xf>
    <xf numFmtId="49" fontId="1" fillId="0" borderId="17" xfId="64" applyNumberFormat="1" applyFont="1" applyBorder="1" applyAlignment="1">
      <alignment vertical="center"/>
    </xf>
    <xf numFmtId="49" fontId="1" fillId="0" borderId="2" xfId="64" applyNumberFormat="1" applyFont="1" applyBorder="1" applyAlignment="1">
      <alignment vertical="center" wrapText="1"/>
    </xf>
    <xf numFmtId="49" fontId="1" fillId="0" borderId="17" xfId="40" applyNumberFormat="1" applyFont="1" applyBorder="1" applyAlignment="1">
      <alignment horizontal="left" vertical="center"/>
    </xf>
    <xf numFmtId="49" fontId="1" fillId="0" borderId="2" xfId="40" applyNumberFormat="1" applyFont="1" applyBorder="1" applyAlignment="1">
      <alignment horizontal="left" vertical="center" wrapText="1"/>
    </xf>
    <xf numFmtId="49" fontId="2" fillId="0" borderId="17" xfId="64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 wrapText="1"/>
    </xf>
    <xf numFmtId="43" fontId="2" fillId="0" borderId="33" xfId="1" applyFont="1" applyBorder="1" applyAlignment="1">
      <alignment horizontal="right" vertical="center"/>
    </xf>
    <xf numFmtId="203" fontId="2" fillId="0" borderId="17" xfId="4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18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191" fontId="2" fillId="0" borderId="17" xfId="64" applyNumberFormat="1" applyFont="1" applyBorder="1" applyAlignment="1">
      <alignment horizontal="left" vertical="center"/>
    </xf>
    <xf numFmtId="0" fontId="2" fillId="0" borderId="18" xfId="0" applyFont="1" applyBorder="1" applyAlignment="1">
      <alignment vertical="center"/>
    </xf>
    <xf numFmtId="49" fontId="2" fillId="0" borderId="18" xfId="0" applyNumberFormat="1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43" fontId="2" fillId="0" borderId="33" xfId="1" applyFont="1" applyBorder="1" applyAlignment="1">
      <alignment vertical="center"/>
    </xf>
    <xf numFmtId="49" fontId="1" fillId="0" borderId="2" xfId="64" applyNumberFormat="1" applyFont="1" applyBorder="1" applyAlignment="1">
      <alignment vertical="center"/>
    </xf>
    <xf numFmtId="1" fontId="1" fillId="0" borderId="20" xfId="64" applyNumberFormat="1" applyFont="1" applyBorder="1" applyAlignment="1">
      <alignment horizontal="center" vertical="center"/>
    </xf>
    <xf numFmtId="194" fontId="1" fillId="0" borderId="20" xfId="29" applyNumberFormat="1" applyFont="1" applyBorder="1" applyAlignment="1">
      <alignment horizontal="left" vertical="center"/>
    </xf>
    <xf numFmtId="49" fontId="1" fillId="0" borderId="21" xfId="64" applyNumberFormat="1" applyFont="1" applyBorder="1" applyAlignment="1">
      <alignment horizontal="left" vertical="center" wrapText="1"/>
    </xf>
    <xf numFmtId="49" fontId="1" fillId="0" borderId="22" xfId="40" applyNumberFormat="1" applyFont="1" applyBorder="1" applyAlignment="1">
      <alignment vertical="center"/>
    </xf>
    <xf numFmtId="43" fontId="1" fillId="0" borderId="22" xfId="1" applyFont="1" applyFill="1" applyBorder="1" applyAlignment="1">
      <alignment horizontal="center" vertical="center"/>
    </xf>
    <xf numFmtId="194" fontId="1" fillId="0" borderId="0" xfId="1" applyNumberFormat="1" applyFont="1" applyAlignment="1">
      <alignment vertical="center"/>
    </xf>
    <xf numFmtId="0" fontId="2" fillId="5" borderId="0" xfId="40" applyFont="1" applyFill="1" applyAlignment="1">
      <alignment vertical="center"/>
    </xf>
    <xf numFmtId="0" fontId="6" fillId="0" borderId="0" xfId="40" applyFont="1" applyAlignment="1">
      <alignment vertical="center"/>
    </xf>
    <xf numFmtId="0" fontId="7" fillId="0" borderId="0" xfId="40" applyFont="1" applyAlignment="1">
      <alignment vertical="center"/>
    </xf>
    <xf numFmtId="0" fontId="7" fillId="0" borderId="0" xfId="40" applyFont="1" applyAlignment="1">
      <alignment horizontal="center" vertical="center"/>
    </xf>
    <xf numFmtId="43" fontId="7" fillId="0" borderId="0" xfId="1" applyFont="1" applyFill="1" applyAlignment="1">
      <alignment vertical="center"/>
    </xf>
    <xf numFmtId="43" fontId="6" fillId="0" borderId="0" xfId="1" applyFont="1" applyFill="1" applyAlignment="1">
      <alignment vertical="center"/>
    </xf>
    <xf numFmtId="43" fontId="7" fillId="0" borderId="0" xfId="40" applyNumberFormat="1" applyFont="1" applyAlignment="1">
      <alignment horizontal="left" vertical="center"/>
    </xf>
    <xf numFmtId="43" fontId="2" fillId="0" borderId="0" xfId="40" applyNumberFormat="1" applyFont="1" applyAlignment="1">
      <alignment horizontal="left" vertical="center"/>
    </xf>
    <xf numFmtId="0" fontId="8" fillId="0" borderId="1" xfId="40" applyFont="1" applyBorder="1" applyAlignment="1">
      <alignment vertical="center"/>
    </xf>
    <xf numFmtId="43" fontId="8" fillId="0" borderId="1" xfId="1" applyFont="1" applyFill="1" applyBorder="1" applyAlignment="1">
      <alignment vertical="center"/>
    </xf>
    <xf numFmtId="43" fontId="9" fillId="0" borderId="1" xfId="1" applyFont="1" applyFill="1" applyBorder="1" applyAlignment="1">
      <alignment horizontal="left" vertical="center"/>
    </xf>
    <xf numFmtId="43" fontId="8" fillId="0" borderId="1" xfId="1" applyFont="1" applyFill="1" applyBorder="1" applyAlignment="1">
      <alignment horizontal="left" vertical="center"/>
    </xf>
    <xf numFmtId="0" fontId="8" fillId="0" borderId="2" xfId="40" applyFont="1" applyBorder="1" applyAlignment="1">
      <alignment vertical="center"/>
    </xf>
    <xf numFmtId="193" fontId="8" fillId="0" borderId="2" xfId="40" applyNumberFormat="1" applyFont="1" applyBorder="1" applyAlignment="1">
      <alignment vertical="center"/>
    </xf>
    <xf numFmtId="196" fontId="9" fillId="0" borderId="2" xfId="43" applyNumberFormat="1" applyFont="1" applyBorder="1" applyAlignment="1">
      <alignment vertical="center"/>
    </xf>
    <xf numFmtId="196" fontId="8" fillId="0" borderId="2" xfId="43" applyNumberFormat="1" applyFont="1" applyBorder="1" applyAlignment="1">
      <alignment vertical="center"/>
    </xf>
    <xf numFmtId="0" fontId="8" fillId="0" borderId="0" xfId="40" applyFont="1" applyAlignment="1">
      <alignment vertical="center"/>
    </xf>
    <xf numFmtId="0" fontId="8" fillId="0" borderId="0" xfId="4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43" fontId="9" fillId="0" borderId="0" xfId="1" applyFont="1" applyFill="1" applyAlignment="1">
      <alignment vertical="center"/>
    </xf>
    <xf numFmtId="43" fontId="8" fillId="0" borderId="3" xfId="1" applyFont="1" applyFill="1" applyBorder="1" applyAlignment="1">
      <alignment horizontal="center" vertical="center"/>
    </xf>
    <xf numFmtId="43" fontId="8" fillId="0" borderId="9" xfId="1" applyFont="1" applyFill="1" applyBorder="1" applyAlignment="1">
      <alignment horizontal="center" vertical="center"/>
    </xf>
    <xf numFmtId="43" fontId="9" fillId="0" borderId="9" xfId="1" applyFont="1" applyFill="1" applyBorder="1" applyAlignment="1">
      <alignment horizontal="center" vertical="center"/>
    </xf>
    <xf numFmtId="0" fontId="7" fillId="0" borderId="13" xfId="40" applyFont="1" applyBorder="1" applyAlignment="1">
      <alignment horizontal="center" vertical="center"/>
    </xf>
    <xf numFmtId="192" fontId="8" fillId="0" borderId="14" xfId="64" applyNumberFormat="1" applyFont="1" applyBorder="1" applyAlignment="1">
      <alignment horizontal="left" vertical="center"/>
    </xf>
    <xf numFmtId="192" fontId="7" fillId="0" borderId="15" xfId="40" applyNumberFormat="1" applyFont="1" applyBorder="1" applyAlignment="1">
      <alignment vertical="center"/>
    </xf>
    <xf numFmtId="43" fontId="7" fillId="0" borderId="13" xfId="1" applyFont="1" applyFill="1" applyBorder="1" applyAlignment="1">
      <alignment vertical="center"/>
    </xf>
    <xf numFmtId="43" fontId="7" fillId="0" borderId="13" xfId="1" applyFont="1" applyBorder="1" applyAlignment="1">
      <alignment horizontal="center" vertical="center"/>
    </xf>
    <xf numFmtId="43" fontId="6" fillId="0" borderId="13" xfId="1" applyFont="1" applyFill="1" applyBorder="1" applyAlignment="1">
      <alignment vertical="center"/>
    </xf>
    <xf numFmtId="0" fontId="7" fillId="0" borderId="16" xfId="40" applyFont="1" applyBorder="1" applyAlignment="1">
      <alignment horizontal="center" vertical="center"/>
    </xf>
    <xf numFmtId="43" fontId="8" fillId="0" borderId="17" xfId="64" applyNumberFormat="1" applyFont="1" applyBorder="1" applyAlignment="1">
      <alignment horizontal="left" vertical="center"/>
    </xf>
    <xf numFmtId="192" fontId="8" fillId="0" borderId="2" xfId="64" applyNumberFormat="1" applyFont="1" applyBorder="1" applyAlignment="1">
      <alignment horizontal="left" vertical="center"/>
    </xf>
    <xf numFmtId="192" fontId="7" fillId="0" borderId="18" xfId="40" applyNumberFormat="1" applyFont="1" applyBorder="1" applyAlignment="1">
      <alignment vertical="center"/>
    </xf>
    <xf numFmtId="43" fontId="7" fillId="0" borderId="16" xfId="1" applyFont="1" applyFill="1" applyBorder="1" applyAlignment="1">
      <alignment vertical="center"/>
    </xf>
    <xf numFmtId="43" fontId="7" fillId="0" borderId="16" xfId="1" applyFont="1" applyBorder="1" applyAlignment="1">
      <alignment horizontal="center" vertical="center"/>
    </xf>
    <xf numFmtId="43" fontId="6" fillId="0" borderId="16" xfId="1" applyFont="1" applyFill="1" applyBorder="1" applyAlignment="1">
      <alignment vertical="center"/>
    </xf>
    <xf numFmtId="0" fontId="7" fillId="0" borderId="16" xfId="29" applyFont="1" applyBorder="1" applyAlignment="1">
      <alignment horizontal="center" vertical="center"/>
    </xf>
    <xf numFmtId="192" fontId="7" fillId="0" borderId="17" xfId="29" applyNumberFormat="1" applyFont="1" applyBorder="1" applyAlignment="1">
      <alignment vertical="center"/>
    </xf>
    <xf numFmtId="192" fontId="7" fillId="0" borderId="2" xfId="64" applyNumberFormat="1" applyFont="1" applyBorder="1" applyAlignment="1">
      <alignment horizontal="left" vertical="center"/>
    </xf>
    <xf numFmtId="192" fontId="7" fillId="0" borderId="17" xfId="29" applyNumberFormat="1" applyFont="1" applyBorder="1" applyAlignment="1">
      <alignment horizontal="left" vertical="center"/>
    </xf>
    <xf numFmtId="192" fontId="7" fillId="0" borderId="2" xfId="40" applyNumberFormat="1" applyFont="1" applyBorder="1" applyAlignment="1">
      <alignment horizontal="center" vertical="center"/>
    </xf>
    <xf numFmtId="43" fontId="6" fillId="0" borderId="16" xfId="1" applyFont="1" applyFill="1" applyBorder="1" applyAlignment="1">
      <alignment horizontal="center" vertical="center"/>
    </xf>
    <xf numFmtId="43" fontId="7" fillId="0" borderId="16" xfId="1" applyFont="1" applyFill="1" applyBorder="1" applyAlignment="1">
      <alignment horizontal="center" vertical="center"/>
    </xf>
    <xf numFmtId="0" fontId="7" fillId="0" borderId="16" xfId="10" applyFont="1" applyBorder="1" applyAlignment="1">
      <alignment horizontal="center" vertical="center"/>
    </xf>
    <xf numFmtId="2" fontId="7" fillId="0" borderId="16" xfId="64" applyNumberFormat="1" applyFont="1" applyBorder="1" applyAlignment="1">
      <alignment horizontal="center" vertical="center"/>
    </xf>
    <xf numFmtId="192" fontId="7" fillId="0" borderId="17" xfId="64" applyNumberFormat="1" applyFont="1" applyBorder="1" applyAlignment="1">
      <alignment horizontal="left" vertical="center"/>
    </xf>
    <xf numFmtId="192" fontId="7" fillId="0" borderId="2" xfId="50" applyNumberFormat="1" applyFont="1" applyBorder="1" applyAlignment="1">
      <alignment vertical="center"/>
    </xf>
    <xf numFmtId="2" fontId="7" fillId="0" borderId="17" xfId="40" applyNumberFormat="1" applyFont="1" applyBorder="1" applyAlignment="1">
      <alignment horizontal="center" vertical="center"/>
    </xf>
    <xf numFmtId="192" fontId="7" fillId="0" borderId="17" xfId="64" applyNumberFormat="1" applyFont="1" applyBorder="1" applyAlignment="1">
      <alignment horizontal="center" vertical="center"/>
    </xf>
    <xf numFmtId="0" fontId="7" fillId="0" borderId="17" xfId="40" applyFont="1" applyBorder="1" applyAlignment="1">
      <alignment horizontal="center" vertical="center"/>
    </xf>
    <xf numFmtId="0" fontId="7" fillId="0" borderId="2" xfId="40" applyFont="1" applyBorder="1" applyAlignment="1">
      <alignment horizontal="center" vertical="center"/>
    </xf>
    <xf numFmtId="0" fontId="7" fillId="0" borderId="18" xfId="40" applyFont="1" applyBorder="1" applyAlignment="1">
      <alignment vertical="center"/>
    </xf>
    <xf numFmtId="0" fontId="8" fillId="0" borderId="16" xfId="61" applyFont="1" applyBorder="1" applyAlignment="1">
      <alignment horizontal="center" vertical="center"/>
    </xf>
    <xf numFmtId="195" fontId="7" fillId="0" borderId="18" xfId="30" applyNumberFormat="1" applyFont="1" applyBorder="1" applyAlignment="1">
      <alignment vertical="center"/>
    </xf>
    <xf numFmtId="0" fontId="7" fillId="0" borderId="16" xfId="61" applyFont="1" applyBorder="1" applyAlignment="1">
      <alignment horizontal="center" vertical="center"/>
    </xf>
    <xf numFmtId="195" fontId="7" fillId="0" borderId="17" xfId="61" applyNumberFormat="1" applyFont="1" applyBorder="1" applyAlignment="1">
      <alignment horizontal="left" vertical="center"/>
    </xf>
    <xf numFmtId="195" fontId="7" fillId="0" borderId="2" xfId="61" applyNumberFormat="1" applyFont="1" applyBorder="1" applyAlignment="1">
      <alignment horizontal="left" vertical="center"/>
    </xf>
    <xf numFmtId="43" fontId="7" fillId="0" borderId="16" xfId="1" applyFont="1" applyFill="1" applyBorder="1" applyAlignment="1">
      <alignment horizontal="right" vertical="center"/>
    </xf>
    <xf numFmtId="43" fontId="6" fillId="0" borderId="34" xfId="1" applyFont="1" applyFill="1" applyBorder="1" applyAlignment="1">
      <alignment vertical="center"/>
    </xf>
    <xf numFmtId="43" fontId="7" fillId="0" borderId="34" xfId="1" applyFont="1" applyFill="1" applyBorder="1" applyAlignment="1">
      <alignment vertical="center"/>
    </xf>
    <xf numFmtId="195" fontId="7" fillId="0" borderId="17" xfId="12" applyNumberFormat="1" applyFont="1" applyFill="1" applyBorder="1" applyAlignment="1" applyProtection="1">
      <alignment horizontal="center" vertical="center"/>
    </xf>
    <xf numFmtId="192" fontId="7" fillId="0" borderId="18" xfId="30" applyNumberFormat="1" applyFont="1" applyBorder="1" applyAlignment="1">
      <alignment vertical="center"/>
    </xf>
    <xf numFmtId="192" fontId="7" fillId="0" borderId="17" xfId="61" applyNumberFormat="1" applyFont="1" applyBorder="1" applyAlignment="1">
      <alignment horizontal="left" vertical="center"/>
    </xf>
    <xf numFmtId="192" fontId="7" fillId="0" borderId="2" xfId="10" applyNumberFormat="1" applyFont="1" applyBorder="1" applyAlignment="1">
      <alignment vertical="center"/>
    </xf>
    <xf numFmtId="192" fontId="7" fillId="0" borderId="2" xfId="40" applyNumberFormat="1" applyFont="1" applyBorder="1" applyAlignment="1">
      <alignment vertical="center"/>
    </xf>
    <xf numFmtId="192" fontId="7" fillId="0" borderId="17" xfId="61" applyNumberFormat="1" applyFont="1" applyBorder="1" applyAlignment="1">
      <alignment horizontal="center" vertical="center"/>
    </xf>
    <xf numFmtId="43" fontId="7" fillId="0" borderId="17" xfId="1" applyFont="1" applyFill="1" applyBorder="1" applyAlignment="1">
      <alignment vertical="center"/>
    </xf>
    <xf numFmtId="0" fontId="7" fillId="5" borderId="16" xfId="61" applyFont="1" applyFill="1" applyBorder="1" applyAlignment="1">
      <alignment horizontal="center" vertical="center"/>
    </xf>
    <xf numFmtId="43" fontId="7" fillId="5" borderId="16" xfId="1" applyFont="1" applyFill="1" applyBorder="1" applyAlignment="1">
      <alignment vertical="center"/>
    </xf>
    <xf numFmtId="43" fontId="7" fillId="5" borderId="16" xfId="1" applyFont="1" applyFill="1" applyBorder="1" applyAlignment="1">
      <alignment horizontal="center" vertical="center"/>
    </xf>
    <xf numFmtId="43" fontId="9" fillId="5" borderId="34" xfId="1" applyFont="1" applyFill="1" applyBorder="1" applyAlignment="1">
      <alignment horizontal="center" vertical="center"/>
    </xf>
    <xf numFmtId="43" fontId="8" fillId="5" borderId="17" xfId="1" applyFont="1" applyFill="1" applyBorder="1" applyAlignment="1">
      <alignment horizontal="center" vertical="center"/>
    </xf>
    <xf numFmtId="191" fontId="7" fillId="0" borderId="16" xfId="64" applyNumberFormat="1" applyFont="1" applyBorder="1" applyAlignment="1">
      <alignment horizontal="center" vertical="center"/>
    </xf>
    <xf numFmtId="192" fontId="8" fillId="0" borderId="18" xfId="40" applyNumberFormat="1" applyFont="1" applyBorder="1" applyAlignment="1">
      <alignment vertical="center"/>
    </xf>
    <xf numFmtId="43" fontId="6" fillId="0" borderId="17" xfId="1" applyFont="1" applyFill="1" applyBorder="1" applyAlignment="1">
      <alignment horizontal="center" vertical="center"/>
    </xf>
    <xf numFmtId="43" fontId="7" fillId="0" borderId="17" xfId="1" applyFont="1" applyFill="1" applyBorder="1" applyAlignment="1">
      <alignment horizontal="center" vertical="center"/>
    </xf>
    <xf numFmtId="192" fontId="8" fillId="0" borderId="17" xfId="12" applyNumberFormat="1" applyFont="1" applyFill="1" applyBorder="1" applyAlignment="1" applyProtection="1">
      <alignment horizontal="left" vertical="center"/>
    </xf>
    <xf numFmtId="192" fontId="8" fillId="0" borderId="2" xfId="12" applyNumberFormat="1" applyFont="1" applyFill="1" applyBorder="1" applyAlignment="1" applyProtection="1">
      <alignment horizontal="left" vertical="center"/>
    </xf>
    <xf numFmtId="192" fontId="8" fillId="0" borderId="17" xfId="61" applyNumberFormat="1" applyFont="1" applyBorder="1" applyAlignment="1">
      <alignment horizontal="left" vertical="center"/>
    </xf>
    <xf numFmtId="192" fontId="8" fillId="0" borderId="2" xfId="61" applyNumberFormat="1" applyFont="1" applyBorder="1" applyAlignment="1">
      <alignment horizontal="left" vertical="center"/>
    </xf>
    <xf numFmtId="192" fontId="8" fillId="0" borderId="18" xfId="61" applyNumberFormat="1" applyFont="1" applyBorder="1" applyAlignment="1">
      <alignment horizontal="left" vertical="center"/>
    </xf>
    <xf numFmtId="43" fontId="8" fillId="0" borderId="16" xfId="1" applyFont="1" applyFill="1" applyBorder="1" applyAlignment="1">
      <alignment vertical="center"/>
    </xf>
    <xf numFmtId="43" fontId="8" fillId="0" borderId="16" xfId="1" applyFont="1" applyFill="1" applyBorder="1" applyAlignment="1">
      <alignment horizontal="center" vertical="center"/>
    </xf>
    <xf numFmtId="43" fontId="9" fillId="0" borderId="34" xfId="1" applyFont="1" applyFill="1" applyBorder="1" applyAlignment="1">
      <alignment vertical="center"/>
    </xf>
    <xf numFmtId="43" fontId="8" fillId="0" borderId="34" xfId="1" applyFont="1" applyFill="1" applyBorder="1" applyAlignment="1">
      <alignment vertical="center"/>
    </xf>
    <xf numFmtId="192" fontId="7" fillId="0" borderId="2" xfId="61" applyNumberFormat="1" applyFont="1" applyBorder="1" applyAlignment="1">
      <alignment horizontal="left" vertical="center"/>
    </xf>
    <xf numFmtId="192" fontId="7" fillId="0" borderId="18" xfId="61" applyNumberFormat="1" applyFont="1" applyBorder="1" applyAlignment="1">
      <alignment horizontal="left" vertical="center"/>
    </xf>
    <xf numFmtId="191" fontId="7" fillId="0" borderId="16" xfId="61" applyNumberFormat="1" applyFont="1" applyBorder="1" applyAlignment="1">
      <alignment horizontal="center" vertical="center"/>
    </xf>
    <xf numFmtId="192" fontId="7" fillId="0" borderId="17" xfId="62" applyNumberFormat="1" applyFont="1" applyBorder="1" applyAlignment="1">
      <alignment vertical="center"/>
    </xf>
    <xf numFmtId="192" fontId="7" fillId="0" borderId="2" xfId="62" applyNumberFormat="1" applyFont="1" applyBorder="1" applyAlignment="1">
      <alignment vertical="center"/>
    </xf>
    <xf numFmtId="191" fontId="7" fillId="0" borderId="17" xfId="61" applyNumberFormat="1" applyFont="1" applyBorder="1" applyAlignment="1">
      <alignment horizontal="center" vertical="center"/>
    </xf>
    <xf numFmtId="192" fontId="7" fillId="0" borderId="2" xfId="30" applyNumberFormat="1" applyFont="1" applyBorder="1" applyAlignment="1">
      <alignment vertical="center"/>
    </xf>
    <xf numFmtId="43" fontId="8" fillId="0" borderId="1" xfId="1" applyFont="1" applyFill="1" applyBorder="1" applyAlignment="1">
      <alignment horizontal="right" vertical="center"/>
    </xf>
    <xf numFmtId="43" fontId="9" fillId="0" borderId="1" xfId="1" applyFont="1" applyFill="1" applyBorder="1" applyAlignment="1">
      <alignment horizontal="right" vertical="center"/>
    </xf>
    <xf numFmtId="43" fontId="8" fillId="0" borderId="1" xfId="40" applyNumberFormat="1" applyFont="1" applyBorder="1" applyAlignment="1">
      <alignment horizontal="left" vertical="center"/>
    </xf>
    <xf numFmtId="43" fontId="1" fillId="0" borderId="0" xfId="40" applyNumberFormat="1" applyFont="1" applyAlignment="1">
      <alignment horizontal="left" vertical="center"/>
    </xf>
    <xf numFmtId="0" fontId="9" fillId="0" borderId="2" xfId="43" applyFont="1" applyBorder="1" applyAlignment="1">
      <alignment horizontal="right" vertical="center"/>
    </xf>
    <xf numFmtId="0" fontId="8" fillId="0" borderId="2" xfId="43" applyFont="1" applyBorder="1" applyAlignment="1">
      <alignment horizontal="right" vertical="center"/>
    </xf>
    <xf numFmtId="204" fontId="7" fillId="0" borderId="2" xfId="43" applyNumberFormat="1" applyFont="1" applyBorder="1" applyAlignment="1">
      <alignment horizontal="left" vertical="center"/>
    </xf>
    <xf numFmtId="43" fontId="8" fillId="0" borderId="2" xfId="1" applyFont="1" applyFill="1" applyBorder="1" applyAlignment="1">
      <alignment horizontal="left" vertical="center"/>
    </xf>
    <xf numFmtId="43" fontId="8" fillId="0" borderId="2" xfId="40" applyNumberFormat="1" applyFont="1" applyBorder="1" applyAlignment="1">
      <alignment horizontal="left" vertical="center"/>
    </xf>
    <xf numFmtId="196" fontId="8" fillId="0" borderId="2" xfId="43" applyNumberFormat="1" applyFont="1" applyBorder="1" applyAlignment="1">
      <alignment horizontal="right" vertical="center"/>
    </xf>
    <xf numFmtId="196" fontId="9" fillId="0" borderId="2" xfId="43" applyNumberFormat="1" applyFont="1" applyBorder="1" applyAlignment="1">
      <alignment horizontal="right" vertical="center"/>
    </xf>
    <xf numFmtId="0" fontId="7" fillId="0" borderId="2" xfId="43" applyFont="1" applyBorder="1" applyAlignment="1">
      <alignment horizontal="left" vertical="center"/>
    </xf>
    <xf numFmtId="43" fontId="8" fillId="0" borderId="2" xfId="1" applyFont="1" applyFill="1" applyBorder="1" applyAlignment="1">
      <alignment vertical="center"/>
    </xf>
    <xf numFmtId="43" fontId="8" fillId="0" borderId="0" xfId="40" applyNumberFormat="1" applyFont="1" applyAlignment="1">
      <alignment horizontal="left" vertical="center"/>
    </xf>
    <xf numFmtId="43" fontId="1" fillId="0" borderId="0" xfId="40" applyNumberFormat="1" applyFont="1" applyAlignment="1">
      <alignment horizontal="center" vertical="center"/>
    </xf>
    <xf numFmtId="43" fontId="8" fillId="0" borderId="10" xfId="1" applyFont="1" applyFill="1" applyBorder="1" applyAlignment="1">
      <alignment horizontal="center" vertical="center"/>
    </xf>
    <xf numFmtId="43" fontId="6" fillId="0" borderId="13" xfId="1" applyFont="1" applyFill="1" applyBorder="1" applyAlignment="1">
      <alignment horizontal="center" vertical="center"/>
    </xf>
    <xf numFmtId="43" fontId="7" fillId="0" borderId="23" xfId="1" applyFont="1" applyFill="1" applyBorder="1" applyAlignment="1">
      <alignment horizontal="center" vertical="center"/>
    </xf>
    <xf numFmtId="43" fontId="8" fillId="0" borderId="23" xfId="1" applyFont="1" applyFill="1" applyBorder="1" applyAlignment="1">
      <alignment vertical="center"/>
    </xf>
    <xf numFmtId="43" fontId="7" fillId="0" borderId="13" xfId="1" applyFont="1" applyFill="1" applyBorder="1" applyAlignment="1">
      <alignment horizontal="center" vertical="center"/>
    </xf>
    <xf numFmtId="43" fontId="7" fillId="0" borderId="15" xfId="40" applyNumberFormat="1" applyFont="1" applyBorder="1" applyAlignment="1">
      <alignment horizontal="left" vertical="center"/>
    </xf>
    <xf numFmtId="43" fontId="7" fillId="0" borderId="18" xfId="40" applyNumberFormat="1" applyFont="1" applyBorder="1" applyAlignment="1">
      <alignment horizontal="left" vertical="center"/>
    </xf>
    <xf numFmtId="43" fontId="7" fillId="0" borderId="18" xfId="1" applyFont="1" applyFill="1" applyBorder="1" applyAlignment="1">
      <alignment horizontal="left" vertical="center"/>
    </xf>
    <xf numFmtId="43" fontId="2" fillId="0" borderId="0" xfId="1" applyFont="1" applyFill="1" applyBorder="1" applyAlignment="1">
      <alignment horizontal="left" vertical="center"/>
    </xf>
    <xf numFmtId="43" fontId="8" fillId="0" borderId="17" xfId="1" applyFont="1" applyFill="1" applyBorder="1" applyAlignment="1">
      <alignment horizontal="center" vertical="center"/>
    </xf>
    <xf numFmtId="43" fontId="7" fillId="0" borderId="18" xfId="50" applyNumberFormat="1" applyFont="1" applyBorder="1" applyAlignment="1">
      <alignment horizontal="left" vertical="center"/>
    </xf>
    <xf numFmtId="43" fontId="2" fillId="0" borderId="0" xfId="50" applyNumberFormat="1" applyFont="1" applyAlignment="1">
      <alignment horizontal="left" vertical="center"/>
    </xf>
    <xf numFmtId="43" fontId="6" fillId="0" borderId="17" xfId="1" applyFont="1" applyFill="1" applyBorder="1" applyAlignment="1">
      <alignment vertical="center"/>
    </xf>
    <xf numFmtId="43" fontId="9" fillId="5" borderId="17" xfId="1" applyFont="1" applyFill="1" applyBorder="1" applyAlignment="1">
      <alignment horizontal="center" vertical="center"/>
    </xf>
    <xf numFmtId="43" fontId="7" fillId="5" borderId="17" xfId="1" applyFont="1" applyFill="1" applyBorder="1" applyAlignment="1">
      <alignment horizontal="center" vertical="center"/>
    </xf>
    <xf numFmtId="43" fontId="8" fillId="5" borderId="16" xfId="1" applyFont="1" applyFill="1" applyBorder="1" applyAlignment="1">
      <alignment vertical="center"/>
    </xf>
    <xf numFmtId="43" fontId="7" fillId="5" borderId="18" xfId="50" applyNumberFormat="1" applyFont="1" applyFill="1" applyBorder="1" applyAlignment="1">
      <alignment horizontal="left" vertical="center"/>
    </xf>
    <xf numFmtId="194" fontId="2" fillId="5" borderId="0" xfId="50" applyNumberFormat="1" applyFont="1" applyFill="1" applyAlignment="1">
      <alignment horizontal="left" vertical="center"/>
    </xf>
    <xf numFmtId="43" fontId="8" fillId="0" borderId="17" xfId="1" applyFont="1" applyFill="1" applyBorder="1" applyAlignment="1">
      <alignment vertical="center"/>
    </xf>
    <xf numFmtId="43" fontId="8" fillId="0" borderId="18" xfId="40" applyNumberFormat="1" applyFont="1" applyBorder="1" applyAlignment="1">
      <alignment horizontal="left" vertical="center"/>
    </xf>
    <xf numFmtId="0" fontId="7" fillId="0" borderId="17" xfId="61" applyFont="1" applyBorder="1" applyAlignment="1">
      <alignment horizontal="center" vertical="center"/>
    </xf>
    <xf numFmtId="192" fontId="7" fillId="0" borderId="2" xfId="61" applyNumberFormat="1" applyFont="1" applyBorder="1" applyAlignment="1">
      <alignment vertical="center"/>
    </xf>
    <xf numFmtId="191" fontId="7" fillId="0" borderId="17" xfId="65" applyNumberFormat="1" applyFont="1" applyBorder="1" applyAlignment="1">
      <alignment horizontal="center" vertical="center"/>
    </xf>
    <xf numFmtId="43" fontId="7" fillId="0" borderId="17" xfId="1" applyFont="1" applyFill="1" applyBorder="1" applyAlignment="1">
      <alignment horizontal="right" vertical="center"/>
    </xf>
    <xf numFmtId="0" fontId="7" fillId="0" borderId="17" xfId="30" applyFont="1" applyBorder="1" applyAlignment="1">
      <alignment vertical="center"/>
    </xf>
    <xf numFmtId="0" fontId="8" fillId="0" borderId="17" xfId="61" applyFont="1" applyBorder="1" applyAlignment="1">
      <alignment horizontal="center" vertical="center"/>
    </xf>
    <xf numFmtId="43" fontId="7" fillId="0" borderId="17" xfId="1" applyFont="1" applyBorder="1" applyAlignment="1">
      <alignment horizontal="center" vertical="center"/>
    </xf>
    <xf numFmtId="192" fontId="8" fillId="0" borderId="18" xfId="8" applyNumberFormat="1" applyFont="1" applyBorder="1" applyAlignment="1">
      <alignment horizontal="center" vertical="center"/>
    </xf>
    <xf numFmtId="2" fontId="7" fillId="0" borderId="16" xfId="10" applyNumberFormat="1" applyFont="1" applyBorder="1" applyAlignment="1">
      <alignment horizontal="center" vertical="center"/>
    </xf>
    <xf numFmtId="192" fontId="8" fillId="0" borderId="18" xfId="68" applyNumberFormat="1" applyFont="1" applyBorder="1" applyAlignment="1">
      <alignment vertical="center"/>
    </xf>
    <xf numFmtId="196" fontId="7" fillId="0" borderId="0" xfId="40" applyNumberFormat="1" applyFont="1" applyAlignment="1">
      <alignment vertical="center"/>
    </xf>
    <xf numFmtId="192" fontId="7" fillId="0" borderId="2" xfId="12" applyNumberFormat="1" applyFont="1" applyFill="1" applyBorder="1" applyAlignment="1" applyProtection="1">
      <alignment horizontal="left" vertical="center"/>
    </xf>
    <xf numFmtId="0" fontId="7" fillId="0" borderId="17" xfId="40" applyFont="1" applyBorder="1" applyAlignment="1">
      <alignment horizontal="left" vertical="center"/>
    </xf>
    <xf numFmtId="43" fontId="7" fillId="5" borderId="34" xfId="1" applyFont="1" applyFill="1" applyBorder="1" applyAlignment="1">
      <alignment vertical="center"/>
    </xf>
    <xf numFmtId="195" fontId="8" fillId="0" borderId="17" xfId="12" applyNumberFormat="1" applyFont="1" applyFill="1" applyBorder="1" applyAlignment="1" applyProtection="1">
      <alignment horizontal="center" vertical="center"/>
    </xf>
    <xf numFmtId="195" fontId="8" fillId="0" borderId="2" xfId="12" applyNumberFormat="1" applyFont="1" applyFill="1" applyBorder="1" applyAlignment="1" applyProtection="1">
      <alignment horizontal="center" vertical="center"/>
    </xf>
    <xf numFmtId="195" fontId="8" fillId="0" borderId="18" xfId="12" applyNumberFormat="1" applyFont="1" applyFill="1" applyBorder="1" applyAlignment="1" applyProtection="1">
      <alignment horizontal="center" vertical="center"/>
    </xf>
    <xf numFmtId="43" fontId="9" fillId="0" borderId="34" xfId="1" applyFont="1" applyFill="1" applyBorder="1" applyAlignment="1">
      <alignment horizontal="center" vertical="center"/>
    </xf>
    <xf numFmtId="0" fontId="7" fillId="0" borderId="16" xfId="40" applyFont="1" applyBorder="1" applyAlignment="1">
      <alignment vertical="center"/>
    </xf>
    <xf numFmtId="192" fontId="8" fillId="0" borderId="17" xfId="12" applyNumberFormat="1" applyFont="1" applyFill="1" applyBorder="1" applyAlignment="1" applyProtection="1">
      <alignment horizontal="center" vertical="center"/>
    </xf>
    <xf numFmtId="192" fontId="8" fillId="0" borderId="2" xfId="12" applyNumberFormat="1" applyFont="1" applyFill="1" applyBorder="1" applyAlignment="1" applyProtection="1">
      <alignment horizontal="center" vertical="center"/>
    </xf>
    <xf numFmtId="192" fontId="8" fillId="0" borderId="18" xfId="12" applyNumberFormat="1" applyFont="1" applyFill="1" applyBorder="1" applyAlignment="1" applyProtection="1">
      <alignment horizontal="center" vertical="center"/>
    </xf>
    <xf numFmtId="43" fontId="7" fillId="5" borderId="17" xfId="1" applyFont="1" applyFill="1" applyBorder="1" applyAlignment="1">
      <alignment vertical="center"/>
    </xf>
    <xf numFmtId="43" fontId="9" fillId="0" borderId="17" xfId="1" applyFont="1" applyFill="1" applyBorder="1" applyAlignment="1">
      <alignment horizontal="center" vertical="center"/>
    </xf>
    <xf numFmtId="0" fontId="7" fillId="0" borderId="16" xfId="7" applyFont="1" applyBorder="1" applyAlignment="1">
      <alignment horizontal="center" vertical="center"/>
    </xf>
    <xf numFmtId="0" fontId="7" fillId="0" borderId="17" xfId="7" applyFont="1" applyBorder="1" applyAlignment="1">
      <alignment horizontal="center" vertical="center"/>
    </xf>
    <xf numFmtId="2" fontId="7" fillId="0" borderId="17" xfId="61" applyNumberFormat="1" applyFont="1" applyBorder="1" applyAlignment="1">
      <alignment horizontal="center" vertical="center"/>
    </xf>
    <xf numFmtId="43" fontId="7" fillId="5" borderId="18" xfId="40" applyNumberFormat="1" applyFont="1" applyFill="1" applyBorder="1" applyAlignment="1">
      <alignment horizontal="left" vertical="center"/>
    </xf>
    <xf numFmtId="0" fontId="7" fillId="0" borderId="17" xfId="10" applyFont="1" applyBorder="1" applyAlignment="1">
      <alignment horizontal="center" vertical="center"/>
    </xf>
    <xf numFmtId="191" fontId="7" fillId="0" borderId="16" xfId="10" applyNumberFormat="1" applyFont="1" applyBorder="1" applyAlignment="1">
      <alignment horizontal="center" vertical="center"/>
    </xf>
    <xf numFmtId="191" fontId="7" fillId="0" borderId="16" xfId="68" applyNumberFormat="1" applyFont="1" applyBorder="1" applyAlignment="1">
      <alignment horizontal="center" vertical="center"/>
    </xf>
    <xf numFmtId="192" fontId="7" fillId="0" borderId="17" xfId="68" applyNumberFormat="1" applyFont="1" applyBorder="1" applyAlignment="1">
      <alignment vertical="center"/>
    </xf>
    <xf numFmtId="192" fontId="7" fillId="0" borderId="2" xfId="68" applyNumberFormat="1" applyFont="1" applyBorder="1" applyAlignment="1">
      <alignment horizontal="left" vertical="center"/>
    </xf>
    <xf numFmtId="192" fontId="7" fillId="0" borderId="18" xfId="64" applyNumberFormat="1" applyFont="1" applyBorder="1" applyAlignment="1">
      <alignment vertical="center"/>
    </xf>
    <xf numFmtId="191" fontId="7" fillId="0" borderId="17" xfId="30" applyNumberFormat="1" applyFont="1" applyBorder="1" applyAlignment="1">
      <alignment horizontal="center" vertical="center"/>
    </xf>
    <xf numFmtId="43" fontId="2" fillId="5" borderId="0" xfId="50" applyNumberFormat="1" applyFont="1" applyFill="1" applyAlignment="1">
      <alignment horizontal="left" vertical="center"/>
    </xf>
    <xf numFmtId="0" fontId="2" fillId="2" borderId="0" xfId="40" applyFont="1" applyFill="1" applyAlignment="1">
      <alignment vertical="center"/>
    </xf>
    <xf numFmtId="0" fontId="2" fillId="2" borderId="0" xfId="40" applyFont="1" applyFill="1" applyAlignment="1">
      <alignment horizontal="left" vertical="center"/>
    </xf>
    <xf numFmtId="0" fontId="2" fillId="0" borderId="11" xfId="40" applyFont="1" applyBorder="1" applyAlignment="1">
      <alignment vertical="center"/>
    </xf>
    <xf numFmtId="0" fontId="2" fillId="0" borderId="0" xfId="40" applyFont="1" applyAlignment="1">
      <alignment vertical="center" wrapText="1"/>
    </xf>
    <xf numFmtId="43" fontId="1" fillId="0" borderId="1" xfId="1" applyFont="1" applyBorder="1" applyAlignment="1">
      <alignment horizontal="center" vertical="center"/>
    </xf>
    <xf numFmtId="0" fontId="1" fillId="0" borderId="11" xfId="40" applyFont="1" applyBorder="1" applyAlignment="1">
      <alignment vertical="center"/>
    </xf>
    <xf numFmtId="0" fontId="1" fillId="0" borderId="11" xfId="40" applyFont="1" applyBorder="1" applyAlignment="1">
      <alignment horizontal="left" vertical="center"/>
    </xf>
    <xf numFmtId="43" fontId="2" fillId="0" borderId="15" xfId="1" applyFont="1" applyFill="1" applyBorder="1" applyAlignment="1">
      <alignment vertical="center"/>
    </xf>
    <xf numFmtId="192" fontId="2" fillId="0" borderId="18" xfId="53" applyNumberFormat="1" applyFont="1" applyBorder="1" applyAlignment="1">
      <alignment vertical="center"/>
    </xf>
    <xf numFmtId="43" fontId="1" fillId="0" borderId="18" xfId="1" applyFont="1" applyFill="1" applyBorder="1" applyAlignment="1">
      <alignment vertical="center"/>
    </xf>
    <xf numFmtId="192" fontId="1" fillId="0" borderId="18" xfId="53" applyNumberFormat="1" applyFont="1" applyBorder="1" applyAlignment="1">
      <alignment vertical="center"/>
    </xf>
    <xf numFmtId="1" fontId="1" fillId="6" borderId="17" xfId="64" applyNumberFormat="1" applyFont="1" applyFill="1" applyBorder="1" applyAlignment="1">
      <alignment horizontal="center" vertical="center"/>
    </xf>
    <xf numFmtId="192" fontId="1" fillId="6" borderId="17" xfId="64" applyNumberFormat="1" applyFont="1" applyFill="1" applyBorder="1" applyAlignment="1">
      <alignment horizontal="left" vertical="center"/>
    </xf>
    <xf numFmtId="192" fontId="1" fillId="6" borderId="2" xfId="64" applyNumberFormat="1" applyFont="1" applyFill="1" applyBorder="1" applyAlignment="1">
      <alignment horizontal="left" vertical="center"/>
    </xf>
    <xf numFmtId="192" fontId="1" fillId="6" borderId="18" xfId="53" applyNumberFormat="1" applyFont="1" applyFill="1" applyBorder="1" applyAlignment="1">
      <alignment vertical="center"/>
    </xf>
    <xf numFmtId="43" fontId="1" fillId="6" borderId="18" xfId="1" applyFont="1" applyFill="1" applyBorder="1" applyAlignment="1">
      <alignment vertical="center"/>
    </xf>
    <xf numFmtId="43" fontId="1" fillId="6" borderId="16" xfId="1" applyFont="1" applyFill="1" applyBorder="1" applyAlignment="1">
      <alignment horizontal="center" vertical="center"/>
    </xf>
    <xf numFmtId="43" fontId="1" fillId="6" borderId="16" xfId="1" applyFont="1" applyFill="1" applyBorder="1" applyAlignment="1">
      <alignment vertical="center"/>
    </xf>
    <xf numFmtId="191" fontId="2" fillId="2" borderId="17" xfId="64" applyNumberFormat="1" applyFont="1" applyFill="1" applyBorder="1" applyAlignment="1">
      <alignment horizontal="center" vertical="center"/>
    </xf>
    <xf numFmtId="0" fontId="2" fillId="2" borderId="17" xfId="40" applyFont="1" applyFill="1" applyBorder="1" applyAlignment="1">
      <alignment horizontal="left" vertical="center"/>
    </xf>
    <xf numFmtId="192" fontId="2" fillId="2" borderId="18" xfId="64" applyNumberFormat="1" applyFont="1" applyFill="1" applyBorder="1" applyAlignment="1">
      <alignment horizontal="left" vertical="center"/>
    </xf>
    <xf numFmtId="43" fontId="2" fillId="2" borderId="18" xfId="1" applyFont="1" applyFill="1" applyBorder="1" applyAlignment="1">
      <alignment vertical="center"/>
    </xf>
    <xf numFmtId="191" fontId="2" fillId="2" borderId="17" xfId="64" applyNumberFormat="1" applyFont="1" applyFill="1" applyBorder="1" applyAlignment="1">
      <alignment horizontal="left" vertical="center"/>
    </xf>
    <xf numFmtId="43" fontId="2" fillId="2" borderId="18" xfId="1" applyFont="1" applyFill="1" applyBorder="1" applyAlignment="1">
      <alignment horizontal="left" vertical="center"/>
    </xf>
    <xf numFmtId="43" fontId="2" fillId="2" borderId="17" xfId="1" applyFont="1" applyFill="1" applyBorder="1" applyAlignment="1">
      <alignment horizontal="left" vertical="center"/>
    </xf>
    <xf numFmtId="43" fontId="2" fillId="2" borderId="16" xfId="1" applyFont="1" applyFill="1" applyBorder="1" applyAlignment="1">
      <alignment horizontal="left" vertical="center"/>
    </xf>
    <xf numFmtId="192" fontId="2" fillId="2" borderId="2" xfId="64" applyNumberFormat="1" applyFont="1" applyFill="1" applyBorder="1" applyAlignment="1">
      <alignment horizontal="left" vertical="center" wrapText="1"/>
    </xf>
    <xf numFmtId="192" fontId="2" fillId="2" borderId="18" xfId="64" applyNumberFormat="1" applyFont="1" applyFill="1" applyBorder="1" applyAlignment="1">
      <alignment horizontal="left" vertical="center" wrapText="1"/>
    </xf>
    <xf numFmtId="43" fontId="2" fillId="0" borderId="0" xfId="0" applyNumberFormat="1" applyFont="1" applyAlignment="1">
      <alignment horizontal="left" vertical="center"/>
    </xf>
    <xf numFmtId="196" fontId="2" fillId="0" borderId="0" xfId="1" applyNumberFormat="1" applyFont="1" applyFill="1" applyBorder="1" applyAlignment="1">
      <alignment horizontal="left" vertical="center"/>
    </xf>
    <xf numFmtId="196" fontId="2" fillId="0" borderId="0" xfId="17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98" fontId="2" fillId="0" borderId="0" xfId="1" applyNumberFormat="1" applyFont="1" applyFill="1" applyBorder="1" applyAlignment="1">
      <alignment horizontal="left" vertical="center"/>
    </xf>
    <xf numFmtId="43" fontId="2" fillId="0" borderId="2" xfId="33" applyFont="1" applyFill="1" applyBorder="1" applyAlignment="1">
      <alignment horizontal="left" vertical="center"/>
    </xf>
    <xf numFmtId="194" fontId="2" fillId="0" borderId="0" xfId="1" applyNumberFormat="1" applyFont="1" applyBorder="1" applyAlignment="1">
      <alignment vertical="center"/>
    </xf>
    <xf numFmtId="198" fontId="2" fillId="0" borderId="0" xfId="0" applyNumberFormat="1" applyFont="1" applyAlignment="1">
      <alignment horizontal="left" vertical="center"/>
    </xf>
    <xf numFmtId="198" fontId="2" fillId="0" borderId="0" xfId="11" applyNumberFormat="1" applyFont="1" applyAlignment="1">
      <alignment horizontal="left" vertical="center"/>
    </xf>
    <xf numFmtId="0" fontId="2" fillId="2" borderId="17" xfId="40" applyFont="1" applyFill="1" applyBorder="1" applyAlignment="1">
      <alignment horizontal="left" vertical="center" wrapText="1"/>
    </xf>
    <xf numFmtId="0" fontId="1" fillId="6" borderId="17" xfId="40" applyFont="1" applyFill="1" applyBorder="1" applyAlignment="1">
      <alignment horizontal="center" vertical="center"/>
    </xf>
    <xf numFmtId="0" fontId="2" fillId="0" borderId="11" xfId="40" applyFont="1" applyBorder="1" applyAlignment="1">
      <alignment horizontal="left" vertical="center"/>
    </xf>
    <xf numFmtId="0" fontId="2" fillId="2" borderId="18" xfId="40" applyFont="1" applyFill="1" applyBorder="1" applyAlignment="1">
      <alignment horizontal="left" vertical="center"/>
    </xf>
    <xf numFmtId="0" fontId="2" fillId="2" borderId="2" xfId="40" applyFont="1" applyFill="1" applyBorder="1" applyAlignment="1">
      <alignment horizontal="left" vertical="center" wrapText="1"/>
    </xf>
    <xf numFmtId="0" fontId="2" fillId="2" borderId="18" xfId="40" applyFont="1" applyFill="1" applyBorder="1" applyAlignment="1">
      <alignment horizontal="left" vertical="center" wrapText="1"/>
    </xf>
    <xf numFmtId="191" fontId="2" fillId="2" borderId="16" xfId="64" applyNumberFormat="1" applyFont="1" applyFill="1" applyBorder="1" applyAlignment="1">
      <alignment horizontal="center" vertical="center"/>
    </xf>
    <xf numFmtId="192" fontId="2" fillId="2" borderId="18" xfId="53" applyNumberFormat="1" applyFont="1" applyFill="1" applyBorder="1" applyAlignment="1">
      <alignment vertical="center"/>
    </xf>
    <xf numFmtId="193" fontId="1" fillId="6" borderId="17" xfId="64" applyNumberFormat="1" applyFont="1" applyFill="1" applyBorder="1" applyAlignment="1">
      <alignment vertical="center"/>
    </xf>
    <xf numFmtId="189" fontId="2" fillId="0" borderId="2" xfId="2" applyFont="1" applyBorder="1" applyAlignment="1">
      <alignment horizontal="left" vertical="center"/>
    </xf>
    <xf numFmtId="193" fontId="2" fillId="0" borderId="18" xfId="64" applyNumberFormat="1" applyFont="1" applyBorder="1" applyAlignment="1">
      <alignment horizontal="right" vertical="center"/>
    </xf>
    <xf numFmtId="1" fontId="1" fillId="6" borderId="16" xfId="64" applyNumberFormat="1" applyFont="1" applyFill="1" applyBorder="1" applyAlignment="1">
      <alignment horizontal="center" vertical="center"/>
    </xf>
    <xf numFmtId="193" fontId="1" fillId="6" borderId="2" xfId="64" applyNumberFormat="1" applyFont="1" applyFill="1" applyBorder="1" applyAlignment="1">
      <alignment vertical="center"/>
    </xf>
    <xf numFmtId="193" fontId="10" fillId="0" borderId="17" xfId="64" applyNumberFormat="1" applyFont="1" applyBorder="1" applyAlignment="1">
      <alignment vertical="center"/>
    </xf>
    <xf numFmtId="191" fontId="2" fillId="0" borderId="2" xfId="67" applyNumberFormat="1" applyFont="1" applyBorder="1" applyAlignment="1">
      <alignment horizontal="left" vertical="center" wrapText="1"/>
    </xf>
    <xf numFmtId="191" fontId="2" fillId="0" borderId="18" xfId="67" applyNumberFormat="1" applyFont="1" applyBorder="1" applyAlignment="1">
      <alignment horizontal="left" vertical="center" wrapText="1"/>
    </xf>
    <xf numFmtId="191" fontId="2" fillId="0" borderId="2" xfId="67" applyNumberFormat="1" applyFont="1" applyBorder="1" applyAlignment="1">
      <alignment horizontal="left" vertical="center"/>
    </xf>
    <xf numFmtId="193" fontId="1" fillId="0" borderId="2" xfId="64" applyNumberFormat="1" applyFont="1" applyBorder="1" applyAlignment="1">
      <alignment vertical="center"/>
    </xf>
    <xf numFmtId="191" fontId="2" fillId="0" borderId="2" xfId="67" applyNumberFormat="1" applyFont="1" applyBorder="1" applyAlignment="1">
      <alignment vertical="center"/>
    </xf>
    <xf numFmtId="191" fontId="2" fillId="0" borderId="18" xfId="67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191" fontId="2" fillId="0" borderId="2" xfId="67" applyNumberFormat="1" applyFont="1" applyBorder="1" applyAlignment="1">
      <alignment vertical="center" wrapText="1"/>
    </xf>
    <xf numFmtId="193" fontId="1" fillId="0" borderId="17" xfId="64" applyNumberFormat="1" applyFont="1" applyBorder="1" applyAlignment="1">
      <alignment vertical="center"/>
    </xf>
    <xf numFmtId="191" fontId="2" fillId="0" borderId="17" xfId="64" applyNumberFormat="1" applyFont="1" applyBorder="1" applyAlignment="1">
      <alignment horizontal="center" vertical="center" wrapText="1"/>
    </xf>
    <xf numFmtId="43" fontId="2" fillId="0" borderId="18" xfId="1" applyFont="1" applyFill="1" applyBorder="1" applyAlignment="1">
      <alignment vertical="center" wrapText="1"/>
    </xf>
    <xf numFmtId="43" fontId="2" fillId="0" borderId="16" xfId="1" applyFont="1" applyFill="1" applyBorder="1" applyAlignment="1">
      <alignment vertical="center" wrapText="1"/>
    </xf>
    <xf numFmtId="43" fontId="2" fillId="0" borderId="16" xfId="1" applyFont="1" applyBorder="1" applyAlignment="1">
      <alignment horizontal="center" vertical="center" wrapText="1"/>
    </xf>
    <xf numFmtId="0" fontId="2" fillId="0" borderId="0" xfId="40" applyFont="1" applyAlignment="1">
      <alignment horizontal="left" vertical="center" wrapText="1"/>
    </xf>
    <xf numFmtId="191" fontId="2" fillId="0" borderId="2" xfId="64" applyNumberFormat="1" applyFont="1" applyBorder="1" applyAlignment="1">
      <alignment horizontal="left" vertical="center"/>
    </xf>
    <xf numFmtId="192" fontId="1" fillId="0" borderId="18" xfId="64" applyNumberFormat="1" applyFont="1" applyBorder="1" applyAlignment="1">
      <alignment horizontal="left" vertical="center"/>
    </xf>
    <xf numFmtId="191" fontId="1" fillId="0" borderId="16" xfId="64" applyNumberFormat="1" applyFont="1" applyBorder="1" applyAlignment="1">
      <alignment horizontal="center" vertical="center"/>
    </xf>
    <xf numFmtId="0" fontId="1" fillId="6" borderId="16" xfId="40" applyFont="1" applyFill="1" applyBorder="1" applyAlignment="1">
      <alignment horizontal="center" vertical="center"/>
    </xf>
    <xf numFmtId="43" fontId="2" fillId="6" borderId="18" xfId="1" applyFont="1" applyFill="1" applyBorder="1" applyAlignment="1">
      <alignment vertical="center"/>
    </xf>
    <xf numFmtId="0" fontId="1" fillId="6" borderId="19" xfId="40" applyFont="1" applyFill="1" applyBorder="1" applyAlignment="1">
      <alignment horizontal="center" vertical="center"/>
    </xf>
    <xf numFmtId="43" fontId="1" fillId="6" borderId="22" xfId="1" applyFont="1" applyFill="1" applyBorder="1" applyAlignment="1">
      <alignment vertical="center"/>
    </xf>
    <xf numFmtId="43" fontId="1" fillId="6" borderId="19" xfId="1" applyFont="1" applyFill="1" applyBorder="1" applyAlignment="1">
      <alignment horizontal="center" vertical="center"/>
    </xf>
    <xf numFmtId="43" fontId="1" fillId="6" borderId="19" xfId="1" applyFont="1" applyFill="1" applyBorder="1" applyAlignment="1">
      <alignment vertical="center"/>
    </xf>
    <xf numFmtId="43" fontId="2" fillId="0" borderId="0" xfId="1" applyFont="1" applyAlignment="1">
      <alignment horizontal="left" vertical="center"/>
    </xf>
    <xf numFmtId="43" fontId="2" fillId="0" borderId="0" xfId="1" applyFont="1" applyBorder="1" applyAlignment="1">
      <alignment vertical="center"/>
    </xf>
    <xf numFmtId="43" fontId="1" fillId="0" borderId="2" xfId="1" applyFont="1" applyBorder="1" applyAlignment="1">
      <alignment horizontal="center" vertical="center"/>
    </xf>
    <xf numFmtId="191" fontId="6" fillId="0" borderId="16" xfId="64" applyNumberFormat="1" applyFont="1" applyBorder="1" applyAlignment="1">
      <alignment horizontal="center" vertical="center"/>
    </xf>
    <xf numFmtId="192" fontId="2" fillId="0" borderId="18" xfId="64" applyNumberFormat="1" applyFont="1" applyBorder="1" applyAlignment="1">
      <alignment vertical="center" wrapText="1"/>
    </xf>
    <xf numFmtId="43" fontId="1" fillId="0" borderId="0" xfId="1" applyFont="1" applyBorder="1" applyAlignment="1">
      <alignment vertical="center"/>
    </xf>
    <xf numFmtId="43" fontId="1" fillId="0" borderId="0" xfId="1" applyFont="1" applyBorder="1" applyAlignment="1">
      <alignment horizontal="center" vertical="center"/>
    </xf>
    <xf numFmtId="43" fontId="6" fillId="0" borderId="16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98" fontId="2" fillId="0" borderId="0" xfId="1" applyNumberFormat="1" applyFont="1" applyFill="1" applyAlignment="1">
      <alignment horizontal="center" vertical="center"/>
    </xf>
    <xf numFmtId="198" fontId="2" fillId="0" borderId="0" xfId="0" applyNumberFormat="1" applyFont="1" applyAlignment="1">
      <alignment vertical="center"/>
    </xf>
    <xf numFmtId="4" fontId="2" fillId="0" borderId="0" xfId="40" applyNumberFormat="1" applyFont="1" applyAlignment="1">
      <alignment vertical="center"/>
    </xf>
    <xf numFmtId="2" fontId="6" fillId="0" borderId="17" xfId="40" applyNumberFormat="1" applyFont="1" applyBorder="1" applyAlignment="1">
      <alignment horizontal="center" vertical="center"/>
    </xf>
    <xf numFmtId="192" fontId="2" fillId="0" borderId="2" xfId="50" applyNumberFormat="1" applyFont="1" applyBorder="1" applyAlignment="1">
      <alignment horizontal="left" vertical="center" wrapText="1"/>
    </xf>
    <xf numFmtId="192" fontId="2" fillId="0" borderId="18" xfId="50" applyNumberFormat="1" applyFont="1" applyBorder="1" applyAlignment="1">
      <alignment horizontal="left" vertical="center" wrapText="1"/>
    </xf>
    <xf numFmtId="4" fontId="6" fillId="0" borderId="0" xfId="40" applyNumberFormat="1" applyFont="1" applyAlignment="1">
      <alignment vertical="center"/>
    </xf>
    <xf numFmtId="192" fontId="2" fillId="0" borderId="0" xfId="50" applyNumberFormat="1" applyFont="1" applyAlignment="1">
      <alignment vertical="center"/>
    </xf>
    <xf numFmtId="9" fontId="2" fillId="0" borderId="0" xfId="40" applyNumberFormat="1" applyFont="1" applyAlignment="1">
      <alignment vertical="center"/>
    </xf>
    <xf numFmtId="43" fontId="2" fillId="0" borderId="16" xfId="33" applyFont="1" applyFill="1" applyBorder="1" applyAlignment="1">
      <alignment vertical="center"/>
    </xf>
    <xf numFmtId="2" fontId="1" fillId="0" borderId="17" xfId="40" applyNumberFormat="1" applyFont="1" applyBorder="1" applyAlignment="1">
      <alignment horizontal="center" vertical="center"/>
    </xf>
    <xf numFmtId="2" fontId="2" fillId="0" borderId="17" xfId="67" applyNumberFormat="1" applyFont="1" applyBorder="1" applyAlignment="1">
      <alignment horizontal="center" vertical="center"/>
    </xf>
    <xf numFmtId="196" fontId="2" fillId="0" borderId="16" xfId="50" applyNumberFormat="1" applyFont="1" applyBorder="1" applyAlignment="1">
      <alignment vertical="center"/>
    </xf>
    <xf numFmtId="0" fontId="2" fillId="0" borderId="20" xfId="40" applyFont="1" applyBorder="1" applyAlignment="1">
      <alignment horizontal="center" vertical="center"/>
    </xf>
    <xf numFmtId="43" fontId="2" fillId="0" borderId="0" xfId="1" applyFont="1" applyBorder="1" applyAlignment="1">
      <alignment horizontal="left" vertical="center"/>
    </xf>
    <xf numFmtId="0" fontId="2" fillId="0" borderId="5" xfId="40" applyFont="1" applyBorder="1" applyAlignment="1">
      <alignment vertical="center"/>
    </xf>
    <xf numFmtId="43" fontId="6" fillId="0" borderId="0" xfId="1" applyFont="1" applyAlignment="1">
      <alignment vertical="center"/>
    </xf>
    <xf numFmtId="43" fontId="2" fillId="0" borderId="32" xfId="1" applyFont="1" applyBorder="1" applyAlignment="1">
      <alignment vertical="center"/>
    </xf>
    <xf numFmtId="43" fontId="9" fillId="0" borderId="1" xfId="1" applyFont="1" applyBorder="1" applyAlignment="1">
      <alignment horizontal="left" vertical="center"/>
    </xf>
    <xf numFmtId="43" fontId="9" fillId="0" borderId="2" xfId="1" applyFont="1" applyBorder="1" applyAlignment="1">
      <alignment vertical="center"/>
    </xf>
    <xf numFmtId="43" fontId="9" fillId="0" borderId="0" xfId="1" applyFont="1" applyAlignment="1">
      <alignment vertical="center"/>
    </xf>
    <xf numFmtId="43" fontId="9" fillId="0" borderId="9" xfId="1" applyFont="1" applyBorder="1" applyAlignment="1">
      <alignment horizontal="center" vertical="center"/>
    </xf>
    <xf numFmtId="43" fontId="2" fillId="0" borderId="2" xfId="40" applyNumberFormat="1" applyFont="1" applyBorder="1" applyAlignment="1">
      <alignment horizontal="left" vertical="center"/>
    </xf>
    <xf numFmtId="43" fontId="2" fillId="0" borderId="18" xfId="40" applyNumberFormat="1" applyFont="1" applyBorder="1" applyAlignment="1">
      <alignment vertical="center"/>
    </xf>
    <xf numFmtId="0" fontId="1" fillId="0" borderId="17" xfId="67" applyFont="1" applyBorder="1" applyAlignment="1">
      <alignment horizontal="left" vertical="center"/>
    </xf>
    <xf numFmtId="43" fontId="1" fillId="0" borderId="2" xfId="67" applyNumberFormat="1" applyFont="1" applyBorder="1" applyAlignment="1">
      <alignment horizontal="left" vertical="center"/>
    </xf>
    <xf numFmtId="43" fontId="2" fillId="0" borderId="2" xfId="0" applyNumberFormat="1" applyFont="1" applyBorder="1" applyAlignment="1">
      <alignment horizontal="left" vertical="center"/>
    </xf>
    <xf numFmtId="43" fontId="2" fillId="0" borderId="18" xfId="50" applyNumberFormat="1" applyFont="1" applyBorder="1" applyAlignment="1">
      <alignment vertical="center"/>
    </xf>
    <xf numFmtId="43" fontId="6" fillId="2" borderId="16" xfId="1" applyFont="1" applyFill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6" fillId="0" borderId="35" xfId="1" applyFont="1" applyFill="1" applyBorder="1" applyAlignment="1">
      <alignment vertical="center"/>
    </xf>
    <xf numFmtId="43" fontId="6" fillId="0" borderId="16" xfId="1" applyFont="1" applyFill="1" applyBorder="1" applyAlignment="1">
      <alignment horizontal="left" vertical="center"/>
    </xf>
    <xf numFmtId="43" fontId="2" fillId="0" borderId="18" xfId="64" applyNumberFormat="1" applyFont="1" applyBorder="1" applyAlignment="1">
      <alignment vertical="center"/>
    </xf>
    <xf numFmtId="43" fontId="2" fillId="0" borderId="18" xfId="67" applyNumberFormat="1" applyFont="1" applyBorder="1" applyAlignment="1">
      <alignment vertical="center"/>
    </xf>
    <xf numFmtId="43" fontId="2" fillId="0" borderId="2" xfId="50" applyNumberFormat="1" applyFont="1" applyBorder="1" applyAlignment="1">
      <alignment horizontal="left" vertical="center"/>
    </xf>
    <xf numFmtId="191" fontId="2" fillId="0" borderId="17" xfId="67" applyNumberFormat="1" applyFont="1" applyBorder="1" applyAlignment="1">
      <alignment horizontal="center" vertical="center"/>
    </xf>
    <xf numFmtId="43" fontId="9" fillId="0" borderId="1" xfId="1" applyFont="1" applyBorder="1" applyAlignment="1">
      <alignment horizontal="right" vertical="center"/>
    </xf>
    <xf numFmtId="43" fontId="9" fillId="0" borderId="2" xfId="1" applyFont="1" applyBorder="1" applyAlignment="1">
      <alignment horizontal="right" vertical="center"/>
    </xf>
    <xf numFmtId="43" fontId="1" fillId="0" borderId="11" xfId="1" applyFont="1" applyBorder="1" applyAlignment="1">
      <alignment vertical="center"/>
    </xf>
    <xf numFmtId="43" fontId="11" fillId="0" borderId="0" xfId="1" applyFont="1" applyAlignment="1">
      <alignment vertical="center"/>
    </xf>
    <xf numFmtId="43" fontId="6" fillId="0" borderId="33" xfId="1" applyFont="1" applyFill="1" applyBorder="1" applyAlignment="1">
      <alignment vertical="center"/>
    </xf>
    <xf numFmtId="0" fontId="2" fillId="0" borderId="17" xfId="64" applyFont="1" applyBorder="1" applyAlignment="1">
      <alignment horizontal="center" vertical="center"/>
    </xf>
    <xf numFmtId="191" fontId="2" fillId="5" borderId="17" xfId="67" applyNumberFormat="1" applyFont="1" applyFill="1" applyBorder="1" applyAlignment="1">
      <alignment horizontal="center" vertical="center"/>
    </xf>
    <xf numFmtId="43" fontId="6" fillId="5" borderId="16" xfId="1" applyFont="1" applyFill="1" applyBorder="1" applyAlignment="1">
      <alignment horizontal="center" vertical="center"/>
    </xf>
    <xf numFmtId="1" fontId="1" fillId="0" borderId="17" xfId="67" applyNumberFormat="1" applyFont="1" applyBorder="1" applyAlignment="1">
      <alignment horizontal="center" vertical="center"/>
    </xf>
    <xf numFmtId="0" fontId="1" fillId="0" borderId="17" xfId="67" applyFont="1" applyBorder="1" applyAlignment="1">
      <alignment vertical="center"/>
    </xf>
    <xf numFmtId="0" fontId="2" fillId="0" borderId="17" xfId="29" applyFont="1" applyBorder="1" applyAlignment="1">
      <alignment vertical="center"/>
    </xf>
    <xf numFmtId="192" fontId="1" fillId="0" borderId="18" xfId="67" applyNumberFormat="1" applyFont="1" applyBorder="1" applyAlignment="1">
      <alignment vertical="center"/>
    </xf>
    <xf numFmtId="0" fontId="2" fillId="0" borderId="17" xfId="67" applyFont="1" applyBorder="1" applyAlignment="1">
      <alignment horizontal="left" vertical="center"/>
    </xf>
    <xf numFmtId="0" fontId="2" fillId="0" borderId="17" xfId="66" applyFont="1" applyBorder="1" applyAlignment="1">
      <alignment horizontal="left" vertical="center"/>
    </xf>
    <xf numFmtId="192" fontId="2" fillId="0" borderId="2" xfId="0" applyNumberFormat="1" applyFont="1" applyBorder="1" applyAlignment="1">
      <alignment horizontal="left" vertical="center"/>
    </xf>
    <xf numFmtId="192" fontId="2" fillId="0" borderId="2" xfId="0" applyNumberFormat="1" applyFont="1" applyBorder="1" applyAlignment="1">
      <alignment vertical="center"/>
    </xf>
    <xf numFmtId="0" fontId="2" fillId="0" borderId="17" xfId="5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192" fontId="1" fillId="0" borderId="18" xfId="0" applyNumberFormat="1" applyFont="1" applyBorder="1" applyAlignment="1">
      <alignment vertical="center"/>
    </xf>
    <xf numFmtId="43" fontId="6" fillId="5" borderId="16" xfId="1" applyFont="1" applyFill="1" applyBorder="1" applyAlignment="1">
      <alignment vertical="center"/>
    </xf>
    <xf numFmtId="43" fontId="1" fillId="5" borderId="16" xfId="1" applyFont="1" applyFill="1" applyBorder="1" applyAlignment="1">
      <alignment vertical="center"/>
    </xf>
    <xf numFmtId="43" fontId="2" fillId="5" borderId="0" xfId="1" applyFont="1" applyFill="1" applyBorder="1" applyAlignment="1">
      <alignment horizontal="center" vertical="center"/>
    </xf>
    <xf numFmtId="43" fontId="2" fillId="5" borderId="0" xfId="1" applyFont="1" applyFill="1" applyAlignment="1">
      <alignment vertical="center"/>
    </xf>
    <xf numFmtId="43" fontId="6" fillId="0" borderId="16" xfId="1" applyFont="1" applyFill="1" applyBorder="1" applyAlignment="1">
      <alignment horizontal="right" vertical="center"/>
    </xf>
    <xf numFmtId="192" fontId="1" fillId="0" borderId="2" xfId="0" applyNumberFormat="1" applyFont="1" applyBorder="1" applyAlignment="1">
      <alignment vertical="center"/>
    </xf>
    <xf numFmtId="192" fontId="1" fillId="0" borderId="18" xfId="0" applyNumberFormat="1" applyFont="1" applyBorder="1" applyAlignment="1">
      <alignment horizontal="center" vertical="center"/>
    </xf>
    <xf numFmtId="2" fontId="2" fillId="5" borderId="17" xfId="67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92" fontId="1" fillId="0" borderId="2" xfId="0" applyNumberFormat="1" applyFont="1" applyBorder="1" applyAlignment="1">
      <alignment horizontal="center" vertical="center"/>
    </xf>
    <xf numFmtId="198" fontId="1" fillId="0" borderId="2" xfId="67" applyNumberFormat="1" applyFont="1" applyBorder="1" applyAlignment="1">
      <alignment horizontal="left" vertical="center"/>
    </xf>
    <xf numFmtId="198" fontId="1" fillId="0" borderId="18" xfId="40" applyNumberFormat="1" applyFont="1" applyBorder="1" applyAlignment="1">
      <alignment vertical="center"/>
    </xf>
    <xf numFmtId="198" fontId="1" fillId="0" borderId="2" xfId="40" applyNumberFormat="1" applyFont="1" applyBorder="1" applyAlignment="1">
      <alignment vertical="center"/>
    </xf>
    <xf numFmtId="198" fontId="2" fillId="0" borderId="2" xfId="0" applyNumberFormat="1" applyFont="1" applyBorder="1" applyAlignment="1">
      <alignment vertical="center"/>
    </xf>
    <xf numFmtId="198" fontId="2" fillId="0" borderId="2" xfId="50" applyNumberFormat="1" applyFont="1" applyBorder="1" applyAlignment="1">
      <alignment vertical="center"/>
    </xf>
    <xf numFmtId="43" fontId="2" fillId="0" borderId="2" xfId="1" applyFont="1" applyFill="1" applyBorder="1" applyAlignment="1">
      <alignment vertical="center"/>
    </xf>
    <xf numFmtId="198" fontId="2" fillId="0" borderId="2" xfId="67" applyNumberFormat="1" applyFont="1" applyBorder="1" applyAlignment="1">
      <alignment vertical="center"/>
    </xf>
    <xf numFmtId="198" fontId="2" fillId="0" borderId="2" xfId="50" applyNumberFormat="1" applyFont="1" applyBorder="1" applyAlignment="1">
      <alignment horizontal="left" vertical="center"/>
    </xf>
    <xf numFmtId="0" fontId="2" fillId="0" borderId="17" xfId="67" applyFont="1" applyBorder="1" applyAlignment="1">
      <alignment vertical="center"/>
    </xf>
    <xf numFmtId="198" fontId="2" fillId="0" borderId="2" xfId="40" applyNumberFormat="1" applyFont="1" applyBorder="1" applyAlignment="1">
      <alignment horizontal="left" vertical="center"/>
    </xf>
    <xf numFmtId="198" fontId="2" fillId="0" borderId="18" xfId="40" applyNumberFormat="1" applyFont="1" applyBorder="1" applyAlignment="1">
      <alignment vertical="center"/>
    </xf>
    <xf numFmtId="0" fontId="2" fillId="0" borderId="17" xfId="67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3" fontId="1" fillId="5" borderId="16" xfId="1" applyFont="1" applyFill="1" applyBorder="1" applyAlignment="1">
      <alignment horizontal="center" vertical="center"/>
    </xf>
    <xf numFmtId="194" fontId="2" fillId="5" borderId="0" xfId="1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193" fontId="1" fillId="0" borderId="17" xfId="0" applyNumberFormat="1" applyFont="1" applyBorder="1" applyAlignment="1">
      <alignment horizontal="center" vertical="center"/>
    </xf>
    <xf numFmtId="0" fontId="2" fillId="5" borderId="17" xfId="40" applyFont="1" applyFill="1" applyBorder="1" applyAlignment="1">
      <alignment horizontal="center" vertical="center"/>
    </xf>
    <xf numFmtId="192" fontId="2" fillId="2" borderId="2" xfId="67" applyNumberFormat="1" applyFont="1" applyFill="1" applyBorder="1" applyAlignment="1">
      <alignment vertical="center"/>
    </xf>
    <xf numFmtId="192" fontId="2" fillId="2" borderId="18" xfId="40" applyNumberFormat="1" applyFont="1" applyFill="1" applyBorder="1" applyAlignment="1">
      <alignment vertical="center"/>
    </xf>
    <xf numFmtId="192" fontId="1" fillId="0" borderId="2" xfId="64" applyNumberFormat="1" applyFont="1" applyBorder="1" applyAlignment="1">
      <alignment vertical="center"/>
    </xf>
    <xf numFmtId="191" fontId="2" fillId="0" borderId="17" xfId="50" applyNumberFormat="1" applyFont="1" applyBorder="1" applyAlignment="1">
      <alignment horizontal="center" vertical="center"/>
    </xf>
    <xf numFmtId="192" fontId="2" fillId="0" borderId="18" xfId="50" applyNumberFormat="1" applyFont="1" applyBorder="1" applyAlignment="1">
      <alignment horizontal="center" vertical="center"/>
    </xf>
    <xf numFmtId="191" fontId="2" fillId="0" borderId="16" xfId="50" applyNumberFormat="1" applyFont="1" applyBorder="1" applyAlignment="1">
      <alignment horizontal="center" vertical="center"/>
    </xf>
    <xf numFmtId="2" fontId="2" fillId="5" borderId="16" xfId="50" applyNumberFormat="1" applyFont="1" applyFill="1" applyBorder="1" applyAlignment="1">
      <alignment horizontal="center" vertical="center"/>
    </xf>
    <xf numFmtId="192" fontId="2" fillId="0" borderId="17" xfId="50" applyNumberFormat="1" applyFont="1" applyBorder="1" applyAlignment="1">
      <alignment vertical="center"/>
    </xf>
    <xf numFmtId="192" fontId="2" fillId="0" borderId="2" xfId="68" applyNumberFormat="1" applyFont="1" applyBorder="1" applyAlignment="1">
      <alignment horizontal="left" vertical="center"/>
    </xf>
    <xf numFmtId="2" fontId="2" fillId="5" borderId="16" xfId="67" applyNumberFormat="1" applyFont="1" applyFill="1" applyBorder="1" applyAlignment="1">
      <alignment horizontal="center" vertical="center"/>
    </xf>
    <xf numFmtId="0" fontId="1" fillId="0" borderId="2" xfId="67" applyFont="1" applyBorder="1" applyAlignment="1">
      <alignment vertical="center"/>
    </xf>
    <xf numFmtId="0" fontId="2" fillId="0" borderId="2" xfId="67" applyFont="1" applyBorder="1" applyAlignment="1">
      <alignment horizontal="left" vertical="center"/>
    </xf>
    <xf numFmtId="196" fontId="2" fillId="5" borderId="0" xfId="40" applyNumberFormat="1" applyFont="1" applyFill="1" applyAlignment="1">
      <alignment vertical="center"/>
    </xf>
    <xf numFmtId="43" fontId="2" fillId="0" borderId="16" xfId="1" applyFont="1" applyFill="1" applyBorder="1" applyAlignment="1">
      <alignment horizontal="centerContinuous" vertical="center"/>
    </xf>
    <xf numFmtId="0" fontId="2" fillId="0" borderId="17" xfId="66" applyFont="1" applyBorder="1" applyAlignment="1">
      <alignment horizontal="center" vertical="center"/>
    </xf>
    <xf numFmtId="193" fontId="2" fillId="0" borderId="0" xfId="33" applyNumberFormat="1" applyFont="1" applyFill="1" applyBorder="1" applyAlignment="1">
      <alignment horizontal="center" vertical="center"/>
    </xf>
    <xf numFmtId="193" fontId="2" fillId="0" borderId="0" xfId="0" applyNumberFormat="1" applyFont="1" applyAlignment="1">
      <alignment vertical="center"/>
    </xf>
    <xf numFmtId="193" fontId="6" fillId="0" borderId="0" xfId="33" applyNumberFormat="1" applyFont="1" applyFill="1" applyBorder="1" applyAlignment="1">
      <alignment horizontal="center" vertical="center"/>
    </xf>
    <xf numFmtId="193" fontId="6" fillId="0" borderId="0" xfId="0" applyNumberFormat="1" applyFont="1" applyAlignment="1">
      <alignment vertical="center"/>
    </xf>
    <xf numFmtId="0" fontId="2" fillId="0" borderId="2" xfId="67" applyFont="1" applyBorder="1" applyAlignment="1">
      <alignment horizontal="center" vertical="center"/>
    </xf>
    <xf numFmtId="192" fontId="1" fillId="0" borderId="18" xfId="1" applyNumberFormat="1" applyFont="1" applyFill="1" applyBorder="1" applyAlignment="1">
      <alignment vertical="center"/>
    </xf>
    <xf numFmtId="2" fontId="1" fillId="0" borderId="16" xfId="67" applyNumberFormat="1" applyFont="1" applyBorder="1" applyAlignment="1">
      <alignment horizontal="center" vertical="center"/>
    </xf>
    <xf numFmtId="191" fontId="1" fillId="0" borderId="16" xfId="67" applyNumberFormat="1" applyFont="1" applyBorder="1" applyAlignment="1">
      <alignment horizontal="center" vertical="center"/>
    </xf>
    <xf numFmtId="0" fontId="2" fillId="0" borderId="17" xfId="50" applyFont="1" applyBorder="1" applyAlignment="1">
      <alignment horizontal="left" vertical="center"/>
    </xf>
    <xf numFmtId="191" fontId="2" fillId="5" borderId="16" xfId="67" applyNumberFormat="1" applyFont="1" applyFill="1" applyBorder="1" applyAlignment="1">
      <alignment horizontal="center" vertical="center"/>
    </xf>
    <xf numFmtId="43" fontId="2" fillId="0" borderId="2" xfId="40" applyNumberFormat="1" applyFont="1" applyBorder="1" applyAlignment="1">
      <alignment vertical="center"/>
    </xf>
    <xf numFmtId="43" fontId="6" fillId="0" borderId="2" xfId="1" applyFont="1" applyFill="1" applyBorder="1" applyAlignment="1">
      <alignment vertical="center"/>
    </xf>
    <xf numFmtId="192" fontId="1" fillId="0" borderId="2" xfId="67" applyNumberFormat="1" applyFont="1" applyBorder="1" applyAlignment="1">
      <alignment vertical="center"/>
    </xf>
    <xf numFmtId="191" fontId="2" fillId="0" borderId="16" xfId="10" applyNumberFormat="1" applyFont="1" applyBorder="1" applyAlignment="1">
      <alignment horizontal="center" vertical="center"/>
    </xf>
    <xf numFmtId="192" fontId="2" fillId="0" borderId="18" xfId="1" applyNumberFormat="1" applyFont="1" applyFill="1" applyBorder="1" applyAlignment="1">
      <alignment horizontal="left" vertical="center"/>
    </xf>
    <xf numFmtId="192" fontId="2" fillId="0" borderId="2" xfId="1" applyNumberFormat="1" applyFont="1" applyFill="1" applyBorder="1" applyAlignment="1">
      <alignment horizontal="left" vertical="center"/>
    </xf>
    <xf numFmtId="0" fontId="2" fillId="0" borderId="2" xfId="66" applyFont="1" applyBorder="1" applyAlignment="1">
      <alignment horizontal="center" vertical="center"/>
    </xf>
    <xf numFmtId="2" fontId="2" fillId="0" borderId="16" xfId="10" applyNumberFormat="1" applyFont="1" applyBorder="1" applyAlignment="1">
      <alignment horizontal="center" vertical="center"/>
    </xf>
    <xf numFmtId="0" fontId="1" fillId="0" borderId="17" xfId="66" applyFont="1" applyBorder="1" applyAlignment="1">
      <alignment horizontal="left" vertical="center"/>
    </xf>
    <xf numFmtId="191" fontId="1" fillId="0" borderId="17" xfId="40" applyNumberFormat="1" applyFont="1" applyBorder="1" applyAlignment="1">
      <alignment horizontal="center" vertical="center"/>
    </xf>
    <xf numFmtId="0" fontId="1" fillId="0" borderId="17" xfId="1" applyNumberFormat="1" applyFont="1" applyFill="1" applyBorder="1" applyAlignment="1">
      <alignment vertical="center"/>
    </xf>
    <xf numFmtId="1" fontId="2" fillId="0" borderId="17" xfId="67" applyNumberFormat="1" applyFont="1" applyBorder="1" applyAlignment="1">
      <alignment horizontal="center" vertical="center"/>
    </xf>
    <xf numFmtId="191" fontId="2" fillId="5" borderId="17" xfId="40" applyNumberFormat="1" applyFont="1" applyFill="1" applyBorder="1" applyAlignment="1">
      <alignment horizontal="center" vertical="center"/>
    </xf>
    <xf numFmtId="191" fontId="1" fillId="0" borderId="17" xfId="67" applyNumberFormat="1" applyFont="1" applyBorder="1" applyAlignment="1">
      <alignment horizontal="center" vertical="center"/>
    </xf>
    <xf numFmtId="0" fontId="2" fillId="0" borderId="2" xfId="50" applyFont="1" applyBorder="1" applyAlignment="1">
      <alignment vertical="center"/>
    </xf>
    <xf numFmtId="0" fontId="2" fillId="0" borderId="17" xfId="69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0" fontId="2" fillId="0" borderId="20" xfId="50" applyFont="1" applyBorder="1" applyAlignment="1">
      <alignment vertical="center"/>
    </xf>
    <xf numFmtId="43" fontId="6" fillId="0" borderId="19" xfId="1" applyFont="1" applyBorder="1" applyAlignment="1">
      <alignment vertical="center"/>
    </xf>
    <xf numFmtId="0" fontId="1" fillId="0" borderId="23" xfId="67" applyFont="1" applyBorder="1" applyAlignment="1">
      <alignment horizontal="left" vertical="center"/>
    </xf>
    <xf numFmtId="192" fontId="1" fillId="0" borderId="1" xfId="67" applyNumberFormat="1" applyFont="1" applyBorder="1" applyAlignment="1">
      <alignment horizontal="left" vertical="center"/>
    </xf>
    <xf numFmtId="43" fontId="2" fillId="0" borderId="16" xfId="1" applyFont="1" applyBorder="1" applyAlignment="1">
      <alignment horizontal="centerContinuous" vertical="center"/>
    </xf>
    <xf numFmtId="0" fontId="2" fillId="0" borderId="2" xfId="67" applyFont="1" applyBorder="1" applyAlignment="1">
      <alignment vertical="center"/>
    </xf>
    <xf numFmtId="0" fontId="1" fillId="0" borderId="17" xfId="69" applyFont="1" applyBorder="1" applyAlignment="1">
      <alignment vertical="center"/>
    </xf>
    <xf numFmtId="0" fontId="2" fillId="0" borderId="17" xfId="69" applyFont="1" applyBorder="1" applyAlignment="1">
      <alignment horizontal="center" vertical="center"/>
    </xf>
    <xf numFmtId="43" fontId="6" fillId="0" borderId="26" xfId="1" applyFont="1" applyFill="1" applyBorder="1" applyAlignment="1">
      <alignment horizontal="center" vertical="center"/>
    </xf>
    <xf numFmtId="0" fontId="2" fillId="0" borderId="1" xfId="68" applyFont="1" applyBorder="1" applyAlignment="1">
      <alignment horizontal="center" vertical="center"/>
    </xf>
    <xf numFmtId="49" fontId="5" fillId="0" borderId="0" xfId="40" applyNumberFormat="1" applyFont="1" applyAlignment="1">
      <alignment horizontal="left" vertical="center"/>
    </xf>
    <xf numFmtId="0" fontId="5" fillId="0" borderId="23" xfId="40" applyFont="1" applyBorder="1" applyAlignment="1">
      <alignment vertical="center"/>
    </xf>
    <xf numFmtId="43" fontId="4" fillId="0" borderId="2" xfId="64" applyNumberFormat="1" applyFont="1" applyBorder="1" applyAlignment="1">
      <alignment horizontal="left" vertical="center"/>
    </xf>
    <xf numFmtId="43" fontId="4" fillId="0" borderId="25" xfId="1" applyFont="1" applyBorder="1" applyAlignment="1">
      <alignment vertical="center"/>
    </xf>
    <xf numFmtId="43" fontId="4" fillId="2" borderId="2" xfId="64" applyNumberFormat="1" applyFont="1" applyFill="1" applyBorder="1" applyAlignment="1">
      <alignment horizontal="left" vertical="center"/>
    </xf>
    <xf numFmtId="192" fontId="4" fillId="2" borderId="25" xfId="40" applyNumberFormat="1" applyFont="1" applyFill="1" applyBorder="1" applyAlignment="1">
      <alignment vertical="center"/>
    </xf>
    <xf numFmtId="43" fontId="4" fillId="2" borderId="25" xfId="1" applyFont="1" applyFill="1" applyBorder="1" applyAlignment="1">
      <alignment vertical="center"/>
    </xf>
    <xf numFmtId="193" fontId="4" fillId="0" borderId="2" xfId="1" applyNumberFormat="1" applyFont="1" applyFill="1" applyBorder="1" applyAlignment="1">
      <alignment vertical="center"/>
    </xf>
    <xf numFmtId="192" fontId="4" fillId="0" borderId="16" xfId="40" applyNumberFormat="1" applyFont="1" applyBorder="1" applyAlignment="1">
      <alignment horizontal="center" vertical="center"/>
    </xf>
    <xf numFmtId="0" fontId="4" fillId="0" borderId="19" xfId="40" applyFont="1" applyBorder="1" applyAlignment="1">
      <alignment horizontal="center" vertical="center"/>
    </xf>
    <xf numFmtId="192" fontId="4" fillId="0" borderId="19" xfId="40" applyNumberFormat="1" applyFont="1" applyBorder="1" applyAlignment="1">
      <alignment vertical="center"/>
    </xf>
    <xf numFmtId="192" fontId="4" fillId="0" borderId="21" xfId="1" applyNumberFormat="1" applyFont="1" applyFill="1" applyBorder="1" applyAlignment="1">
      <alignment vertical="center"/>
    </xf>
    <xf numFmtId="192" fontId="4" fillId="0" borderId="19" xfId="40" applyNumberFormat="1" applyFont="1" applyBorder="1" applyAlignment="1">
      <alignment horizontal="center" vertical="center"/>
    </xf>
    <xf numFmtId="43" fontId="4" fillId="0" borderId="19" xfId="40" applyNumberFormat="1" applyFont="1" applyBorder="1" applyAlignment="1">
      <alignment vertical="center"/>
    </xf>
    <xf numFmtId="0" fontId="4" fillId="0" borderId="19" xfId="40" applyFont="1" applyBorder="1" applyAlignment="1">
      <alignment vertical="center"/>
    </xf>
    <xf numFmtId="193" fontId="5" fillId="0" borderId="1" xfId="40" applyNumberFormat="1" applyFont="1" applyBorder="1" applyAlignment="1">
      <alignment horizontal="center" vertical="center"/>
    </xf>
    <xf numFmtId="193" fontId="4" fillId="0" borderId="2" xfId="40" applyNumberFormat="1" applyFont="1" applyBorder="1" applyAlignment="1">
      <alignment vertical="center"/>
    </xf>
    <xf numFmtId="193" fontId="4" fillId="0" borderId="16" xfId="40" applyNumberFormat="1" applyFont="1" applyBorder="1" applyAlignment="1">
      <alignment vertical="center"/>
    </xf>
    <xf numFmtId="193" fontId="4" fillId="0" borderId="21" xfId="40" applyNumberFormat="1" applyFont="1" applyBorder="1" applyAlignment="1">
      <alignment vertical="center"/>
    </xf>
    <xf numFmtId="0" fontId="4" fillId="0" borderId="0" xfId="22" applyFont="1" applyAlignment="1">
      <alignment horizontal="left" vertical="center"/>
    </xf>
    <xf numFmtId="0" fontId="4" fillId="0" borderId="0" xfId="40" applyFont="1" applyAlignment="1">
      <alignment horizontal="left" vertical="center"/>
    </xf>
    <xf numFmtId="3" fontId="4" fillId="0" borderId="0" xfId="40" applyNumberFormat="1" applyFont="1" applyAlignment="1">
      <alignment horizontal="left" vertical="center"/>
    </xf>
    <xf numFmtId="196" fontId="4" fillId="0" borderId="0" xfId="40" applyNumberFormat="1" applyFont="1" applyAlignment="1">
      <alignment vertical="center"/>
    </xf>
    <xf numFmtId="0" fontId="5" fillId="0" borderId="0" xfId="43" applyFont="1" applyAlignment="1">
      <alignment horizontal="left" vertical="center"/>
    </xf>
    <xf numFmtId="0" fontId="5" fillId="0" borderId="0" xfId="43" applyFont="1" applyAlignment="1">
      <alignment vertical="top"/>
    </xf>
    <xf numFmtId="0" fontId="5" fillId="0" borderId="2" xfId="40" applyFont="1" applyBorder="1" applyAlignment="1">
      <alignment vertical="center" shrinkToFit="1"/>
    </xf>
    <xf numFmtId="43" fontId="5" fillId="0" borderId="2" xfId="1" applyFont="1" applyBorder="1" applyAlignment="1">
      <alignment vertical="center"/>
    </xf>
    <xf numFmtId="15" fontId="5" fillId="0" borderId="2" xfId="40" applyNumberFormat="1" applyFont="1" applyBorder="1" applyAlignment="1">
      <alignment vertical="center"/>
    </xf>
    <xf numFmtId="49" fontId="4" fillId="0" borderId="1" xfId="40" applyNumberFormat="1" applyFont="1" applyBorder="1" applyAlignment="1">
      <alignment vertical="center"/>
    </xf>
    <xf numFmtId="204" fontId="5" fillId="0" borderId="1" xfId="43" applyNumberFormat="1" applyFont="1" applyBorder="1" applyAlignment="1">
      <alignment horizontal="left" vertical="center"/>
    </xf>
    <xf numFmtId="192" fontId="5" fillId="0" borderId="27" xfId="40" applyNumberFormat="1" applyFont="1" applyBorder="1" applyAlignment="1">
      <alignment horizontal="left" vertical="center"/>
    </xf>
    <xf numFmtId="0" fontId="4" fillId="0" borderId="28" xfId="40" applyFont="1" applyBorder="1" applyAlignment="1">
      <alignment vertical="center"/>
    </xf>
    <xf numFmtId="43" fontId="4" fillId="0" borderId="25" xfId="37" applyFont="1" applyBorder="1" applyAlignment="1">
      <alignment vertical="center"/>
    </xf>
    <xf numFmtId="193" fontId="4" fillId="0" borderId="25" xfId="40" applyNumberFormat="1" applyFont="1" applyBorder="1" applyAlignment="1">
      <alignment vertical="center"/>
    </xf>
    <xf numFmtId="192" fontId="4" fillId="0" borderId="27" xfId="40" applyNumberFormat="1" applyFont="1" applyBorder="1" applyAlignment="1">
      <alignment horizontal="left" vertical="center"/>
    </xf>
    <xf numFmtId="0" fontId="4" fillId="0" borderId="18" xfId="40" applyFont="1" applyBorder="1" applyAlignment="1">
      <alignment vertical="center"/>
    </xf>
    <xf numFmtId="43" fontId="4" fillId="0" borderId="16" xfId="37" applyFont="1" applyBorder="1" applyAlignment="1">
      <alignment vertical="center"/>
    </xf>
    <xf numFmtId="0" fontId="4" fillId="0" borderId="17" xfId="40" applyFont="1" applyBorder="1" applyAlignment="1">
      <alignment vertical="center"/>
    </xf>
    <xf numFmtId="0" fontId="4" fillId="0" borderId="36" xfId="40" applyFont="1" applyBorder="1" applyAlignment="1">
      <alignment vertical="center"/>
    </xf>
    <xf numFmtId="0" fontId="4" fillId="0" borderId="37" xfId="40" applyFont="1" applyBorder="1" applyAlignment="1">
      <alignment vertical="center"/>
    </xf>
    <xf numFmtId="0" fontId="4" fillId="0" borderId="38" xfId="40" applyFont="1" applyBorder="1" applyAlignment="1">
      <alignment vertical="center"/>
    </xf>
    <xf numFmtId="43" fontId="4" fillId="0" borderId="36" xfId="40" applyNumberFormat="1" applyFont="1" applyBorder="1" applyAlignment="1">
      <alignment vertical="center"/>
    </xf>
    <xf numFmtId="43" fontId="4" fillId="0" borderId="38" xfId="40" applyNumberFormat="1" applyFont="1" applyBorder="1" applyAlignment="1">
      <alignment vertical="center"/>
    </xf>
    <xf numFmtId="0" fontId="5" fillId="0" borderId="39" xfId="40" applyFont="1" applyBorder="1" applyAlignment="1">
      <alignment horizontal="center" vertical="center"/>
    </xf>
    <xf numFmtId="43" fontId="5" fillId="0" borderId="42" xfId="40" applyNumberFormat="1" applyFont="1" applyBorder="1" applyAlignment="1">
      <alignment horizontal="left" vertical="center"/>
    </xf>
    <xf numFmtId="193" fontId="4" fillId="0" borderId="43" xfId="40" applyNumberFormat="1" applyFont="1" applyBorder="1" applyAlignment="1">
      <alignment horizontal="left" vertical="center"/>
    </xf>
    <xf numFmtId="0" fontId="4" fillId="0" borderId="44" xfId="40" applyFont="1" applyBorder="1" applyAlignment="1">
      <alignment vertical="center"/>
    </xf>
    <xf numFmtId="43" fontId="12" fillId="0" borderId="3" xfId="37" applyFont="1" applyFill="1" applyBorder="1" applyAlignment="1">
      <alignment horizontal="left" vertical="center"/>
    </xf>
    <xf numFmtId="43" fontId="5" fillId="0" borderId="47" xfId="37" applyFont="1" applyFill="1" applyBorder="1" applyAlignment="1">
      <alignment horizontal="left" vertical="center"/>
    </xf>
    <xf numFmtId="0" fontId="4" fillId="0" borderId="48" xfId="40" applyFont="1" applyBorder="1" applyAlignment="1">
      <alignment vertical="center"/>
    </xf>
    <xf numFmtId="0" fontId="5" fillId="0" borderId="49" xfId="40" applyFont="1" applyBorder="1" applyAlignment="1">
      <alignment horizontal="left" vertical="center"/>
    </xf>
    <xf numFmtId="0" fontId="5" fillId="0" borderId="0" xfId="39" applyFont="1" applyAlignment="1">
      <alignment vertical="center"/>
    </xf>
    <xf numFmtId="0" fontId="5" fillId="0" borderId="0" xfId="40" applyFont="1" applyAlignment="1">
      <alignment horizontal="right" vertical="center"/>
    </xf>
    <xf numFmtId="43" fontId="4" fillId="0" borderId="0" xfId="37" applyFont="1" applyBorder="1" applyAlignment="1">
      <alignment horizontal="center" vertical="center"/>
    </xf>
    <xf numFmtId="43" fontId="4" fillId="0" borderId="0" xfId="40" applyNumberFormat="1" applyFont="1" applyAlignment="1">
      <alignment vertical="center"/>
    </xf>
    <xf numFmtId="0" fontId="1" fillId="0" borderId="17" xfId="67" quotePrefix="1" applyFont="1" applyBorder="1" applyAlignment="1">
      <alignment horizontal="left" vertical="center"/>
    </xf>
    <xf numFmtId="0" fontId="2" fillId="0" borderId="17" xfId="29" quotePrefix="1" applyFont="1" applyBorder="1" applyAlignment="1">
      <alignment vertical="center"/>
    </xf>
    <xf numFmtId="0" fontId="2" fillId="0" borderId="17" xfId="29" quotePrefix="1" applyFont="1" applyBorder="1" applyAlignment="1">
      <alignment horizontal="center" vertical="center"/>
    </xf>
    <xf numFmtId="0" fontId="2" fillId="0" borderId="17" xfId="1" quotePrefix="1" applyNumberFormat="1" applyFont="1" applyFill="1" applyBorder="1" applyAlignment="1">
      <alignment vertical="center"/>
    </xf>
    <xf numFmtId="0" fontId="2" fillId="0" borderId="17" xfId="67" quotePrefix="1" applyFont="1" applyBorder="1" applyAlignment="1">
      <alignment horizontal="left" vertical="center"/>
    </xf>
    <xf numFmtId="192" fontId="2" fillId="0" borderId="2" xfId="64" quotePrefix="1" applyNumberFormat="1" applyFont="1" applyBorder="1" applyAlignment="1">
      <alignment horizontal="left" vertical="center"/>
    </xf>
    <xf numFmtId="192" fontId="7" fillId="0" borderId="17" xfId="29" quotePrefix="1" applyNumberFormat="1" applyFont="1" applyBorder="1" applyAlignment="1">
      <alignment horizontal="left" vertical="center"/>
    </xf>
    <xf numFmtId="192" fontId="8" fillId="0" borderId="17" xfId="12" quotePrefix="1" applyNumberFormat="1" applyFont="1" applyFill="1" applyBorder="1" applyAlignment="1" applyProtection="1">
      <alignment horizontal="left" vertical="center"/>
    </xf>
    <xf numFmtId="192" fontId="7" fillId="0" borderId="2" xfId="61" quotePrefix="1" applyNumberFormat="1" applyFont="1" applyBorder="1" applyAlignment="1">
      <alignment vertical="center"/>
    </xf>
    <xf numFmtId="0" fontId="7" fillId="0" borderId="16" xfId="61" quotePrefix="1" applyFont="1" applyBorder="1" applyAlignment="1">
      <alignment horizontal="center" vertical="center"/>
    </xf>
    <xf numFmtId="191" fontId="7" fillId="0" borderId="17" xfId="61" quotePrefix="1" applyNumberFormat="1" applyFont="1" applyBorder="1" applyAlignment="1">
      <alignment horizontal="center" vertical="center"/>
    </xf>
    <xf numFmtId="0" fontId="7" fillId="0" borderId="16" xfId="10" quotePrefix="1" applyFont="1" applyBorder="1" applyAlignment="1">
      <alignment horizontal="center" vertical="center"/>
    </xf>
    <xf numFmtId="192" fontId="7" fillId="0" borderId="2" xfId="12" quotePrefix="1" applyNumberFormat="1" applyFont="1" applyFill="1" applyBorder="1" applyAlignment="1" applyProtection="1">
      <alignment horizontal="left" vertical="center"/>
    </xf>
    <xf numFmtId="0" fontId="7" fillId="0" borderId="16" xfId="7" quotePrefix="1" applyFont="1" applyBorder="1" applyAlignment="1">
      <alignment horizontal="center" vertical="center"/>
    </xf>
    <xf numFmtId="192" fontId="7" fillId="0" borderId="17" xfId="61" quotePrefix="1" applyNumberFormat="1" applyFont="1" applyBorder="1" applyAlignment="1">
      <alignment horizontal="left" vertical="center"/>
    </xf>
    <xf numFmtId="0" fontId="7" fillId="0" borderId="17" xfId="30" quotePrefix="1" applyFont="1" applyBorder="1" applyAlignment="1">
      <alignment horizontal="center" vertical="center"/>
    </xf>
    <xf numFmtId="194" fontId="2" fillId="0" borderId="17" xfId="29" quotePrefix="1" applyNumberFormat="1" applyFont="1" applyBorder="1" applyAlignment="1">
      <alignment horizontal="left" vertical="center"/>
    </xf>
    <xf numFmtId="49" fontId="2" fillId="0" borderId="17" xfId="32" quotePrefix="1" applyNumberFormat="1" applyFont="1" applyBorder="1" applyAlignment="1">
      <alignment horizontal="center" vertical="center"/>
    </xf>
    <xf numFmtId="49" fontId="2" fillId="0" borderId="2" xfId="32" quotePrefix="1" applyNumberFormat="1" applyFont="1" applyBorder="1" applyAlignment="1">
      <alignment vertical="center" wrapText="1"/>
    </xf>
    <xf numFmtId="43" fontId="2" fillId="0" borderId="16" xfId="1" quotePrefix="1" applyFont="1" applyFill="1" applyBorder="1" applyAlignment="1">
      <alignment horizontal="center" vertical="center"/>
    </xf>
    <xf numFmtId="194" fontId="1" fillId="0" borderId="17" xfId="29" quotePrefix="1" applyNumberFormat="1" applyFont="1" applyBorder="1" applyAlignment="1">
      <alignment horizontal="left" vertical="center"/>
    </xf>
    <xf numFmtId="49" fontId="2" fillId="2" borderId="17" xfId="32" quotePrefix="1" applyNumberFormat="1" applyFont="1" applyFill="1" applyBorder="1" applyAlignment="1">
      <alignment horizontal="center" vertical="center"/>
    </xf>
    <xf numFmtId="49" fontId="2" fillId="2" borderId="2" xfId="32" quotePrefix="1" applyNumberFormat="1" applyFont="1" applyFill="1" applyBorder="1" applyAlignment="1">
      <alignment vertical="center" wrapText="1"/>
    </xf>
    <xf numFmtId="43" fontId="2" fillId="2" borderId="16" xfId="1" quotePrefix="1" applyFont="1" applyFill="1" applyBorder="1" applyAlignment="1">
      <alignment horizontal="center" vertical="center"/>
    </xf>
    <xf numFmtId="49" fontId="2" fillId="0" borderId="2" xfId="0" quotePrefix="1" applyNumberFormat="1" applyFont="1" applyBorder="1" applyAlignment="1">
      <alignment vertical="center" wrapText="1"/>
    </xf>
    <xf numFmtId="0" fontId="2" fillId="0" borderId="17" xfId="0" quotePrefix="1" applyFont="1" applyBorder="1" applyAlignment="1">
      <alignment vertical="center"/>
    </xf>
    <xf numFmtId="43" fontId="2" fillId="0" borderId="16" xfId="1" quotePrefix="1" applyFont="1" applyBorder="1" applyAlignment="1">
      <alignment horizontal="center" vertical="center"/>
    </xf>
    <xf numFmtId="0" fontId="2" fillId="0" borderId="17" xfId="40" quotePrefix="1" applyFont="1" applyBorder="1" applyAlignment="1">
      <alignment horizontal="center" vertical="center"/>
    </xf>
    <xf numFmtId="192" fontId="2" fillId="0" borderId="17" xfId="29" quotePrefix="1" applyNumberFormat="1" applyFont="1" applyBorder="1" applyAlignment="1">
      <alignment horizontal="left" vertical="center"/>
    </xf>
    <xf numFmtId="192" fontId="1" fillId="0" borderId="17" xfId="29" quotePrefix="1" applyNumberFormat="1" applyFont="1" applyBorder="1" applyAlignment="1">
      <alignment horizontal="left" vertical="center"/>
    </xf>
    <xf numFmtId="192" fontId="2" fillId="0" borderId="17" xfId="64" quotePrefix="1" applyNumberFormat="1" applyFont="1" applyBorder="1" applyAlignment="1">
      <alignment horizontal="right" vertical="center"/>
    </xf>
    <xf numFmtId="192" fontId="1" fillId="0" borderId="17" xfId="64" quotePrefix="1" applyNumberFormat="1" applyFont="1" applyBorder="1" applyAlignment="1">
      <alignment horizontal="left" vertical="center"/>
    </xf>
    <xf numFmtId="193" fontId="1" fillId="0" borderId="23" xfId="67" quotePrefix="1" applyNumberFormat="1" applyFont="1" applyBorder="1" applyAlignment="1">
      <alignment horizontal="left" vertical="center"/>
    </xf>
    <xf numFmtId="193" fontId="1" fillId="0" borderId="17" xfId="67" quotePrefix="1" applyNumberFormat="1" applyFont="1" applyBorder="1" applyAlignment="1">
      <alignment horizontal="left" vertical="center"/>
    </xf>
    <xf numFmtId="0" fontId="8" fillId="5" borderId="16" xfId="61" applyFont="1" applyFill="1" applyBorder="1" applyAlignment="1">
      <alignment horizontal="center" vertical="center"/>
    </xf>
    <xf numFmtId="195" fontId="8" fillId="5" borderId="17" xfId="12" quotePrefix="1" applyNumberFormat="1" applyFont="1" applyFill="1" applyBorder="1" applyAlignment="1" applyProtection="1">
      <alignment horizontal="left" vertical="center"/>
    </xf>
    <xf numFmtId="195" fontId="8" fillId="5" borderId="2" xfId="12" applyNumberFormat="1" applyFont="1" applyFill="1" applyBorder="1" applyAlignment="1" applyProtection="1">
      <alignment horizontal="left" vertical="center"/>
    </xf>
    <xf numFmtId="195" fontId="7" fillId="5" borderId="18" xfId="30" applyNumberFormat="1" applyFont="1" applyFill="1" applyBorder="1" applyAlignment="1">
      <alignment vertical="center"/>
    </xf>
    <xf numFmtId="43" fontId="6" fillId="5" borderId="34" xfId="1" applyFont="1" applyFill="1" applyBorder="1" applyAlignment="1">
      <alignment horizontal="center" vertical="center"/>
    </xf>
    <xf numFmtId="43" fontId="7" fillId="5" borderId="34" xfId="1" applyFont="1" applyFill="1" applyBorder="1" applyAlignment="1">
      <alignment horizontal="center" vertical="center"/>
    </xf>
    <xf numFmtId="43" fontId="6" fillId="5" borderId="34" xfId="1" applyFont="1" applyFill="1" applyBorder="1" applyAlignment="1">
      <alignment vertical="center"/>
    </xf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5" fillId="0" borderId="0" xfId="40" applyFont="1" applyAlignment="1">
      <alignment horizontal="center" vertical="center"/>
    </xf>
    <xf numFmtId="0" fontId="5" fillId="0" borderId="1" xfId="40" applyFont="1" applyBorder="1" applyAlignment="1">
      <alignment horizontal="left" vertical="top" wrapText="1" shrinkToFit="1"/>
    </xf>
    <xf numFmtId="0" fontId="5" fillId="0" borderId="2" xfId="40" applyFont="1" applyBorder="1" applyAlignment="1">
      <alignment horizontal="left" vertical="center" shrinkToFit="1"/>
    </xf>
    <xf numFmtId="0" fontId="5" fillId="0" borderId="0" xfId="39" applyFont="1" applyAlignment="1">
      <alignment vertical="center"/>
    </xf>
    <xf numFmtId="0" fontId="5" fillId="0" borderId="40" xfId="40" applyFont="1" applyBorder="1" applyAlignment="1">
      <alignment horizontal="left" vertical="center"/>
    </xf>
    <xf numFmtId="0" fontId="5" fillId="0" borderId="41" xfId="40" applyFont="1" applyBorder="1" applyAlignment="1">
      <alignment horizontal="left" vertical="center"/>
    </xf>
    <xf numFmtId="0" fontId="5" fillId="0" borderId="45" xfId="40" applyFont="1" applyBorder="1" applyAlignment="1">
      <alignment horizontal="right" vertical="center"/>
    </xf>
    <xf numFmtId="0" fontId="5" fillId="0" borderId="46" xfId="40" applyFont="1" applyBorder="1" applyAlignment="1">
      <alignment horizontal="right" vertical="center"/>
    </xf>
    <xf numFmtId="0" fontId="5" fillId="0" borderId="50" xfId="39" applyFont="1" applyBorder="1" applyAlignment="1">
      <alignment horizontal="center" vertical="center" shrinkToFit="1"/>
    </xf>
    <xf numFmtId="0" fontId="5" fillId="0" borderId="51" xfId="39" applyFont="1" applyBorder="1" applyAlignment="1">
      <alignment horizontal="center" vertical="center" shrinkToFit="1"/>
    </xf>
    <xf numFmtId="0" fontId="5" fillId="0" borderId="3" xfId="40" applyFont="1" applyBorder="1" applyAlignment="1">
      <alignment horizontal="center" vertical="center"/>
    </xf>
    <xf numFmtId="0" fontId="5" fillId="0" borderId="9" xfId="40" applyFont="1" applyBorder="1" applyAlignment="1">
      <alignment horizontal="center" vertical="center"/>
    </xf>
    <xf numFmtId="0" fontId="5" fillId="2" borderId="3" xfId="40" applyFont="1" applyFill="1" applyBorder="1" applyAlignment="1">
      <alignment horizontal="center" vertical="center"/>
    </xf>
    <xf numFmtId="0" fontId="5" fillId="2" borderId="9" xfId="40" applyFont="1" applyFill="1" applyBorder="1" applyAlignment="1">
      <alignment horizontal="center" vertical="center"/>
    </xf>
    <xf numFmtId="0" fontId="5" fillId="0" borderId="4" xfId="40" applyFont="1" applyBorder="1" applyAlignment="1">
      <alignment horizontal="center" vertical="center"/>
    </xf>
    <xf numFmtId="0" fontId="5" fillId="0" borderId="6" xfId="40" applyFont="1" applyBorder="1" applyAlignment="1">
      <alignment horizontal="center" vertical="center"/>
    </xf>
    <xf numFmtId="0" fontId="5" fillId="0" borderId="10" xfId="40" applyFont="1" applyBorder="1" applyAlignment="1">
      <alignment horizontal="center" vertical="center"/>
    </xf>
    <xf numFmtId="0" fontId="5" fillId="0" borderId="12" xfId="40" applyFont="1" applyBorder="1" applyAlignment="1">
      <alignment horizontal="center" vertical="center"/>
    </xf>
    <xf numFmtId="192" fontId="5" fillId="0" borderId="7" xfId="40" applyNumberFormat="1" applyFont="1" applyBorder="1" applyAlignment="1">
      <alignment horizontal="left" vertical="center"/>
    </xf>
    <xf numFmtId="192" fontId="5" fillId="0" borderId="8" xfId="40" applyNumberFormat="1" applyFont="1" applyBorder="1" applyAlignment="1">
      <alignment horizontal="left" vertical="center"/>
    </xf>
    <xf numFmtId="192" fontId="5" fillId="0" borderId="24" xfId="40" applyNumberFormat="1" applyFont="1" applyBorder="1" applyAlignment="1">
      <alignment horizontal="left" vertical="center"/>
    </xf>
    <xf numFmtId="0" fontId="4" fillId="0" borderId="0" xfId="40" applyFont="1" applyAlignment="1">
      <alignment horizontal="right" vertical="center"/>
    </xf>
    <xf numFmtId="0" fontId="5" fillId="0" borderId="1" xfId="40" applyFont="1" applyBorder="1" applyAlignment="1">
      <alignment horizontal="left" vertical="top" wrapText="1"/>
    </xf>
    <xf numFmtId="0" fontId="1" fillId="0" borderId="1" xfId="43" applyFont="1" applyBorder="1" applyAlignment="1">
      <alignment vertical="center"/>
    </xf>
    <xf numFmtId="43" fontId="2" fillId="0" borderId="1" xfId="1" applyFont="1" applyBorder="1" applyAlignment="1">
      <alignment horizontal="left" vertical="center"/>
    </xf>
    <xf numFmtId="0" fontId="1" fillId="0" borderId="2" xfId="43" applyFont="1" applyBorder="1" applyAlignment="1">
      <alignment vertical="center"/>
    </xf>
    <xf numFmtId="43" fontId="9" fillId="0" borderId="7" xfId="1" applyFont="1" applyBorder="1" applyAlignment="1">
      <alignment horizontal="center" vertical="center"/>
    </xf>
    <xf numFmtId="43" fontId="1" fillId="0" borderId="8" xfId="1" applyFont="1" applyBorder="1" applyAlignment="1">
      <alignment horizontal="center" vertical="center"/>
    </xf>
    <xf numFmtId="43" fontId="1" fillId="0" borderId="24" xfId="1" applyFont="1" applyBorder="1" applyAlignment="1">
      <alignment horizontal="center" vertical="center"/>
    </xf>
    <xf numFmtId="0" fontId="1" fillId="0" borderId="4" xfId="40" applyFont="1" applyBorder="1" applyAlignment="1">
      <alignment horizontal="center" vertical="center"/>
    </xf>
    <xf numFmtId="0" fontId="1" fillId="0" borderId="10" xfId="40" applyFont="1" applyBorder="1" applyAlignment="1">
      <alignment horizontal="center" vertical="center"/>
    </xf>
    <xf numFmtId="43" fontId="1" fillId="0" borderId="3" xfId="1" applyFont="1" applyBorder="1" applyAlignment="1">
      <alignment horizontal="center" vertical="center"/>
    </xf>
    <xf numFmtId="43" fontId="1" fillId="0" borderId="9" xfId="1" applyFont="1" applyBorder="1" applyAlignment="1">
      <alignment horizontal="center" vertical="center"/>
    </xf>
    <xf numFmtId="192" fontId="1" fillId="0" borderId="17" xfId="1" applyNumberFormat="1" applyFont="1" applyFill="1" applyBorder="1" applyAlignment="1">
      <alignment horizontal="center" vertical="center"/>
    </xf>
    <xf numFmtId="192" fontId="1" fillId="0" borderId="2" xfId="1" applyNumberFormat="1" applyFont="1" applyFill="1" applyBorder="1" applyAlignment="1">
      <alignment horizontal="center" vertical="center"/>
    </xf>
    <xf numFmtId="192" fontId="1" fillId="0" borderId="18" xfId="1" applyNumberFormat="1" applyFont="1" applyFill="1" applyBorder="1" applyAlignment="1">
      <alignment horizontal="center" vertical="center"/>
    </xf>
    <xf numFmtId="192" fontId="1" fillId="0" borderId="27" xfId="50" applyNumberFormat="1" applyFont="1" applyBorder="1" applyAlignment="1">
      <alignment horizontal="center" vertical="center"/>
    </xf>
    <xf numFmtId="192" fontId="1" fillId="0" borderId="1" xfId="50" applyNumberFormat="1" applyFont="1" applyBorder="1" applyAlignment="1">
      <alignment horizontal="center" vertical="center"/>
    </xf>
    <xf numFmtId="192" fontId="1" fillId="0" borderId="28" xfId="50" applyNumberFormat="1" applyFont="1" applyBorder="1" applyAlignment="1">
      <alignment horizontal="center" vertical="center"/>
    </xf>
    <xf numFmtId="192" fontId="1" fillId="5" borderId="17" xfId="67" applyNumberFormat="1" applyFont="1" applyFill="1" applyBorder="1" applyAlignment="1">
      <alignment horizontal="center" vertical="center"/>
    </xf>
    <xf numFmtId="192" fontId="1" fillId="5" borderId="2" xfId="67" applyNumberFormat="1" applyFont="1" applyFill="1" applyBorder="1" applyAlignment="1">
      <alignment horizontal="center" vertical="center"/>
    </xf>
    <xf numFmtId="192" fontId="1" fillId="5" borderId="18" xfId="67" applyNumberFormat="1" applyFont="1" applyFill="1" applyBorder="1" applyAlignment="1">
      <alignment horizontal="center" vertical="center"/>
    </xf>
    <xf numFmtId="192" fontId="1" fillId="0" borderId="17" xfId="67" applyNumberFormat="1" applyFont="1" applyBorder="1" applyAlignment="1">
      <alignment horizontal="center" vertical="center"/>
    </xf>
    <xf numFmtId="192" fontId="1" fillId="0" borderId="2" xfId="67" applyNumberFormat="1" applyFont="1" applyBorder="1" applyAlignment="1">
      <alignment horizontal="center" vertical="center"/>
    </xf>
    <xf numFmtId="192" fontId="1" fillId="0" borderId="18" xfId="67" applyNumberFormat="1" applyFont="1" applyBorder="1" applyAlignment="1">
      <alignment horizontal="center" vertical="center"/>
    </xf>
    <xf numFmtId="43" fontId="1" fillId="0" borderId="4" xfId="40" applyNumberFormat="1" applyFont="1" applyBorder="1" applyAlignment="1">
      <alignment horizontal="center" vertical="center"/>
    </xf>
    <xf numFmtId="43" fontId="1" fillId="0" borderId="5" xfId="40" applyNumberFormat="1" applyFont="1" applyBorder="1" applyAlignment="1">
      <alignment horizontal="center" vertical="center"/>
    </xf>
    <xf numFmtId="43" fontId="1" fillId="0" borderId="6" xfId="40" applyNumberFormat="1" applyFont="1" applyBorder="1" applyAlignment="1">
      <alignment horizontal="center" vertical="center"/>
    </xf>
    <xf numFmtId="43" fontId="1" fillId="0" borderId="10" xfId="40" applyNumberFormat="1" applyFont="1" applyBorder="1" applyAlignment="1">
      <alignment horizontal="center" vertical="center"/>
    </xf>
    <xf numFmtId="43" fontId="1" fillId="0" borderId="11" xfId="40" applyNumberFormat="1" applyFont="1" applyBorder="1" applyAlignment="1">
      <alignment horizontal="center" vertical="center"/>
    </xf>
    <xf numFmtId="43" fontId="1" fillId="0" borderId="12" xfId="40" applyNumberFormat="1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43" fontId="1" fillId="0" borderId="17" xfId="64" applyNumberFormat="1" applyFont="1" applyBorder="1" applyAlignment="1">
      <alignment horizontal="center" vertical="center"/>
    </xf>
    <xf numFmtId="43" fontId="1" fillId="0" borderId="2" xfId="64" applyNumberFormat="1" applyFont="1" applyBorder="1" applyAlignment="1">
      <alignment horizontal="center" vertical="center"/>
    </xf>
    <xf numFmtId="43" fontId="1" fillId="0" borderId="18" xfId="64" applyNumberFormat="1" applyFont="1" applyBorder="1" applyAlignment="1">
      <alignment horizontal="center" vertical="center"/>
    </xf>
    <xf numFmtId="43" fontId="2" fillId="0" borderId="17" xfId="1" applyFont="1" applyFill="1" applyBorder="1" applyAlignment="1">
      <alignment horizontal="center" vertical="center"/>
    </xf>
    <xf numFmtId="43" fontId="2" fillId="0" borderId="18" xfId="1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left" vertical="center"/>
    </xf>
    <xf numFmtId="43" fontId="6" fillId="0" borderId="2" xfId="1" applyFont="1" applyFill="1" applyBorder="1" applyAlignment="1">
      <alignment horizontal="left" vertical="center"/>
    </xf>
    <xf numFmtId="43" fontId="2" fillId="0" borderId="18" xfId="1" applyFont="1" applyFill="1" applyBorder="1" applyAlignment="1">
      <alignment horizontal="left" vertical="center"/>
    </xf>
    <xf numFmtId="43" fontId="1" fillId="0" borderId="7" xfId="1" applyFont="1" applyBorder="1" applyAlignment="1">
      <alignment horizontal="center" vertical="center"/>
    </xf>
    <xf numFmtId="0" fontId="1" fillId="0" borderId="3" xfId="40" applyFont="1" applyBorder="1" applyAlignment="1">
      <alignment horizontal="center" vertical="center"/>
    </xf>
    <xf numFmtId="0" fontId="1" fillId="0" borderId="9" xfId="40" applyFont="1" applyBorder="1" applyAlignment="1">
      <alignment horizontal="center" vertical="center"/>
    </xf>
    <xf numFmtId="192" fontId="1" fillId="0" borderId="17" xfId="64" applyNumberFormat="1" applyFont="1" applyBorder="1" applyAlignment="1">
      <alignment horizontal="center" vertical="center"/>
    </xf>
    <xf numFmtId="192" fontId="1" fillId="0" borderId="2" xfId="64" applyNumberFormat="1" applyFont="1" applyBorder="1" applyAlignment="1">
      <alignment horizontal="center" vertical="center"/>
    </xf>
    <xf numFmtId="192" fontId="1" fillId="0" borderId="18" xfId="64" applyNumberFormat="1" applyFont="1" applyBorder="1" applyAlignment="1">
      <alignment horizontal="center" vertical="center"/>
    </xf>
    <xf numFmtId="0" fontId="1" fillId="0" borderId="17" xfId="40" applyFont="1" applyBorder="1" applyAlignment="1">
      <alignment horizontal="center" vertical="center"/>
    </xf>
    <xf numFmtId="0" fontId="1" fillId="0" borderId="2" xfId="40" applyFont="1" applyBorder="1" applyAlignment="1">
      <alignment horizontal="center" vertical="center"/>
    </xf>
    <xf numFmtId="0" fontId="1" fillId="0" borderId="18" xfId="40" applyFont="1" applyBorder="1" applyAlignment="1">
      <alignment horizontal="center" vertical="center"/>
    </xf>
    <xf numFmtId="192" fontId="2" fillId="0" borderId="2" xfId="64" applyNumberFormat="1" applyFont="1" applyBorder="1" applyAlignment="1">
      <alignment horizontal="left" vertical="center" wrapText="1"/>
    </xf>
    <xf numFmtId="192" fontId="2" fillId="0" borderId="18" xfId="64" applyNumberFormat="1" applyFont="1" applyBorder="1" applyAlignment="1">
      <alignment horizontal="left" vertical="center" wrapText="1"/>
    </xf>
    <xf numFmtId="192" fontId="2" fillId="0" borderId="2" xfId="64" applyNumberFormat="1" applyFont="1" applyBorder="1" applyAlignment="1">
      <alignment vertical="center" wrapText="1"/>
    </xf>
    <xf numFmtId="192" fontId="2" fillId="0" borderId="18" xfId="64" applyNumberFormat="1" applyFont="1" applyBorder="1" applyAlignment="1">
      <alignment vertical="center" wrapText="1"/>
    </xf>
    <xf numFmtId="192" fontId="2" fillId="2" borderId="2" xfId="64" applyNumberFormat="1" applyFont="1" applyFill="1" applyBorder="1" applyAlignment="1">
      <alignment horizontal="left" vertical="center" wrapText="1"/>
    </xf>
    <xf numFmtId="192" fontId="2" fillId="2" borderId="18" xfId="64" applyNumberFormat="1" applyFont="1" applyFill="1" applyBorder="1" applyAlignment="1">
      <alignment horizontal="left" vertical="center" wrapText="1"/>
    </xf>
    <xf numFmtId="192" fontId="2" fillId="0" borderId="2" xfId="50" applyNumberFormat="1" applyFont="1" applyBorder="1" applyAlignment="1">
      <alignment horizontal="left" vertical="center" wrapText="1"/>
    </xf>
    <xf numFmtId="192" fontId="2" fillId="0" borderId="18" xfId="50" applyNumberFormat="1" applyFont="1" applyBorder="1" applyAlignment="1">
      <alignment horizontal="left" vertical="center" wrapText="1"/>
    </xf>
    <xf numFmtId="0" fontId="2" fillId="0" borderId="0" xfId="40" applyFont="1" applyAlignment="1">
      <alignment horizontal="center" vertical="center"/>
    </xf>
    <xf numFmtId="0" fontId="1" fillId="0" borderId="5" xfId="40" applyFont="1" applyBorder="1" applyAlignment="1">
      <alignment horizontal="center" vertical="center"/>
    </xf>
    <xf numFmtId="0" fontId="1" fillId="0" borderId="6" xfId="40" applyFont="1" applyBorder="1" applyAlignment="1">
      <alignment horizontal="center" vertical="center"/>
    </xf>
    <xf numFmtId="0" fontId="1" fillId="0" borderId="11" xfId="40" applyFont="1" applyBorder="1" applyAlignment="1">
      <alignment horizontal="center" vertical="center"/>
    </xf>
    <xf numFmtId="0" fontId="1" fillId="0" borderId="12" xfId="40" applyFont="1" applyBorder="1" applyAlignment="1">
      <alignment horizontal="center" vertical="center"/>
    </xf>
    <xf numFmtId="43" fontId="1" fillId="0" borderId="6" xfId="1" applyFont="1" applyBorder="1" applyAlignment="1">
      <alignment horizontal="center" vertical="center"/>
    </xf>
    <xf numFmtId="43" fontId="1" fillId="0" borderId="12" xfId="1" applyFont="1" applyBorder="1" applyAlignment="1">
      <alignment horizontal="center" vertical="center"/>
    </xf>
    <xf numFmtId="0" fontId="1" fillId="6" borderId="17" xfId="40" applyFont="1" applyFill="1" applyBorder="1" applyAlignment="1">
      <alignment horizontal="center" vertical="center"/>
    </xf>
    <xf numFmtId="0" fontId="1" fillId="6" borderId="2" xfId="40" applyFont="1" applyFill="1" applyBorder="1" applyAlignment="1">
      <alignment horizontal="center" vertical="center"/>
    </xf>
    <xf numFmtId="0" fontId="1" fillId="6" borderId="18" xfId="40" applyFont="1" applyFill="1" applyBorder="1" applyAlignment="1">
      <alignment horizontal="center" vertical="center"/>
    </xf>
    <xf numFmtId="0" fontId="2" fillId="0" borderId="2" xfId="40" applyFont="1" applyBorder="1" applyAlignment="1">
      <alignment horizontal="left" vertical="center" wrapText="1"/>
    </xf>
    <xf numFmtId="0" fontId="2" fillId="0" borderId="18" xfId="40" applyFont="1" applyBorder="1" applyAlignment="1">
      <alignment horizontal="left" vertical="center" wrapText="1"/>
    </xf>
    <xf numFmtId="0" fontId="2" fillId="2" borderId="17" xfId="40" applyFont="1" applyFill="1" applyBorder="1" applyAlignment="1">
      <alignment horizontal="left" vertical="center" wrapText="1"/>
    </xf>
    <xf numFmtId="0" fontId="2" fillId="2" borderId="2" xfId="40" applyFont="1" applyFill="1" applyBorder="1" applyAlignment="1">
      <alignment horizontal="left" vertical="center" wrapText="1"/>
    </xf>
    <xf numFmtId="0" fontId="2" fillId="2" borderId="18" xfId="40" applyFont="1" applyFill="1" applyBorder="1" applyAlignment="1">
      <alignment horizontal="left" vertical="center" wrapText="1"/>
    </xf>
    <xf numFmtId="0" fontId="2" fillId="0" borderId="2" xfId="40" applyFont="1" applyBorder="1" applyAlignment="1">
      <alignment horizontal="left" vertical="center"/>
    </xf>
    <xf numFmtId="0" fontId="2" fillId="0" borderId="18" xfId="40" applyFont="1" applyBorder="1" applyAlignment="1">
      <alignment horizontal="left" vertical="center"/>
    </xf>
    <xf numFmtId="191" fontId="2" fillId="0" borderId="17" xfId="67" applyNumberFormat="1" applyFont="1" applyBorder="1" applyAlignment="1">
      <alignment horizontal="left" vertical="center" wrapText="1"/>
    </xf>
    <xf numFmtId="191" fontId="2" fillId="0" borderId="2" xfId="67" applyNumberFormat="1" applyFont="1" applyBorder="1" applyAlignment="1">
      <alignment horizontal="left" vertical="center" wrapText="1"/>
    </xf>
    <xf numFmtId="191" fontId="2" fillId="0" borderId="18" xfId="67" applyNumberFormat="1" applyFont="1" applyBorder="1" applyAlignment="1">
      <alignment horizontal="left" vertical="center" wrapText="1"/>
    </xf>
    <xf numFmtId="192" fontId="2" fillId="0" borderId="17" xfId="64" applyNumberFormat="1" applyFont="1" applyBorder="1" applyAlignment="1">
      <alignment horizontal="left" vertical="center" wrapText="1"/>
    </xf>
    <xf numFmtId="0" fontId="1" fillId="6" borderId="20" xfId="40" applyFont="1" applyFill="1" applyBorder="1" applyAlignment="1">
      <alignment horizontal="center" vertical="center"/>
    </xf>
    <xf numFmtId="0" fontId="1" fillId="6" borderId="21" xfId="40" applyFont="1" applyFill="1" applyBorder="1" applyAlignment="1">
      <alignment horizontal="center" vertical="center"/>
    </xf>
    <xf numFmtId="0" fontId="1" fillId="6" borderId="22" xfId="40" applyFont="1" applyFill="1" applyBorder="1" applyAlignment="1">
      <alignment horizontal="center" vertical="center"/>
    </xf>
    <xf numFmtId="0" fontId="2" fillId="0" borderId="17" xfId="40" applyFont="1" applyBorder="1" applyAlignment="1">
      <alignment horizontal="left" vertical="center" wrapText="1"/>
    </xf>
    <xf numFmtId="192" fontId="2" fillId="0" borderId="2" xfId="64" applyNumberFormat="1" applyFont="1" applyBorder="1" applyAlignment="1">
      <alignment horizontal="left" vertical="center"/>
    </xf>
    <xf numFmtId="192" fontId="2" fillId="0" borderId="18" xfId="64" applyNumberFormat="1" applyFont="1" applyBorder="1" applyAlignment="1">
      <alignment horizontal="left" vertical="center"/>
    </xf>
    <xf numFmtId="0" fontId="2" fillId="0" borderId="2" xfId="40" applyFont="1" applyBorder="1" applyAlignment="1">
      <alignment horizontal="center" vertical="center" wrapText="1"/>
    </xf>
    <xf numFmtId="0" fontId="2" fillId="0" borderId="18" xfId="40" applyFont="1" applyBorder="1" applyAlignment="1">
      <alignment horizontal="center" vertical="center" wrapText="1"/>
    </xf>
    <xf numFmtId="0" fontId="2" fillId="0" borderId="17" xfId="40" applyFont="1" applyBorder="1" applyAlignment="1">
      <alignment horizontal="center" vertical="center"/>
    </xf>
    <xf numFmtId="0" fontId="2" fillId="0" borderId="2" xfId="40" applyFont="1" applyBorder="1" applyAlignment="1">
      <alignment horizontal="center" vertical="center"/>
    </xf>
    <xf numFmtId="0" fontId="2" fillId="0" borderId="18" xfId="40" applyFont="1" applyBorder="1" applyAlignment="1">
      <alignment horizontal="center" vertical="center"/>
    </xf>
    <xf numFmtId="0" fontId="8" fillId="0" borderId="1" xfId="43" applyFont="1" applyBorder="1" applyAlignment="1">
      <alignment vertical="center"/>
    </xf>
    <xf numFmtId="43" fontId="7" fillId="0" borderId="1" xfId="1" applyFont="1" applyFill="1" applyBorder="1" applyAlignment="1">
      <alignment horizontal="left" vertical="center"/>
    </xf>
    <xf numFmtId="0" fontId="8" fillId="0" borderId="2" xfId="43" applyFont="1" applyBorder="1" applyAlignment="1">
      <alignment vertical="center"/>
    </xf>
    <xf numFmtId="43" fontId="9" fillId="0" borderId="7" xfId="1" applyFont="1" applyFill="1" applyBorder="1" applyAlignment="1">
      <alignment horizontal="center" vertical="center"/>
    </xf>
    <xf numFmtId="43" fontId="8" fillId="0" borderId="8" xfId="1" applyFont="1" applyFill="1" applyBorder="1" applyAlignment="1">
      <alignment horizontal="center" vertical="center"/>
    </xf>
    <xf numFmtId="43" fontId="8" fillId="0" borderId="24" xfId="1" applyFont="1" applyFill="1" applyBorder="1" applyAlignment="1">
      <alignment horizontal="center" vertical="center"/>
    </xf>
    <xf numFmtId="0" fontId="8" fillId="0" borderId="3" xfId="40" applyFont="1" applyBorder="1" applyAlignment="1">
      <alignment horizontal="center" vertical="center"/>
    </xf>
    <xf numFmtId="0" fontId="8" fillId="0" borderId="9" xfId="40" applyFont="1" applyBorder="1" applyAlignment="1">
      <alignment horizontal="center" vertical="center"/>
    </xf>
    <xf numFmtId="43" fontId="8" fillId="0" borderId="3" xfId="1" applyFont="1" applyFill="1" applyBorder="1" applyAlignment="1">
      <alignment horizontal="center" vertical="center"/>
    </xf>
    <xf numFmtId="43" fontId="8" fillId="0" borderId="9" xfId="1" applyFont="1" applyFill="1" applyBorder="1" applyAlignment="1">
      <alignment horizontal="center" vertical="center"/>
    </xf>
    <xf numFmtId="43" fontId="8" fillId="0" borderId="3" xfId="40" applyNumberFormat="1" applyFont="1" applyBorder="1" applyAlignment="1">
      <alignment horizontal="center" vertical="center"/>
    </xf>
    <xf numFmtId="43" fontId="8" fillId="0" borderId="9" xfId="40" applyNumberFormat="1" applyFont="1" applyBorder="1" applyAlignment="1">
      <alignment horizontal="center" vertical="center"/>
    </xf>
    <xf numFmtId="0" fontId="8" fillId="0" borderId="4" xfId="40" applyFont="1" applyBorder="1" applyAlignment="1">
      <alignment horizontal="center" vertical="center"/>
    </xf>
    <xf numFmtId="0" fontId="8" fillId="0" borderId="5" xfId="40" applyFont="1" applyBorder="1" applyAlignment="1">
      <alignment horizontal="center" vertical="center"/>
    </xf>
    <xf numFmtId="0" fontId="8" fillId="0" borderId="6" xfId="40" applyFont="1" applyBorder="1" applyAlignment="1">
      <alignment horizontal="center" vertical="center"/>
    </xf>
    <xf numFmtId="0" fontId="8" fillId="0" borderId="10" xfId="40" applyFont="1" applyBorder="1" applyAlignment="1">
      <alignment horizontal="center" vertical="center"/>
    </xf>
    <xf numFmtId="0" fontId="8" fillId="0" borderId="11" xfId="40" applyFont="1" applyBorder="1" applyAlignment="1">
      <alignment horizontal="center" vertical="center"/>
    </xf>
    <xf numFmtId="0" fontId="8" fillId="0" borderId="12" xfId="40" applyFont="1" applyBorder="1" applyAlignment="1">
      <alignment horizontal="center" vertical="center"/>
    </xf>
    <xf numFmtId="195" fontId="8" fillId="5" borderId="17" xfId="12" applyNumberFormat="1" applyFont="1" applyFill="1" applyBorder="1" applyAlignment="1" applyProtection="1">
      <alignment horizontal="center" vertical="center"/>
    </xf>
    <xf numFmtId="195" fontId="8" fillId="5" borderId="2" xfId="12" applyNumberFormat="1" applyFont="1" applyFill="1" applyBorder="1" applyAlignment="1" applyProtection="1">
      <alignment horizontal="center" vertical="center"/>
    </xf>
    <xf numFmtId="195" fontId="8" fillId="5" borderId="18" xfId="12" applyNumberFormat="1" applyFont="1" applyFill="1" applyBorder="1" applyAlignment="1" applyProtection="1">
      <alignment horizontal="center" vertical="center"/>
    </xf>
    <xf numFmtId="195" fontId="8" fillId="0" borderId="17" xfId="12" applyNumberFormat="1" applyFont="1" applyFill="1" applyBorder="1" applyAlignment="1" applyProtection="1">
      <alignment horizontal="center" vertical="center"/>
    </xf>
    <xf numFmtId="195" fontId="8" fillId="0" borderId="2" xfId="12" applyNumberFormat="1" applyFont="1" applyFill="1" applyBorder="1" applyAlignment="1" applyProtection="1">
      <alignment horizontal="center" vertical="center"/>
    </xf>
    <xf numFmtId="195" fontId="8" fillId="0" borderId="18" xfId="12" applyNumberFormat="1" applyFont="1" applyFill="1" applyBorder="1" applyAlignment="1" applyProtection="1">
      <alignment horizontal="center" vertical="center"/>
    </xf>
    <xf numFmtId="192" fontId="8" fillId="0" borderId="17" xfId="40" applyNumberFormat="1" applyFont="1" applyBorder="1" applyAlignment="1">
      <alignment horizontal="center" vertical="center"/>
    </xf>
    <xf numFmtId="192" fontId="8" fillId="0" borderId="2" xfId="40" applyNumberFormat="1" applyFont="1" applyBorder="1" applyAlignment="1">
      <alignment horizontal="center" vertical="center"/>
    </xf>
    <xf numFmtId="192" fontId="8" fillId="0" borderId="18" xfId="40" applyNumberFormat="1" applyFont="1" applyBorder="1" applyAlignment="1">
      <alignment horizontal="center" vertical="center"/>
    </xf>
    <xf numFmtId="43" fontId="1" fillId="0" borderId="7" xfId="1" applyFont="1" applyFill="1" applyBorder="1" applyAlignment="1">
      <alignment horizontal="center" vertical="center"/>
    </xf>
    <xf numFmtId="43" fontId="1" fillId="0" borderId="8" xfId="1" applyFont="1" applyFill="1" applyBorder="1" applyAlignment="1">
      <alignment horizontal="center" vertical="center"/>
    </xf>
    <xf numFmtId="43" fontId="1" fillId="0" borderId="24" xfId="1" applyFont="1" applyFill="1" applyBorder="1" applyAlignment="1">
      <alignment horizontal="center" vertical="center"/>
    </xf>
    <xf numFmtId="0" fontId="2" fillId="0" borderId="17" xfId="40" applyFont="1" applyBorder="1" applyAlignment="1">
      <alignment horizontal="left" vertical="center"/>
    </xf>
    <xf numFmtId="194" fontId="2" fillId="0" borderId="2" xfId="40" applyNumberFormat="1" applyFont="1" applyBorder="1" applyAlignment="1">
      <alignment horizontal="left" vertical="center" wrapText="1"/>
    </xf>
    <xf numFmtId="194" fontId="2" fillId="0" borderId="18" xfId="40" applyNumberFormat="1" applyFont="1" applyBorder="1" applyAlignment="1">
      <alignment horizontal="left" vertical="center" wrapText="1"/>
    </xf>
    <xf numFmtId="192" fontId="2" fillId="0" borderId="2" xfId="40" applyNumberFormat="1" applyFont="1" applyBorder="1" applyAlignment="1">
      <alignment horizontal="left" vertical="center" wrapText="1"/>
    </xf>
    <xf numFmtId="192" fontId="2" fillId="0" borderId="18" xfId="40" applyNumberFormat="1" applyFont="1" applyBorder="1" applyAlignment="1">
      <alignment horizontal="left" vertical="center" wrapText="1"/>
    </xf>
    <xf numFmtId="194" fontId="2" fillId="0" borderId="17" xfId="29" applyNumberFormat="1" applyFont="1" applyBorder="1" applyAlignment="1">
      <alignment horizontal="left" vertical="center"/>
    </xf>
    <xf numFmtId="194" fontId="2" fillId="0" borderId="2" xfId="29" applyNumberFormat="1" applyFont="1" applyBorder="1" applyAlignment="1">
      <alignment horizontal="left" vertical="center"/>
    </xf>
    <xf numFmtId="194" fontId="2" fillId="0" borderId="18" xfId="29" applyNumberFormat="1" applyFont="1" applyBorder="1" applyAlignment="1">
      <alignment horizontal="left" vertical="center"/>
    </xf>
    <xf numFmtId="43" fontId="1" fillId="0" borderId="6" xfId="1" applyFont="1" applyFill="1" applyBorder="1" applyAlignment="1">
      <alignment horizontal="center" vertical="center"/>
    </xf>
    <xf numFmtId="43" fontId="1" fillId="0" borderId="12" xfId="1" applyFont="1" applyFill="1" applyBorder="1" applyAlignment="1">
      <alignment horizontal="center" vertical="center"/>
    </xf>
    <xf numFmtId="43" fontId="1" fillId="0" borderId="3" xfId="1" applyFont="1" applyFill="1" applyBorder="1" applyAlignment="1">
      <alignment horizontal="center" vertical="center"/>
    </xf>
    <xf numFmtId="43" fontId="1" fillId="0" borderId="9" xfId="1" applyFont="1" applyFill="1" applyBorder="1" applyAlignment="1">
      <alignment horizontal="center" vertical="center"/>
    </xf>
    <xf numFmtId="0" fontId="1" fillId="0" borderId="20" xfId="40" applyFont="1" applyBorder="1" applyAlignment="1">
      <alignment horizontal="center" vertical="center"/>
    </xf>
    <xf numFmtId="0" fontId="1" fillId="0" borderId="21" xfId="40" applyFont="1" applyBorder="1" applyAlignment="1">
      <alignment horizontal="center" vertical="center"/>
    </xf>
    <xf numFmtId="0" fontId="1" fillId="0" borderId="22" xfId="40" applyFont="1" applyBorder="1" applyAlignment="1">
      <alignment horizontal="center" vertical="center"/>
    </xf>
    <xf numFmtId="0" fontId="2" fillId="0" borderId="29" xfId="40" applyFont="1" applyBorder="1" applyAlignment="1">
      <alignment horizontal="center" vertical="center"/>
    </xf>
    <xf numFmtId="192" fontId="1" fillId="0" borderId="17" xfId="40" applyNumberFormat="1" applyFont="1" applyBorder="1" applyAlignment="1">
      <alignment horizontal="center" vertical="center"/>
    </xf>
    <xf numFmtId="192" fontId="1" fillId="0" borderId="2" xfId="40" applyNumberFormat="1" applyFont="1" applyBorder="1" applyAlignment="1">
      <alignment horizontal="center" vertical="center"/>
    </xf>
    <xf numFmtId="192" fontId="1" fillId="0" borderId="18" xfId="40" applyNumberFormat="1" applyFont="1" applyBorder="1" applyAlignment="1">
      <alignment horizontal="center" vertical="center"/>
    </xf>
    <xf numFmtId="0" fontId="1" fillId="0" borderId="1" xfId="40" applyFont="1" applyBorder="1" applyAlignment="1">
      <alignment horizontal="left" vertical="center" shrinkToFit="1"/>
    </xf>
    <xf numFmtId="43" fontId="2" fillId="0" borderId="1" xfId="1" applyFont="1" applyBorder="1" applyAlignment="1">
      <alignment horizontal="left" vertical="center" shrinkToFit="1"/>
    </xf>
    <xf numFmtId="43" fontId="1" fillId="0" borderId="29" xfId="1" applyFont="1" applyBorder="1" applyAlignment="1">
      <alignment horizontal="center" vertical="center"/>
    </xf>
    <xf numFmtId="43" fontId="2" fillId="0" borderId="16" xfId="1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43" fontId="1" fillId="0" borderId="29" xfId="1" applyFont="1" applyFill="1" applyBorder="1" applyAlignment="1">
      <alignment horizontal="center" vertical="center" wrapText="1"/>
    </xf>
    <xf numFmtId="43" fontId="1" fillId="0" borderId="7" xfId="1" applyFont="1" applyFill="1" applyBorder="1" applyAlignment="1">
      <alignment horizontal="center" vertical="center" wrapText="1"/>
    </xf>
    <xf numFmtId="43" fontId="1" fillId="0" borderId="24" xfId="1" applyFont="1" applyFill="1" applyBorder="1" applyAlignment="1">
      <alignment horizontal="center" vertical="center" wrapText="1"/>
    </xf>
    <xf numFmtId="0" fontId="1" fillId="0" borderId="29" xfId="0" applyFont="1" applyBorder="1" applyAlignment="1" applyProtection="1">
      <alignment horizontal="center" vertical="center" wrapText="1"/>
      <protection locked="0"/>
    </xf>
    <xf numFmtId="193" fontId="1" fillId="0" borderId="29" xfId="1" applyNumberFormat="1" applyFont="1" applyFill="1" applyBorder="1" applyAlignment="1">
      <alignment horizontal="center" vertical="center" wrapText="1"/>
    </xf>
    <xf numFmtId="197" fontId="1" fillId="0" borderId="29" xfId="0" applyNumberFormat="1" applyFont="1" applyBorder="1" applyAlignment="1">
      <alignment horizontal="center" vertical="center" wrapText="1"/>
    </xf>
    <xf numFmtId="197" fontId="1" fillId="0" borderId="29" xfId="0" applyNumberFormat="1" applyFont="1" applyBorder="1" applyAlignment="1">
      <alignment horizontal="center" vertical="center"/>
    </xf>
    <xf numFmtId="193" fontId="1" fillId="0" borderId="3" xfId="1" applyNumberFormat="1" applyFont="1" applyFill="1" applyBorder="1" applyAlignment="1">
      <alignment horizontal="center" vertical="center" wrapText="1"/>
    </xf>
    <xf numFmtId="193" fontId="1" fillId="0" borderId="9" xfId="1" applyNumberFormat="1" applyFont="1" applyFill="1" applyBorder="1" applyAlignment="1">
      <alignment horizontal="center" vertical="center" wrapText="1"/>
    </xf>
    <xf numFmtId="43" fontId="1" fillId="0" borderId="3" xfId="1" applyFont="1" applyFill="1" applyBorder="1" applyAlignment="1">
      <alignment horizontal="center" vertical="center" wrapText="1"/>
    </xf>
    <xf numFmtId="43" fontId="1" fillId="0" borderId="9" xfId="1" applyFont="1" applyFill="1" applyBorder="1" applyAlignment="1">
      <alignment horizontal="center" vertical="center" wrapText="1"/>
    </xf>
    <xf numFmtId="192" fontId="1" fillId="0" borderId="20" xfId="64" applyNumberFormat="1" applyFont="1" applyBorder="1" applyAlignment="1">
      <alignment horizontal="center" vertical="center"/>
    </xf>
    <xf numFmtId="192" fontId="1" fillId="0" borderId="21" xfId="64" applyNumberFormat="1" applyFont="1" applyBorder="1" applyAlignment="1">
      <alignment horizontal="center" vertical="center"/>
    </xf>
    <xf numFmtId="192" fontId="1" fillId="0" borderId="22" xfId="64" applyNumberFormat="1" applyFont="1" applyBorder="1" applyAlignment="1">
      <alignment horizontal="center" vertical="center"/>
    </xf>
    <xf numFmtId="193" fontId="5" fillId="0" borderId="3" xfId="40" applyNumberFormat="1" applyFont="1" applyBorder="1" applyAlignment="1">
      <alignment horizontal="center" vertical="center"/>
    </xf>
    <xf numFmtId="193" fontId="5" fillId="0" borderId="9" xfId="40" applyNumberFormat="1" applyFont="1" applyBorder="1" applyAlignment="1">
      <alignment horizontal="center" vertical="center"/>
    </xf>
    <xf numFmtId="43" fontId="5" fillId="0" borderId="0" xfId="1" applyFont="1" applyAlignment="1">
      <alignment horizontal="center" vertical="center"/>
    </xf>
    <xf numFmtId="1" fontId="1" fillId="0" borderId="3" xfId="40" applyNumberFormat="1" applyFont="1" applyBorder="1" applyAlignment="1">
      <alignment horizontal="center" vertical="center"/>
    </xf>
    <xf numFmtId="1" fontId="1" fillId="0" borderId="9" xfId="40" applyNumberFormat="1" applyFont="1" applyBorder="1" applyAlignment="1">
      <alignment horizontal="center" vertical="center"/>
    </xf>
    <xf numFmtId="1" fontId="1" fillId="0" borderId="17" xfId="40" applyNumberFormat="1" applyFont="1" applyBorder="1" applyAlignment="1">
      <alignment horizontal="center" vertical="center"/>
    </xf>
    <xf numFmtId="1" fontId="1" fillId="0" borderId="2" xfId="40" applyNumberFormat="1" applyFont="1" applyBorder="1" applyAlignment="1">
      <alignment horizontal="center" vertical="center"/>
    </xf>
    <xf numFmtId="1" fontId="1" fillId="0" borderId="18" xfId="40" applyNumberFormat="1" applyFont="1" applyBorder="1" applyAlignment="1">
      <alignment horizontal="center" vertical="center"/>
    </xf>
    <xf numFmtId="43" fontId="1" fillId="0" borderId="1" xfId="1" applyFont="1" applyFill="1" applyBorder="1" applyAlignment="1">
      <alignment horizontal="left" vertical="center"/>
    </xf>
    <xf numFmtId="43" fontId="1" fillId="0" borderId="29" xfId="1" applyFont="1" applyFill="1" applyBorder="1" applyAlignment="1">
      <alignment horizontal="center" vertical="center"/>
    </xf>
    <xf numFmtId="192" fontId="2" fillId="0" borderId="17" xfId="64" applyNumberFormat="1" applyFont="1" applyBorder="1" applyAlignment="1">
      <alignment horizontal="center" vertical="center"/>
    </xf>
    <xf numFmtId="192" fontId="2" fillId="0" borderId="2" xfId="64" applyNumberFormat="1" applyFont="1" applyBorder="1" applyAlignment="1">
      <alignment horizontal="center" vertical="center"/>
    </xf>
    <xf numFmtId="192" fontId="2" fillId="0" borderId="18" xfId="64" applyNumberFormat="1" applyFont="1" applyBorder="1" applyAlignment="1">
      <alignment horizontal="center" vertical="center" wrapText="1"/>
    </xf>
    <xf numFmtId="192" fontId="2" fillId="0" borderId="18" xfId="64" applyNumberFormat="1" applyFont="1" applyBorder="1" applyAlignment="1">
      <alignment horizontal="center" vertical="center"/>
    </xf>
    <xf numFmtId="192" fontId="2" fillId="0" borderId="17" xfId="64" applyNumberFormat="1" applyFont="1" applyBorder="1" applyAlignment="1">
      <alignment horizontal="left" vertical="center"/>
    </xf>
    <xf numFmtId="192" fontId="2" fillId="0" borderId="20" xfId="64" applyNumberFormat="1" applyFont="1" applyBorder="1" applyAlignment="1">
      <alignment horizontal="center" vertical="center"/>
    </xf>
    <xf numFmtId="192" fontId="2" fillId="0" borderId="21" xfId="64" applyNumberFormat="1" applyFont="1" applyBorder="1" applyAlignment="1">
      <alignment horizontal="center" vertical="center"/>
    </xf>
    <xf numFmtId="192" fontId="2" fillId="0" borderId="22" xfId="64" applyNumberFormat="1" applyFont="1" applyBorder="1" applyAlignment="1">
      <alignment horizontal="center" vertical="center"/>
    </xf>
    <xf numFmtId="193" fontId="1" fillId="0" borderId="17" xfId="40" applyNumberFormat="1" applyFont="1" applyBorder="1" applyAlignment="1">
      <alignment horizontal="center" vertical="center"/>
    </xf>
    <xf numFmtId="193" fontId="1" fillId="0" borderId="2" xfId="40" applyNumberFormat="1" applyFont="1" applyBorder="1" applyAlignment="1">
      <alignment horizontal="center" vertical="center"/>
    </xf>
    <xf numFmtId="193" fontId="1" fillId="0" borderId="18" xfId="40" applyNumberFormat="1" applyFont="1" applyBorder="1" applyAlignment="1">
      <alignment horizontal="center" vertical="center"/>
    </xf>
    <xf numFmtId="193" fontId="1" fillId="0" borderId="17" xfId="67" applyNumberFormat="1" applyFont="1" applyBorder="1" applyAlignment="1">
      <alignment horizontal="center" vertical="center"/>
    </xf>
    <xf numFmtId="193" fontId="1" fillId="0" borderId="2" xfId="67" applyNumberFormat="1" applyFont="1" applyBorder="1" applyAlignment="1">
      <alignment horizontal="center" vertical="center"/>
    </xf>
    <xf numFmtId="193" fontId="1" fillId="0" borderId="18" xfId="67" applyNumberFormat="1" applyFont="1" applyBorder="1" applyAlignment="1">
      <alignment horizontal="center" vertical="center"/>
    </xf>
    <xf numFmtId="193" fontId="1" fillId="0" borderId="17" xfId="64" applyNumberFormat="1" applyFont="1" applyBorder="1" applyAlignment="1">
      <alignment horizontal="center" vertical="center"/>
    </xf>
    <xf numFmtId="193" fontId="1" fillId="0" borderId="2" xfId="64" applyNumberFormat="1" applyFont="1" applyBorder="1" applyAlignment="1">
      <alignment horizontal="center" vertical="center"/>
    </xf>
    <xf numFmtId="193" fontId="1" fillId="0" borderId="18" xfId="64" applyNumberFormat="1" applyFont="1" applyBorder="1" applyAlignment="1">
      <alignment horizontal="center" vertical="center"/>
    </xf>
    <xf numFmtId="193" fontId="1" fillId="0" borderId="17" xfId="67" applyNumberFormat="1" applyFont="1" applyBorder="1" applyAlignment="1">
      <alignment horizontal="left" vertical="center"/>
    </xf>
    <xf numFmtId="193" fontId="1" fillId="0" borderId="2" xfId="67" applyNumberFormat="1" applyFont="1" applyBorder="1" applyAlignment="1">
      <alignment horizontal="left" vertical="center"/>
    </xf>
    <xf numFmtId="193" fontId="1" fillId="0" borderId="18" xfId="67" applyNumberFormat="1" applyFont="1" applyBorder="1" applyAlignment="1">
      <alignment horizontal="left" vertical="center"/>
    </xf>
    <xf numFmtId="193" fontId="2" fillId="0" borderId="17" xfId="67" applyNumberFormat="1" applyFont="1" applyBorder="1" applyAlignment="1">
      <alignment horizontal="left" vertical="center"/>
    </xf>
    <xf numFmtId="193" fontId="2" fillId="0" borderId="2" xfId="67" applyNumberFormat="1" applyFont="1" applyBorder="1" applyAlignment="1">
      <alignment horizontal="left" vertical="center"/>
    </xf>
    <xf numFmtId="193" fontId="2" fillId="0" borderId="18" xfId="67" applyNumberFormat="1" applyFont="1" applyBorder="1" applyAlignment="1">
      <alignment horizontal="left" vertical="center"/>
    </xf>
    <xf numFmtId="193" fontId="1" fillId="0" borderId="20" xfId="64" applyNumberFormat="1" applyFont="1" applyBorder="1" applyAlignment="1">
      <alignment horizontal="center" vertical="center"/>
    </xf>
    <xf numFmtId="193" fontId="1" fillId="0" borderId="21" xfId="64" applyNumberFormat="1" applyFont="1" applyBorder="1" applyAlignment="1">
      <alignment horizontal="center" vertical="center"/>
    </xf>
    <xf numFmtId="193" fontId="1" fillId="0" borderId="22" xfId="64" applyNumberFormat="1" applyFont="1" applyBorder="1" applyAlignment="1">
      <alignment horizontal="center" vertical="center"/>
    </xf>
    <xf numFmtId="192" fontId="1" fillId="0" borderId="0" xfId="1" applyNumberFormat="1" applyFont="1" applyFill="1" applyBorder="1" applyAlignment="1">
      <alignment horizontal="center" vertical="center"/>
    </xf>
    <xf numFmtId="192" fontId="1" fillId="0" borderId="0" xfId="50" applyNumberFormat="1" applyFont="1" applyAlignment="1">
      <alignment horizontal="center" vertical="center"/>
    </xf>
    <xf numFmtId="192" fontId="1" fillId="0" borderId="0" xfId="40" applyNumberFormat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192" fontId="1" fillId="0" borderId="0" xfId="67" applyNumberFormat="1" applyFont="1" applyAlignment="1">
      <alignment horizontal="center" vertical="center"/>
    </xf>
  </cellXfs>
  <cellStyles count="71">
    <cellStyle name="Comma" xfId="1" builtinId="3"/>
    <cellStyle name="Comma [0] 2" xfId="20" xr:uid="{00000000-0005-0000-0000-000042000000}"/>
    <cellStyle name="Comma 10" xfId="21" xr:uid="{00000000-0005-0000-0000-000043000000}"/>
    <cellStyle name="Comma 2" xfId="19" xr:uid="{00000000-0005-0000-0000-000041000000}"/>
    <cellStyle name="Comma 2 2" xfId="17" xr:uid="{00000000-0005-0000-0000-00003A000000}"/>
    <cellStyle name="Comma 2 3" xfId="18" xr:uid="{00000000-0005-0000-0000-000040000000}"/>
    <cellStyle name="Comma_Take Off Members 002 2" xfId="12" xr:uid="{00000000-0005-0000-0000-00002A000000}"/>
    <cellStyle name="Currency" xfId="2" builtinId="4"/>
    <cellStyle name="Normal" xfId="0" builtinId="0"/>
    <cellStyle name="Normal 10" xfId="22" xr:uid="{00000000-0005-0000-0000-000044000000}"/>
    <cellStyle name="Normal 2" xfId="13" xr:uid="{00000000-0005-0000-0000-00002B000000}"/>
    <cellStyle name="Normal 2 2" xfId="23" xr:uid="{00000000-0005-0000-0000-000045000000}"/>
    <cellStyle name="Normal 2 2 2" xfId="11" xr:uid="{00000000-0005-0000-0000-000024000000}"/>
    <cellStyle name="Normal 2 3" xfId="24" xr:uid="{00000000-0005-0000-0000-000046000000}"/>
    <cellStyle name="Normal 2 4" xfId="9" xr:uid="{00000000-0005-0000-0000-00001F000000}"/>
    <cellStyle name="Normal 2 7" xfId="15" xr:uid="{00000000-0005-0000-0000-000035000000}"/>
    <cellStyle name="Normal 2 7 2" xfId="16" xr:uid="{00000000-0005-0000-0000-000037000000}"/>
    <cellStyle name="Normal 3" xfId="14" xr:uid="{00000000-0005-0000-0000-00002F000000}"/>
    <cellStyle name="Normal 3 2" xfId="25" xr:uid="{00000000-0005-0000-0000-000047000000}"/>
    <cellStyle name="Normal 4" xfId="26" xr:uid="{00000000-0005-0000-0000-000048000000}"/>
    <cellStyle name="Normal 4 2" xfId="27" xr:uid="{00000000-0005-0000-0000-000049000000}"/>
    <cellStyle name="Normal 5" xfId="28" xr:uid="{00000000-0005-0000-0000-00004A000000}"/>
    <cellStyle name="Normal_แบบฟอร์มประมาณราคา" xfId="29" xr:uid="{00000000-0005-0000-0000-00004B000000}"/>
    <cellStyle name="Normal_แบบฟอร์มประมาณราคา_โครงสร้างนิด้า 10-10-51_1" xfId="30" xr:uid="{00000000-0005-0000-0000-00004C000000}"/>
    <cellStyle name="Normal_ประมาณราคาระบบสุขา+ดับเพลิง(ภูเก็ต)" xfId="32" xr:uid="{00000000-0005-0000-0000-00004E000000}"/>
    <cellStyle name="Normal_อาคารทดสอบหม้อแปลง ฝวจ.ที่ทำการเขตสามเสน" xfId="5" xr:uid="{00000000-0005-0000-0000-000010000000}"/>
    <cellStyle name="เครื่องหมายจุลภาค 2" xfId="33" xr:uid="{00000000-0005-0000-0000-00004F000000}"/>
    <cellStyle name="เครื่องหมายจุลภาค 2 2" xfId="34" xr:uid="{00000000-0005-0000-0000-000050000000}"/>
    <cellStyle name="เครื่องหมายจุลภาค 2 3" xfId="35" xr:uid="{00000000-0005-0000-0000-000051000000}"/>
    <cellStyle name="เครื่องหมายจุลภาค 3 2 2" xfId="31" xr:uid="{00000000-0005-0000-0000-00004D000000}"/>
    <cellStyle name="เครื่องหมายจุลภาค 4" xfId="37" xr:uid="{00000000-0005-0000-0000-000053000000}"/>
    <cellStyle name="เครื่องหมายจุลภาค 9 2" xfId="38" xr:uid="{00000000-0005-0000-0000-000054000000}"/>
    <cellStyle name="เครื่องหมายจุลภาค_BOQโครงสร้าง 2" xfId="4" xr:uid="{00000000-0005-0000-0000-00000F000000}"/>
    <cellStyle name="จุลภาค 3" xfId="36" xr:uid="{00000000-0005-0000-0000-000052000000}"/>
    <cellStyle name="ปกติ 2" xfId="39" xr:uid="{00000000-0005-0000-0000-000055000000}"/>
    <cellStyle name="ปกติ 2 2" xfId="40" xr:uid="{00000000-0005-0000-0000-000056000000}"/>
    <cellStyle name="ปกติ 2 2 2" xfId="10" xr:uid="{00000000-0005-0000-0000-000023000000}"/>
    <cellStyle name="ปกติ 2 2_B TR" xfId="41" xr:uid="{00000000-0005-0000-0000-000057000000}"/>
    <cellStyle name="ปกติ 2 2_template" xfId="7" xr:uid="{00000000-0005-0000-0000-00001A000000}"/>
    <cellStyle name="ปกติ 3" xfId="42" xr:uid="{00000000-0005-0000-0000-000058000000}"/>
    <cellStyle name="ปกติ 3 2" xfId="43" xr:uid="{00000000-0005-0000-0000-000059000000}"/>
    <cellStyle name="ปกติ 4" xfId="44" xr:uid="{00000000-0005-0000-0000-00005A000000}"/>
    <cellStyle name="ปกติ 4 2" xfId="45" xr:uid="{00000000-0005-0000-0000-00005B000000}"/>
    <cellStyle name="ปกติ 4 2 2" xfId="46" xr:uid="{00000000-0005-0000-0000-00005C000000}"/>
    <cellStyle name="ปกติ 4 3" xfId="47" xr:uid="{00000000-0005-0000-0000-00005D000000}"/>
    <cellStyle name="ปกติ 4 3 2" xfId="48" xr:uid="{00000000-0005-0000-0000-00005E000000}"/>
    <cellStyle name="ปกติ 4 4" xfId="49" xr:uid="{00000000-0005-0000-0000-00005F000000}"/>
    <cellStyle name="ปกติ 5" xfId="50" xr:uid="{00000000-0005-0000-0000-000060000000}"/>
    <cellStyle name="ปกติ 5 2" xfId="51" xr:uid="{00000000-0005-0000-0000-000061000000}"/>
    <cellStyle name="ปกติ 5 2 2" xfId="52" xr:uid="{00000000-0005-0000-0000-000062000000}"/>
    <cellStyle name="ปกติ 5 2 2 4" xfId="53" xr:uid="{00000000-0005-0000-0000-000063000000}"/>
    <cellStyle name="ปกติ 5 3" xfId="55" xr:uid="{00000000-0005-0000-0000-000065000000}"/>
    <cellStyle name="ปกติ 5 4" xfId="3" xr:uid="{00000000-0005-0000-0000-00000B000000}"/>
    <cellStyle name="ปกติ 5 4 2" xfId="56" xr:uid="{00000000-0005-0000-0000-000066000000}"/>
    <cellStyle name="ปกติ 5 5" xfId="57" xr:uid="{00000000-0005-0000-0000-000067000000}"/>
    <cellStyle name="ปกติ 5 6" xfId="58" xr:uid="{00000000-0005-0000-0000-000068000000}"/>
    <cellStyle name="ปกติ 5 6 2" xfId="54" xr:uid="{00000000-0005-0000-0000-000064000000}"/>
    <cellStyle name="ปกติ 5 9" xfId="59" xr:uid="{00000000-0005-0000-0000-000069000000}"/>
    <cellStyle name="ปกติ 8" xfId="6" xr:uid="{00000000-0005-0000-0000-000016000000}"/>
    <cellStyle name="ปกติ_BOQ_EE" xfId="60" xr:uid="{00000000-0005-0000-0000-00006A000000}"/>
    <cellStyle name="ปกติ_BOQUBOLโครงสร้าง 2" xfId="8" xr:uid="{00000000-0005-0000-0000-00001C000000}"/>
    <cellStyle name="ปกติ_BOQUBOLโครงสร้าง_โครงสร้างนิด้า 10-10-51_1" xfId="61" xr:uid="{00000000-0005-0000-0000-00006B000000}"/>
    <cellStyle name="ปกติ_BOQโครงสร้าง" xfId="62" xr:uid="{00000000-0005-0000-0000-00006C000000}"/>
    <cellStyle name="ปกติ_CA2R4TAV 2" xfId="63" xr:uid="{00000000-0005-0000-0000-00006D000000}"/>
    <cellStyle name="ปกติ_ราคากลาง1" xfId="64" xr:uid="{00000000-0005-0000-0000-00006E000000}"/>
    <cellStyle name="ปกติ_ราคากลาง1 2 2" xfId="65" xr:uid="{00000000-0005-0000-0000-00006F000000}"/>
    <cellStyle name="ปกติ_ราคากลางสถาปัตย์" xfId="66" xr:uid="{00000000-0005-0000-0000-000070000000}"/>
    <cellStyle name="ปกติ_ราคากลางสถาปัตย์ 2" xfId="67" xr:uid="{00000000-0005-0000-0000-000071000000}"/>
    <cellStyle name="ปกติ_ราคากลางสถาปัตย์ 2 2" xfId="68" xr:uid="{00000000-0005-0000-0000-000072000000}"/>
    <cellStyle name="ปกติ_ราคากลางสถาปัตย์ 3" xfId="69" xr:uid="{00000000-0005-0000-0000-000073000000}"/>
    <cellStyle name="ลักษณะ 1 2" xfId="70" xr:uid="{00000000-0005-0000-0000-000074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A0B3-3CB1-47F5-8249-A6D1B3313120}">
  <dimension ref="A1:K1575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8.75"/>
  <cols>
    <col min="1" max="1" width="5.90625" customWidth="1"/>
    <col min="2" max="2" width="10.1796875" customWidth="1"/>
    <col min="4" max="4" width="10.1796875" customWidth="1"/>
    <col min="5" max="5" width="34.453125" customWidth="1"/>
    <col min="6" max="6" width="4.08984375" style="1204" customWidth="1"/>
    <col min="9" max="9" width="10" customWidth="1"/>
    <col min="10" max="10" width="10.81640625" customWidth="1"/>
    <col min="11" max="11" width="12" customWidth="1"/>
  </cols>
  <sheetData>
    <row r="1" spans="1:11" ht="31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E2" t="str" cm="1">
        <f t="array" ref="E2">_xlfn.LET(_xlpm.c,'RC1_Structure_RE'!C31, _xlpm.b, 'RC1_Structure_RE'!B31, IF(_xlpm.c&lt;&gt;"", _xlpm.c, _xlpm.b))</f>
        <v>งานเสาเข็ม Pile wall และระบบค้ำยันใต้ดิน</v>
      </c>
      <c r="F2" s="1205"/>
    </row>
    <row r="3" spans="1:11">
      <c r="A3" t="s">
        <v>10</v>
      </c>
      <c r="B3" t="s">
        <v>11</v>
      </c>
      <c r="C3" t="s">
        <v>12</v>
      </c>
      <c r="D3" t="s">
        <v>12</v>
      </c>
      <c r="E3" t="str" cm="1">
        <f t="array" ref="E3">_xlfn.LET(_xlpm.c,'RC1_Structure_RE'!C32, _xlpm.b, 'RC1_Structure_RE'!B32, IF(_xlpm.c&lt;&gt;"", _xlpm.c, _xlpm.b))</f>
        <v>งานเสาเข็มอาคาร</v>
      </c>
      <c r="F3" s="1205"/>
      <c r="G3" s="1203"/>
      <c r="H3" s="1203"/>
      <c r="I3" s="1203"/>
      <c r="J3" s="1203"/>
      <c r="K3" s="1203"/>
    </row>
    <row r="4" spans="1:11">
      <c r="A4" t="s">
        <v>10</v>
      </c>
      <c r="B4" t="s">
        <v>11</v>
      </c>
      <c r="C4" t="s">
        <v>12</v>
      </c>
      <c r="D4" t="s">
        <v>12</v>
      </c>
      <c r="E4" t="str" cm="1">
        <f t="array" ref="E4">_xlfn.LET(_xlpm.c,'RC1_Structure_RE'!C33, _xlpm.b, 'RC1_Structure_RE'!B33, IF(_xlpm.c&lt;&gt;"", _xlpm.c, _xlpm.b))</f>
        <v>เสาเข็มเจาะชนิดเปียก Type-1 Dia 0.60 Pile Tip -35.00 m.</v>
      </c>
      <c r="F4" s="1205"/>
      <c r="G4" s="1203" t="str">
        <f>'RC1_Structure_RE'!F33</f>
        <v>ต้น</v>
      </c>
      <c r="H4" s="1203">
        <f>'RC1_Structure_RE'!E33</f>
        <v>537</v>
      </c>
      <c r="I4" s="1203">
        <f>'RC1_Structure_RE'!I33</f>
        <v>37149202.114146031</v>
      </c>
      <c r="J4" s="1203">
        <f>'RC1_Structure_RE'!L33</f>
        <v>0</v>
      </c>
      <c r="K4" s="1203">
        <f>'RC1_Structure_RE'!M33</f>
        <v>37149202.114146031</v>
      </c>
    </row>
    <row r="5" spans="1:11">
      <c r="A5" t="s">
        <v>10</v>
      </c>
      <c r="B5" t="s">
        <v>11</v>
      </c>
      <c r="C5" t="s">
        <v>12</v>
      </c>
      <c r="D5" t="s">
        <v>12</v>
      </c>
      <c r="E5" t="str" cm="1">
        <f t="array" ref="E5">_xlfn.LET(_xlpm.c,'RC1_Structure_RE'!C34, _xlpm.b, 'RC1_Structure_RE'!B34, IF(_xlpm.c&lt;&gt;"", _xlpm.c, _xlpm.b))</f>
        <v>เสาเข็มเจาะชนิดเปียก Type-2 Dia 0.60 Pile Tip -35.00 m.</v>
      </c>
      <c r="F5" s="1205"/>
      <c r="G5" s="1203" t="str">
        <f>'RC1_Structure_RE'!F34</f>
        <v>ต้น</v>
      </c>
      <c r="H5" s="1203">
        <f>'RC1_Structure_RE'!E34</f>
        <v>9</v>
      </c>
      <c r="I5" s="1203">
        <f>'RC1_Structure_RE'!I34</f>
        <v>687141.28738118918</v>
      </c>
      <c r="J5" s="1203">
        <f>'RC1_Structure_RE'!L34</f>
        <v>0</v>
      </c>
      <c r="K5" s="1203">
        <f>'RC1_Structure_RE'!M34</f>
        <v>687141.28738118918</v>
      </c>
    </row>
    <row r="6" spans="1:11">
      <c r="A6" t="s">
        <v>10</v>
      </c>
      <c r="B6" t="s">
        <v>11</v>
      </c>
      <c r="C6" t="s">
        <v>12</v>
      </c>
      <c r="D6" t="s">
        <v>12</v>
      </c>
      <c r="E6" t="str" cm="1">
        <f t="array" ref="E6">_xlfn.LET(_xlpm.c,'RC1_Structure_RE'!C35, _xlpm.b, 'RC1_Structure_RE'!B35, IF(_xlpm.c&lt;&gt;"", _xlpm.c, _xlpm.b))</f>
        <v>งานตัดหัวเสาเข็ม</v>
      </c>
      <c r="F6" s="1205"/>
      <c r="G6" s="1203" t="str">
        <f>'RC1_Structure_RE'!F35</f>
        <v>ต้น</v>
      </c>
      <c r="H6" s="1203">
        <f>'RC1_Structure_RE'!E35</f>
        <v>537</v>
      </c>
      <c r="I6" s="1203">
        <f>'RC1_Structure_RE'!I35</f>
        <v>0</v>
      </c>
      <c r="J6" s="1203">
        <f>'RC1_Structure_RE'!L35</f>
        <v>301227.37274339999</v>
      </c>
      <c r="K6" s="1203">
        <f>'RC1_Structure_RE'!M35</f>
        <v>301227.37274339999</v>
      </c>
    </row>
    <row r="7" spans="1:11">
      <c r="A7" t="s">
        <v>10</v>
      </c>
      <c r="B7" t="s">
        <v>11</v>
      </c>
      <c r="C7" t="s">
        <v>12</v>
      </c>
      <c r="D7" t="s">
        <v>12</v>
      </c>
      <c r="E7" t="str" cm="1">
        <f t="array" ref="E7">_xlfn.LET(_xlpm.c,'RC1_Structure_RE'!C36, _xlpm.b, 'RC1_Structure_RE'!B36, IF(_xlpm.c&lt;&gt;"", _xlpm.c, _xlpm.b))</f>
        <v>งานทดสอบเสาเข็ม</v>
      </c>
      <c r="F7" s="1205"/>
      <c r="G7" s="1203">
        <f>'RC1_Structure_RE'!F36</f>
        <v>0</v>
      </c>
      <c r="H7" s="1203">
        <f>'RC1_Structure_RE'!E36</f>
        <v>0</v>
      </c>
      <c r="I7" s="1203">
        <f>'RC1_Structure_RE'!I36</f>
        <v>0</v>
      </c>
      <c r="J7" s="1203">
        <f>'RC1_Structure_RE'!L36</f>
        <v>0</v>
      </c>
      <c r="K7" s="1203">
        <f>'RC1_Structure_RE'!M36</f>
        <v>0</v>
      </c>
    </row>
    <row r="8" spans="1:11">
      <c r="A8" t="s">
        <v>10</v>
      </c>
      <c r="B8" t="s">
        <v>11</v>
      </c>
      <c r="C8" t="s">
        <v>12</v>
      </c>
      <c r="D8" t="s">
        <v>12</v>
      </c>
      <c r="E8" t="str" cm="1">
        <f t="array" ref="E8">_xlfn.LET(_xlpm.c,'RC1_Structure_RE'!C37, _xlpm.b, 'RC1_Structure_RE'!B37, IF(_xlpm.c&lt;&gt;"", _xlpm.c, _xlpm.b))</f>
        <v>DYNAMIC  LOAD TEST</v>
      </c>
      <c r="F8" s="1205"/>
      <c r="G8" s="1203" t="str">
        <f>'RC1_Structure_RE'!F37</f>
        <v>ต้น</v>
      </c>
      <c r="H8" s="1203">
        <f>'RC1_Structure_RE'!E37</f>
        <v>3</v>
      </c>
      <c r="I8" s="1203">
        <f>'RC1_Structure_RE'!I37</f>
        <v>11218.896564000001</v>
      </c>
      <c r="J8" s="1203">
        <f>'RC1_Structure_RE'!L37</f>
        <v>0</v>
      </c>
      <c r="K8" s="1203">
        <f>'RC1_Structure_RE'!M37</f>
        <v>11218.896564000001</v>
      </c>
    </row>
    <row r="9" spans="1:11">
      <c r="A9" t="s">
        <v>10</v>
      </c>
      <c r="B9" t="s">
        <v>11</v>
      </c>
      <c r="C9" t="s">
        <v>12</v>
      </c>
      <c r="D9" t="s">
        <v>12</v>
      </c>
      <c r="E9" t="str" cm="1">
        <f t="array" ref="E9">_xlfn.LET(_xlpm.c,'RC1_Structure_RE'!C38, _xlpm.b, 'RC1_Structure_RE'!B38, IF(_xlpm.c&lt;&gt;"", _xlpm.c, _xlpm.b))</f>
        <v>SEISMIC TEST</v>
      </c>
      <c r="F9" s="1205"/>
      <c r="G9" s="1203" t="str">
        <f>'RC1_Structure_RE'!F38</f>
        <v>ต้น</v>
      </c>
      <c r="H9" s="1203">
        <f>'RC1_Structure_RE'!E38</f>
        <v>546</v>
      </c>
      <c r="I9" s="1203">
        <f>'RC1_Structure_RE'!I38</f>
        <v>0</v>
      </c>
      <c r="J9" s="1203">
        <f>'RC1_Structure_RE'!L38</f>
        <v>61255.175239439995</v>
      </c>
      <c r="K9" s="1203">
        <f>'RC1_Structure_RE'!M38</f>
        <v>61255.175239439995</v>
      </c>
    </row>
    <row r="10" spans="1:11">
      <c r="A10" t="s">
        <v>10</v>
      </c>
      <c r="B10" t="s">
        <v>11</v>
      </c>
      <c r="C10" t="s">
        <v>13</v>
      </c>
      <c r="D10" t="s">
        <v>14</v>
      </c>
      <c r="E10" t="str" cm="1">
        <f t="array" ref="E10">_xlfn.LET(_xlpm.c,'RC1_Structure_RE'!C39, _xlpm.b, 'RC1_Structure_RE'!B39, IF(_xlpm.c&lt;&gt;"", _xlpm.c, _xlpm.b))</f>
        <v>งานเสาเข็ม Pilewall</v>
      </c>
      <c r="F10" s="1205"/>
      <c r="G10" s="1203">
        <f>'RC1_Structure_RE'!F39</f>
        <v>0</v>
      </c>
      <c r="H10" s="1203">
        <f>'RC1_Structure_RE'!E39</f>
        <v>0</v>
      </c>
      <c r="I10" s="1203">
        <f>'RC1_Structure_RE'!I39</f>
        <v>0</v>
      </c>
      <c r="J10" s="1203">
        <f>'RC1_Structure_RE'!L39</f>
        <v>0</v>
      </c>
      <c r="K10" s="1203">
        <f>'RC1_Structure_RE'!M39</f>
        <v>0</v>
      </c>
    </row>
    <row r="11" spans="1:11">
      <c r="A11" t="s">
        <v>10</v>
      </c>
      <c r="B11" t="s">
        <v>11</v>
      </c>
      <c r="C11" t="s">
        <v>13</v>
      </c>
      <c r="D11" t="s">
        <v>14</v>
      </c>
      <c r="E11" t="str" cm="1">
        <f t="array" ref="E11">_xlfn.LET(_xlpm.c,'RC1_Structure_RE'!C40, _xlpm.b, 'RC1_Structure_RE'!B40, IF(_xlpm.c&lt;&gt;"", _xlpm.c, _xlpm.b))</f>
        <v>เสาเข็มเจาะชนิดเปียก Type-1 Dia 0.60 x 18 m.</v>
      </c>
      <c r="F11" s="1205"/>
      <c r="G11" s="1203" t="str">
        <f>'RC1_Structure_RE'!F40</f>
        <v>ต้น</v>
      </c>
      <c r="H11" s="1203">
        <f>'RC1_Structure_RE'!E40</f>
        <v>608</v>
      </c>
      <c r="I11" s="1203">
        <f>'RC1_Structure_RE'!I40</f>
        <v>27376168.303080872</v>
      </c>
      <c r="J11" s="1203">
        <f>'RC1_Structure_RE'!L40</f>
        <v>0</v>
      </c>
      <c r="K11" s="1203">
        <f>'RC1_Structure_RE'!M40</f>
        <v>27376168.303080872</v>
      </c>
    </row>
    <row r="12" spans="1:11">
      <c r="A12" t="s">
        <v>10</v>
      </c>
      <c r="B12" t="s">
        <v>11</v>
      </c>
      <c r="C12" t="s">
        <v>13</v>
      </c>
      <c r="D12" t="s">
        <v>14</v>
      </c>
      <c r="E12" t="str" cm="1">
        <f t="array" ref="E12">_xlfn.LET(_xlpm.c,'RC1_Structure_RE'!C41, _xlpm.b, 'RC1_Structure_RE'!B41, IF(_xlpm.c&lt;&gt;"", _xlpm.c, _xlpm.b))</f>
        <v>เสาเข็มเจาะชนิดเปียก Type-2 Dia 0.60 x 18 m.</v>
      </c>
      <c r="F12" s="1205"/>
      <c r="G12" s="1203" t="str">
        <f>'RC1_Structure_RE'!F41</f>
        <v>ต้น</v>
      </c>
      <c r="H12" s="1203">
        <f>'RC1_Structure_RE'!E41</f>
        <v>67</v>
      </c>
      <c r="I12" s="1203">
        <f>'RC1_Structure_RE'!I41</f>
        <v>3164138.3207725859</v>
      </c>
      <c r="J12" s="1203">
        <f>'RC1_Structure_RE'!L41</f>
        <v>0</v>
      </c>
      <c r="K12" s="1203">
        <f>'RC1_Structure_RE'!M41</f>
        <v>3164138.3207725859</v>
      </c>
    </row>
    <row r="13" spans="1:11">
      <c r="F13" s="1205"/>
      <c r="G13" s="1203"/>
      <c r="H13" s="1203"/>
      <c r="I13" s="1203"/>
      <c r="J13" s="1203"/>
      <c r="K13" s="1203"/>
    </row>
    <row r="14" spans="1:11">
      <c r="F14" s="1205"/>
      <c r="G14" s="1203"/>
      <c r="H14" s="1203"/>
      <c r="I14" s="1203"/>
      <c r="J14" s="1203"/>
      <c r="K14" s="1203"/>
    </row>
    <row r="15" spans="1:11">
      <c r="F15" s="1205"/>
      <c r="G15" s="1203"/>
      <c r="H15" s="1203"/>
      <c r="I15" s="1203"/>
      <c r="J15" s="1203"/>
      <c r="K15" s="1203"/>
    </row>
    <row r="16" spans="1:11">
      <c r="F16" s="1205"/>
      <c r="G16" s="1203"/>
      <c r="H16" s="1203"/>
      <c r="I16" s="1203"/>
      <c r="J16" s="1203"/>
      <c r="K16" s="1203"/>
    </row>
    <row r="17" spans="1:11">
      <c r="F17" s="1205"/>
      <c r="G17" s="1203"/>
      <c r="H17" s="1203"/>
      <c r="I17" s="1203"/>
      <c r="J17" s="1203"/>
      <c r="K17" s="1203"/>
    </row>
    <row r="18" spans="1:11">
      <c r="F18" s="1205"/>
      <c r="G18" s="1203"/>
      <c r="H18" s="1203"/>
      <c r="I18" s="1203"/>
      <c r="J18" s="1203"/>
      <c r="K18" s="1203"/>
    </row>
    <row r="19" spans="1:11">
      <c r="F19" s="1205"/>
      <c r="G19" s="1203"/>
      <c r="H19" s="1203"/>
      <c r="I19" s="1203"/>
      <c r="J19" s="1203"/>
      <c r="K19" s="1203"/>
    </row>
    <row r="20" spans="1:11">
      <c r="F20" s="1205"/>
      <c r="G20" s="1203"/>
      <c r="H20" s="1203"/>
      <c r="I20" s="1203"/>
      <c r="J20" s="1203"/>
      <c r="K20" s="1203"/>
    </row>
    <row r="21" spans="1:11">
      <c r="F21" s="1205"/>
      <c r="G21" s="1203"/>
      <c r="H21" s="1203"/>
      <c r="I21" s="1203"/>
      <c r="J21" s="1203"/>
      <c r="K21" s="1203"/>
    </row>
    <row r="22" spans="1:11">
      <c r="F22" s="1205"/>
      <c r="G22" s="1203"/>
      <c r="H22" s="1203"/>
      <c r="I22" s="1203"/>
      <c r="J22" s="1203"/>
      <c r="K22" s="1203"/>
    </row>
    <row r="23" spans="1:11">
      <c r="F23" s="1205"/>
      <c r="G23" s="1203"/>
      <c r="H23" s="1203"/>
      <c r="I23" s="1203"/>
      <c r="J23" s="1203"/>
      <c r="K23" s="1203"/>
    </row>
    <row r="24" spans="1:11">
      <c r="F24" s="1205"/>
      <c r="G24" s="1203"/>
      <c r="H24" s="1203"/>
      <c r="I24" s="1203"/>
      <c r="J24" s="1203"/>
      <c r="K24" s="1203"/>
    </row>
    <row r="25" spans="1:11">
      <c r="F25" s="1205"/>
      <c r="G25" s="1203"/>
      <c r="H25" s="1203"/>
      <c r="I25" s="1203"/>
      <c r="J25" s="1203"/>
      <c r="K25" s="1203"/>
    </row>
    <row r="26" spans="1:11">
      <c r="F26" s="1205"/>
      <c r="G26" s="1203"/>
      <c r="H26" s="1203"/>
      <c r="I26" s="1203"/>
      <c r="J26" s="1203"/>
      <c r="K26" s="1203"/>
    </row>
    <row r="27" spans="1:11">
      <c r="F27" s="1205"/>
      <c r="G27" s="1203"/>
      <c r="H27" s="1203"/>
      <c r="I27" s="1203"/>
      <c r="J27" s="1203"/>
      <c r="K27" s="1203"/>
    </row>
    <row r="28" spans="1:11">
      <c r="F28" s="1205"/>
      <c r="G28" s="1203"/>
      <c r="H28" s="1203"/>
      <c r="I28" s="1203"/>
      <c r="J28" s="1203"/>
      <c r="K28" s="1203"/>
    </row>
    <row r="29" spans="1:11">
      <c r="F29" s="1205"/>
      <c r="G29" s="1203"/>
      <c r="H29" s="1203"/>
      <c r="I29" s="1203"/>
      <c r="J29" s="1203"/>
      <c r="K29" s="1203"/>
    </row>
    <row r="30" spans="1:11">
      <c r="E30" t="str" cm="1">
        <f t="array" ref="E30">_xlfn.LET(_xlpm.c,'RC1_Structure_RE'!C59, _xlpm.b, 'RC1_Structure_RE'!B59, IF(_xlpm.c&lt;&gt;"", _xlpm.c, _xlpm.b))</f>
        <v>งานโครงสร้างฐานรากและชั้นใต้ดิน</v>
      </c>
      <c r="F30" s="1205"/>
      <c r="G30" s="1203">
        <f>'RC1_Structure_RE'!F59</f>
        <v>0</v>
      </c>
      <c r="H30" s="1203">
        <f>'RC1_Structure_RE'!E59</f>
        <v>0</v>
      </c>
      <c r="I30" s="1203">
        <f>'RC1_Structure_RE'!I59</f>
        <v>0</v>
      </c>
      <c r="J30" s="1203">
        <f>'RC1_Structure_RE'!L59</f>
        <v>0</v>
      </c>
      <c r="K30" s="1203">
        <f>'RC1_Structure_RE'!M59</f>
        <v>0</v>
      </c>
    </row>
    <row r="31" spans="1:11">
      <c r="A31" t="s">
        <v>10</v>
      </c>
      <c r="B31" t="s">
        <v>11</v>
      </c>
      <c r="C31" t="s">
        <v>15</v>
      </c>
      <c r="D31" t="s">
        <v>15</v>
      </c>
      <c r="E31" t="str" cm="1">
        <f t="array" ref="E31">_xlfn.LET(_xlpm.c,'RC1_Structure_RE'!C60, _xlpm.b, 'RC1_Structure_RE'!B60, IF(_xlpm.c&lt;&gt;"", _xlpm.c, _xlpm.b))</f>
        <v>โครงสร้างฐานราก</v>
      </c>
      <c r="F31" s="1205"/>
      <c r="G31" s="1203">
        <f>'RC1_Structure_RE'!F60</f>
        <v>0</v>
      </c>
      <c r="H31" s="1203">
        <f>'RC1_Structure_RE'!E60</f>
        <v>0</v>
      </c>
      <c r="I31" s="1203">
        <f>'RC1_Structure_RE'!I60</f>
        <v>0</v>
      </c>
      <c r="J31" s="1203">
        <f>'RC1_Structure_RE'!L60</f>
        <v>0</v>
      </c>
      <c r="K31" s="1203">
        <f>'RC1_Structure_RE'!M60</f>
        <v>0</v>
      </c>
    </row>
    <row r="32" spans="1:11">
      <c r="A32" t="s">
        <v>10</v>
      </c>
      <c r="B32" t="s">
        <v>11</v>
      </c>
      <c r="C32" t="s">
        <v>15</v>
      </c>
      <c r="D32" t="s">
        <v>15</v>
      </c>
      <c r="E32" t="str" cm="1">
        <f t="array" ref="E32">_xlfn.LET(_xlpm.c,'RC1_Structure_RE'!C61, _xlpm.b, 'RC1_Structure_RE'!B61, IF(_xlpm.c&lt;&gt;"", _xlpm.c, _xlpm.b))</f>
        <v>งานขุดดิน และถมกลับ</v>
      </c>
      <c r="F32" s="1205"/>
      <c r="G32" s="1203" t="str">
        <f>'RC1_Structure_RE'!F61</f>
        <v>ลบ.ม.</v>
      </c>
      <c r="H32" s="1203">
        <f>'RC1_Structure_RE'!E61</f>
        <v>6016</v>
      </c>
      <c r="I32" s="1203">
        <f>'RC1_Structure_RE'!I61</f>
        <v>0</v>
      </c>
      <c r="J32" s="1203">
        <f>'RC1_Structure_RE'!L61</f>
        <v>629933.56280422397</v>
      </c>
      <c r="K32" s="1203">
        <f>'RC1_Structure_RE'!M61</f>
        <v>629933.56280422397</v>
      </c>
    </row>
    <row r="33" spans="1:11">
      <c r="A33" t="s">
        <v>10</v>
      </c>
      <c r="B33" t="s">
        <v>11</v>
      </c>
      <c r="C33" t="s">
        <v>15</v>
      </c>
      <c r="D33" t="s">
        <v>15</v>
      </c>
      <c r="E33" t="str" cm="1">
        <f t="array" ref="E33">_xlfn.LET(_xlpm.c,'RC1_Structure_RE'!C62, _xlpm.b, 'RC1_Structure_RE'!B62, IF(_xlpm.c&lt;&gt;"", _xlpm.c, _xlpm.b))</f>
        <v>งานทรายหยาบบดอัดแน่น</v>
      </c>
      <c r="F33" s="1205"/>
      <c r="G33" s="1203" t="str">
        <f>'RC1_Structure_RE'!F62</f>
        <v>ลบ.ม.</v>
      </c>
      <c r="H33" s="1203">
        <f>'RC1_Structure_RE'!E62</f>
        <v>80</v>
      </c>
      <c r="I33" s="1203">
        <f>'RC1_Structure_RE'!I62</f>
        <v>38019.344602520796</v>
      </c>
      <c r="J33" s="1203">
        <f>'RC1_Structure_RE'!L62</f>
        <v>7778.4349510399998</v>
      </c>
      <c r="K33" s="1203">
        <f>'RC1_Structure_RE'!M62</f>
        <v>45797.779553560795</v>
      </c>
    </row>
    <row r="34" spans="1:11">
      <c r="A34" t="s">
        <v>10</v>
      </c>
      <c r="B34" t="s">
        <v>11</v>
      </c>
      <c r="C34" t="s">
        <v>15</v>
      </c>
      <c r="D34" t="s">
        <v>15</v>
      </c>
      <c r="E34" t="str" cm="1">
        <f t="array" ref="E34">_xlfn.LET(_xlpm.c,'RC1_Structure_RE'!C63, _xlpm.b, 'RC1_Structure_RE'!B63, IF(_xlpm.c&lt;&gt;"", _xlpm.c, _xlpm.b))</f>
        <v>งานคอนกรีตหยาบ</v>
      </c>
      <c r="F34" s="1205"/>
      <c r="G34" s="1203" t="str">
        <f>'RC1_Structure_RE'!F63</f>
        <v>ลบ.ม.</v>
      </c>
      <c r="H34" s="1203">
        <f>'RC1_Structure_RE'!E63</f>
        <v>160</v>
      </c>
      <c r="I34" s="1203">
        <f>'RC1_Structure_RE'!I63</f>
        <v>367979.80729919998</v>
      </c>
      <c r="J34" s="1203">
        <f>'RC1_Structure_RE'!L63</f>
        <v>63723.332483519996</v>
      </c>
      <c r="K34" s="1203">
        <f>'RC1_Structure_RE'!M63</f>
        <v>431703.13978271995</v>
      </c>
    </row>
    <row r="35" spans="1:11">
      <c r="A35" t="s">
        <v>10</v>
      </c>
      <c r="B35" t="s">
        <v>11</v>
      </c>
      <c r="C35" t="s">
        <v>15</v>
      </c>
      <c r="D35" t="s">
        <v>15</v>
      </c>
      <c r="E35" t="str" cm="1">
        <f t="array" ref="E35">_xlfn.LET(_xlpm.c,'RC1_Structure_RE'!C64, _xlpm.b, 'RC1_Structure_RE'!B64, IF(_xlpm.c&lt;&gt;"", _xlpm.c, _xlpm.b))</f>
        <v xml:space="preserve">งานเหล็กเสริม </v>
      </c>
      <c r="F35" s="1205"/>
      <c r="G35" s="1203">
        <f>'RC1_Structure_RE'!F64</f>
        <v>0</v>
      </c>
      <c r="H35" s="1203">
        <f>'RC1_Structure_RE'!E64</f>
        <v>0</v>
      </c>
      <c r="I35" s="1203">
        <f>'RC1_Structure_RE'!I64</f>
        <v>0</v>
      </c>
      <c r="J35" s="1203">
        <f>'RC1_Structure_RE'!L64</f>
        <v>0</v>
      </c>
      <c r="K35" s="1203">
        <f>'RC1_Structure_RE'!M64</f>
        <v>0</v>
      </c>
    </row>
    <row r="36" spans="1:11">
      <c r="A36" t="s">
        <v>10</v>
      </c>
      <c r="B36" t="s">
        <v>11</v>
      </c>
      <c r="C36" t="s">
        <v>15</v>
      </c>
      <c r="D36" t="s">
        <v>15</v>
      </c>
      <c r="E36" t="str" cm="1">
        <f t="array" ref="E36">_xlfn.LET(_xlpm.c,'RC1_Structure_RE'!C65, _xlpm.b, 'RC1_Structure_RE'!B65, IF(_xlpm.c&lt;&gt;"", _xlpm.c, _xlpm.b))</f>
        <v>ขนาดเส้นผ่านศูนย์กลาง 12 ม.ม. SD-50</v>
      </c>
      <c r="F36" s="1205"/>
      <c r="G36" s="1203" t="str">
        <f>'RC1_Structure_RE'!F65</f>
        <v>กก.</v>
      </c>
      <c r="H36" s="1203">
        <f>'RC1_Structure_RE'!E65</f>
        <v>6914</v>
      </c>
      <c r="I36" s="1203">
        <f>'RC1_Structure_RE'!I65</f>
        <v>125723.9099088331</v>
      </c>
      <c r="J36" s="1203">
        <f>'RC1_Structure_RE'!L65</f>
        <v>23270.235253048802</v>
      </c>
      <c r="K36" s="1203">
        <f>'RC1_Structure_RE'!M65</f>
        <v>148994.1451618819</v>
      </c>
    </row>
    <row r="37" spans="1:11">
      <c r="A37" t="s">
        <v>10</v>
      </c>
      <c r="B37" t="s">
        <v>11</v>
      </c>
      <c r="C37" t="s">
        <v>15</v>
      </c>
      <c r="D37" t="s">
        <v>15</v>
      </c>
      <c r="E37" t="str" cm="1">
        <f t="array" ref="E37">_xlfn.LET(_xlpm.c,'RC1_Structure_RE'!C66, _xlpm.b, 'RC1_Structure_RE'!B66, IF(_xlpm.c&lt;&gt;"", _xlpm.c, _xlpm.b))</f>
        <v>ขนาดเส้นผ่านศูนย์กลาง 16 ม.ม. SD-50</v>
      </c>
      <c r="F37" s="1205"/>
      <c r="G37" s="1203" t="str">
        <f>'RC1_Structure_RE'!F66</f>
        <v>กก.</v>
      </c>
      <c r="H37" s="1203">
        <f>'RC1_Structure_RE'!E66</f>
        <v>13573</v>
      </c>
      <c r="I37" s="1203">
        <f>'RC1_Structure_RE'!I66</f>
        <v>244273.00824717173</v>
      </c>
      <c r="J37" s="1203">
        <f>'RC1_Structure_RE'!L66</f>
        <v>45682.224918951601</v>
      </c>
      <c r="K37" s="1203">
        <f>'RC1_Structure_RE'!M66</f>
        <v>289955.23316612333</v>
      </c>
    </row>
    <row r="38" spans="1:11">
      <c r="A38" t="s">
        <v>10</v>
      </c>
      <c r="B38" t="s">
        <v>11</v>
      </c>
      <c r="C38" t="s">
        <v>15</v>
      </c>
      <c r="D38" t="s">
        <v>15</v>
      </c>
      <c r="E38" t="str" cm="1">
        <f t="array" ref="E38">_xlfn.LET(_xlpm.c,'RC1_Structure_RE'!C67, _xlpm.b, 'RC1_Structure_RE'!B67, IF(_xlpm.c&lt;&gt;"", _xlpm.c, _xlpm.b))</f>
        <v>ขนาดเส้นผ่านศูนย์กลาง 20 ม.ม. SD-50</v>
      </c>
      <c r="F38" s="1205"/>
      <c r="G38" s="1203" t="str">
        <f>'RC1_Structure_RE'!F67</f>
        <v>กก.</v>
      </c>
      <c r="H38" s="1203">
        <f>'RC1_Structure_RE'!E67</f>
        <v>13680</v>
      </c>
      <c r="I38" s="1203">
        <f>'RC1_Structure_RE'!I67</f>
        <v>246198.68509697999</v>
      </c>
      <c r="J38" s="1203">
        <f>'RC1_Structure_RE'!L67</f>
        <v>39647.580457176002</v>
      </c>
      <c r="K38" s="1203">
        <f>'RC1_Structure_RE'!M67</f>
        <v>285846.26555415598</v>
      </c>
    </row>
    <row r="39" spans="1:11">
      <c r="A39" t="s">
        <v>10</v>
      </c>
      <c r="B39" t="s">
        <v>11</v>
      </c>
      <c r="C39" t="s">
        <v>15</v>
      </c>
      <c r="D39" t="s">
        <v>15</v>
      </c>
      <c r="E39" t="str" cm="1">
        <f t="array" ref="E39">_xlfn.LET(_xlpm.c,'RC1_Structure_RE'!C68, _xlpm.b, 'RC1_Structure_RE'!B68, IF(_xlpm.c&lt;&gt;"", _xlpm.c, _xlpm.b))</f>
        <v>ขนาดเส้นผ่านศูนย์กลาง 25 ม.ม. SD-50</v>
      </c>
      <c r="F39" s="1205"/>
      <c r="G39" s="1203" t="str">
        <f>'RC1_Structure_RE'!F68</f>
        <v>กก.</v>
      </c>
      <c r="H39" s="1203">
        <f>'RC1_Structure_RE'!E68</f>
        <v>64375</v>
      </c>
      <c r="I39" s="1203">
        <f>'RC1_Structure_RE'!I68</f>
        <v>1158555.5813682813</v>
      </c>
      <c r="J39" s="1203">
        <f>'RC1_Structure_RE'!L68</f>
        <v>186572.58712943751</v>
      </c>
      <c r="K39" s="1203">
        <f>'RC1_Structure_RE'!M68</f>
        <v>1345128.1684977189</v>
      </c>
    </row>
    <row r="40" spans="1:11">
      <c r="A40" t="s">
        <v>10</v>
      </c>
      <c r="B40" t="s">
        <v>11</v>
      </c>
      <c r="C40" t="s">
        <v>15</v>
      </c>
      <c r="D40" t="s">
        <v>15</v>
      </c>
      <c r="E40" t="str" cm="1">
        <f t="array" ref="E40">_xlfn.LET(_xlpm.c,'RC1_Structure_RE'!C69, _xlpm.b, 'RC1_Structure_RE'!B69, IF(_xlpm.c&lt;&gt;"", _xlpm.c, _xlpm.b))</f>
        <v>ขนาดเส้นผ่านศูนย์กลาง 28 ม.ม. SD-50</v>
      </c>
      <c r="F40" s="1205"/>
      <c r="G40" s="1203" t="str">
        <f>'RC1_Structure_RE'!F69</f>
        <v>กก.</v>
      </c>
      <c r="H40" s="1203">
        <f>'RC1_Structure_RE'!E69</f>
        <v>3222</v>
      </c>
      <c r="I40" s="1203">
        <f>'RC1_Structure_RE'!I69</f>
        <v>57986.269253104496</v>
      </c>
      <c r="J40" s="1203">
        <f>'RC1_Structure_RE'!L69</f>
        <v>9338.0485550453996</v>
      </c>
      <c r="K40" s="1203">
        <f>'RC1_Structure_RE'!M69</f>
        <v>67324.317808149892</v>
      </c>
    </row>
    <row r="41" spans="1:11">
      <c r="A41" t="s">
        <v>10</v>
      </c>
      <c r="B41" t="s">
        <v>11</v>
      </c>
      <c r="C41" t="s">
        <v>15</v>
      </c>
      <c r="D41" t="s">
        <v>15</v>
      </c>
      <c r="E41" t="str" cm="1">
        <f t="array" ref="E41">_xlfn.LET(_xlpm.c,'RC1_Structure_RE'!C70, _xlpm.b, 'RC1_Structure_RE'!B70, IF(_xlpm.c&lt;&gt;"", _xlpm.c, _xlpm.b))</f>
        <v>ลวดผูกเหล็ก</v>
      </c>
      <c r="F41" s="1205"/>
      <c r="G41" s="1203" t="str">
        <f>'RC1_Structure_RE'!F70</f>
        <v>กก.</v>
      </c>
      <c r="H41" s="1203">
        <f>'RC1_Structure_RE'!E70</f>
        <v>1832</v>
      </c>
      <c r="I41" s="1203">
        <f>'RC1_Structure_RE'!I70</f>
        <v>46415.566791018398</v>
      </c>
      <c r="J41" s="1203">
        <f>'RC1_Structure_RE'!L70</f>
        <v>0</v>
      </c>
      <c r="K41" s="1203">
        <f>'RC1_Structure_RE'!M70</f>
        <v>46415.566791018398</v>
      </c>
    </row>
    <row r="42" spans="1:11">
      <c r="A42" t="s">
        <v>10</v>
      </c>
      <c r="B42" t="s">
        <v>11</v>
      </c>
      <c r="C42" t="s">
        <v>15</v>
      </c>
      <c r="D42" t="s">
        <v>15</v>
      </c>
      <c r="E42" t="str" cm="1">
        <f t="array" ref="E42">_xlfn.LET(_xlpm.c,'RC1_Structure_RE'!C71, _xlpm.b, 'RC1_Structure_RE'!B71, IF(_xlpm.c&lt;&gt;"", _xlpm.c, _xlpm.b))</f>
        <v>งานไม้แบบ</v>
      </c>
      <c r="F42" s="1205"/>
      <c r="G42" s="1203">
        <f>'RC1_Structure_RE'!F71</f>
        <v>0</v>
      </c>
      <c r="H42" s="1203">
        <f>'RC1_Structure_RE'!E71</f>
        <v>0</v>
      </c>
      <c r="I42" s="1203">
        <f>'RC1_Structure_RE'!I71</f>
        <v>0</v>
      </c>
      <c r="J42" s="1203">
        <f>'RC1_Structure_RE'!L71</f>
        <v>0</v>
      </c>
      <c r="K42" s="1203">
        <f>'RC1_Structure_RE'!M71</f>
        <v>0</v>
      </c>
    </row>
    <row r="43" spans="1:11">
      <c r="A43" t="s">
        <v>10</v>
      </c>
      <c r="B43" t="s">
        <v>11</v>
      </c>
      <c r="C43" t="s">
        <v>15</v>
      </c>
      <c r="D43" t="s">
        <v>15</v>
      </c>
      <c r="E43" t="str" cm="1">
        <f t="array" ref="E43">_xlfn.LET(_xlpm.c,'RC1_Structure_RE'!C72, _xlpm.b, 'RC1_Structure_RE'!B72, IF(_xlpm.c&lt;&gt;"", _xlpm.c, _xlpm.b))</f>
        <v>ไม้แบบ ค้ำยัน นั่งร้าน (อาคาร 4 ชั้นขึ้นไป ใช้ 50%)</v>
      </c>
      <c r="F43" s="1205"/>
      <c r="G43" s="1203" t="str">
        <f>'RC1_Structure_RE'!F72</f>
        <v>ตร.ม.</v>
      </c>
      <c r="H43" s="1203">
        <f>'RC1_Structure_RE'!E72</f>
        <v>423</v>
      </c>
      <c r="I43" s="1203">
        <f>'RC1_Structure_RE'!I72</f>
        <v>96968.288671621194</v>
      </c>
      <c r="J43" s="1203">
        <f>'RC1_Structure_RE'!L72</f>
        <v>0</v>
      </c>
      <c r="K43" s="1203">
        <f>'RC1_Structure_RE'!M72</f>
        <v>96968.288671621194</v>
      </c>
    </row>
    <row r="44" spans="1:11">
      <c r="A44" t="s">
        <v>10</v>
      </c>
      <c r="B44" t="s">
        <v>11</v>
      </c>
      <c r="C44" t="s">
        <v>15</v>
      </c>
      <c r="D44" t="s">
        <v>15</v>
      </c>
      <c r="E44" t="str" cm="1">
        <f t="array" ref="E44">_xlfn.LET(_xlpm.c,'RC1_Structure_RE'!C73, _xlpm.b, 'RC1_Structure_RE'!B73, IF(_xlpm.c&lt;&gt;"", _xlpm.c, _xlpm.b))</f>
        <v>ค่าแรงประกอบและติดตั้งไม้แบบหล่อคอนกรีต (ใช้ 100%)</v>
      </c>
      <c r="F44" s="1205"/>
      <c r="G44" s="1203" t="str">
        <f>'RC1_Structure_RE'!F73</f>
        <v>ตร.ม.</v>
      </c>
      <c r="H44" s="1203">
        <f>'RC1_Structure_RE'!E73</f>
        <v>846</v>
      </c>
      <c r="I44" s="1203">
        <f>'RC1_Structure_RE'!I73</f>
        <v>0</v>
      </c>
      <c r="J44" s="1203">
        <f>'RC1_Structure_RE'!L73</f>
        <v>95702.797139201997</v>
      </c>
      <c r="K44" s="1203">
        <f>'RC1_Structure_RE'!M73</f>
        <v>95702.797139201997</v>
      </c>
    </row>
    <row r="45" spans="1:11">
      <c r="A45" t="s">
        <v>10</v>
      </c>
      <c r="B45" t="s">
        <v>11</v>
      </c>
      <c r="C45" t="s">
        <v>15</v>
      </c>
      <c r="D45" t="s">
        <v>15</v>
      </c>
      <c r="E45" t="str" cm="1">
        <f t="array" ref="E45">_xlfn.LET(_xlpm.c,'RC1_Structure_RE'!C74, _xlpm.b, 'RC1_Structure_RE'!B74, IF(_xlpm.c&lt;&gt;"", _xlpm.c, _xlpm.b))</f>
        <v>ไม้เคร่า (ใช้ 30% ของไม้แบบ 1 ตร.ม.)</v>
      </c>
      <c r="F45" s="1205"/>
      <c r="G45" s="1203" t="str">
        <f>'RC1_Structure_RE'!F74</f>
        <v>ลบ.ฟ.</v>
      </c>
      <c r="H45" s="1203">
        <f>'RC1_Structure_RE'!E74</f>
        <v>127</v>
      </c>
      <c r="I45" s="1203">
        <f>'RC1_Structure_RE'!I74</f>
        <v>36738.464483647978</v>
      </c>
      <c r="J45" s="1203">
        <f>'RC1_Structure_RE'!L74</f>
        <v>0</v>
      </c>
      <c r="K45" s="1203">
        <f>'RC1_Structure_RE'!M74</f>
        <v>36738.464483647978</v>
      </c>
    </row>
    <row r="46" spans="1:11">
      <c r="A46" t="s">
        <v>10</v>
      </c>
      <c r="B46" t="s">
        <v>11</v>
      </c>
      <c r="C46" t="s">
        <v>15</v>
      </c>
      <c r="D46" t="s">
        <v>15</v>
      </c>
      <c r="E46" t="str" cm="1">
        <f t="array" ref="E46">_xlfn.LET(_xlpm.c,'RC1_Structure_RE'!C75, _xlpm.b, 'RC1_Structure_RE'!B75, IF(_xlpm.c&lt;&gt;"", _xlpm.c, _xlpm.b))</f>
        <v>ตะปู (ใช้ 25% ของไม้แบบ 1 ตร.ม.)</v>
      </c>
      <c r="F46" s="1205"/>
      <c r="G46" s="1203" t="str">
        <f>'RC1_Structure_RE'!F75</f>
        <v>กก.</v>
      </c>
      <c r="H46" s="1203">
        <f>'RC1_Structure_RE'!E75</f>
        <v>106</v>
      </c>
      <c r="I46" s="1203">
        <f>'RC1_Structure_RE'!I75</f>
        <v>2314.9819096595202</v>
      </c>
      <c r="J46" s="1203">
        <f>'RC1_Structure_RE'!L75</f>
        <v>0</v>
      </c>
      <c r="K46" s="1203">
        <f>'RC1_Structure_RE'!M75</f>
        <v>2314.9819096595202</v>
      </c>
    </row>
    <row r="47" spans="1:11">
      <c r="A47" t="s">
        <v>10</v>
      </c>
      <c r="B47" t="s">
        <v>11</v>
      </c>
      <c r="C47" t="s">
        <v>15</v>
      </c>
      <c r="D47" t="s">
        <v>15</v>
      </c>
      <c r="E47" t="str" cm="1">
        <f t="array" ref="E47">_xlfn.LET(_xlpm.c,'RC1_Structure_RE'!C76, _xlpm.b, 'RC1_Structure_RE'!B76, IF(_xlpm.c&lt;&gt;"", _xlpm.c, _xlpm.b))</f>
        <v>งานคอนกรีตโครงสร้าง</v>
      </c>
      <c r="F47" s="1205"/>
      <c r="G47" s="1203">
        <f>'RC1_Structure_RE'!F76</f>
        <v>0</v>
      </c>
      <c r="H47" s="1203">
        <f>'RC1_Structure_RE'!E76</f>
        <v>0</v>
      </c>
      <c r="I47" s="1203">
        <f>'RC1_Structure_RE'!I76</f>
        <v>0</v>
      </c>
      <c r="J47" s="1203">
        <f>'RC1_Structure_RE'!L76</f>
        <v>0</v>
      </c>
      <c r="K47" s="1203">
        <f>'RC1_Structure_RE'!M76</f>
        <v>0</v>
      </c>
    </row>
    <row r="48" spans="1:11">
      <c r="A48" t="s">
        <v>10</v>
      </c>
      <c r="B48" t="s">
        <v>11</v>
      </c>
      <c r="C48" t="s">
        <v>15</v>
      </c>
      <c r="D48" t="s">
        <v>15</v>
      </c>
      <c r="E48" t="str" cm="1">
        <f t="array" ref="E48">_xlfn.LET(_xlpm.c,'RC1_Structure_RE'!C77, _xlpm.b, 'RC1_Structure_RE'!B77, IF(_xlpm.c&lt;&gt;"", _xlpm.c, _xlpm.b))</f>
        <v>งานคอนกรีตโครงสร้าง 240 ksc.ผสมน้ำยากันซึม</v>
      </c>
      <c r="F48" s="1205"/>
      <c r="G48" s="1203" t="str">
        <f>'RC1_Structure_RE'!F77</f>
        <v>ลบ.ม.</v>
      </c>
      <c r="H48" s="1203">
        <f>'RC1_Structure_RE'!E77</f>
        <v>732</v>
      </c>
      <c r="I48" s="1203">
        <f>'RC1_Structure_RE'!I77</f>
        <v>1449116.8219304699</v>
      </c>
      <c r="J48" s="1203">
        <f>'RC1_Structure_RE'!L77</f>
        <v>355179.04631967598</v>
      </c>
      <c r="K48" s="1203">
        <f>'RC1_Structure_RE'!M77</f>
        <v>1804295.868250146</v>
      </c>
    </row>
    <row r="49" spans="1:11">
      <c r="A49" t="s">
        <v>10</v>
      </c>
      <c r="B49" t="s">
        <v>11</v>
      </c>
      <c r="C49" t="s">
        <v>16</v>
      </c>
      <c r="D49" t="s">
        <v>17</v>
      </c>
      <c r="E49" t="str" cm="1">
        <f t="array" ref="E49">_xlfn.LET(_xlpm.c,'RC1_Structure_RE'!C78, _xlpm.b, 'RC1_Structure_RE'!B78, IF(_xlpm.c&lt;&gt;"", _xlpm.c, _xlpm.b))</f>
        <v>โครงสร้างคาน ชั้นใต้ดิน</v>
      </c>
      <c r="F49" s="1205"/>
      <c r="G49" s="1203">
        <f>'RC1_Structure_RE'!F78</f>
        <v>0</v>
      </c>
      <c r="H49" s="1203">
        <f>'RC1_Structure_RE'!E78</f>
        <v>0</v>
      </c>
      <c r="I49" s="1203">
        <f>'RC1_Structure_RE'!I78</f>
        <v>0</v>
      </c>
      <c r="J49" s="1203">
        <f>'RC1_Structure_RE'!L78</f>
        <v>0</v>
      </c>
      <c r="K49" s="1203">
        <f>'RC1_Structure_RE'!M78</f>
        <v>0</v>
      </c>
    </row>
    <row r="50" spans="1:11">
      <c r="A50" t="s">
        <v>10</v>
      </c>
      <c r="B50" t="s">
        <v>11</v>
      </c>
      <c r="C50" t="s">
        <v>16</v>
      </c>
      <c r="D50" t="s">
        <v>17</v>
      </c>
      <c r="E50" t="str" cm="1">
        <f t="array" ref="E50">_xlfn.LET(_xlpm.c,'RC1_Structure_RE'!C79, _xlpm.b, 'RC1_Structure_RE'!B79, IF(_xlpm.c&lt;&gt;"", _xlpm.c, _xlpm.b))</f>
        <v>งานขุดดิน และถมกลับ</v>
      </c>
      <c r="F50" s="1205"/>
      <c r="G50" s="1203" t="str">
        <f>'RC1_Structure_RE'!F79</f>
        <v>ลบ.ม.</v>
      </c>
      <c r="H50" s="1203">
        <f>'RC1_Structure_RE'!E79</f>
        <v>63</v>
      </c>
      <c r="I50" s="1203">
        <f>'RC1_Structure_RE'!I79</f>
        <v>0</v>
      </c>
      <c r="J50" s="1203">
        <f>'RC1_Structure_RE'!L79</f>
        <v>6596.7111796319996</v>
      </c>
      <c r="K50" s="1203">
        <f>'RC1_Structure_RE'!M79</f>
        <v>6596.7111796319996</v>
      </c>
    </row>
    <row r="51" spans="1:11">
      <c r="A51" t="s">
        <v>10</v>
      </c>
      <c r="B51" t="s">
        <v>11</v>
      </c>
      <c r="C51" t="s">
        <v>16</v>
      </c>
      <c r="D51" t="s">
        <v>17</v>
      </c>
      <c r="E51" t="str" cm="1">
        <f t="array" ref="E51">_xlfn.LET(_xlpm.c,'RC1_Structure_RE'!C80, _xlpm.b, 'RC1_Structure_RE'!B80, IF(_xlpm.c&lt;&gt;"", _xlpm.c, _xlpm.b))</f>
        <v>งานทรายหยาบบดอัดแน่น</v>
      </c>
      <c r="F51" s="1205"/>
      <c r="G51" s="1203" t="str">
        <f>'RC1_Structure_RE'!F80</f>
        <v>ลบ.ม.</v>
      </c>
      <c r="H51" s="1203">
        <f>'RC1_Structure_RE'!E80</f>
        <v>2</v>
      </c>
      <c r="I51" s="1203">
        <f>'RC1_Structure_RE'!I80</f>
        <v>950.4836150630199</v>
      </c>
      <c r="J51" s="1203">
        <f>'RC1_Structure_RE'!L80</f>
        <v>194.460873776</v>
      </c>
      <c r="K51" s="1203">
        <f>'RC1_Structure_RE'!M80</f>
        <v>1144.9444888390199</v>
      </c>
    </row>
    <row r="52" spans="1:11">
      <c r="A52" t="s">
        <v>10</v>
      </c>
      <c r="B52" t="s">
        <v>11</v>
      </c>
      <c r="C52" t="s">
        <v>16</v>
      </c>
      <c r="D52" t="s">
        <v>17</v>
      </c>
      <c r="E52" t="str" cm="1">
        <f t="array" ref="E52">_xlfn.LET(_xlpm.c,'RC1_Structure_RE'!C81, _xlpm.b, 'RC1_Structure_RE'!B81, IF(_xlpm.c&lt;&gt;"", _xlpm.c, _xlpm.b))</f>
        <v>งานคอนกรีตหยาบ</v>
      </c>
      <c r="F52" s="1205"/>
      <c r="G52" s="1203" t="str">
        <f>'RC1_Structure_RE'!F81</f>
        <v>ลบ.ม.</v>
      </c>
      <c r="H52" s="1203">
        <f>'RC1_Structure_RE'!E81</f>
        <v>2</v>
      </c>
      <c r="I52" s="1203">
        <f>'RC1_Structure_RE'!I81</f>
        <v>4599.7475912399996</v>
      </c>
      <c r="J52" s="1203">
        <f>'RC1_Structure_RE'!L81</f>
        <v>796.54165604399998</v>
      </c>
      <c r="K52" s="1203">
        <f>'RC1_Structure_RE'!M81</f>
        <v>5396.2892472839994</v>
      </c>
    </row>
    <row r="53" spans="1:11">
      <c r="A53" t="s">
        <v>10</v>
      </c>
      <c r="B53" t="s">
        <v>11</v>
      </c>
      <c r="C53" t="s">
        <v>16</v>
      </c>
      <c r="D53" t="s">
        <v>17</v>
      </c>
      <c r="E53" t="str" cm="1">
        <f t="array" ref="E53">_xlfn.LET(_xlpm.c,'RC1_Structure_RE'!C82, _xlpm.b, 'RC1_Structure_RE'!B82, IF(_xlpm.c&lt;&gt;"", _xlpm.c, _xlpm.b))</f>
        <v xml:space="preserve">งานเหล็กเสริม </v>
      </c>
      <c r="F53" s="1205"/>
      <c r="G53" s="1203">
        <f>'RC1_Structure_RE'!F82</f>
        <v>0</v>
      </c>
      <c r="H53" s="1203">
        <f>'RC1_Structure_RE'!E82</f>
        <v>0</v>
      </c>
      <c r="I53" s="1203">
        <f>'RC1_Structure_RE'!I82</f>
        <v>0</v>
      </c>
      <c r="J53" s="1203">
        <f>'RC1_Structure_RE'!L82</f>
        <v>0</v>
      </c>
      <c r="K53" s="1203">
        <f>'RC1_Structure_RE'!M82</f>
        <v>0</v>
      </c>
    </row>
    <row r="54" spans="1:11">
      <c r="A54" t="s">
        <v>10</v>
      </c>
      <c r="B54" t="s">
        <v>11</v>
      </c>
      <c r="C54" t="s">
        <v>16</v>
      </c>
      <c r="D54" t="s">
        <v>17</v>
      </c>
      <c r="E54" t="str" cm="1">
        <f t="array" ref="E54">_xlfn.LET(_xlpm.c,'RC1_Structure_RE'!C83, _xlpm.b, 'RC1_Structure_RE'!B83, IF(_xlpm.c&lt;&gt;"", _xlpm.c, _xlpm.b))</f>
        <v>ขนาดเส้นผ่านศูนย์กลาง 12 ม.ม. SD-50</v>
      </c>
      <c r="F54" s="1205"/>
      <c r="G54" s="1203" t="str">
        <f>'RC1_Structure_RE'!F83</f>
        <v>กก.</v>
      </c>
      <c r="H54" s="1203">
        <f>'RC1_Structure_RE'!E83</f>
        <v>1859</v>
      </c>
      <c r="I54" s="1203">
        <f>'RC1_Structure_RE'!I83</f>
        <v>33803.98445480485</v>
      </c>
      <c r="J54" s="1203">
        <f>'RC1_Structure_RE'!L83</f>
        <v>6256.7786137428002</v>
      </c>
      <c r="K54" s="1203">
        <f>'RC1_Structure_RE'!M83</f>
        <v>40060.763068547647</v>
      </c>
    </row>
    <row r="55" spans="1:11">
      <c r="A55" t="s">
        <v>10</v>
      </c>
      <c r="B55" t="s">
        <v>11</v>
      </c>
      <c r="C55" t="s">
        <v>16</v>
      </c>
      <c r="D55" t="s">
        <v>17</v>
      </c>
      <c r="E55" t="str" cm="1">
        <f t="array" ref="E55">_xlfn.LET(_xlpm.c,'RC1_Structure_RE'!C84, _xlpm.b, 'RC1_Structure_RE'!B84, IF(_xlpm.c&lt;&gt;"", _xlpm.c, _xlpm.b))</f>
        <v>ขนาดเส้นผ่านศูนย์กลาง 32 ม.ม. SD-50</v>
      </c>
      <c r="F55" s="1205"/>
      <c r="G55" s="1203" t="str">
        <f>'RC1_Structure_RE'!F84</f>
        <v>กก.</v>
      </c>
      <c r="H55" s="1203">
        <f>'RC1_Structure_RE'!E84</f>
        <v>3954</v>
      </c>
      <c r="I55" s="1203">
        <f>'RC1_Structure_RE'!I84</f>
        <v>71160.058543381499</v>
      </c>
      <c r="J55" s="1203">
        <f>'RC1_Structure_RE'!L84</f>
        <v>11459.5418952978</v>
      </c>
      <c r="K55" s="1203">
        <f>'RC1_Structure_RE'!M84</f>
        <v>82619.600438679307</v>
      </c>
    </row>
    <row r="56" spans="1:11">
      <c r="A56" t="s">
        <v>10</v>
      </c>
      <c r="B56" t="s">
        <v>11</v>
      </c>
      <c r="C56" t="s">
        <v>16</v>
      </c>
      <c r="D56" t="s">
        <v>17</v>
      </c>
      <c r="E56" t="str" cm="1">
        <f t="array" ref="E56">_xlfn.LET(_xlpm.c,'RC1_Structure_RE'!C85, _xlpm.b, 'RC1_Structure_RE'!B85, IF(_xlpm.c&lt;&gt;"", _xlpm.c, _xlpm.b))</f>
        <v>ลวดผูกเหล็ก</v>
      </c>
      <c r="F56" s="1205"/>
      <c r="G56" s="1203" t="str">
        <f>'RC1_Structure_RE'!F85</f>
        <v>กก.</v>
      </c>
      <c r="H56" s="1203">
        <f>'RC1_Structure_RE'!E85</f>
        <v>105</v>
      </c>
      <c r="I56" s="1203">
        <f>'RC1_Structure_RE'!I85</f>
        <v>2660.2808477385001</v>
      </c>
      <c r="J56" s="1203">
        <f>'RC1_Structure_RE'!L85</f>
        <v>0</v>
      </c>
      <c r="K56" s="1203">
        <f>'RC1_Structure_RE'!M85</f>
        <v>2660.2808477385001</v>
      </c>
    </row>
    <row r="57" spans="1:11">
      <c r="A57" t="s">
        <v>10</v>
      </c>
      <c r="B57" t="s">
        <v>11</v>
      </c>
      <c r="C57" t="s">
        <v>16</v>
      </c>
      <c r="D57" t="s">
        <v>17</v>
      </c>
      <c r="E57" t="str" cm="1">
        <f t="array" ref="E57">_xlfn.LET(_xlpm.c,'RC1_Structure_RE'!C86, _xlpm.b, 'RC1_Structure_RE'!B86, IF(_xlpm.c&lt;&gt;"", _xlpm.c, _xlpm.b))</f>
        <v>งานไม้แบบ</v>
      </c>
      <c r="F57" s="1205"/>
      <c r="G57" s="1203">
        <f>'RC1_Structure_RE'!F86</f>
        <v>0</v>
      </c>
      <c r="H57" s="1203">
        <f>'RC1_Structure_RE'!E86</f>
        <v>0</v>
      </c>
      <c r="I57" s="1203">
        <f>'RC1_Structure_RE'!I86</f>
        <v>0</v>
      </c>
      <c r="J57" s="1203">
        <f>'RC1_Structure_RE'!L86</f>
        <v>0</v>
      </c>
      <c r="K57" s="1203">
        <f>'RC1_Structure_RE'!M86</f>
        <v>0</v>
      </c>
    </row>
    <row r="58" spans="1:11">
      <c r="A58" t="s">
        <v>10</v>
      </c>
      <c r="B58" t="s">
        <v>11</v>
      </c>
      <c r="C58" t="s">
        <v>16</v>
      </c>
      <c r="D58" t="s">
        <v>17</v>
      </c>
      <c r="E58" t="str" cm="1">
        <f t="array" ref="E58">_xlfn.LET(_xlpm.c,'RC1_Structure_RE'!C87, _xlpm.b, 'RC1_Structure_RE'!B87, IF(_xlpm.c&lt;&gt;"", _xlpm.c, _xlpm.b))</f>
        <v>ไม้แบบ ค้ำยัน นั่งร้าน (อาคาร 4 ชั้นขึ้นไป ใช้ 50%)</v>
      </c>
      <c r="F58" s="1205"/>
      <c r="G58" s="1203" t="str">
        <f>'RC1_Structure_RE'!F87</f>
        <v>ตร.ม.</v>
      </c>
      <c r="H58" s="1203">
        <f>'RC1_Structure_RE'!E87</f>
        <v>14</v>
      </c>
      <c r="I58" s="1203">
        <f>'RC1_Structure_RE'!I87</f>
        <v>3209.3523437415997</v>
      </c>
      <c r="J58" s="1203">
        <f>'RC1_Structure_RE'!L87</f>
        <v>0</v>
      </c>
      <c r="K58" s="1203">
        <f>'RC1_Structure_RE'!M87</f>
        <v>3209.3523437415997</v>
      </c>
    </row>
    <row r="59" spans="1:11">
      <c r="A59" t="s">
        <v>10</v>
      </c>
      <c r="B59" t="s">
        <v>11</v>
      </c>
      <c r="C59" t="s">
        <v>16</v>
      </c>
      <c r="D59" t="s">
        <v>17</v>
      </c>
      <c r="E59" t="str" cm="1">
        <f t="array" ref="E59">_xlfn.LET(_xlpm.c,'RC1_Structure_RE'!C88, _xlpm.b, 'RC1_Structure_RE'!B88, IF(_xlpm.c&lt;&gt;"", _xlpm.c, _xlpm.b))</f>
        <v>ค่าแรงประกอบและติดตั้งไม้แบบหล่อคอนกรีต (ใช้ 100%)</v>
      </c>
      <c r="F59" s="1205"/>
      <c r="G59" s="1203" t="str">
        <f>'RC1_Structure_RE'!F88</f>
        <v>ตร.ม.</v>
      </c>
      <c r="H59" s="1203">
        <f>'RC1_Structure_RE'!E88</f>
        <v>28</v>
      </c>
      <c r="I59" s="1203">
        <f>'RC1_Structure_RE'!I88</f>
        <v>0</v>
      </c>
      <c r="J59" s="1203">
        <f>'RC1_Structure_RE'!L88</f>
        <v>3167.4684632359999</v>
      </c>
      <c r="K59" s="1203">
        <f>'RC1_Structure_RE'!M88</f>
        <v>3167.4684632359999</v>
      </c>
    </row>
    <row r="60" spans="1:11">
      <c r="A60" t="s">
        <v>10</v>
      </c>
      <c r="B60" t="s">
        <v>11</v>
      </c>
      <c r="C60" t="s">
        <v>16</v>
      </c>
      <c r="D60" t="s">
        <v>17</v>
      </c>
      <c r="E60" t="str" cm="1">
        <f t="array" ref="E60">_xlfn.LET(_xlpm.c,'RC1_Structure_RE'!C89, _xlpm.b, 'RC1_Structure_RE'!B89, IF(_xlpm.c&lt;&gt;"", _xlpm.c, _xlpm.b))</f>
        <v>ไม้เคร่า (ใช้ 30% ของไม้แบบ 1 ตร.ม.)</v>
      </c>
      <c r="F60" s="1205"/>
      <c r="G60" s="1203" t="str">
        <f>'RC1_Structure_RE'!F89</f>
        <v>ลบ.ฟ.</v>
      </c>
      <c r="H60" s="1203">
        <f>'RC1_Structure_RE'!E89</f>
        <v>5</v>
      </c>
      <c r="I60" s="1203">
        <f>'RC1_Structure_RE'!I89</f>
        <v>1446.3962395137</v>
      </c>
      <c r="J60" s="1203">
        <f>'RC1_Structure_RE'!L89</f>
        <v>0</v>
      </c>
      <c r="K60" s="1203">
        <f>'RC1_Structure_RE'!M89</f>
        <v>1446.3962395137</v>
      </c>
    </row>
    <row r="61" spans="1:11">
      <c r="A61" t="s">
        <v>10</v>
      </c>
      <c r="B61" t="s">
        <v>11</v>
      </c>
      <c r="C61" t="s">
        <v>16</v>
      </c>
      <c r="D61" t="s">
        <v>17</v>
      </c>
      <c r="E61" t="str" cm="1">
        <f t="array" ref="E61">_xlfn.LET(_xlpm.c,'RC1_Structure_RE'!C90, _xlpm.b, 'RC1_Structure_RE'!B90, IF(_xlpm.c&lt;&gt;"", _xlpm.c, _xlpm.b))</f>
        <v>ตะปู (ใช้ 25% ของไม้แบบ 1 ตร.ม.)</v>
      </c>
      <c r="F61" s="1205"/>
      <c r="G61" s="1203" t="str">
        <f>'RC1_Structure_RE'!F90</f>
        <v>กก.</v>
      </c>
      <c r="H61" s="1203">
        <f>'RC1_Structure_RE'!E90</f>
        <v>4</v>
      </c>
      <c r="I61" s="1203">
        <f>'RC1_Structure_RE'!I90</f>
        <v>87.357807911679998</v>
      </c>
      <c r="J61" s="1203">
        <f>'RC1_Structure_RE'!L90</f>
        <v>0</v>
      </c>
      <c r="K61" s="1203">
        <f>'RC1_Structure_RE'!M90</f>
        <v>87.357807911679998</v>
      </c>
    </row>
    <row r="62" spans="1:11">
      <c r="A62" t="s">
        <v>10</v>
      </c>
      <c r="B62" t="s">
        <v>11</v>
      </c>
      <c r="C62" t="s">
        <v>16</v>
      </c>
      <c r="D62" t="s">
        <v>17</v>
      </c>
      <c r="E62" t="str" cm="1">
        <f t="array" ref="E62">_xlfn.LET(_xlpm.c,'RC1_Structure_RE'!C91, _xlpm.b, 'RC1_Structure_RE'!B91, IF(_xlpm.c&lt;&gt;"", _xlpm.c, _xlpm.b))</f>
        <v>งานคอนกรีตโครงสร้าง</v>
      </c>
      <c r="F62" s="1205"/>
      <c r="G62" s="1203">
        <f>'RC1_Structure_RE'!F91</f>
        <v>0</v>
      </c>
      <c r="H62" s="1203">
        <f>'RC1_Structure_RE'!E91</f>
        <v>0</v>
      </c>
      <c r="I62" s="1203">
        <f>'RC1_Structure_RE'!I91</f>
        <v>0</v>
      </c>
      <c r="J62" s="1203">
        <f>'RC1_Structure_RE'!L91</f>
        <v>0</v>
      </c>
      <c r="K62" s="1203">
        <f>'RC1_Structure_RE'!M91</f>
        <v>0</v>
      </c>
    </row>
    <row r="63" spans="1:11">
      <c r="A63" t="s">
        <v>10</v>
      </c>
      <c r="B63" t="s">
        <v>11</v>
      </c>
      <c r="C63" t="s">
        <v>16</v>
      </c>
      <c r="D63" t="s">
        <v>17</v>
      </c>
      <c r="E63" t="str" cm="1">
        <f t="array" ref="E63">_xlfn.LET(_xlpm.c,'RC1_Structure_RE'!C92, _xlpm.b, 'RC1_Structure_RE'!B92, IF(_xlpm.c&lt;&gt;"", _xlpm.c, _xlpm.b))</f>
        <v>งานคอนกรีตโครงสร้าง 320 ksc.ผสมน้ำยากันซึม</v>
      </c>
      <c r="F63" s="1205"/>
      <c r="G63" s="1203" t="str">
        <f>'RC1_Structure_RE'!F92</f>
        <v>ลบ.ม.</v>
      </c>
      <c r="H63" s="1203">
        <f>'RC1_Structure_RE'!E92</f>
        <v>17.5</v>
      </c>
      <c r="I63" s="1203">
        <f>'RC1_Structure_RE'!I92</f>
        <v>36975.613258849997</v>
      </c>
      <c r="J63" s="1203">
        <f>'RC1_Structure_RE'!L92</f>
        <v>8491.3023368774993</v>
      </c>
      <c r="K63" s="1203">
        <f>'RC1_Structure_RE'!M92</f>
        <v>45466.915595727492</v>
      </c>
    </row>
    <row r="64" spans="1:11">
      <c r="A64" t="s">
        <v>10</v>
      </c>
      <c r="B64" t="s">
        <v>11</v>
      </c>
      <c r="C64" t="s">
        <v>16</v>
      </c>
      <c r="D64" t="s">
        <v>18</v>
      </c>
      <c r="E64" t="str" cm="1">
        <f t="array" ref="E64">_xlfn.LET(_xlpm.c,'RC1_Structure_RE'!C93, _xlpm.b, 'RC1_Structure_RE'!B93, IF(_xlpm.c&lt;&gt;"", _xlpm.c, _xlpm.b))</f>
        <v>โครงสร้างพื้น ชั้นใต้ดิน</v>
      </c>
      <c r="F64" s="1205"/>
      <c r="G64" s="1203">
        <f>'RC1_Structure_RE'!F93</f>
        <v>0</v>
      </c>
      <c r="H64" s="1203">
        <f>'RC1_Structure_RE'!E93</f>
        <v>0</v>
      </c>
      <c r="I64" s="1203">
        <f>'RC1_Structure_RE'!I93</f>
        <v>0</v>
      </c>
      <c r="J64" s="1203">
        <f>'RC1_Structure_RE'!L93</f>
        <v>0</v>
      </c>
      <c r="K64" s="1203">
        <f>'RC1_Structure_RE'!M93</f>
        <v>0</v>
      </c>
    </row>
    <row r="65" spans="1:11">
      <c r="A65" t="s">
        <v>10</v>
      </c>
      <c r="B65" t="s">
        <v>11</v>
      </c>
      <c r="C65" t="s">
        <v>16</v>
      </c>
      <c r="D65" t="s">
        <v>18</v>
      </c>
      <c r="E65" t="str" cm="1">
        <f t="array" ref="E65">_xlfn.LET(_xlpm.c,'RC1_Structure_RE'!C94, _xlpm.b, 'RC1_Structure_RE'!B94, IF(_xlpm.c&lt;&gt;"", _xlpm.c, _xlpm.b))</f>
        <v>งานขุดดิน และถมกลับ</v>
      </c>
      <c r="F65" s="1205"/>
      <c r="G65" s="1203" t="str">
        <f>'RC1_Structure_RE'!F94</f>
        <v>ลบ.ม.</v>
      </c>
      <c r="H65" s="1203">
        <f>'RC1_Structure_RE'!E94</f>
        <v>30218</v>
      </c>
      <c r="I65" s="1203">
        <f>'RC1_Structure_RE'!I94</f>
        <v>0</v>
      </c>
      <c r="J65" s="1203">
        <f>'RC1_Structure_RE'!L94</f>
        <v>3164117.7527955514</v>
      </c>
      <c r="K65" s="1203">
        <f>'RC1_Structure_RE'!M94</f>
        <v>3164117.7527955514</v>
      </c>
    </row>
    <row r="66" spans="1:11">
      <c r="A66" t="s">
        <v>10</v>
      </c>
      <c r="B66" t="s">
        <v>11</v>
      </c>
      <c r="C66" t="s">
        <v>16</v>
      </c>
      <c r="D66" t="s">
        <v>18</v>
      </c>
      <c r="E66" t="str" cm="1">
        <f t="array" ref="E66">_xlfn.LET(_xlpm.c,'RC1_Structure_RE'!C95, _xlpm.b, 'RC1_Structure_RE'!B95, IF(_xlpm.c&lt;&gt;"", _xlpm.c, _xlpm.b))</f>
        <v>งานทรายหยาบบดอัดแน่น</v>
      </c>
      <c r="F66" s="1205"/>
      <c r="G66" s="1203" t="str">
        <f>'RC1_Structure_RE'!F95</f>
        <v>ลบ.ม.</v>
      </c>
      <c r="H66" s="1203">
        <f>'RC1_Structure_RE'!E95</f>
        <v>655</v>
      </c>
      <c r="I66" s="1203">
        <f>'RC1_Structure_RE'!I95</f>
        <v>311283.38393313903</v>
      </c>
      <c r="J66" s="1203">
        <f>'RC1_Structure_RE'!L95</f>
        <v>63685.936161639998</v>
      </c>
      <c r="K66" s="1203">
        <f>'RC1_Structure_RE'!M95</f>
        <v>374969.32009477902</v>
      </c>
    </row>
    <row r="67" spans="1:11">
      <c r="A67" t="s">
        <v>10</v>
      </c>
      <c r="B67" t="s">
        <v>11</v>
      </c>
      <c r="C67" t="s">
        <v>16</v>
      </c>
      <c r="D67" t="s">
        <v>18</v>
      </c>
      <c r="E67" t="str" cm="1">
        <f t="array" ref="E67">_xlfn.LET(_xlpm.c,'RC1_Structure_RE'!C96, _xlpm.b, 'RC1_Structure_RE'!B96, IF(_xlpm.c&lt;&gt;"", _xlpm.c, _xlpm.b))</f>
        <v>งานคอนกรีตหยาบ</v>
      </c>
      <c r="F67" s="1205"/>
      <c r="G67" s="1203" t="str">
        <f>'RC1_Structure_RE'!F96</f>
        <v>ลบ.ม.</v>
      </c>
      <c r="H67" s="1203">
        <f>'RC1_Structure_RE'!E96</f>
        <v>328</v>
      </c>
      <c r="I67" s="1203">
        <f>'RC1_Structure_RE'!I96</f>
        <v>754358.60496335989</v>
      </c>
      <c r="J67" s="1203">
        <f>'RC1_Structure_RE'!L96</f>
        <v>130632.831591216</v>
      </c>
      <c r="K67" s="1203">
        <f>'RC1_Structure_RE'!M96</f>
        <v>884991.43655457592</v>
      </c>
    </row>
    <row r="68" spans="1:11">
      <c r="A68" t="s">
        <v>10</v>
      </c>
      <c r="B68" t="s">
        <v>11</v>
      </c>
      <c r="C68" t="s">
        <v>16</v>
      </c>
      <c r="D68" t="s">
        <v>18</v>
      </c>
      <c r="E68" t="str" cm="1">
        <f t="array" ref="E68">_xlfn.LET(_xlpm.c,'RC1_Structure_RE'!C97, _xlpm.b, 'RC1_Structure_RE'!B97, IF(_xlpm.c&lt;&gt;"", _xlpm.c, _xlpm.b))</f>
        <v xml:space="preserve">งานเหล็กเสริม </v>
      </c>
      <c r="F68" s="1205"/>
      <c r="G68" s="1203">
        <f>'RC1_Structure_RE'!F97</f>
        <v>0</v>
      </c>
      <c r="H68" s="1203">
        <f>'RC1_Structure_RE'!E97</f>
        <v>0</v>
      </c>
      <c r="I68" s="1203">
        <f>'RC1_Structure_RE'!I97</f>
        <v>0</v>
      </c>
      <c r="J68" s="1203">
        <f>'RC1_Structure_RE'!L97</f>
        <v>0</v>
      </c>
      <c r="K68" s="1203">
        <f>'RC1_Structure_RE'!M97</f>
        <v>0</v>
      </c>
    </row>
    <row r="69" spans="1:11">
      <c r="A69" t="s">
        <v>10</v>
      </c>
      <c r="B69" t="s">
        <v>11</v>
      </c>
      <c r="C69" t="s">
        <v>16</v>
      </c>
      <c r="D69" t="s">
        <v>18</v>
      </c>
      <c r="E69" t="str" cm="1">
        <f t="array" ref="E69">_xlfn.LET(_xlpm.c,'RC1_Structure_RE'!C98, _xlpm.b, 'RC1_Structure_RE'!B98, IF(_xlpm.c&lt;&gt;"", _xlpm.c, _xlpm.b))</f>
        <v>ขนาดเส้นผ่านศูนย์กลาง 12 ม.ม. SD-50</v>
      </c>
      <c r="F69" s="1205"/>
      <c r="G69" s="1203" t="str">
        <f>'RC1_Structure_RE'!F98</f>
        <v>กก.</v>
      </c>
      <c r="H69" s="1203">
        <f>'RC1_Structure_RE'!E98</f>
        <v>5966</v>
      </c>
      <c r="I69" s="1203">
        <f>'RC1_Structure_RE'!I98</f>
        <v>108485.5143934189</v>
      </c>
      <c r="J69" s="1203">
        <f>'RC1_Structure_RE'!L98</f>
        <v>20079.581070247201</v>
      </c>
      <c r="K69" s="1203">
        <f>'RC1_Structure_RE'!M98</f>
        <v>128565.0954636661</v>
      </c>
    </row>
    <row r="70" spans="1:11">
      <c r="A70" t="s">
        <v>10</v>
      </c>
      <c r="B70" t="s">
        <v>11</v>
      </c>
      <c r="C70" t="s">
        <v>16</v>
      </c>
      <c r="D70" t="s">
        <v>18</v>
      </c>
      <c r="E70" t="str" cm="1">
        <f t="array" ref="E70">_xlfn.LET(_xlpm.c,'RC1_Structure_RE'!C99, _xlpm.b, 'RC1_Structure_RE'!B99, IF(_xlpm.c&lt;&gt;"", _xlpm.c, _xlpm.b))</f>
        <v>ขนาดเส้นผ่านศูนย์กลาง 16 ม.ม. SD-50</v>
      </c>
      <c r="F70" s="1205"/>
      <c r="G70" s="1203" t="str">
        <f>'RC1_Structure_RE'!F99</f>
        <v>กก.</v>
      </c>
      <c r="H70" s="1203">
        <f>'RC1_Structure_RE'!E99</f>
        <v>166058</v>
      </c>
      <c r="I70" s="1203">
        <f>'RC1_Structure_RE'!I99</f>
        <v>2988542.4890229753</v>
      </c>
      <c r="J70" s="1203">
        <f>'RC1_Structure_RE'!L99</f>
        <v>558896.2576874136</v>
      </c>
      <c r="K70" s="1203">
        <f>'RC1_Structure_RE'!M99</f>
        <v>3547438.7467103889</v>
      </c>
    </row>
    <row r="71" spans="1:11">
      <c r="A71" t="s">
        <v>10</v>
      </c>
      <c r="B71" t="s">
        <v>11</v>
      </c>
      <c r="C71" t="s">
        <v>16</v>
      </c>
      <c r="D71" t="s">
        <v>18</v>
      </c>
      <c r="E71" t="str" cm="1">
        <f t="array" ref="E71">_xlfn.LET(_xlpm.c,'RC1_Structure_RE'!C100, _xlpm.b, 'RC1_Structure_RE'!B100, IF(_xlpm.c&lt;&gt;"", _xlpm.c, _xlpm.b))</f>
        <v>ลวดผูกเหล็ก</v>
      </c>
      <c r="F71" s="1205"/>
      <c r="G71" s="1203" t="str">
        <f>'RC1_Structure_RE'!F100</f>
        <v>กก.</v>
      </c>
      <c r="H71" s="1203">
        <f>'RC1_Structure_RE'!E100</f>
        <v>3096</v>
      </c>
      <c r="I71" s="1203">
        <f>'RC1_Structure_RE'!I100</f>
        <v>78440.280996175206</v>
      </c>
      <c r="J71" s="1203">
        <f>'RC1_Structure_RE'!L100</f>
        <v>0</v>
      </c>
      <c r="K71" s="1203">
        <f>'RC1_Structure_RE'!M100</f>
        <v>78440.280996175206</v>
      </c>
    </row>
    <row r="72" spans="1:11">
      <c r="A72" t="s">
        <v>10</v>
      </c>
      <c r="B72" t="s">
        <v>11</v>
      </c>
      <c r="C72" t="s">
        <v>16</v>
      </c>
      <c r="D72" t="s">
        <v>18</v>
      </c>
      <c r="E72" t="str" cm="1">
        <f t="array" ref="E72">_xlfn.LET(_xlpm.c,'RC1_Structure_RE'!C101, _xlpm.b, 'RC1_Structure_RE'!B101, IF(_xlpm.c&lt;&gt;"", _xlpm.c, _xlpm.b))</f>
        <v>งานไม้แบบ</v>
      </c>
      <c r="F72" s="1205"/>
      <c r="G72" s="1203">
        <f>'RC1_Structure_RE'!F101</f>
        <v>0</v>
      </c>
      <c r="H72" s="1203">
        <f>'RC1_Structure_RE'!E101</f>
        <v>0</v>
      </c>
      <c r="I72" s="1203">
        <f>'RC1_Structure_RE'!I101</f>
        <v>0</v>
      </c>
      <c r="J72" s="1203">
        <f>'RC1_Structure_RE'!L101</f>
        <v>0</v>
      </c>
      <c r="K72" s="1203">
        <f>'RC1_Structure_RE'!M101</f>
        <v>0</v>
      </c>
    </row>
    <row r="73" spans="1:11">
      <c r="A73" t="s">
        <v>10</v>
      </c>
      <c r="B73" t="s">
        <v>11</v>
      </c>
      <c r="C73" t="s">
        <v>16</v>
      </c>
      <c r="D73" t="s">
        <v>18</v>
      </c>
      <c r="E73" t="str" cm="1">
        <f t="array" ref="E73">_xlfn.LET(_xlpm.c,'RC1_Structure_RE'!C102, _xlpm.b, 'RC1_Structure_RE'!B102, IF(_xlpm.c&lt;&gt;"", _xlpm.c, _xlpm.b))</f>
        <v>ไม้แบบ ค้ำยัน นั่งร้าน (อาคาร 4 ชั้นขึ้นไป ใช้ 50%)</v>
      </c>
      <c r="F73" s="1205"/>
      <c r="G73" s="1203" t="str">
        <f>'RC1_Structure_RE'!F102</f>
        <v>ตร.ม.</v>
      </c>
      <c r="H73" s="1203">
        <f>'RC1_Structure_RE'!E102</f>
        <v>109</v>
      </c>
      <c r="I73" s="1203">
        <f>'RC1_Structure_RE'!I102</f>
        <v>24987.100390559597</v>
      </c>
      <c r="J73" s="1203">
        <f>'RC1_Structure_RE'!L102</f>
        <v>0</v>
      </c>
      <c r="K73" s="1203">
        <f>'RC1_Structure_RE'!M102</f>
        <v>24987.100390559597</v>
      </c>
    </row>
    <row r="74" spans="1:11">
      <c r="A74" t="s">
        <v>10</v>
      </c>
      <c r="B74" t="s">
        <v>11</v>
      </c>
      <c r="C74" t="s">
        <v>16</v>
      </c>
      <c r="D74" t="s">
        <v>18</v>
      </c>
      <c r="E74" t="str" cm="1">
        <f t="array" ref="E74">_xlfn.LET(_xlpm.c,'RC1_Structure_RE'!C103, _xlpm.b, 'RC1_Structure_RE'!B103, IF(_xlpm.c&lt;&gt;"", _xlpm.c, _xlpm.b))</f>
        <v>ค่าแรงประกอบและติดตั้งไม้แบบหล่อคอนกรีต (ใช้ 100%)</v>
      </c>
      <c r="F74" s="1205"/>
      <c r="G74" s="1203" t="str">
        <f>'RC1_Structure_RE'!F103</f>
        <v>ตร.ม.</v>
      </c>
      <c r="H74" s="1203">
        <f>'RC1_Structure_RE'!E103</f>
        <v>217</v>
      </c>
      <c r="I74" s="1203">
        <f>'RC1_Structure_RE'!I103</f>
        <v>0</v>
      </c>
      <c r="J74" s="1203">
        <f>'RC1_Structure_RE'!L103</f>
        <v>24547.880590078999</v>
      </c>
      <c r="K74" s="1203">
        <f>'RC1_Structure_RE'!M103</f>
        <v>24547.880590078999</v>
      </c>
    </row>
    <row r="75" spans="1:11">
      <c r="A75" t="s">
        <v>10</v>
      </c>
      <c r="B75" t="s">
        <v>11</v>
      </c>
      <c r="C75" t="s">
        <v>16</v>
      </c>
      <c r="D75" t="s">
        <v>18</v>
      </c>
      <c r="E75" t="str" cm="1">
        <f t="array" ref="E75">_xlfn.LET(_xlpm.c,'RC1_Structure_RE'!C104, _xlpm.b, 'RC1_Structure_RE'!B104, IF(_xlpm.c&lt;&gt;"", _xlpm.c, _xlpm.b))</f>
        <v>ไม้เคร่า (ใช้ 30% ของไม้แบบ 1 ตร.ม.)</v>
      </c>
      <c r="F75" s="1205"/>
      <c r="G75" s="1203" t="str">
        <f>'RC1_Structure_RE'!F104</f>
        <v>ลบ.ฟ.</v>
      </c>
      <c r="H75" s="1203">
        <f>'RC1_Structure_RE'!E104</f>
        <v>33</v>
      </c>
      <c r="I75" s="1203">
        <f>'RC1_Structure_RE'!I104</f>
        <v>9546.2151807904193</v>
      </c>
      <c r="J75" s="1203">
        <f>'RC1_Structure_RE'!L104</f>
        <v>0</v>
      </c>
      <c r="K75" s="1203">
        <f>'RC1_Structure_RE'!M104</f>
        <v>9546.2151807904193</v>
      </c>
    </row>
    <row r="76" spans="1:11">
      <c r="A76" t="s">
        <v>10</v>
      </c>
      <c r="B76" t="s">
        <v>11</v>
      </c>
      <c r="C76" t="s">
        <v>16</v>
      </c>
      <c r="D76" t="s">
        <v>18</v>
      </c>
      <c r="E76" t="str" cm="1">
        <f t="array" ref="E76">_xlfn.LET(_xlpm.c,'RC1_Structure_RE'!C105, _xlpm.b, 'RC1_Structure_RE'!B105, IF(_xlpm.c&lt;&gt;"", _xlpm.c, _xlpm.b))</f>
        <v>ตะปู (ใช้ 25% ของไม้แบบ 1 ตร.ม.)</v>
      </c>
      <c r="F76" s="1205"/>
      <c r="G76" s="1203" t="str">
        <f>'RC1_Structure_RE'!F105</f>
        <v>กก.</v>
      </c>
      <c r="H76" s="1203">
        <f>'RC1_Structure_RE'!E105</f>
        <v>27</v>
      </c>
      <c r="I76" s="1203">
        <f>'RC1_Structure_RE'!I105</f>
        <v>589.66520340384</v>
      </c>
      <c r="J76" s="1203">
        <f>'RC1_Structure_RE'!L105</f>
        <v>0</v>
      </c>
      <c r="K76" s="1203">
        <f>'RC1_Structure_RE'!M105</f>
        <v>589.66520340384</v>
      </c>
    </row>
    <row r="77" spans="1:11">
      <c r="A77" t="s">
        <v>10</v>
      </c>
      <c r="B77" t="s">
        <v>11</v>
      </c>
      <c r="C77" t="s">
        <v>16</v>
      </c>
      <c r="D77" t="s">
        <v>18</v>
      </c>
      <c r="E77" t="str" cm="1">
        <f t="array" ref="E77">_xlfn.LET(_xlpm.c,'RC1_Structure_RE'!C106, _xlpm.b, 'RC1_Structure_RE'!B106, IF(_xlpm.c&lt;&gt;"", _xlpm.c, _xlpm.b))</f>
        <v>งานคอนกรีตโครงสร้าง</v>
      </c>
      <c r="F77" s="1205"/>
      <c r="G77" s="1203">
        <f>'RC1_Structure_RE'!F106</f>
        <v>0</v>
      </c>
      <c r="H77" s="1203">
        <f>'RC1_Structure_RE'!E106</f>
        <v>0</v>
      </c>
      <c r="I77" s="1203">
        <f>'RC1_Structure_RE'!I106</f>
        <v>0</v>
      </c>
      <c r="J77" s="1203">
        <f>'RC1_Structure_RE'!L106</f>
        <v>0</v>
      </c>
      <c r="K77" s="1203">
        <f>'RC1_Structure_RE'!M106</f>
        <v>0</v>
      </c>
    </row>
    <row r="78" spans="1:11">
      <c r="A78" t="s">
        <v>10</v>
      </c>
      <c r="B78" t="s">
        <v>11</v>
      </c>
      <c r="C78" t="s">
        <v>16</v>
      </c>
      <c r="D78" t="s">
        <v>18</v>
      </c>
      <c r="E78" t="str" cm="1">
        <f t="array" ref="E78">_xlfn.LET(_xlpm.c,'RC1_Structure_RE'!C107, _xlpm.b, 'RC1_Structure_RE'!B107, IF(_xlpm.c&lt;&gt;"", _xlpm.c, _xlpm.b))</f>
        <v>งานคอนกรีตโครงสร้าง 320 ksc.ผสมน้ำยากันซึม</v>
      </c>
      <c r="F78" s="1205"/>
      <c r="G78" s="1203" t="str">
        <f>'RC1_Structure_RE'!F107</f>
        <v>ลบ.ม.</v>
      </c>
      <c r="H78" s="1203">
        <f>'RC1_Structure_RE'!E107</f>
        <v>2405</v>
      </c>
      <c r="I78" s="1203">
        <f>'RC1_Structure_RE'!I107</f>
        <v>5081505.7078590998</v>
      </c>
      <c r="J78" s="1203">
        <f>'RC1_Structure_RE'!L107</f>
        <v>1166947.5497251649</v>
      </c>
      <c r="K78" s="1203">
        <f>'RC1_Structure_RE'!M107</f>
        <v>6248453.2575842645</v>
      </c>
    </row>
    <row r="79" spans="1:11">
      <c r="A79" t="s">
        <v>10</v>
      </c>
      <c r="B79" t="s">
        <v>11</v>
      </c>
      <c r="C79" t="s">
        <v>16</v>
      </c>
      <c r="D79" t="s">
        <v>19</v>
      </c>
      <c r="E79" t="str" cm="1">
        <f t="array" ref="E79">_xlfn.LET(_xlpm.c,'RC1_Structure_RE'!C108, _xlpm.b, 'RC1_Structure_RE'!B108, IF(_xlpm.c&lt;&gt;"", _xlpm.c, _xlpm.b))</f>
        <v>โครงสร้างเสา ชั้นใต้ดิน</v>
      </c>
      <c r="F79" s="1205"/>
      <c r="G79" s="1203">
        <f>'RC1_Structure_RE'!F108</f>
        <v>0</v>
      </c>
      <c r="H79" s="1203">
        <f>'RC1_Structure_RE'!E108</f>
        <v>0</v>
      </c>
      <c r="I79" s="1203">
        <f>'RC1_Structure_RE'!I108</f>
        <v>0</v>
      </c>
      <c r="J79" s="1203">
        <f>'RC1_Structure_RE'!L108</f>
        <v>0</v>
      </c>
      <c r="K79" s="1203">
        <f>'RC1_Structure_RE'!M108</f>
        <v>0</v>
      </c>
    </row>
    <row r="80" spans="1:11">
      <c r="A80" t="s">
        <v>10</v>
      </c>
      <c r="B80" t="s">
        <v>11</v>
      </c>
      <c r="C80" t="s">
        <v>16</v>
      </c>
      <c r="D80" t="s">
        <v>19</v>
      </c>
      <c r="E80" t="str" cm="1">
        <f t="array" ref="E80">_xlfn.LET(_xlpm.c,'RC1_Structure_RE'!C109, _xlpm.b, 'RC1_Structure_RE'!B109, IF(_xlpm.c&lt;&gt;"", _xlpm.c, _xlpm.b))</f>
        <v xml:space="preserve">งานเหล็กเสริม </v>
      </c>
      <c r="F80" s="1205"/>
      <c r="G80" s="1203">
        <f>'RC1_Structure_RE'!F109</f>
        <v>0</v>
      </c>
      <c r="H80" s="1203">
        <f>'RC1_Structure_RE'!E109</f>
        <v>0</v>
      </c>
      <c r="I80" s="1203">
        <f>'RC1_Structure_RE'!I109</f>
        <v>0</v>
      </c>
      <c r="J80" s="1203">
        <f>'RC1_Structure_RE'!L109</f>
        <v>0</v>
      </c>
      <c r="K80" s="1203">
        <f>'RC1_Structure_RE'!M109</f>
        <v>0</v>
      </c>
    </row>
    <row r="81" spans="1:11">
      <c r="A81" t="s">
        <v>10</v>
      </c>
      <c r="B81" t="s">
        <v>11</v>
      </c>
      <c r="C81" t="s">
        <v>16</v>
      </c>
      <c r="D81" t="s">
        <v>19</v>
      </c>
      <c r="E81" t="str" cm="1">
        <f t="array" ref="E81">_xlfn.LET(_xlpm.c,'RC1_Structure_RE'!C110, _xlpm.b, 'RC1_Structure_RE'!B110, IF(_xlpm.c&lt;&gt;"", _xlpm.c, _xlpm.b))</f>
        <v>ขนาดเส้นผ่านศูนย์กลาง 9 ม.ม. SR-24</v>
      </c>
      <c r="F81" s="1205"/>
      <c r="G81" s="1203" t="str">
        <f>'RC1_Structure_RE'!F110</f>
        <v>กก.</v>
      </c>
      <c r="H81" s="1203">
        <f>'RC1_Structure_RE'!E110</f>
        <v>5143</v>
      </c>
      <c r="I81" s="1203">
        <f>'RC1_Structure_RE'!I110</f>
        <v>94241.348880131598</v>
      </c>
      <c r="J81" s="1203">
        <f>'RC1_Structure_RE'!L110</f>
        <v>21156.2211771724</v>
      </c>
      <c r="K81" s="1203">
        <f>'RC1_Structure_RE'!M110</f>
        <v>115397.57005730399</v>
      </c>
    </row>
    <row r="82" spans="1:11">
      <c r="A82" t="s">
        <v>10</v>
      </c>
      <c r="B82" t="s">
        <v>11</v>
      </c>
      <c r="C82" t="s">
        <v>16</v>
      </c>
      <c r="D82" t="s">
        <v>19</v>
      </c>
      <c r="E82" t="str" cm="1">
        <f t="array" ref="E82">_xlfn.LET(_xlpm.c,'RC1_Structure_RE'!C111, _xlpm.b, 'RC1_Structure_RE'!B111, IF(_xlpm.c&lt;&gt;"", _xlpm.c, _xlpm.b))</f>
        <v>ขนาดเส้นผ่านศูนย์กลาง 12 ม.ม. SD-50</v>
      </c>
      <c r="F82" s="1205"/>
      <c r="G82" s="1203" t="str">
        <f>'RC1_Structure_RE'!F111</f>
        <v>กก.</v>
      </c>
      <c r="H82" s="1203">
        <f>'RC1_Structure_RE'!E111</f>
        <v>2401</v>
      </c>
      <c r="I82" s="1203">
        <f>'RC1_Structure_RE'!I111</f>
        <v>43659.691595474149</v>
      </c>
      <c r="J82" s="1203">
        <f>'RC1_Structure_RE'!L111</f>
        <v>8080.9711950492001</v>
      </c>
      <c r="K82" s="1203">
        <f>'RC1_Structure_RE'!M111</f>
        <v>51740.662790523347</v>
      </c>
    </row>
    <row r="83" spans="1:11">
      <c r="A83" t="s">
        <v>10</v>
      </c>
      <c r="B83" t="s">
        <v>11</v>
      </c>
      <c r="C83" t="s">
        <v>16</v>
      </c>
      <c r="D83" t="s">
        <v>19</v>
      </c>
      <c r="E83" t="str" cm="1">
        <f t="array" ref="E83">_xlfn.LET(_xlpm.c,'RC1_Structure_RE'!C112, _xlpm.b, 'RC1_Structure_RE'!B112, IF(_xlpm.c&lt;&gt;"", _xlpm.c, _xlpm.b))</f>
        <v>ขนาดเส้นผ่านศูนย์กลาง 16 ม.ม. SD-50</v>
      </c>
      <c r="F83" s="1205"/>
      <c r="G83" s="1203" t="str">
        <f>'RC1_Structure_RE'!F112</f>
        <v>กก.</v>
      </c>
      <c r="H83" s="1203">
        <f>'RC1_Structure_RE'!E112</f>
        <v>3831</v>
      </c>
      <c r="I83" s="1203">
        <f>'RC1_Structure_RE'!I112</f>
        <v>68946.430015097241</v>
      </c>
      <c r="J83" s="1203">
        <f>'RC1_Structure_RE'!L112</f>
        <v>12893.877821005201</v>
      </c>
      <c r="K83" s="1203">
        <f>'RC1_Structure_RE'!M112</f>
        <v>81840.307836102438</v>
      </c>
    </row>
    <row r="84" spans="1:11">
      <c r="A84" t="s">
        <v>10</v>
      </c>
      <c r="B84" t="s">
        <v>11</v>
      </c>
      <c r="C84" t="s">
        <v>16</v>
      </c>
      <c r="D84" t="s">
        <v>19</v>
      </c>
      <c r="E84" t="str" cm="1">
        <f t="array" ref="E84">_xlfn.LET(_xlpm.c,'RC1_Structure_RE'!C113, _xlpm.b, 'RC1_Structure_RE'!B113, IF(_xlpm.c&lt;&gt;"", _xlpm.c, _xlpm.b))</f>
        <v>ขนาดเส้นผ่านศูนย์กลาง 20 ม.ม. SD-50</v>
      </c>
      <c r="F84" s="1205"/>
      <c r="G84" s="1203" t="str">
        <f>'RC1_Structure_RE'!F113</f>
        <v>กก.</v>
      </c>
      <c r="H84" s="1203">
        <f>'RC1_Structure_RE'!E113</f>
        <v>3045</v>
      </c>
      <c r="I84" s="1203">
        <f>'RC1_Structure_RE'!I113</f>
        <v>54800.803809963749</v>
      </c>
      <c r="J84" s="1203">
        <f>'RC1_Structure_RE'!L113</f>
        <v>8825.0645096565004</v>
      </c>
      <c r="K84" s="1203">
        <f>'RC1_Structure_RE'!M113</f>
        <v>63625.868319620247</v>
      </c>
    </row>
    <row r="85" spans="1:11">
      <c r="A85" t="s">
        <v>10</v>
      </c>
      <c r="B85" t="s">
        <v>11</v>
      </c>
      <c r="C85" t="s">
        <v>16</v>
      </c>
      <c r="D85" t="s">
        <v>19</v>
      </c>
      <c r="E85" t="str" cm="1">
        <f t="array" ref="E85">_xlfn.LET(_xlpm.c,'RC1_Structure_RE'!C114, _xlpm.b, 'RC1_Structure_RE'!B114, IF(_xlpm.c&lt;&gt;"", _xlpm.c, _xlpm.b))</f>
        <v>ขนาดเส้นผ่านศูนย์กลาง 25 ม.ม. SD-50</v>
      </c>
      <c r="F85" s="1205"/>
      <c r="G85" s="1203" t="str">
        <f>'RC1_Structure_RE'!F114</f>
        <v>กก.</v>
      </c>
      <c r="H85" s="1203">
        <f>'RC1_Structure_RE'!E114</f>
        <v>15512</v>
      </c>
      <c r="I85" s="1203">
        <f>'RC1_Structure_RE'!I114</f>
        <v>279169.15228248201</v>
      </c>
      <c r="J85" s="1203">
        <f>'RC1_Structure_RE'!L114</f>
        <v>44957.110237698398</v>
      </c>
      <c r="K85" s="1203">
        <f>'RC1_Structure_RE'!M114</f>
        <v>324126.26252018043</v>
      </c>
    </row>
    <row r="86" spans="1:11">
      <c r="A86" t="s">
        <v>10</v>
      </c>
      <c r="B86" t="s">
        <v>11</v>
      </c>
      <c r="C86" t="s">
        <v>16</v>
      </c>
      <c r="D86" t="s">
        <v>19</v>
      </c>
      <c r="E86" t="str" cm="1">
        <f t="array" ref="E86">_xlfn.LET(_xlpm.c,'RC1_Structure_RE'!C115, _xlpm.b, 'RC1_Structure_RE'!B115, IF(_xlpm.c&lt;&gt;"", _xlpm.c, _xlpm.b))</f>
        <v>ขนาดเส้นผ่านศูนย์กลาง 28 ม.ม. SD-50</v>
      </c>
      <c r="F86" s="1205"/>
      <c r="G86" s="1203" t="str">
        <f>'RC1_Structure_RE'!F115</f>
        <v>กก.</v>
      </c>
      <c r="H86" s="1203">
        <f>'RC1_Structure_RE'!E115</f>
        <v>5880</v>
      </c>
      <c r="I86" s="1203">
        <f>'RC1_Structure_RE'!I115</f>
        <v>105822.24183992999</v>
      </c>
      <c r="J86" s="1203">
        <f>'RC1_Structure_RE'!L115</f>
        <v>17041.503880715998</v>
      </c>
      <c r="K86" s="1203">
        <f>'RC1_Structure_RE'!M115</f>
        <v>122863.74572064599</v>
      </c>
    </row>
    <row r="87" spans="1:11">
      <c r="A87" t="s">
        <v>10</v>
      </c>
      <c r="B87" t="s">
        <v>11</v>
      </c>
      <c r="C87" t="s">
        <v>16</v>
      </c>
      <c r="D87" t="s">
        <v>19</v>
      </c>
      <c r="E87" t="str" cm="1">
        <f t="array" ref="E87">_xlfn.LET(_xlpm.c,'RC1_Structure_RE'!C116, _xlpm.b, 'RC1_Structure_RE'!B116, IF(_xlpm.c&lt;&gt;"", _xlpm.c, _xlpm.b))</f>
        <v>ขนาดเส้นผ่านศูนย์กลาง 32 ม.ม. SD-50</v>
      </c>
      <c r="F87" s="1205"/>
      <c r="G87" s="1203" t="str">
        <f>'RC1_Structure_RE'!F116</f>
        <v>กก.</v>
      </c>
      <c r="H87" s="1203">
        <f>'RC1_Structure_RE'!E116</f>
        <v>16851</v>
      </c>
      <c r="I87" s="1203">
        <f>'RC1_Structure_RE'!I116</f>
        <v>303267.10837494221</v>
      </c>
      <c r="J87" s="1203">
        <f>'RC1_Structure_RE'!L116</f>
        <v>48837.820049990696</v>
      </c>
      <c r="K87" s="1203">
        <f>'RC1_Structure_RE'!M116</f>
        <v>352104.92842493288</v>
      </c>
    </row>
    <row r="88" spans="1:11">
      <c r="A88" t="s">
        <v>10</v>
      </c>
      <c r="B88" t="s">
        <v>11</v>
      </c>
      <c r="C88" t="s">
        <v>16</v>
      </c>
      <c r="D88" t="s">
        <v>19</v>
      </c>
      <c r="E88" t="str" cm="1">
        <f t="array" ref="E88">_xlfn.LET(_xlpm.c,'RC1_Structure_RE'!C117, _xlpm.b, 'RC1_Structure_RE'!B117, IF(_xlpm.c&lt;&gt;"", _xlpm.c, _xlpm.b))</f>
        <v>ลวดผูกเหล็ก</v>
      </c>
      <c r="F88" s="1205"/>
      <c r="G88" s="1203" t="str">
        <f>'RC1_Structure_RE'!F117</f>
        <v>กก.</v>
      </c>
      <c r="H88" s="1203">
        <f>'RC1_Structure_RE'!E117</f>
        <v>948</v>
      </c>
      <c r="I88" s="1203">
        <f>'RC1_Structure_RE'!I117</f>
        <v>24018.535653867599</v>
      </c>
      <c r="J88" s="1203">
        <f>'RC1_Structure_RE'!L117</f>
        <v>0</v>
      </c>
      <c r="K88" s="1203">
        <f>'RC1_Structure_RE'!M117</f>
        <v>24018.535653867599</v>
      </c>
    </row>
    <row r="89" spans="1:11">
      <c r="A89" t="s">
        <v>10</v>
      </c>
      <c r="B89" t="s">
        <v>11</v>
      </c>
      <c r="C89" t="s">
        <v>16</v>
      </c>
      <c r="D89" t="s">
        <v>19</v>
      </c>
      <c r="E89" t="str" cm="1">
        <f t="array" ref="E89">_xlfn.LET(_xlpm.c,'RC1_Structure_RE'!C118, _xlpm.b, 'RC1_Structure_RE'!B118, IF(_xlpm.c&lt;&gt;"", _xlpm.c, _xlpm.b))</f>
        <v>งานไม้แบบ</v>
      </c>
      <c r="F89" s="1205"/>
      <c r="G89" s="1203">
        <f>'RC1_Structure_RE'!F118</f>
        <v>0</v>
      </c>
      <c r="H89" s="1203">
        <f>'RC1_Structure_RE'!E118</f>
        <v>0</v>
      </c>
      <c r="I89" s="1203">
        <f>'RC1_Structure_RE'!I118</f>
        <v>0</v>
      </c>
      <c r="J89" s="1203">
        <f>'RC1_Structure_RE'!L118</f>
        <v>0</v>
      </c>
      <c r="K89" s="1203">
        <f>'RC1_Structure_RE'!M118</f>
        <v>0</v>
      </c>
    </row>
    <row r="90" spans="1:11">
      <c r="A90" t="s">
        <v>10</v>
      </c>
      <c r="B90" t="s">
        <v>11</v>
      </c>
      <c r="C90" t="s">
        <v>16</v>
      </c>
      <c r="D90" t="s">
        <v>19</v>
      </c>
      <c r="E90" t="str" cm="1">
        <f t="array" ref="E90">_xlfn.LET(_xlpm.c,'RC1_Structure_RE'!C119, _xlpm.b, 'RC1_Structure_RE'!B119, IF(_xlpm.c&lt;&gt;"", _xlpm.c, _xlpm.b))</f>
        <v>ไม้แบบ ค้ำยัน นั่งร้าน (อาคาร 4 ชั้นขึ้นไป ใช้ 50%)</v>
      </c>
      <c r="F90" s="1205"/>
      <c r="G90" s="1203" t="str">
        <f>'RC1_Structure_RE'!F119</f>
        <v>ตร.ม.</v>
      </c>
      <c r="H90" s="1203">
        <f>'RC1_Structure_RE'!E119</f>
        <v>633</v>
      </c>
      <c r="I90" s="1203">
        <f>'RC1_Structure_RE'!I119</f>
        <v>145108.57382774519</v>
      </c>
      <c r="J90" s="1203">
        <f>'RC1_Structure_RE'!L119</f>
        <v>0</v>
      </c>
      <c r="K90" s="1203">
        <f>'RC1_Structure_RE'!M119</f>
        <v>145108.57382774519</v>
      </c>
    </row>
    <row r="91" spans="1:11">
      <c r="A91" t="s">
        <v>10</v>
      </c>
      <c r="B91" t="s">
        <v>11</v>
      </c>
      <c r="C91" t="s">
        <v>16</v>
      </c>
      <c r="D91" t="s">
        <v>19</v>
      </c>
      <c r="E91" t="str" cm="1">
        <f t="array" ref="E91">_xlfn.LET(_xlpm.c,'RC1_Structure_RE'!C120, _xlpm.b, 'RC1_Structure_RE'!B120, IF(_xlpm.c&lt;&gt;"", _xlpm.c, _xlpm.b))</f>
        <v>ค่าแรงประกอบและติดตั้งไม้แบบหล่อคอนกรีต (ใช้ 100%)</v>
      </c>
      <c r="F91" s="1205"/>
      <c r="G91" s="1203" t="str">
        <f>'RC1_Structure_RE'!F120</f>
        <v>ตร.ม.</v>
      </c>
      <c r="H91" s="1203">
        <f>'RC1_Structure_RE'!E120</f>
        <v>1265</v>
      </c>
      <c r="I91" s="1203">
        <f>'RC1_Structure_RE'!I120</f>
        <v>0</v>
      </c>
      <c r="J91" s="1203">
        <f>'RC1_Structure_RE'!L120</f>
        <v>143101.70021405499</v>
      </c>
      <c r="K91" s="1203">
        <f>'RC1_Structure_RE'!M120</f>
        <v>143101.70021405499</v>
      </c>
    </row>
    <row r="92" spans="1:11">
      <c r="A92" t="s">
        <v>10</v>
      </c>
      <c r="B92" t="s">
        <v>11</v>
      </c>
      <c r="C92" t="s">
        <v>16</v>
      </c>
      <c r="D92" t="s">
        <v>19</v>
      </c>
      <c r="E92" t="str" cm="1">
        <f t="array" ref="E92">_xlfn.LET(_xlpm.c,'RC1_Structure_RE'!C121, _xlpm.b, 'RC1_Structure_RE'!B121, IF(_xlpm.c&lt;&gt;"", _xlpm.c, _xlpm.b))</f>
        <v>ไม้เคร่า (ใช้ 30% ของไม้แบบ 1 ตร.ม.)</v>
      </c>
      <c r="F92" s="1205"/>
      <c r="G92" s="1203" t="str">
        <f>'RC1_Structure_RE'!F121</f>
        <v>ลบ.ฟ.</v>
      </c>
      <c r="H92" s="1203">
        <f>'RC1_Structure_RE'!E121</f>
        <v>190</v>
      </c>
      <c r="I92" s="1203">
        <f>'RC1_Structure_RE'!I121</f>
        <v>54963.057101520601</v>
      </c>
      <c r="J92" s="1203">
        <f>'RC1_Structure_RE'!L121</f>
        <v>0</v>
      </c>
      <c r="K92" s="1203">
        <f>'RC1_Structure_RE'!M121</f>
        <v>54963.057101520601</v>
      </c>
    </row>
    <row r="93" spans="1:11">
      <c r="A93" t="s">
        <v>10</v>
      </c>
      <c r="B93" t="s">
        <v>11</v>
      </c>
      <c r="C93" t="s">
        <v>16</v>
      </c>
      <c r="D93" t="s">
        <v>19</v>
      </c>
      <c r="E93" t="str" cm="1">
        <f t="array" ref="E93">_xlfn.LET(_xlpm.c,'RC1_Structure_RE'!C122, _xlpm.b, 'RC1_Structure_RE'!B122, IF(_xlpm.c&lt;&gt;"", _xlpm.c, _xlpm.b))</f>
        <v>ตะปู (ใช้ 25% ของไม้แบบ 1 ตร.ม.)</v>
      </c>
      <c r="F93" s="1205"/>
      <c r="G93" s="1203" t="str">
        <f>'RC1_Structure_RE'!F122</f>
        <v>กก.</v>
      </c>
      <c r="H93" s="1203">
        <f>'RC1_Structure_RE'!E122</f>
        <v>158</v>
      </c>
      <c r="I93" s="1203">
        <f>'RC1_Structure_RE'!I122</f>
        <v>3450.6334125113599</v>
      </c>
      <c r="J93" s="1203">
        <f>'RC1_Structure_RE'!L122</f>
        <v>0</v>
      </c>
      <c r="K93" s="1203">
        <f>'RC1_Structure_RE'!M122</f>
        <v>3450.6334125113599</v>
      </c>
    </row>
    <row r="94" spans="1:11">
      <c r="A94" t="s">
        <v>10</v>
      </c>
      <c r="B94" t="s">
        <v>11</v>
      </c>
      <c r="C94" t="s">
        <v>16</v>
      </c>
      <c r="D94" t="s">
        <v>19</v>
      </c>
      <c r="E94" t="str" cm="1">
        <f t="array" ref="E94">_xlfn.LET(_xlpm.c,'RC1_Structure_RE'!C123, _xlpm.b, 'RC1_Structure_RE'!B123, IF(_xlpm.c&lt;&gt;"", _xlpm.c, _xlpm.b))</f>
        <v>งานคอนกรีตโครงสร้าง</v>
      </c>
      <c r="F94" s="1205"/>
      <c r="G94" s="1203">
        <f>'RC1_Structure_RE'!F123</f>
        <v>0</v>
      </c>
      <c r="H94" s="1203">
        <f>'RC1_Structure_RE'!E123</f>
        <v>0</v>
      </c>
      <c r="I94" s="1203">
        <f>'RC1_Structure_RE'!I123</f>
        <v>0</v>
      </c>
      <c r="J94" s="1203">
        <f>'RC1_Structure_RE'!L123</f>
        <v>0</v>
      </c>
      <c r="K94" s="1203">
        <f>'RC1_Structure_RE'!M123</f>
        <v>0</v>
      </c>
    </row>
    <row r="95" spans="1:11">
      <c r="A95" t="s">
        <v>10</v>
      </c>
      <c r="B95" t="s">
        <v>11</v>
      </c>
      <c r="C95" t="s">
        <v>16</v>
      </c>
      <c r="D95" t="s">
        <v>19</v>
      </c>
      <c r="E95" t="str" cm="1">
        <f t="array" ref="E95">_xlfn.LET(_xlpm.c,'RC1_Structure_RE'!C124, _xlpm.b, 'RC1_Structure_RE'!B124, IF(_xlpm.c&lt;&gt;"", _xlpm.c, _xlpm.b))</f>
        <v>งานคอนกรีตโครงสร้าง 320 ksc.</v>
      </c>
      <c r="F95" s="1205"/>
      <c r="G95" s="1203" t="str">
        <f>'RC1_Structure_RE'!F124</f>
        <v>ลบ.ม.</v>
      </c>
      <c r="H95" s="1203">
        <f>'RC1_Structure_RE'!E124</f>
        <v>88</v>
      </c>
      <c r="I95" s="1203">
        <f>'RC1_Structure_RE'!I124</f>
        <v>220480.48661366638</v>
      </c>
      <c r="J95" s="1203">
        <f>'RC1_Structure_RE'!L124</f>
        <v>42699.120322584</v>
      </c>
      <c r="K95" s="1203">
        <f>'RC1_Structure_RE'!M124</f>
        <v>263179.60693625035</v>
      </c>
    </row>
    <row r="96" spans="1:11">
      <c r="A96" t="s">
        <v>10</v>
      </c>
      <c r="B96" t="s">
        <v>11</v>
      </c>
      <c r="C96" t="s">
        <v>16</v>
      </c>
      <c r="D96" t="s">
        <v>19</v>
      </c>
      <c r="E96" t="str" cm="1">
        <f t="array" ref="E96">_xlfn.LET(_xlpm.c,'RC1_Structure_RE'!C125, _xlpm.b, 'RC1_Structure_RE'!B125, IF(_xlpm.c&lt;&gt;"", _xlpm.c, _xlpm.b))</f>
        <v>งานคอนกรีตโครงสร้าง 550 ksc.</v>
      </c>
      <c r="F96" s="1205"/>
      <c r="G96" s="1203" t="str">
        <f>'RC1_Structure_RE'!F125</f>
        <v>ลบ.ม.</v>
      </c>
      <c r="H96" s="1203">
        <f>'RC1_Structure_RE'!E125</f>
        <v>87</v>
      </c>
      <c r="I96" s="1203">
        <f>'RC1_Structure_RE'!I125</f>
        <v>246044.425269225</v>
      </c>
      <c r="J96" s="1203">
        <f>'RC1_Structure_RE'!L125</f>
        <v>42213.903046190993</v>
      </c>
      <c r="K96" s="1203">
        <f>'RC1_Structure_RE'!M125</f>
        <v>288258.328315416</v>
      </c>
    </row>
    <row r="97" spans="1:11">
      <c r="A97" t="s">
        <v>10</v>
      </c>
      <c r="B97" t="s">
        <v>11</v>
      </c>
      <c r="C97" t="s">
        <v>16</v>
      </c>
      <c r="D97" t="s">
        <v>19</v>
      </c>
      <c r="E97" t="str" cm="1">
        <f t="array" ref="E97">_xlfn.LET(_xlpm.c,'RC1_Structure_RE'!C126, _xlpm.b, 'RC1_Structure_RE'!B126, IF(_xlpm.c&lt;&gt;"", _xlpm.c, _xlpm.b))</f>
        <v>เสาเหล็กรูปพรรณ (เสา Composite)</v>
      </c>
      <c r="F97" s="1205"/>
      <c r="G97" s="1203">
        <f>'RC1_Structure_RE'!F126</f>
        <v>0</v>
      </c>
      <c r="H97" s="1203">
        <f>'RC1_Structure_RE'!E126</f>
        <v>0</v>
      </c>
      <c r="I97" s="1203">
        <f>'RC1_Structure_RE'!I126</f>
        <v>0</v>
      </c>
      <c r="J97" s="1203">
        <f>'RC1_Structure_RE'!L126</f>
        <v>0</v>
      </c>
      <c r="K97" s="1203">
        <f>'RC1_Structure_RE'!M126</f>
        <v>0</v>
      </c>
    </row>
    <row r="98" spans="1:11">
      <c r="A98" t="s">
        <v>10</v>
      </c>
      <c r="B98" t="s">
        <v>11</v>
      </c>
      <c r="C98" t="s">
        <v>16</v>
      </c>
      <c r="D98" t="s">
        <v>19</v>
      </c>
      <c r="E98" t="str" cm="1">
        <f t="array" ref="E98">_xlfn.LET(_xlpm.c,'RC1_Structure_RE'!C127, _xlpm.b, 'RC1_Structure_RE'!B127, IF(_xlpm.c&lt;&gt;"", _xlpm.c, _xlpm.b))</f>
        <v>WF300x300x10x15 mm.-94.0 Kg./m.(sm520)</v>
      </c>
      <c r="F98" s="1205"/>
      <c r="G98" s="1203" t="str">
        <f>'RC1_Structure_RE'!F127</f>
        <v>กก.</v>
      </c>
      <c r="H98" s="1203">
        <f>'RC1_Structure_RE'!E127</f>
        <v>5170</v>
      </c>
      <c r="I98" s="1203">
        <f>'RC1_Structure_RE'!I127</f>
        <v>176541.80287516688</v>
      </c>
      <c r="J98" s="1203">
        <f>'RC1_Structure_RE'!L127</f>
        <v>67668.644441859986</v>
      </c>
      <c r="K98" s="1203">
        <f>'RC1_Structure_RE'!M127</f>
        <v>244210.44731702685</v>
      </c>
    </row>
    <row r="99" spans="1:11">
      <c r="A99" t="s">
        <v>10</v>
      </c>
      <c r="B99" t="s">
        <v>11</v>
      </c>
      <c r="C99" t="s">
        <v>16</v>
      </c>
      <c r="D99" t="s">
        <v>20</v>
      </c>
      <c r="E99" t="str" cm="1">
        <f t="array" ref="E99">_xlfn.LET(_xlpm.c,'RC1_Structure_RE'!C128, _xlpm.b, 'RC1_Structure_RE'!B128, IF(_xlpm.c&lt;&gt;"", _xlpm.c, _xlpm.b))</f>
        <v>โครงสร้างผนัง ชั้นใต้ดิน</v>
      </c>
      <c r="F99" s="1205"/>
      <c r="G99" s="1203">
        <f>'RC1_Structure_RE'!F128</f>
        <v>0</v>
      </c>
      <c r="H99" s="1203">
        <f>'RC1_Structure_RE'!E128</f>
        <v>0</v>
      </c>
      <c r="I99" s="1203">
        <f>'RC1_Structure_RE'!I128</f>
        <v>0</v>
      </c>
      <c r="J99" s="1203">
        <f>'RC1_Structure_RE'!L128</f>
        <v>0</v>
      </c>
      <c r="K99" s="1203">
        <f>'RC1_Structure_RE'!M128</f>
        <v>0</v>
      </c>
    </row>
    <row r="100" spans="1:11">
      <c r="A100" t="s">
        <v>10</v>
      </c>
      <c r="B100" t="s">
        <v>11</v>
      </c>
      <c r="C100" t="s">
        <v>16</v>
      </c>
      <c r="D100" t="s">
        <v>20</v>
      </c>
      <c r="E100" t="str" cm="1">
        <f t="array" ref="E100">_xlfn.LET(_xlpm.c,'RC1_Structure_RE'!C129, _xlpm.b, 'RC1_Structure_RE'!B129, IF(_xlpm.c&lt;&gt;"", _xlpm.c, _xlpm.b))</f>
        <v xml:space="preserve">งานเหล็กเสริม </v>
      </c>
      <c r="F100" s="1205"/>
      <c r="G100" s="1203">
        <f>'RC1_Structure_RE'!F129</f>
        <v>0</v>
      </c>
      <c r="H100" s="1203">
        <f>'RC1_Structure_RE'!E129</f>
        <v>0</v>
      </c>
      <c r="I100" s="1203">
        <f>'RC1_Structure_RE'!I129</f>
        <v>0</v>
      </c>
      <c r="J100" s="1203">
        <f>'RC1_Structure_RE'!L129</f>
        <v>0</v>
      </c>
      <c r="K100" s="1203">
        <f>'RC1_Structure_RE'!M129</f>
        <v>0</v>
      </c>
    </row>
    <row r="101" spans="1:11">
      <c r="A101" t="s">
        <v>10</v>
      </c>
      <c r="B101" t="s">
        <v>11</v>
      </c>
      <c r="C101" t="s">
        <v>16</v>
      </c>
      <c r="D101" t="s">
        <v>20</v>
      </c>
      <c r="E101" t="str" cm="1">
        <f t="array" ref="E101">_xlfn.LET(_xlpm.c,'RC1_Structure_RE'!C130, _xlpm.b, 'RC1_Structure_RE'!B130, IF(_xlpm.c&lt;&gt;"", _xlpm.c, _xlpm.b))</f>
        <v>ขนาดเส้นผ่านศูนย์กลาง 9 ม.ม. SR-24</v>
      </c>
      <c r="F101" s="1205"/>
      <c r="G101" s="1203" t="str">
        <f>'RC1_Structure_RE'!F130</f>
        <v>กก.</v>
      </c>
      <c r="H101" s="1203">
        <f>'RC1_Structure_RE'!E130</f>
        <v>136</v>
      </c>
      <c r="I101" s="1203">
        <f>'RC1_Structure_RE'!I130</f>
        <v>2492.0908900832001</v>
      </c>
      <c r="J101" s="1203">
        <f>'RC1_Structure_RE'!L130</f>
        <v>559.44897532480002</v>
      </c>
      <c r="K101" s="1203">
        <f>'RC1_Structure_RE'!M130</f>
        <v>3051.539865408</v>
      </c>
    </row>
    <row r="102" spans="1:11">
      <c r="A102" t="s">
        <v>10</v>
      </c>
      <c r="B102" t="s">
        <v>11</v>
      </c>
      <c r="C102" t="s">
        <v>16</v>
      </c>
      <c r="D102" t="s">
        <v>20</v>
      </c>
      <c r="E102" t="str" cm="1">
        <f t="array" ref="E102">_xlfn.LET(_xlpm.c,'RC1_Structure_RE'!C131, _xlpm.b, 'RC1_Structure_RE'!B131, IF(_xlpm.c&lt;&gt;"", _xlpm.c, _xlpm.b))</f>
        <v>ขนาดเส้นผ่านศูนย์กลาง 12 ม.ม. SD-50</v>
      </c>
      <c r="F102" s="1205"/>
      <c r="G102" s="1203" t="str">
        <f>'RC1_Structure_RE'!F131</f>
        <v>กก.</v>
      </c>
      <c r="H102" s="1203">
        <f>'RC1_Structure_RE'!E131</f>
        <v>18458</v>
      </c>
      <c r="I102" s="1203">
        <f>'RC1_Structure_RE'!I131</f>
        <v>335639.56162818067</v>
      </c>
      <c r="J102" s="1203">
        <f>'RC1_Structure_RE'!L131</f>
        <v>62123.517833493599</v>
      </c>
      <c r="K102" s="1203">
        <f>'RC1_Structure_RE'!M131</f>
        <v>397763.07946167426</v>
      </c>
    </row>
    <row r="103" spans="1:11">
      <c r="A103" t="s">
        <v>10</v>
      </c>
      <c r="B103" t="s">
        <v>11</v>
      </c>
      <c r="C103" t="s">
        <v>16</v>
      </c>
      <c r="D103" t="s">
        <v>20</v>
      </c>
      <c r="E103" t="str" cm="1">
        <f t="array" ref="E103">_xlfn.LET(_xlpm.c,'RC1_Structure_RE'!C132, _xlpm.b, 'RC1_Structure_RE'!B132, IF(_xlpm.c&lt;&gt;"", _xlpm.c, _xlpm.b))</f>
        <v>ขนาดเส้นผ่านศูนย์กลาง 16 ม.ม. SD-50</v>
      </c>
      <c r="F103" s="1205"/>
      <c r="G103" s="1203" t="str">
        <f>'RC1_Structure_RE'!F132</f>
        <v>กก.</v>
      </c>
      <c r="H103" s="1203">
        <f>'RC1_Structure_RE'!E132</f>
        <v>112574</v>
      </c>
      <c r="I103" s="1203">
        <f>'RC1_Structure_RE'!I132</f>
        <v>2025992.0157973263</v>
      </c>
      <c r="J103" s="1203">
        <f>'RC1_Structure_RE'!L132</f>
        <v>378886.81853872084</v>
      </c>
      <c r="K103" s="1203">
        <f>'RC1_Structure_RE'!M132</f>
        <v>2404878.8343360471</v>
      </c>
    </row>
    <row r="104" spans="1:11">
      <c r="A104" t="s">
        <v>10</v>
      </c>
      <c r="B104" t="s">
        <v>11</v>
      </c>
      <c r="C104" t="s">
        <v>16</v>
      </c>
      <c r="D104" t="s">
        <v>20</v>
      </c>
      <c r="E104" t="str" cm="1">
        <f t="array" ref="E104">_xlfn.LET(_xlpm.c,'RC1_Structure_RE'!C133, _xlpm.b, 'RC1_Structure_RE'!B133, IF(_xlpm.c&lt;&gt;"", _xlpm.c, _xlpm.b))</f>
        <v>ขนาดเส้นผ่านศูนย์กลาง 20 ม.ม. SD-50</v>
      </c>
      <c r="F104" s="1205"/>
      <c r="G104" s="1203" t="str">
        <f>'RC1_Structure_RE'!F133</f>
        <v>กก.</v>
      </c>
      <c r="H104" s="1203">
        <f>'RC1_Structure_RE'!E133</f>
        <v>79614</v>
      </c>
      <c r="I104" s="1203">
        <f>'RC1_Structure_RE'!I133</f>
        <v>1432811.5581367663</v>
      </c>
      <c r="J104" s="1203">
        <f>'RC1_Structure_RE'!L133</f>
        <v>230738.4846869598</v>
      </c>
      <c r="K104" s="1203">
        <f>'RC1_Structure_RE'!M133</f>
        <v>1663550.0428237261</v>
      </c>
    </row>
    <row r="105" spans="1:11">
      <c r="A105" t="s">
        <v>10</v>
      </c>
      <c r="B105" t="s">
        <v>11</v>
      </c>
      <c r="C105" t="s">
        <v>16</v>
      </c>
      <c r="D105" t="s">
        <v>20</v>
      </c>
      <c r="E105" t="str" cm="1">
        <f t="array" ref="E105">_xlfn.LET(_xlpm.c,'RC1_Structure_RE'!C134, _xlpm.b, 'RC1_Structure_RE'!B134, IF(_xlpm.c&lt;&gt;"", _xlpm.c, _xlpm.b))</f>
        <v>ลวดผูกเหล็ก</v>
      </c>
      <c r="F105" s="1205"/>
      <c r="G105" s="1203" t="str">
        <f>'RC1_Structure_RE'!F134</f>
        <v>กก.</v>
      </c>
      <c r="H105" s="1203">
        <f>'RC1_Structure_RE'!E134</f>
        <v>3794</v>
      </c>
      <c r="I105" s="1203">
        <f>'RC1_Structure_RE'!I134</f>
        <v>96124.814631617803</v>
      </c>
      <c r="J105" s="1203">
        <f>'RC1_Structure_RE'!L134</f>
        <v>0</v>
      </c>
      <c r="K105" s="1203">
        <f>'RC1_Structure_RE'!M134</f>
        <v>96124.814631617803</v>
      </c>
    </row>
    <row r="106" spans="1:11">
      <c r="A106" t="s">
        <v>10</v>
      </c>
      <c r="B106" t="s">
        <v>11</v>
      </c>
      <c r="C106" t="s">
        <v>16</v>
      </c>
      <c r="D106" t="s">
        <v>20</v>
      </c>
      <c r="E106" t="str" cm="1">
        <f t="array" ref="E106">_xlfn.LET(_xlpm.c,'RC1_Structure_RE'!C135, _xlpm.b, 'RC1_Structure_RE'!B135, IF(_xlpm.c&lt;&gt;"", _xlpm.c, _xlpm.b))</f>
        <v>งานไม้แบบ</v>
      </c>
      <c r="F106" s="1205"/>
      <c r="G106" s="1203">
        <f>'RC1_Structure_RE'!F135</f>
        <v>0</v>
      </c>
      <c r="H106" s="1203">
        <f>'RC1_Structure_RE'!E135</f>
        <v>0</v>
      </c>
      <c r="I106" s="1203">
        <f>'RC1_Structure_RE'!I135</f>
        <v>0</v>
      </c>
      <c r="J106" s="1203">
        <f>'RC1_Structure_RE'!L135</f>
        <v>0</v>
      </c>
      <c r="K106" s="1203">
        <f>'RC1_Structure_RE'!M135</f>
        <v>0</v>
      </c>
    </row>
    <row r="107" spans="1:11">
      <c r="A107" t="s">
        <v>10</v>
      </c>
      <c r="B107" t="s">
        <v>11</v>
      </c>
      <c r="C107" t="s">
        <v>16</v>
      </c>
      <c r="D107" t="s">
        <v>20</v>
      </c>
      <c r="E107" t="str" cm="1">
        <f t="array" ref="E107">_xlfn.LET(_xlpm.c,'RC1_Structure_RE'!C136, _xlpm.b, 'RC1_Structure_RE'!B136, IF(_xlpm.c&lt;&gt;"", _xlpm.c, _xlpm.b))</f>
        <v>ไม้แบบ ค้ำยัน นั่งร้าน (อาคาร 4 ชั้นขึ้นไป ใช้ 50%)</v>
      </c>
      <c r="F107" s="1205"/>
      <c r="G107" s="1203" t="str">
        <f>'RC1_Structure_RE'!F136</f>
        <v>ตร.ม.</v>
      </c>
      <c r="H107" s="1203">
        <f>'RC1_Structure_RE'!E136</f>
        <v>4285</v>
      </c>
      <c r="I107" s="1203">
        <f>'RC1_Structure_RE'!I136</f>
        <v>982291.05663805385</v>
      </c>
      <c r="J107" s="1203">
        <f>'RC1_Structure_RE'!L136</f>
        <v>0</v>
      </c>
      <c r="K107" s="1203">
        <f>'RC1_Structure_RE'!M136</f>
        <v>982291.05663805385</v>
      </c>
    </row>
    <row r="108" spans="1:11">
      <c r="A108" t="s">
        <v>10</v>
      </c>
      <c r="B108" t="s">
        <v>11</v>
      </c>
      <c r="C108" t="s">
        <v>16</v>
      </c>
      <c r="D108" t="s">
        <v>20</v>
      </c>
      <c r="E108" t="str" cm="1">
        <f t="array" ref="E108">_xlfn.LET(_xlpm.c,'RC1_Structure_RE'!C137, _xlpm.b, 'RC1_Structure_RE'!B137, IF(_xlpm.c&lt;&gt;"", _xlpm.c, _xlpm.b))</f>
        <v>ค่าแรงประกอบและติดตั้งไม้แบบหล่อคอนกรีต (ใช้ 100%)</v>
      </c>
      <c r="F108" s="1205"/>
      <c r="G108" s="1203" t="str">
        <f>'RC1_Structure_RE'!F137</f>
        <v>ตร.ม.</v>
      </c>
      <c r="H108" s="1203">
        <f>'RC1_Structure_RE'!E137</f>
        <v>8570</v>
      </c>
      <c r="I108" s="1203">
        <f>'RC1_Structure_RE'!I137</f>
        <v>0</v>
      </c>
      <c r="J108" s="1203">
        <f>'RC1_Structure_RE'!L137</f>
        <v>969471.59749759</v>
      </c>
      <c r="K108" s="1203">
        <f>'RC1_Structure_RE'!M137</f>
        <v>969471.59749759</v>
      </c>
    </row>
    <row r="109" spans="1:11">
      <c r="A109" t="s">
        <v>10</v>
      </c>
      <c r="B109" t="s">
        <v>11</v>
      </c>
      <c r="C109" t="s">
        <v>16</v>
      </c>
      <c r="D109" t="s">
        <v>20</v>
      </c>
      <c r="E109" t="str" cm="1">
        <f t="array" ref="E109">_xlfn.LET(_xlpm.c,'RC1_Structure_RE'!C138, _xlpm.b, 'RC1_Structure_RE'!B138, IF(_xlpm.c&lt;&gt;"", _xlpm.c, _xlpm.b))</f>
        <v>ไม้เคร่า (ใช้ 30% ของไม้แบบ 1 ตร.ม.)</v>
      </c>
      <c r="F109" s="1205"/>
      <c r="G109" s="1203" t="str">
        <f>'RC1_Structure_RE'!F138</f>
        <v>ลบ.ฟ.</v>
      </c>
      <c r="H109" s="1203">
        <f>'RC1_Structure_RE'!E138</f>
        <v>1286</v>
      </c>
      <c r="I109" s="1203">
        <f>'RC1_Structure_RE'!I138</f>
        <v>372013.11280292366</v>
      </c>
      <c r="J109" s="1203">
        <f>'RC1_Structure_RE'!L138</f>
        <v>0</v>
      </c>
      <c r="K109" s="1203">
        <f>'RC1_Structure_RE'!M138</f>
        <v>372013.11280292366</v>
      </c>
    </row>
    <row r="110" spans="1:11">
      <c r="A110" t="s">
        <v>10</v>
      </c>
      <c r="B110" t="s">
        <v>11</v>
      </c>
      <c r="C110" t="s">
        <v>16</v>
      </c>
      <c r="D110" t="s">
        <v>20</v>
      </c>
      <c r="E110" t="str" cm="1">
        <f t="array" ref="E110">_xlfn.LET(_xlpm.c,'RC1_Structure_RE'!C139, _xlpm.b, 'RC1_Structure_RE'!B139, IF(_xlpm.c&lt;&gt;"", _xlpm.c, _xlpm.b))</f>
        <v>ตะปู (ใช้ 25% ของไม้แบบ 1 ตร.ม.)</v>
      </c>
      <c r="F110" s="1205"/>
      <c r="G110" s="1203" t="str">
        <f>'RC1_Structure_RE'!F139</f>
        <v>กก.</v>
      </c>
      <c r="H110" s="1203">
        <f>'RC1_Structure_RE'!E139</f>
        <v>1071</v>
      </c>
      <c r="I110" s="1203">
        <f>'RC1_Structure_RE'!I139</f>
        <v>23390.053068352321</v>
      </c>
      <c r="J110" s="1203">
        <f>'RC1_Structure_RE'!L139</f>
        <v>0</v>
      </c>
      <c r="K110" s="1203">
        <f>'RC1_Structure_RE'!M139</f>
        <v>23390.053068352321</v>
      </c>
    </row>
    <row r="111" spans="1:11">
      <c r="A111" t="s">
        <v>10</v>
      </c>
      <c r="B111" t="s">
        <v>11</v>
      </c>
      <c r="C111" t="s">
        <v>16</v>
      </c>
      <c r="D111" t="s">
        <v>20</v>
      </c>
      <c r="E111" t="str" cm="1">
        <f t="array" ref="E111">_xlfn.LET(_xlpm.c,'RC1_Structure_RE'!C140, _xlpm.b, 'RC1_Structure_RE'!B140, IF(_xlpm.c&lt;&gt;"", _xlpm.c, _xlpm.b))</f>
        <v>งานคอนกรีตโครงสร้าง</v>
      </c>
      <c r="F111" s="1205"/>
      <c r="G111" s="1203">
        <f>'RC1_Structure_RE'!F140</f>
        <v>0</v>
      </c>
      <c r="H111" s="1203">
        <f>'RC1_Structure_RE'!E140</f>
        <v>0</v>
      </c>
      <c r="I111" s="1203">
        <f>'RC1_Structure_RE'!I140</f>
        <v>0</v>
      </c>
      <c r="J111" s="1203">
        <f>'RC1_Structure_RE'!L140</f>
        <v>0</v>
      </c>
      <c r="K111" s="1203">
        <f>'RC1_Structure_RE'!M140</f>
        <v>0</v>
      </c>
    </row>
    <row r="112" spans="1:11">
      <c r="A112" t="s">
        <v>10</v>
      </c>
      <c r="B112" t="s">
        <v>11</v>
      </c>
      <c r="C112" t="s">
        <v>16</v>
      </c>
      <c r="D112" t="s">
        <v>20</v>
      </c>
      <c r="E112" t="str" cm="1">
        <f t="array" ref="E112">_xlfn.LET(_xlpm.c,'RC1_Structure_RE'!C141, _xlpm.b, 'RC1_Structure_RE'!B141, IF(_xlpm.c&lt;&gt;"", _xlpm.c, _xlpm.b))</f>
        <v>งานคอนกรีตโครงสร้าง 320 ksc.ผสมน้ำยากันซึม</v>
      </c>
      <c r="F112" s="1205"/>
      <c r="G112" s="1203" t="str">
        <f>'RC1_Structure_RE'!F141</f>
        <v>ลบ.ม.</v>
      </c>
      <c r="H112" s="1203">
        <f>'RC1_Structure_RE'!E141</f>
        <v>1344</v>
      </c>
      <c r="I112" s="1203">
        <f>'RC1_Structure_RE'!I141</f>
        <v>2839727.0982796801</v>
      </c>
      <c r="J112" s="1203">
        <f>'RC1_Structure_RE'!L141</f>
        <v>652132.01947219193</v>
      </c>
      <c r="K112" s="1203">
        <f>'RC1_Structure_RE'!M141</f>
        <v>3491859.1177518722</v>
      </c>
    </row>
    <row r="113" spans="1:11">
      <c r="A113" t="s">
        <v>10</v>
      </c>
      <c r="B113" t="s">
        <v>11</v>
      </c>
      <c r="C113" t="s">
        <v>16</v>
      </c>
      <c r="D113" t="s">
        <v>20</v>
      </c>
      <c r="E113" t="str" cm="1">
        <f t="array" ref="E113">_xlfn.LET(_xlpm.c,'RC1_Structure_RE'!C142, _xlpm.b, 'RC1_Structure_RE'!B142, IF(_xlpm.c&lt;&gt;"", _xlpm.c, _xlpm.b))</f>
        <v>งาน WATER STOP</v>
      </c>
      <c r="F113" s="1205"/>
      <c r="G113" s="1203">
        <f>'RC1_Structure_RE'!F142</f>
        <v>0</v>
      </c>
      <c r="H113" s="1203">
        <f>'RC1_Structure_RE'!E142</f>
        <v>0</v>
      </c>
      <c r="I113" s="1203">
        <f>'RC1_Structure_RE'!I142</f>
        <v>0</v>
      </c>
      <c r="J113" s="1203">
        <f>'RC1_Structure_RE'!L142</f>
        <v>0</v>
      </c>
      <c r="K113" s="1203">
        <f>'RC1_Structure_RE'!M142</f>
        <v>0</v>
      </c>
    </row>
    <row r="114" spans="1:11">
      <c r="A114" t="s">
        <v>10</v>
      </c>
      <c r="B114" t="s">
        <v>11</v>
      </c>
      <c r="C114" t="s">
        <v>16</v>
      </c>
      <c r="D114" t="s">
        <v>20</v>
      </c>
      <c r="E114" t="str" cm="1">
        <f t="array" ref="E114">_xlfn.LET(_xlpm.c,'RC1_Structure_RE'!C143, _xlpm.b, 'RC1_Structure_RE'!B143, IF(_xlpm.c&lt;&gt;"", _xlpm.c, _xlpm.b))</f>
        <v>WATER STOP 8"</v>
      </c>
      <c r="F114" s="1205"/>
      <c r="G114" s="1203" t="str">
        <f>'RC1_Structure_RE'!F143</f>
        <v>เมตร</v>
      </c>
      <c r="H114" s="1203">
        <f>'RC1_Structure_RE'!E143</f>
        <v>646</v>
      </c>
      <c r="I114" s="1203">
        <f>'RC1_Structure_RE'!I143</f>
        <v>110885.32985926319</v>
      </c>
      <c r="J114" s="1203">
        <f>'RC1_Structure_RE'!L143</f>
        <v>33265.598957778959</v>
      </c>
      <c r="K114" s="1203">
        <f>'RC1_Structure_RE'!M143</f>
        <v>144150.92881704215</v>
      </c>
    </row>
    <row r="115" spans="1:11">
      <c r="A115" t="s">
        <v>10</v>
      </c>
      <c r="B115" t="s">
        <v>11</v>
      </c>
      <c r="C115" t="s">
        <v>16</v>
      </c>
      <c r="D115" t="s">
        <v>20</v>
      </c>
      <c r="E115" t="str" cm="1">
        <f t="array" ref="E115">_xlfn.LET(_xlpm.c,'RC1_Structure_RE'!C144, _xlpm.b, 'RC1_Structure_RE'!B144, IF(_xlpm.c&lt;&gt;"", _xlpm.c, _xlpm.b))</f>
        <v>งาน WATER PROOF MEMBRANE</v>
      </c>
      <c r="F115" s="1205"/>
      <c r="G115" s="1203">
        <f>'RC1_Structure_RE'!F144</f>
        <v>0</v>
      </c>
      <c r="H115" s="1203">
        <f>'RC1_Structure_RE'!E144</f>
        <v>0</v>
      </c>
      <c r="I115" s="1203">
        <f>'RC1_Structure_RE'!I144</f>
        <v>0</v>
      </c>
      <c r="J115" s="1203">
        <f>'RC1_Structure_RE'!L144</f>
        <v>0</v>
      </c>
      <c r="K115" s="1203">
        <f>'RC1_Structure_RE'!M144</f>
        <v>0</v>
      </c>
    </row>
    <row r="116" spans="1:11">
      <c r="A116" t="s">
        <v>10</v>
      </c>
      <c r="B116" t="s">
        <v>11</v>
      </c>
      <c r="C116" t="s">
        <v>16</v>
      </c>
      <c r="D116" t="s">
        <v>20</v>
      </c>
      <c r="E116" t="str" cm="1">
        <f t="array" ref="E116">_xlfn.LET(_xlpm.c,'RC1_Structure_RE'!C145, _xlpm.b, 'RC1_Structure_RE'!B145, IF(_xlpm.c&lt;&gt;"", _xlpm.c, _xlpm.b))</f>
        <v>WATER PROOF MEMBRANE (โครงสร้างพื้นและผนังส่วนที่สัมผัสน้ำและดิน)</v>
      </c>
      <c r="F116" s="1205"/>
      <c r="G116" s="1203" t="str">
        <f>'RC1_Structure_RE'!F145</f>
        <v>ตร.ม.</v>
      </c>
      <c r="H116" s="1203">
        <f>'RC1_Structure_RE'!E145</f>
        <v>4264</v>
      </c>
      <c r="I116" s="1203">
        <f>'RC1_Structure_RE'!I145</f>
        <v>964720.394802736</v>
      </c>
      <c r="J116" s="1203">
        <f>'RC1_Structure_RE'!L145</f>
        <v>289416.11844082078</v>
      </c>
      <c r="K116" s="1203">
        <f>'RC1_Structure_RE'!M145</f>
        <v>1254136.5132435567</v>
      </c>
    </row>
    <row r="117" spans="1:11">
      <c r="A117" t="s">
        <v>10</v>
      </c>
      <c r="B117" t="s">
        <v>11</v>
      </c>
      <c r="C117" t="s">
        <v>16</v>
      </c>
      <c r="D117" t="s">
        <v>21</v>
      </c>
      <c r="E117" t="str" cm="1">
        <f t="array" ref="E117">_xlfn.LET(_xlpm.c,'RC1_Structure_RE'!C146, _xlpm.b, 'RC1_Structure_RE'!B146, IF(_xlpm.c&lt;&gt;"", _xlpm.c, _xlpm.b))</f>
        <v>ห้องเก็บหนังสือ ชั้น BM  (ref. dwg S-202C)</v>
      </c>
      <c r="F117" s="1205"/>
      <c r="G117" s="1203">
        <f>'RC1_Structure_RE'!F146</f>
        <v>0</v>
      </c>
      <c r="H117" s="1203">
        <f>'RC1_Structure_RE'!E146</f>
        <v>0</v>
      </c>
      <c r="I117" s="1203">
        <f>'RC1_Structure_RE'!I146</f>
        <v>0</v>
      </c>
      <c r="J117" s="1203">
        <f>'RC1_Structure_RE'!L146</f>
        <v>0</v>
      </c>
      <c r="K117" s="1203">
        <f>'RC1_Structure_RE'!M146</f>
        <v>0</v>
      </c>
    </row>
    <row r="118" spans="1:11">
      <c r="A118" t="s">
        <v>10</v>
      </c>
      <c r="B118" t="s">
        <v>11</v>
      </c>
      <c r="C118" t="s">
        <v>16</v>
      </c>
      <c r="D118" t="s">
        <v>21</v>
      </c>
      <c r="E118" t="str" cm="1">
        <f t="array" ref="E118">_xlfn.LET(_xlpm.c,'RC1_Structure_RE'!C147, _xlpm.b, 'RC1_Structure_RE'!B147, IF(_xlpm.c&lt;&gt;"", _xlpm.c, _xlpm.b))</f>
        <v>WF-125x125x6.5x9 mm. -23.8 kg/m.</v>
      </c>
      <c r="F118" s="1205"/>
      <c r="G118" s="1203" t="str">
        <f>'RC1_Structure_RE'!F147</f>
        <v>กก.</v>
      </c>
      <c r="H118" s="1203">
        <f>'RC1_Structure_RE'!E147</f>
        <v>1764.15</v>
      </c>
      <c r="I118" s="1203">
        <f>'RC1_Structure_RE'!I147</f>
        <v>52211.310546331966</v>
      </c>
      <c r="J118" s="1203">
        <f>'RC1_Structure_RE'!L147</f>
        <v>23090.452435610699</v>
      </c>
      <c r="K118" s="1203">
        <f>'RC1_Structure_RE'!M147</f>
        <v>75301.762981942666</v>
      </c>
    </row>
    <row r="119" spans="1:11">
      <c r="A119" t="s">
        <v>10</v>
      </c>
      <c r="B119" t="s">
        <v>11</v>
      </c>
      <c r="C119" t="s">
        <v>16</v>
      </c>
      <c r="D119" t="s">
        <v>21</v>
      </c>
      <c r="E119" t="str" cm="1">
        <f t="array" ref="E119">_xlfn.LET(_xlpm.c,'RC1_Structure_RE'!C148, _xlpm.b, 'RC1_Structure_RE'!B148, IF(_xlpm.c&lt;&gt;"", _xlpm.c, _xlpm.b))</f>
        <v>WF-300x150x6.5x9 mm. -36.7 kg/m.</v>
      </c>
      <c r="F119" s="1205"/>
      <c r="G119" s="1203" t="str">
        <f>'RC1_Structure_RE'!F148</f>
        <v>กก.</v>
      </c>
      <c r="H119" s="1203">
        <f>'RC1_Structure_RE'!E148</f>
        <v>209.95</v>
      </c>
      <c r="I119" s="1203">
        <f>'RC1_Structure_RE'!I148</f>
        <v>6477.3701674324493</v>
      </c>
      <c r="J119" s="1203">
        <f>'RC1_Structure_RE'!L148</f>
        <v>2747.9752225470997</v>
      </c>
      <c r="K119" s="1203">
        <f>'RC1_Structure_RE'!M148</f>
        <v>9225.3453899795495</v>
      </c>
    </row>
    <row r="120" spans="1:11">
      <c r="A120" t="s">
        <v>10</v>
      </c>
      <c r="B120" t="s">
        <v>11</v>
      </c>
      <c r="C120" t="s">
        <v>16</v>
      </c>
      <c r="D120" t="s">
        <v>21</v>
      </c>
      <c r="E120" t="str" cm="1">
        <f t="array" ref="E120">_xlfn.LET(_xlpm.c,'RC1_Structure_RE'!C149, _xlpm.b, 'RC1_Structure_RE'!B149, IF(_xlpm.c&lt;&gt;"", _xlpm.c, _xlpm.b))</f>
        <v>WF-250x125x6x9 mm. -29.6 kg/m.</v>
      </c>
      <c r="F120" s="1205"/>
      <c r="G120" s="1203" t="str">
        <f>'RC1_Structure_RE'!F149</f>
        <v>กก.</v>
      </c>
      <c r="H120" s="1203">
        <f>'RC1_Structure_RE'!E149</f>
        <v>2530.8000000000002</v>
      </c>
      <c r="I120" s="1203">
        <f>'RC1_Structure_RE'!I149</f>
        <v>75725.279980445732</v>
      </c>
      <c r="J120" s="1203">
        <f>'RC1_Structure_RE'!L149</f>
        <v>33124.913994866401</v>
      </c>
      <c r="K120" s="1203">
        <f>'RC1_Structure_RE'!M149</f>
        <v>108850.19397531214</v>
      </c>
    </row>
    <row r="121" spans="1:11">
      <c r="A121" t="s">
        <v>10</v>
      </c>
      <c r="B121" t="s">
        <v>11</v>
      </c>
      <c r="C121" t="s">
        <v>16</v>
      </c>
      <c r="D121" t="s">
        <v>21</v>
      </c>
      <c r="E121" t="str" cm="1">
        <f t="array" ref="E121">_xlfn.LET(_xlpm.c,'RC1_Structure_RE'!C150, _xlpm.b, 'RC1_Structure_RE'!B150, IF(_xlpm.c&lt;&gt;"", _xlpm.c, _xlpm.b))</f>
        <v>C-100x50x5x7.5 mm. -9.36 kg/m.</v>
      </c>
      <c r="F121" s="1205"/>
      <c r="G121" s="1203" t="str">
        <f>'RC1_Structure_RE'!F150</f>
        <v>กก.</v>
      </c>
      <c r="H121" s="1203">
        <f>'RC1_Structure_RE'!E150</f>
        <v>640.29999999999995</v>
      </c>
      <c r="I121" s="1203">
        <f>'RC1_Structure_RE'!I150</f>
        <v>13677.654965305805</v>
      </c>
      <c r="J121" s="1203">
        <f>'RC1_Structure_RE'!L150</f>
        <v>8380.7027149173991</v>
      </c>
      <c r="K121" s="1203">
        <f>'RC1_Structure_RE'!M150</f>
        <v>22058.357680223206</v>
      </c>
    </row>
    <row r="122" spans="1:11">
      <c r="A122" t="s">
        <v>10</v>
      </c>
      <c r="B122" t="s">
        <v>11</v>
      </c>
      <c r="C122" t="s">
        <v>16</v>
      </c>
      <c r="D122" t="s">
        <v>21</v>
      </c>
      <c r="E122" t="str" cm="1">
        <f t="array" ref="E122">_xlfn.LET(_xlpm.c,'RC1_Structure_RE'!C151, _xlpm.b, 'RC1_Structure_RE'!B151, IF(_xlpm.c&lt;&gt;"", _xlpm.c, _xlpm.b))</f>
        <v>L-50x50x3 mm. -2.33 kg/m.</v>
      </c>
      <c r="F122" s="1205"/>
      <c r="G122" s="1203" t="str">
        <f>'RC1_Structure_RE'!F151</f>
        <v>กก.</v>
      </c>
      <c r="H122" s="1203">
        <f>'RC1_Structure_RE'!E151</f>
        <v>345.8</v>
      </c>
      <c r="I122" s="1203">
        <f>'RC1_Structure_RE'!I151</f>
        <v>7386.6720995202786</v>
      </c>
      <c r="J122" s="1203">
        <f>'RC1_Structure_RE'!L151</f>
        <v>4526.0768371363993</v>
      </c>
      <c r="K122" s="1203">
        <f>'RC1_Structure_RE'!M151</f>
        <v>11912.748936656677</v>
      </c>
    </row>
    <row r="123" spans="1:11">
      <c r="A123" t="s">
        <v>10</v>
      </c>
      <c r="B123" t="s">
        <v>11</v>
      </c>
      <c r="C123" t="s">
        <v>16</v>
      </c>
      <c r="D123" t="s">
        <v>21</v>
      </c>
      <c r="E123" t="str" cm="1">
        <f t="array" ref="E123">_xlfn.LET(_xlpm.c,'RC1_Structure_RE'!C152, _xlpm.b, 'RC1_Structure_RE'!B152, IF(_xlpm.c&lt;&gt;"", _xlpm.c, _xlpm.b))</f>
        <v>Steel Plate 4 mm.</v>
      </c>
      <c r="F123" s="1205"/>
      <c r="G123" s="1203" t="str">
        <f>'RC1_Structure_RE'!F152</f>
        <v>กก.</v>
      </c>
      <c r="H123" s="1203">
        <f>'RC1_Structure_RE'!E152</f>
        <v>2400</v>
      </c>
      <c r="I123" s="1203">
        <f>'RC1_Structure_RE'!I152</f>
        <v>56022.412820659512</v>
      </c>
      <c r="J123" s="1203">
        <f>'RC1_Structure_RE'!L152</f>
        <v>31412.910379199995</v>
      </c>
      <c r="K123" s="1203">
        <f>'RC1_Structure_RE'!M152</f>
        <v>87435.3231998595</v>
      </c>
    </row>
    <row r="124" spans="1:11">
      <c r="A124" t="s">
        <v>10</v>
      </c>
      <c r="B124" t="s">
        <v>11</v>
      </c>
      <c r="C124" t="s">
        <v>16</v>
      </c>
      <c r="D124" t="s">
        <v>21</v>
      </c>
      <c r="E124" t="str" cm="1">
        <f t="array" ref="E124">_xlfn.LET(_xlpm.c,'RC1_Structure_RE'!C153, _xlpm.b, 'RC1_Structure_RE'!B153, IF(_xlpm.c&lt;&gt;"", _xlpm.c, _xlpm.b))</f>
        <v>งานสีกันสนิม</v>
      </c>
      <c r="F124" s="1205"/>
      <c r="G124" s="1203" t="str">
        <f>'RC1_Structure_RE'!F153</f>
        <v>ตร.ม.</v>
      </c>
      <c r="H124" s="1203">
        <f>'RC1_Structure_RE'!E153</f>
        <v>205</v>
      </c>
      <c r="I124" s="1203">
        <f>'RC1_Structure_RE'!I153</f>
        <v>5370.2053127726995</v>
      </c>
      <c r="J124" s="1203">
        <f>'RC1_Structure_RE'!L153</f>
        <v>5749.6844890499997</v>
      </c>
      <c r="K124" s="1203">
        <f>'RC1_Structure_RE'!M153</f>
        <v>11119.889801822699</v>
      </c>
    </row>
    <row r="125" spans="1:11">
      <c r="A125" t="s">
        <v>10</v>
      </c>
      <c r="B125" t="s">
        <v>11</v>
      </c>
      <c r="C125" t="s">
        <v>16</v>
      </c>
      <c r="D125" t="s">
        <v>21</v>
      </c>
      <c r="E125" t="str" cm="1">
        <f t="array" ref="E125">_xlfn.LET(_xlpm.c,'RC1_Structure_RE'!C154, _xlpm.b, 'RC1_Structure_RE'!B154, IF(_xlpm.c&lt;&gt;"", _xlpm.c, _xlpm.b))</f>
        <v>งานสีน้ำมัน</v>
      </c>
      <c r="F125" s="1205"/>
      <c r="G125" s="1203" t="str">
        <f>'RC1_Structure_RE'!F154</f>
        <v>ตร.ม.</v>
      </c>
      <c r="H125" s="1203">
        <f>'RC1_Structure_RE'!E154</f>
        <v>205</v>
      </c>
      <c r="I125" s="1203">
        <f>'RC1_Structure_RE'!I154</f>
        <v>6194.3267562031997</v>
      </c>
      <c r="J125" s="1203">
        <f>'RC1_Structure_RE'!L154</f>
        <v>6707.9652372250002</v>
      </c>
      <c r="K125" s="1203">
        <f>'RC1_Structure_RE'!M154</f>
        <v>12902.2919934282</v>
      </c>
    </row>
    <row r="126" spans="1:11">
      <c r="A126" t="s">
        <v>10</v>
      </c>
      <c r="B126" t="s">
        <v>11</v>
      </c>
      <c r="C126" t="s">
        <v>16</v>
      </c>
      <c r="D126" t="s">
        <v>21</v>
      </c>
      <c r="E126" t="str" cm="1">
        <f t="array" ref="E126">_xlfn.LET(_xlpm.c,'RC1_Structure_RE'!C155, _xlpm.b, 'RC1_Structure_RE'!B155, IF(_xlpm.c&lt;&gt;"", _xlpm.c, _xlpm.b))</f>
        <v>งานทาสีกันไฟ Fireproof Coating  ความหนาไม่น้อยกว่า 500 ไมครอน</v>
      </c>
      <c r="F126" s="1205"/>
      <c r="G126" s="1203" t="str">
        <f>'RC1_Structure_RE'!F155</f>
        <v>ตร.ม.</v>
      </c>
      <c r="H126" s="1203">
        <f>'RC1_Structure_RE'!E155</f>
        <v>205</v>
      </c>
      <c r="I126" s="1203">
        <f>'RC1_Structure_RE'!I155</f>
        <v>24915.29945255</v>
      </c>
      <c r="J126" s="1203">
        <f>'RC1_Structure_RE'!L155</f>
        <v>5749.6844890499997</v>
      </c>
      <c r="K126" s="1203">
        <f>'RC1_Structure_RE'!M155</f>
        <v>30664.9839416</v>
      </c>
    </row>
    <row r="127" spans="1:11">
      <c r="A127" t="s">
        <v>10</v>
      </c>
      <c r="B127" t="s">
        <v>11</v>
      </c>
      <c r="C127" t="s">
        <v>22</v>
      </c>
      <c r="D127" t="s">
        <v>23</v>
      </c>
      <c r="E127" t="str" cm="1">
        <f t="array" ref="E127">_xlfn.LET(_xlpm.c,'RC1_Structure_RE'!C156, _xlpm.b, 'RC1_Structure_RE'!B156, IF(_xlpm.c&lt;&gt;"", _xlpm.c, _xlpm.b))</f>
        <v>โครงสร้างบ่อบำบัด</v>
      </c>
      <c r="F127" s="1205"/>
      <c r="G127" s="1203">
        <f>'RC1_Structure_RE'!F156</f>
        <v>0</v>
      </c>
      <c r="H127" s="1203">
        <f>'RC1_Structure_RE'!E156</f>
        <v>0</v>
      </c>
      <c r="I127" s="1203">
        <f>'RC1_Structure_RE'!I156</f>
        <v>0</v>
      </c>
      <c r="J127" s="1203">
        <f>'RC1_Structure_RE'!L156</f>
        <v>0</v>
      </c>
      <c r="K127" s="1203">
        <f>'RC1_Structure_RE'!M156</f>
        <v>0</v>
      </c>
    </row>
    <row r="128" spans="1:11">
      <c r="A128" t="s">
        <v>10</v>
      </c>
      <c r="B128" t="s">
        <v>11</v>
      </c>
      <c r="C128" t="s">
        <v>22</v>
      </c>
      <c r="D128" t="s">
        <v>23</v>
      </c>
      <c r="E128" t="str" cm="1">
        <f t="array" ref="E128">_xlfn.LET(_xlpm.c,'RC1_Structure_RE'!C157, _xlpm.b, 'RC1_Structure_RE'!B157, IF(_xlpm.c&lt;&gt;"", _xlpm.c, _xlpm.b))</f>
        <v>เสาเข็มรูปตัวไอขนาด 0.15x0.15x6.00 ม. ติดตั้ง DOWEL 1-DB12 x 0.50 ม.</v>
      </c>
      <c r="F128" s="1205"/>
      <c r="G128" s="1203" t="str">
        <f>'RC1_Structure_RE'!F157</f>
        <v>ต้น</v>
      </c>
      <c r="H128" s="1203">
        <f>'RC1_Structure_RE'!E157</f>
        <v>100</v>
      </c>
      <c r="I128" s="1203">
        <f>'RC1_Structure_RE'!I157</f>
        <v>54692.120749499998</v>
      </c>
      <c r="J128" s="1203">
        <f>'RC1_Structure_RE'!L157</f>
        <v>24557.229670549001</v>
      </c>
      <c r="K128" s="1203">
        <f>'RC1_Structure_RE'!M157</f>
        <v>79249.350420048999</v>
      </c>
    </row>
    <row r="129" spans="1:11">
      <c r="A129" t="s">
        <v>10</v>
      </c>
      <c r="B129" t="s">
        <v>11</v>
      </c>
      <c r="C129" t="s">
        <v>22</v>
      </c>
      <c r="D129" t="s">
        <v>23</v>
      </c>
      <c r="E129" t="str" cm="1">
        <f t="array" ref="E129">_xlfn.LET(_xlpm.c,'RC1_Structure_RE'!C158, _xlpm.b, 'RC1_Structure_RE'!B158, IF(_xlpm.c&lt;&gt;"", _xlpm.c, _xlpm.b))</f>
        <v>งานขุดดิน และถมกลับ</v>
      </c>
      <c r="F129" s="1205"/>
      <c r="G129" s="1203" t="str">
        <f>'RC1_Structure_RE'!F158</f>
        <v>ลบ.ม.</v>
      </c>
      <c r="H129" s="1203">
        <f>'RC1_Structure_RE'!E158</f>
        <v>455</v>
      </c>
      <c r="I129" s="1203">
        <f>'RC1_Structure_RE'!I158</f>
        <v>0</v>
      </c>
      <c r="J129" s="1203">
        <f>'RC1_Structure_RE'!L158</f>
        <v>47642.914075119996</v>
      </c>
      <c r="K129" s="1203">
        <f>'RC1_Structure_RE'!M158</f>
        <v>47642.914075119996</v>
      </c>
    </row>
    <row r="130" spans="1:11">
      <c r="A130" t="s">
        <v>10</v>
      </c>
      <c r="B130" t="s">
        <v>11</v>
      </c>
      <c r="C130" t="s">
        <v>22</v>
      </c>
      <c r="D130" t="s">
        <v>23</v>
      </c>
      <c r="E130" t="str" cm="1">
        <f t="array" ref="E130">_xlfn.LET(_xlpm.c,'RC1_Structure_RE'!C159, _xlpm.b, 'RC1_Structure_RE'!B159, IF(_xlpm.c&lt;&gt;"", _xlpm.c, _xlpm.b))</f>
        <v>งานทรายหยาบบดอัดแน่น</v>
      </c>
      <c r="F130" s="1205"/>
      <c r="G130" s="1203" t="str">
        <f>'RC1_Structure_RE'!F159</f>
        <v>ลบ.ม.</v>
      </c>
      <c r="H130" s="1203">
        <f>'RC1_Structure_RE'!E159</f>
        <v>5</v>
      </c>
      <c r="I130" s="1203">
        <f>'RC1_Structure_RE'!I159</f>
        <v>2376.2090376575497</v>
      </c>
      <c r="J130" s="1203">
        <f>'RC1_Structure_RE'!L159</f>
        <v>486.15218443999998</v>
      </c>
      <c r="K130" s="1203">
        <f>'RC1_Structure_RE'!M159</f>
        <v>2862.3612220975497</v>
      </c>
    </row>
    <row r="131" spans="1:11">
      <c r="A131" t="s">
        <v>10</v>
      </c>
      <c r="B131" t="s">
        <v>11</v>
      </c>
      <c r="C131" t="s">
        <v>22</v>
      </c>
      <c r="D131" t="s">
        <v>23</v>
      </c>
      <c r="E131" t="str" cm="1">
        <f t="array" ref="E131">_xlfn.LET(_xlpm.c,'RC1_Structure_RE'!C160, _xlpm.b, 'RC1_Structure_RE'!B160, IF(_xlpm.c&lt;&gt;"", _xlpm.c, _xlpm.b))</f>
        <v>งานคอนกรีตหยาบ</v>
      </c>
      <c r="F131" s="1205"/>
      <c r="G131" s="1203" t="str">
        <f>'RC1_Structure_RE'!F160</f>
        <v>ลบ.ม.</v>
      </c>
      <c r="H131" s="1203">
        <f>'RC1_Structure_RE'!E160</f>
        <v>5</v>
      </c>
      <c r="I131" s="1203">
        <f>'RC1_Structure_RE'!I160</f>
        <v>11499.368978099999</v>
      </c>
      <c r="J131" s="1203">
        <f>'RC1_Structure_RE'!L160</f>
        <v>1991.3541401099999</v>
      </c>
      <c r="K131" s="1203">
        <f>'RC1_Structure_RE'!M160</f>
        <v>13490.723118209999</v>
      </c>
    </row>
    <row r="132" spans="1:11">
      <c r="A132" t="s">
        <v>10</v>
      </c>
      <c r="B132" t="s">
        <v>11</v>
      </c>
      <c r="C132" t="s">
        <v>22</v>
      </c>
      <c r="D132" t="s">
        <v>23</v>
      </c>
      <c r="E132" t="str" cm="1">
        <f t="array" ref="E132">_xlfn.LET(_xlpm.c,'RC1_Structure_RE'!C161, _xlpm.b, 'RC1_Structure_RE'!B161, IF(_xlpm.c&lt;&gt;"", _xlpm.c, _xlpm.b))</f>
        <v xml:space="preserve">งานเหล็กเสริม </v>
      </c>
      <c r="F132" s="1205"/>
      <c r="G132" s="1203">
        <f>'RC1_Structure_RE'!F161</f>
        <v>0</v>
      </c>
      <c r="H132" s="1203">
        <f>'RC1_Structure_RE'!E161</f>
        <v>0</v>
      </c>
      <c r="I132" s="1203">
        <f>'RC1_Structure_RE'!I161</f>
        <v>0</v>
      </c>
      <c r="J132" s="1203">
        <f>'RC1_Structure_RE'!L161</f>
        <v>0</v>
      </c>
      <c r="K132" s="1203">
        <f>'RC1_Structure_RE'!M161</f>
        <v>0</v>
      </c>
    </row>
    <row r="133" spans="1:11">
      <c r="A133" t="s">
        <v>10</v>
      </c>
      <c r="B133" t="s">
        <v>11</v>
      </c>
      <c r="C133" t="s">
        <v>22</v>
      </c>
      <c r="D133" t="s">
        <v>23</v>
      </c>
      <c r="E133" t="str" cm="1">
        <f t="array" ref="E133">_xlfn.LET(_xlpm.c,'RC1_Structure_RE'!C162, _xlpm.b, 'RC1_Structure_RE'!B162, IF(_xlpm.c&lt;&gt;"", _xlpm.c, _xlpm.b))</f>
        <v>ขนาดเส้นผ่านศูนย์กลาง 9 ม.ม. SR-24</v>
      </c>
      <c r="F133" s="1205"/>
      <c r="G133" s="1203" t="str">
        <f>'RC1_Structure_RE'!F162</f>
        <v>กก.</v>
      </c>
      <c r="H133" s="1203">
        <f>'RC1_Structure_RE'!E162</f>
        <v>432</v>
      </c>
      <c r="I133" s="1203">
        <f>'RC1_Structure_RE'!I162</f>
        <v>7916.0534155584</v>
      </c>
      <c r="J133" s="1203">
        <f>'RC1_Structure_RE'!L162</f>
        <v>1777.0732157376001</v>
      </c>
      <c r="K133" s="1203">
        <f>'RC1_Structure_RE'!M162</f>
        <v>9693.1266312959997</v>
      </c>
    </row>
    <row r="134" spans="1:11">
      <c r="A134" t="s">
        <v>10</v>
      </c>
      <c r="B134" t="s">
        <v>11</v>
      </c>
      <c r="C134" t="s">
        <v>22</v>
      </c>
      <c r="D134" t="s">
        <v>23</v>
      </c>
      <c r="E134" t="str" cm="1">
        <f t="array" ref="E134">_xlfn.LET(_xlpm.c,'RC1_Structure_RE'!C163, _xlpm.b, 'RC1_Structure_RE'!B163, IF(_xlpm.c&lt;&gt;"", _xlpm.c, _xlpm.b))</f>
        <v>ขนาดเส้นผ่านศูนย์กลาง 12 ม.ม. SD-50</v>
      </c>
      <c r="F134" s="1205"/>
      <c r="G134" s="1203" t="str">
        <f>'RC1_Structure_RE'!F163</f>
        <v>กก.</v>
      </c>
      <c r="H134" s="1203">
        <f>'RC1_Structure_RE'!E163</f>
        <v>9124</v>
      </c>
      <c r="I134" s="1203">
        <f>'RC1_Structure_RE'!I163</f>
        <v>165910.4648551046</v>
      </c>
      <c r="J134" s="1203">
        <f>'RC1_Structure_RE'!L163</f>
        <v>30708.363674980803</v>
      </c>
      <c r="K134" s="1203">
        <f>'RC1_Structure_RE'!M163</f>
        <v>196618.82853008539</v>
      </c>
    </row>
    <row r="135" spans="1:11">
      <c r="A135" t="s">
        <v>10</v>
      </c>
      <c r="B135" t="s">
        <v>11</v>
      </c>
      <c r="C135" t="s">
        <v>22</v>
      </c>
      <c r="D135" t="s">
        <v>23</v>
      </c>
      <c r="E135" t="str" cm="1">
        <f t="array" ref="E135">_xlfn.LET(_xlpm.c,'RC1_Structure_RE'!C164, _xlpm.b, 'RC1_Structure_RE'!B164, IF(_xlpm.c&lt;&gt;"", _xlpm.c, _xlpm.b))</f>
        <v>ขนาดเส้นผ่านศูนย์กลาง 16 ม.ม. SD-50</v>
      </c>
      <c r="F135" s="1205"/>
      <c r="G135" s="1203" t="str">
        <f>'RC1_Structure_RE'!F164</f>
        <v>กก.</v>
      </c>
      <c r="H135" s="1203">
        <f>'RC1_Structure_RE'!E164</f>
        <v>5926</v>
      </c>
      <c r="I135" s="1203">
        <f>'RC1_Structure_RE'!I164</f>
        <v>106650.1029155485</v>
      </c>
      <c r="J135" s="1203">
        <f>'RC1_Structure_RE'!L164</f>
        <v>19944.9543114792</v>
      </c>
      <c r="K135" s="1203">
        <f>'RC1_Structure_RE'!M164</f>
        <v>126595.0572270277</v>
      </c>
    </row>
    <row r="136" spans="1:11">
      <c r="A136" t="s">
        <v>10</v>
      </c>
      <c r="B136" t="s">
        <v>11</v>
      </c>
      <c r="C136" t="s">
        <v>22</v>
      </c>
      <c r="D136" t="s">
        <v>23</v>
      </c>
      <c r="E136" t="str" cm="1">
        <f t="array" ref="E136">_xlfn.LET(_xlpm.c,'RC1_Structure_RE'!C165, _xlpm.b, 'RC1_Structure_RE'!B165, IF(_xlpm.c&lt;&gt;"", _xlpm.c, _xlpm.b))</f>
        <v>ลวดผูกเหล็ก</v>
      </c>
      <c r="F136" s="1205"/>
      <c r="G136" s="1203" t="str">
        <f>'RC1_Structure_RE'!F165</f>
        <v>กก.</v>
      </c>
      <c r="H136" s="1203">
        <f>'RC1_Structure_RE'!E165</f>
        <v>279</v>
      </c>
      <c r="I136" s="1203">
        <f>'RC1_Structure_RE'!I165</f>
        <v>7068.7462525623005</v>
      </c>
      <c r="J136" s="1203">
        <f>'RC1_Structure_RE'!L165</f>
        <v>0</v>
      </c>
      <c r="K136" s="1203">
        <f>'RC1_Structure_RE'!M165</f>
        <v>7068.7462525623005</v>
      </c>
    </row>
    <row r="137" spans="1:11">
      <c r="A137" t="s">
        <v>10</v>
      </c>
      <c r="B137" t="s">
        <v>11</v>
      </c>
      <c r="C137" t="s">
        <v>22</v>
      </c>
      <c r="D137" t="s">
        <v>23</v>
      </c>
      <c r="E137" t="str" cm="1">
        <f t="array" ref="E137">_xlfn.LET(_xlpm.c,'RC1_Structure_RE'!C166, _xlpm.b, 'RC1_Structure_RE'!B166, IF(_xlpm.c&lt;&gt;"", _xlpm.c, _xlpm.b))</f>
        <v>งานไม้แบบ</v>
      </c>
      <c r="F137" s="1205"/>
      <c r="G137" s="1203">
        <f>'RC1_Structure_RE'!F166</f>
        <v>0</v>
      </c>
      <c r="H137" s="1203">
        <f>'RC1_Structure_RE'!E166</f>
        <v>0</v>
      </c>
      <c r="I137" s="1203">
        <f>'RC1_Structure_RE'!I166</f>
        <v>0</v>
      </c>
      <c r="J137" s="1203">
        <f>'RC1_Structure_RE'!L166</f>
        <v>0</v>
      </c>
      <c r="K137" s="1203">
        <f>'RC1_Structure_RE'!M166</f>
        <v>0</v>
      </c>
    </row>
    <row r="138" spans="1:11">
      <c r="A138" t="s">
        <v>10</v>
      </c>
      <c r="B138" t="s">
        <v>11</v>
      </c>
      <c r="C138" t="s">
        <v>22</v>
      </c>
      <c r="D138" t="s">
        <v>23</v>
      </c>
      <c r="E138" t="str" cm="1">
        <f t="array" ref="E138">_xlfn.LET(_xlpm.c,'RC1_Structure_RE'!C167, _xlpm.b, 'RC1_Structure_RE'!B167, IF(_xlpm.c&lt;&gt;"", _xlpm.c, _xlpm.b))</f>
        <v>ไม้แบบ ค้ำยัน นั่งร้าน (อาคาร 4 ชั้นขึ้นไป ใช้ 50%)</v>
      </c>
      <c r="F138" s="1205"/>
      <c r="G138" s="1203" t="str">
        <f>'RC1_Structure_RE'!F167</f>
        <v>ตร.ม.</v>
      </c>
      <c r="H138" s="1203">
        <f>'RC1_Structure_RE'!E167</f>
        <v>372</v>
      </c>
      <c r="I138" s="1203">
        <f>'RC1_Structure_RE'!I167</f>
        <v>85277.076562276794</v>
      </c>
      <c r="J138" s="1203">
        <f>'RC1_Structure_RE'!L167</f>
        <v>0</v>
      </c>
      <c r="K138" s="1203">
        <f>'RC1_Structure_RE'!M167</f>
        <v>85277.076562276794</v>
      </c>
    </row>
    <row r="139" spans="1:11">
      <c r="A139" t="s">
        <v>10</v>
      </c>
      <c r="B139" t="s">
        <v>11</v>
      </c>
      <c r="C139" t="s">
        <v>22</v>
      </c>
      <c r="D139" t="s">
        <v>23</v>
      </c>
      <c r="E139" t="str" cm="1">
        <f t="array" ref="E139">_xlfn.LET(_xlpm.c,'RC1_Structure_RE'!C168, _xlpm.b, 'RC1_Structure_RE'!B168, IF(_xlpm.c&lt;&gt;"", _xlpm.c, _xlpm.b))</f>
        <v>ค่าแรงประกอบและติดตั้งไม้แบบหล่อคอนกรีต (ใช้ 100%)</v>
      </c>
      <c r="F139" s="1205"/>
      <c r="G139" s="1203" t="str">
        <f>'RC1_Structure_RE'!F168</f>
        <v>ตร.ม.</v>
      </c>
      <c r="H139" s="1203">
        <f>'RC1_Structure_RE'!E168</f>
        <v>743</v>
      </c>
      <c r="I139" s="1203">
        <f>'RC1_Structure_RE'!I168</f>
        <v>0</v>
      </c>
      <c r="J139" s="1203">
        <f>'RC1_Structure_RE'!L168</f>
        <v>84051.038149440996</v>
      </c>
      <c r="K139" s="1203">
        <f>'RC1_Structure_RE'!M168</f>
        <v>84051.038149440996</v>
      </c>
    </row>
    <row r="140" spans="1:11">
      <c r="A140" t="s">
        <v>10</v>
      </c>
      <c r="B140" t="s">
        <v>11</v>
      </c>
      <c r="C140" t="s">
        <v>22</v>
      </c>
      <c r="D140" t="s">
        <v>23</v>
      </c>
      <c r="E140" t="str" cm="1">
        <f t="array" ref="E140">_xlfn.LET(_xlpm.c,'RC1_Structure_RE'!C169, _xlpm.b, 'RC1_Structure_RE'!B169, IF(_xlpm.c&lt;&gt;"", _xlpm.c, _xlpm.b))</f>
        <v>ไม้เคร่า (ใช้ 30% ของไม้แบบ 1 ตร.ม.)</v>
      </c>
      <c r="F140" s="1205"/>
      <c r="G140" s="1203" t="str">
        <f>'RC1_Structure_RE'!F169</f>
        <v>ลบ.ฟ.</v>
      </c>
      <c r="H140" s="1203">
        <f>'RC1_Structure_RE'!E169</f>
        <v>112</v>
      </c>
      <c r="I140" s="1203">
        <f>'RC1_Structure_RE'!I169</f>
        <v>32399.275765106879</v>
      </c>
      <c r="J140" s="1203">
        <f>'RC1_Structure_RE'!L169</f>
        <v>0</v>
      </c>
      <c r="K140" s="1203">
        <f>'RC1_Structure_RE'!M169</f>
        <v>32399.275765106879</v>
      </c>
    </row>
    <row r="141" spans="1:11">
      <c r="A141" t="s">
        <v>10</v>
      </c>
      <c r="B141" t="s">
        <v>11</v>
      </c>
      <c r="C141" t="s">
        <v>22</v>
      </c>
      <c r="D141" t="s">
        <v>23</v>
      </c>
      <c r="E141" t="str" cm="1">
        <f t="array" ref="E141">_xlfn.LET(_xlpm.c,'RC1_Structure_RE'!C170, _xlpm.b, 'RC1_Structure_RE'!B170, IF(_xlpm.c&lt;&gt;"", _xlpm.c, _xlpm.b))</f>
        <v>ตะปู (ใช้ 25% ของไม้แบบ 1 ตร.ม.)</v>
      </c>
      <c r="F141" s="1205"/>
      <c r="G141" s="1203" t="str">
        <f>'RC1_Structure_RE'!F170</f>
        <v>กก.</v>
      </c>
      <c r="H141" s="1203">
        <f>'RC1_Structure_RE'!E170</f>
        <v>93</v>
      </c>
      <c r="I141" s="1203">
        <f>'RC1_Structure_RE'!I170</f>
        <v>2031.06903394656</v>
      </c>
      <c r="J141" s="1203">
        <f>'RC1_Structure_RE'!L170</f>
        <v>0</v>
      </c>
      <c r="K141" s="1203">
        <f>'RC1_Structure_RE'!M170</f>
        <v>2031.06903394656</v>
      </c>
    </row>
    <row r="142" spans="1:11">
      <c r="A142" t="s">
        <v>10</v>
      </c>
      <c r="B142" t="s">
        <v>11</v>
      </c>
      <c r="C142" t="s">
        <v>22</v>
      </c>
      <c r="D142" t="s">
        <v>23</v>
      </c>
      <c r="E142" t="str" cm="1">
        <f t="array" ref="E142">_xlfn.LET(_xlpm.c,'RC1_Structure_RE'!C171, _xlpm.b, 'RC1_Structure_RE'!B171, IF(_xlpm.c&lt;&gt;"", _xlpm.c, _xlpm.b))</f>
        <v>งานคอนกรีตโครงสร้าง</v>
      </c>
      <c r="F142" s="1205"/>
      <c r="G142" s="1203">
        <f>'RC1_Structure_RE'!F171</f>
        <v>0</v>
      </c>
      <c r="H142" s="1203">
        <f>'RC1_Structure_RE'!E171</f>
        <v>0</v>
      </c>
      <c r="I142" s="1203">
        <f>'RC1_Structure_RE'!I171</f>
        <v>0</v>
      </c>
      <c r="J142" s="1203">
        <f>'RC1_Structure_RE'!L171</f>
        <v>0</v>
      </c>
      <c r="K142" s="1203">
        <f>'RC1_Structure_RE'!M171</f>
        <v>0</v>
      </c>
    </row>
    <row r="143" spans="1:11">
      <c r="A143" t="s">
        <v>10</v>
      </c>
      <c r="B143" t="s">
        <v>11</v>
      </c>
      <c r="C143" t="s">
        <v>22</v>
      </c>
      <c r="D143" t="s">
        <v>23</v>
      </c>
      <c r="E143" t="str" cm="1">
        <f t="array" ref="E143">_xlfn.LET(_xlpm.c,'RC1_Structure_RE'!C172, _xlpm.b, 'RC1_Structure_RE'!B172, IF(_xlpm.c&lt;&gt;"", _xlpm.c, _xlpm.b))</f>
        <v>งานคอนกรีตโครงสร้าง 320 ksc.ผสมน้ำยากันซึม</v>
      </c>
      <c r="F143" s="1205"/>
      <c r="G143" s="1203" t="str">
        <f>'RC1_Structure_RE'!F172</f>
        <v>ลบ.ม.</v>
      </c>
      <c r="H143" s="1203">
        <f>'RC1_Structure_RE'!E172</f>
        <v>145</v>
      </c>
      <c r="I143" s="1203">
        <f>'RC1_Structure_RE'!I172</f>
        <v>306369.36700189998</v>
      </c>
      <c r="J143" s="1203">
        <f>'RC1_Structure_RE'!L172</f>
        <v>70356.505076984991</v>
      </c>
      <c r="K143" s="1203">
        <f>'RC1_Structure_RE'!M172</f>
        <v>376725.87207888498</v>
      </c>
    </row>
    <row r="144" spans="1:11">
      <c r="A144" t="s">
        <v>10</v>
      </c>
      <c r="B144" t="s">
        <v>11</v>
      </c>
      <c r="C144" t="s">
        <v>22</v>
      </c>
      <c r="D144" t="s">
        <v>23</v>
      </c>
      <c r="E144" t="str" cm="1">
        <f t="array" ref="E144">_xlfn.LET(_xlpm.c,'RC1_Structure_RE'!C173, _xlpm.b, 'RC1_Structure_RE'!B173, IF(_xlpm.c&lt;&gt;"", _xlpm.c, _xlpm.b))</f>
        <v>งาน WATER STOP</v>
      </c>
      <c r="F144" s="1205"/>
      <c r="G144" s="1203">
        <f>'RC1_Structure_RE'!F173</f>
        <v>0</v>
      </c>
      <c r="H144" s="1203">
        <f>'RC1_Structure_RE'!E173</f>
        <v>0</v>
      </c>
      <c r="I144" s="1203">
        <f>'RC1_Structure_RE'!I173</f>
        <v>0</v>
      </c>
      <c r="J144" s="1203">
        <f>'RC1_Structure_RE'!L173</f>
        <v>0</v>
      </c>
      <c r="K144" s="1203">
        <f>'RC1_Structure_RE'!M173</f>
        <v>0</v>
      </c>
    </row>
    <row r="145" spans="1:11">
      <c r="A145" t="s">
        <v>10</v>
      </c>
      <c r="B145" t="s">
        <v>11</v>
      </c>
      <c r="C145" t="s">
        <v>22</v>
      </c>
      <c r="D145" t="s">
        <v>23</v>
      </c>
      <c r="E145" t="str" cm="1">
        <f t="array" ref="E145">_xlfn.LET(_xlpm.c,'RC1_Structure_RE'!C174, _xlpm.b, 'RC1_Structure_RE'!B174, IF(_xlpm.c&lt;&gt;"", _xlpm.c, _xlpm.b))</f>
        <v>WATER STOP 8"</v>
      </c>
      <c r="F145" s="1205"/>
      <c r="G145" s="1203" t="str">
        <f>'RC1_Structure_RE'!F174</f>
        <v>เมตร</v>
      </c>
      <c r="H145" s="1203">
        <f>'RC1_Structure_RE'!E174</f>
        <v>78</v>
      </c>
      <c r="I145" s="1203">
        <f>'RC1_Structure_RE'!I174</f>
        <v>13388.631159477598</v>
      </c>
      <c r="J145" s="1203">
        <f>'RC1_Structure_RE'!L174</f>
        <v>4016.5893478432799</v>
      </c>
      <c r="K145" s="1203">
        <f>'RC1_Structure_RE'!M174</f>
        <v>17405.220507320879</v>
      </c>
    </row>
    <row r="146" spans="1:11">
      <c r="A146" t="s">
        <v>10</v>
      </c>
      <c r="B146" t="s">
        <v>11</v>
      </c>
      <c r="C146" t="s">
        <v>22</v>
      </c>
      <c r="D146" t="s">
        <v>23</v>
      </c>
      <c r="E146" t="str" cm="1">
        <f t="array" ref="E146">_xlfn.LET(_xlpm.c,'RC1_Structure_RE'!C175, _xlpm.b, 'RC1_Structure_RE'!B175, IF(_xlpm.c&lt;&gt;"", _xlpm.c, _xlpm.b))</f>
        <v>งาน WATER PROOF MEMBRANE</v>
      </c>
      <c r="F146" s="1205"/>
      <c r="G146" s="1203">
        <f>'RC1_Structure_RE'!F175</f>
        <v>0</v>
      </c>
      <c r="H146" s="1203">
        <f>'RC1_Structure_RE'!E175</f>
        <v>0</v>
      </c>
      <c r="I146" s="1203">
        <f>'RC1_Structure_RE'!I175</f>
        <v>0</v>
      </c>
      <c r="J146" s="1203">
        <f>'RC1_Structure_RE'!L175</f>
        <v>0</v>
      </c>
      <c r="K146" s="1203">
        <f>'RC1_Structure_RE'!M175</f>
        <v>0</v>
      </c>
    </row>
    <row r="147" spans="1:11">
      <c r="A147" t="s">
        <v>10</v>
      </c>
      <c r="B147" t="s">
        <v>11</v>
      </c>
      <c r="C147" t="s">
        <v>22</v>
      </c>
      <c r="D147" t="s">
        <v>23</v>
      </c>
      <c r="E147" t="str" cm="1">
        <f t="array" ref="E147">_xlfn.LET(_xlpm.c,'RC1_Structure_RE'!C176, _xlpm.b, 'RC1_Structure_RE'!B176, IF(_xlpm.c&lt;&gt;"", _xlpm.c, _xlpm.b))</f>
        <v>WATER PROOF MEMBRANE (โครงสร้างพื้นและผนังส่วนที่สัมผัสน้ำและดิน)</v>
      </c>
      <c r="F147" s="1205"/>
      <c r="G147" s="1203" t="str">
        <f>'RC1_Structure_RE'!F176</f>
        <v>ตร.ม.</v>
      </c>
      <c r="H147" s="1203">
        <f>'RC1_Structure_RE'!E176</f>
        <v>500</v>
      </c>
      <c r="I147" s="1203">
        <f>'RC1_Structure_RE'!I176</f>
        <v>113123.873687</v>
      </c>
      <c r="J147" s="1203">
        <f>'RC1_Structure_RE'!L176</f>
        <v>33937.162106099997</v>
      </c>
      <c r="K147" s="1203">
        <f>'RC1_Structure_RE'!M176</f>
        <v>147061.03579309999</v>
      </c>
    </row>
    <row r="148" spans="1:11">
      <c r="A148" t="s">
        <v>10</v>
      </c>
      <c r="B148" t="s">
        <v>11</v>
      </c>
      <c r="C148" t="s">
        <v>22</v>
      </c>
      <c r="D148" t="s">
        <v>24</v>
      </c>
      <c r="E148" t="str" cm="1">
        <f t="array" ref="E148">_xlfn.LET(_xlpm.c,'RC1_Structure_RE'!C177, _xlpm.b, 'RC1_Structure_RE'!B177, IF(_xlpm.c&lt;&gt;"", _xlpm.c, _xlpm.b))</f>
        <v>โครงสร้างบ่อหน่วงน้ำ</v>
      </c>
      <c r="F148" s="1205"/>
      <c r="G148" s="1203">
        <f>'RC1_Structure_RE'!F177</f>
        <v>0</v>
      </c>
      <c r="H148" s="1203">
        <f>'RC1_Structure_RE'!E177</f>
        <v>0</v>
      </c>
      <c r="I148" s="1203">
        <f>'RC1_Structure_RE'!I177</f>
        <v>0</v>
      </c>
      <c r="J148" s="1203">
        <f>'RC1_Structure_RE'!L177</f>
        <v>0</v>
      </c>
      <c r="K148" s="1203">
        <f>'RC1_Structure_RE'!M177</f>
        <v>0</v>
      </c>
    </row>
    <row r="149" spans="1:11">
      <c r="A149" t="s">
        <v>10</v>
      </c>
      <c r="B149" t="s">
        <v>11</v>
      </c>
      <c r="C149" t="s">
        <v>22</v>
      </c>
      <c r="D149" t="s">
        <v>24</v>
      </c>
      <c r="E149" t="str" cm="1">
        <f t="array" ref="E149">_xlfn.LET(_xlpm.c,'RC1_Structure_RE'!C178, _xlpm.b, 'RC1_Structure_RE'!B178, IF(_xlpm.c&lt;&gt;"", _xlpm.c, _xlpm.b))</f>
        <v>เสาเข็มรูปตัวไอขนาด 0.15x0.15x6.00 ม. ติดตั้ง DOWEL 1-DB12 x 0.50 ม.</v>
      </c>
      <c r="F149" s="1205"/>
      <c r="G149" s="1203" t="str">
        <f>'RC1_Structure_RE'!F178</f>
        <v>ต้น</v>
      </c>
      <c r="H149" s="1203">
        <f>'RC1_Structure_RE'!E178</f>
        <v>75</v>
      </c>
      <c r="I149" s="1203">
        <f>'RC1_Structure_RE'!I178</f>
        <v>41019.090562124999</v>
      </c>
      <c r="J149" s="1203">
        <f>'RC1_Structure_RE'!L178</f>
        <v>18417.922252911751</v>
      </c>
      <c r="K149" s="1203">
        <f>'RC1_Structure_RE'!M178</f>
        <v>59437.012815036753</v>
      </c>
    </row>
    <row r="150" spans="1:11">
      <c r="A150" t="s">
        <v>10</v>
      </c>
      <c r="B150" t="s">
        <v>11</v>
      </c>
      <c r="C150" t="s">
        <v>22</v>
      </c>
      <c r="D150" t="s">
        <v>24</v>
      </c>
      <c r="E150" t="str" cm="1">
        <f t="array" ref="E150">_xlfn.LET(_xlpm.c,'RC1_Structure_RE'!C179, _xlpm.b, 'RC1_Structure_RE'!B179, IF(_xlpm.c&lt;&gt;"", _xlpm.c, _xlpm.b))</f>
        <v>งานขุดดิน และถมกลับ</v>
      </c>
      <c r="F150" s="1205"/>
      <c r="G150" s="1203" t="str">
        <f>'RC1_Structure_RE'!F179</f>
        <v>ลบ.ม.</v>
      </c>
      <c r="H150" s="1203">
        <f>'RC1_Structure_RE'!E179</f>
        <v>444</v>
      </c>
      <c r="I150" s="1203">
        <f>'RC1_Structure_RE'!I179</f>
        <v>0</v>
      </c>
      <c r="J150" s="1203">
        <f>'RC1_Structure_RE'!L179</f>
        <v>46491.107361215996</v>
      </c>
      <c r="K150" s="1203">
        <f>'RC1_Structure_RE'!M179</f>
        <v>46491.107361215996</v>
      </c>
    </row>
    <row r="151" spans="1:11">
      <c r="A151" t="s">
        <v>10</v>
      </c>
      <c r="B151" t="s">
        <v>11</v>
      </c>
      <c r="C151" t="s">
        <v>22</v>
      </c>
      <c r="D151" t="s">
        <v>24</v>
      </c>
      <c r="E151" t="str" cm="1">
        <f t="array" ref="E151">_xlfn.LET(_xlpm.c,'RC1_Structure_RE'!C180, _xlpm.b, 'RC1_Structure_RE'!B180, IF(_xlpm.c&lt;&gt;"", _xlpm.c, _xlpm.b))</f>
        <v>งานทรายหยาบบดอัดแน่น</v>
      </c>
      <c r="F151" s="1205"/>
      <c r="G151" s="1203" t="str">
        <f>'RC1_Structure_RE'!F180</f>
        <v>ลบ.ม.</v>
      </c>
      <c r="H151" s="1203">
        <f>'RC1_Structure_RE'!E180</f>
        <v>6</v>
      </c>
      <c r="I151" s="1203">
        <f>'RC1_Structure_RE'!I180</f>
        <v>2851.4508451890597</v>
      </c>
      <c r="J151" s="1203">
        <f>'RC1_Structure_RE'!L180</f>
        <v>583.38262132800003</v>
      </c>
      <c r="K151" s="1203">
        <f>'RC1_Structure_RE'!M180</f>
        <v>3434.8334665170596</v>
      </c>
    </row>
    <row r="152" spans="1:11">
      <c r="A152" t="s">
        <v>10</v>
      </c>
      <c r="B152" t="s">
        <v>11</v>
      </c>
      <c r="C152" t="s">
        <v>22</v>
      </c>
      <c r="D152" t="s">
        <v>24</v>
      </c>
      <c r="E152" t="str" cm="1">
        <f t="array" ref="E152">_xlfn.LET(_xlpm.c,'RC1_Structure_RE'!C181, _xlpm.b, 'RC1_Structure_RE'!B181, IF(_xlpm.c&lt;&gt;"", _xlpm.c, _xlpm.b))</f>
        <v>งานคอนกรีตหยาบ</v>
      </c>
      <c r="F152" s="1205"/>
      <c r="G152" s="1203" t="str">
        <f>'RC1_Structure_RE'!F181</f>
        <v>ลบ.ม.</v>
      </c>
      <c r="H152" s="1203">
        <f>'RC1_Structure_RE'!E181</f>
        <v>6</v>
      </c>
      <c r="I152" s="1203">
        <f>'RC1_Structure_RE'!I181</f>
        <v>13799.242773719998</v>
      </c>
      <c r="J152" s="1203">
        <f>'RC1_Structure_RE'!L181</f>
        <v>2389.624968132</v>
      </c>
      <c r="K152" s="1203">
        <f>'RC1_Structure_RE'!M181</f>
        <v>16188.867741851998</v>
      </c>
    </row>
    <row r="153" spans="1:11">
      <c r="A153" t="s">
        <v>10</v>
      </c>
      <c r="B153" t="s">
        <v>11</v>
      </c>
      <c r="C153" t="s">
        <v>22</v>
      </c>
      <c r="D153" t="s">
        <v>24</v>
      </c>
      <c r="E153" cm="1">
        <f t="array" ref="E153">_xlfn.LET(_xlpm.c,'RC1_Structure_RE'!C182, _xlpm.b, 'RC1_Structure_RE'!B182, IF(_xlpm.c&lt;&gt;"", _xlpm.c, _xlpm.b))</f>
        <v>0</v>
      </c>
      <c r="F153" s="1205"/>
      <c r="G153" s="1203">
        <f>'RC1_Structure_RE'!F182</f>
        <v>0</v>
      </c>
      <c r="H153" s="1203">
        <f>'RC1_Structure_RE'!E182</f>
        <v>0</v>
      </c>
      <c r="I153" s="1203">
        <f>'RC1_Structure_RE'!I182</f>
        <v>0</v>
      </c>
      <c r="J153" s="1203">
        <f>'RC1_Structure_RE'!L182</f>
        <v>0</v>
      </c>
      <c r="K153" s="1203">
        <f>'RC1_Structure_RE'!M182</f>
        <v>0</v>
      </c>
    </row>
    <row r="154" spans="1:11">
      <c r="A154" t="s">
        <v>10</v>
      </c>
      <c r="B154" t="s">
        <v>11</v>
      </c>
      <c r="C154" t="s">
        <v>22</v>
      </c>
      <c r="D154" t="s">
        <v>24</v>
      </c>
      <c r="E154" cm="1">
        <f t="array" ref="E154">_xlfn.LET(_xlpm.c,'RC1_Structure_RE'!C183, _xlpm.b, 'RC1_Structure_RE'!B183, IF(_xlpm.c&lt;&gt;"", _xlpm.c, _xlpm.b))</f>
        <v>0</v>
      </c>
      <c r="F154" s="1205"/>
      <c r="G154" s="1203">
        <f>'RC1_Structure_RE'!F183</f>
        <v>0</v>
      </c>
      <c r="H154" s="1203">
        <f>'RC1_Structure_RE'!E183</f>
        <v>0</v>
      </c>
      <c r="I154" s="1203">
        <f>'RC1_Structure_RE'!I183</f>
        <v>0</v>
      </c>
      <c r="J154" s="1203">
        <f>'RC1_Structure_RE'!L183</f>
        <v>0</v>
      </c>
      <c r="K154" s="1203">
        <f>'RC1_Structure_RE'!M183</f>
        <v>0</v>
      </c>
    </row>
    <row r="155" spans="1:11">
      <c r="A155" t="s">
        <v>10</v>
      </c>
      <c r="B155" t="s">
        <v>11</v>
      </c>
      <c r="C155" t="s">
        <v>22</v>
      </c>
      <c r="D155" t="s">
        <v>24</v>
      </c>
      <c r="E155" t="str" cm="1">
        <f t="array" ref="E155">_xlfn.LET(_xlpm.c,'RC1_Structure_RE'!C184, _xlpm.b, 'RC1_Structure_RE'!B184, IF(_xlpm.c&lt;&gt;"", _xlpm.c, _xlpm.b))</f>
        <v xml:space="preserve">งานเหล็กเสริม </v>
      </c>
      <c r="F155" s="1205"/>
      <c r="G155" s="1203">
        <f>'RC1_Structure_RE'!F184</f>
        <v>0</v>
      </c>
      <c r="H155" s="1203">
        <f>'RC1_Structure_RE'!E184</f>
        <v>0</v>
      </c>
      <c r="I155" s="1203">
        <f>'RC1_Structure_RE'!I184</f>
        <v>0</v>
      </c>
      <c r="J155" s="1203">
        <f>'RC1_Structure_RE'!L184</f>
        <v>0</v>
      </c>
      <c r="K155" s="1203">
        <f>'RC1_Structure_RE'!M184</f>
        <v>0</v>
      </c>
    </row>
    <row r="156" spans="1:11">
      <c r="A156" t="s">
        <v>10</v>
      </c>
      <c r="B156" t="s">
        <v>11</v>
      </c>
      <c r="C156" t="s">
        <v>22</v>
      </c>
      <c r="D156" t="s">
        <v>24</v>
      </c>
      <c r="E156" t="str" cm="1">
        <f t="array" ref="E156">_xlfn.LET(_xlpm.c,'RC1_Structure_RE'!C185, _xlpm.b, 'RC1_Structure_RE'!B185, IF(_xlpm.c&lt;&gt;"", _xlpm.c, _xlpm.b))</f>
        <v>ขนาดเส้นผ่านศูนย์กลาง 12 ม.ม. SD-50</v>
      </c>
      <c r="F156" s="1205"/>
      <c r="G156" s="1203" t="str">
        <f>'RC1_Structure_RE'!F185</f>
        <v>กก.</v>
      </c>
      <c r="H156" s="1203">
        <f>'RC1_Structure_RE'!E185</f>
        <v>5458</v>
      </c>
      <c r="I156" s="1203">
        <f>'RC1_Structure_RE'!I185</f>
        <v>99248.061944230692</v>
      </c>
      <c r="J156" s="1203">
        <f>'RC1_Structure_RE'!L185</f>
        <v>18369.821233893599</v>
      </c>
      <c r="K156" s="1203">
        <f>'RC1_Structure_RE'!M185</f>
        <v>117617.88317812429</v>
      </c>
    </row>
    <row r="157" spans="1:11">
      <c r="A157" t="s">
        <v>10</v>
      </c>
      <c r="B157" t="s">
        <v>11</v>
      </c>
      <c r="C157" t="s">
        <v>22</v>
      </c>
      <c r="D157" t="s">
        <v>24</v>
      </c>
      <c r="E157" t="str" cm="1">
        <f t="array" ref="E157">_xlfn.LET(_xlpm.c,'RC1_Structure_RE'!C186, _xlpm.b, 'RC1_Structure_RE'!B186, IF(_xlpm.c&lt;&gt;"", _xlpm.c, _xlpm.b))</f>
        <v>ขนาดเส้นผ่านศูนย์กลาง 16 ม.ม. SD-50</v>
      </c>
      <c r="F157" s="1205"/>
      <c r="G157" s="1203" t="str">
        <f>'RC1_Structure_RE'!F186</f>
        <v>กก.</v>
      </c>
      <c r="H157" s="1203">
        <f>'RC1_Structure_RE'!E186</f>
        <v>5540</v>
      </c>
      <c r="I157" s="1203">
        <f>'RC1_Structure_RE'!I186</f>
        <v>99703.268672314996</v>
      </c>
      <c r="J157" s="1203">
        <f>'RC1_Structure_RE'!L186</f>
        <v>18645.806089368001</v>
      </c>
      <c r="K157" s="1203">
        <f>'RC1_Structure_RE'!M186</f>
        <v>118349.074761683</v>
      </c>
    </row>
    <row r="158" spans="1:11">
      <c r="A158" t="s">
        <v>10</v>
      </c>
      <c r="B158" t="s">
        <v>11</v>
      </c>
      <c r="C158" t="s">
        <v>22</v>
      </c>
      <c r="D158" t="s">
        <v>24</v>
      </c>
      <c r="E158" t="str" cm="1">
        <f t="array" ref="E158">_xlfn.LET(_xlpm.c,'RC1_Structure_RE'!C187, _xlpm.b, 'RC1_Structure_RE'!B187, IF(_xlpm.c&lt;&gt;"", _xlpm.c, _xlpm.b))</f>
        <v>ลวดผูกเหล็ก</v>
      </c>
      <c r="F158" s="1205"/>
      <c r="G158" s="1203" t="str">
        <f>'RC1_Structure_RE'!F187</f>
        <v>กก.</v>
      </c>
      <c r="H158" s="1203">
        <f>'RC1_Structure_RE'!E187</f>
        <v>198</v>
      </c>
      <c r="I158" s="1203">
        <f>'RC1_Structure_RE'!I187</f>
        <v>5016.5295985926005</v>
      </c>
      <c r="J158" s="1203">
        <f>'RC1_Structure_RE'!L187</f>
        <v>0</v>
      </c>
      <c r="K158" s="1203">
        <f>'RC1_Structure_RE'!M187</f>
        <v>5016.5295985926005</v>
      </c>
    </row>
    <row r="159" spans="1:11">
      <c r="A159" t="s">
        <v>10</v>
      </c>
      <c r="B159" t="s">
        <v>11</v>
      </c>
      <c r="C159" t="s">
        <v>22</v>
      </c>
      <c r="D159" t="s">
        <v>24</v>
      </c>
      <c r="E159" t="str" cm="1">
        <f t="array" ref="E159">_xlfn.LET(_xlpm.c,'RC1_Structure_RE'!C188, _xlpm.b, 'RC1_Structure_RE'!B188, IF(_xlpm.c&lt;&gt;"", _xlpm.c, _xlpm.b))</f>
        <v>งานไม้แบบ</v>
      </c>
      <c r="F159" s="1205"/>
      <c r="G159" s="1203">
        <f>'RC1_Structure_RE'!F188</f>
        <v>0</v>
      </c>
      <c r="H159" s="1203">
        <f>'RC1_Structure_RE'!E188</f>
        <v>0</v>
      </c>
      <c r="I159" s="1203">
        <f>'RC1_Structure_RE'!I188</f>
        <v>0</v>
      </c>
      <c r="J159" s="1203">
        <f>'RC1_Structure_RE'!L188</f>
        <v>0</v>
      </c>
      <c r="K159" s="1203">
        <f>'RC1_Structure_RE'!M188</f>
        <v>0</v>
      </c>
    </row>
    <row r="160" spans="1:11">
      <c r="A160" t="s">
        <v>10</v>
      </c>
      <c r="B160" t="s">
        <v>11</v>
      </c>
      <c r="C160" t="s">
        <v>22</v>
      </c>
      <c r="D160" t="s">
        <v>24</v>
      </c>
      <c r="E160" t="str" cm="1">
        <f t="array" ref="E160">_xlfn.LET(_xlpm.c,'RC1_Structure_RE'!C189, _xlpm.b, 'RC1_Structure_RE'!B189, IF(_xlpm.c&lt;&gt;"", _xlpm.c, _xlpm.b))</f>
        <v>ไม้แบบ ค้ำยัน นั่งร้าน (อาคาร 4 ชั้นขึ้นไป ใช้ 50%)</v>
      </c>
      <c r="F160" s="1205"/>
      <c r="G160" s="1203" t="str">
        <f>'RC1_Structure_RE'!F189</f>
        <v>ตร.ม.</v>
      </c>
      <c r="H160" s="1203">
        <f>'RC1_Structure_RE'!E189</f>
        <v>228</v>
      </c>
      <c r="I160" s="1203">
        <f>'RC1_Structure_RE'!I189</f>
        <v>52266.595312363192</v>
      </c>
      <c r="J160" s="1203">
        <f>'RC1_Structure_RE'!L189</f>
        <v>0</v>
      </c>
      <c r="K160" s="1203">
        <f>'RC1_Structure_RE'!M189</f>
        <v>52266.595312363192</v>
      </c>
    </row>
    <row r="161" spans="1:11">
      <c r="A161" t="s">
        <v>10</v>
      </c>
      <c r="B161" t="s">
        <v>11</v>
      </c>
      <c r="C161" t="s">
        <v>22</v>
      </c>
      <c r="D161" t="s">
        <v>24</v>
      </c>
      <c r="E161" t="str" cm="1">
        <f t="array" ref="E161">_xlfn.LET(_xlpm.c,'RC1_Structure_RE'!C190, _xlpm.b, 'RC1_Structure_RE'!B190, IF(_xlpm.c&lt;&gt;"", _xlpm.c, _xlpm.b))</f>
        <v>ค่าแรงประกอบและติดตั้งไม้แบบหล่อคอนกรีต (ใช้ 100%)</v>
      </c>
      <c r="F161" s="1205"/>
      <c r="G161" s="1203" t="str">
        <f>'RC1_Structure_RE'!F190</f>
        <v>ตร.ม.</v>
      </c>
      <c r="H161" s="1203">
        <f>'RC1_Structure_RE'!E190</f>
        <v>456</v>
      </c>
      <c r="I161" s="1203">
        <f>'RC1_Structure_RE'!I190</f>
        <v>0</v>
      </c>
      <c r="J161" s="1203">
        <f>'RC1_Structure_RE'!L190</f>
        <v>51584.486401271999</v>
      </c>
      <c r="K161" s="1203">
        <f>'RC1_Structure_RE'!M190</f>
        <v>51584.486401271999</v>
      </c>
    </row>
    <row r="162" spans="1:11">
      <c r="A162" t="s">
        <v>10</v>
      </c>
      <c r="B162" t="s">
        <v>11</v>
      </c>
      <c r="C162" t="s">
        <v>22</v>
      </c>
      <c r="D162" t="s">
        <v>24</v>
      </c>
      <c r="E162" t="str" cm="1">
        <f t="array" ref="E162">_xlfn.LET(_xlpm.c,'RC1_Structure_RE'!C191, _xlpm.b, 'RC1_Structure_RE'!B191, IF(_xlpm.c&lt;&gt;"", _xlpm.c, _xlpm.b))</f>
        <v>ไม้เคร่า (ใช้ 30% ของไม้แบบ 1 ตร.ม.)</v>
      </c>
      <c r="F162" s="1205"/>
      <c r="G162" s="1203" t="str">
        <f>'RC1_Structure_RE'!F191</f>
        <v>ลบ.ฟ.</v>
      </c>
      <c r="H162" s="1203">
        <f>'RC1_Structure_RE'!E191</f>
        <v>69</v>
      </c>
      <c r="I162" s="1203">
        <f>'RC1_Structure_RE'!I191</f>
        <v>19960.268105289058</v>
      </c>
      <c r="J162" s="1203">
        <f>'RC1_Structure_RE'!L191</f>
        <v>0</v>
      </c>
      <c r="K162" s="1203">
        <f>'RC1_Structure_RE'!M191</f>
        <v>19960.268105289058</v>
      </c>
    </row>
    <row r="163" spans="1:11">
      <c r="A163" t="s">
        <v>10</v>
      </c>
      <c r="B163" t="s">
        <v>11</v>
      </c>
      <c r="C163" t="s">
        <v>22</v>
      </c>
      <c r="D163" t="s">
        <v>24</v>
      </c>
      <c r="E163" t="str" cm="1">
        <f t="array" ref="E163">_xlfn.LET(_xlpm.c,'RC1_Structure_RE'!C192, _xlpm.b, 'RC1_Structure_RE'!B192, IF(_xlpm.c&lt;&gt;"", _xlpm.c, _xlpm.b))</f>
        <v>ตะปู (ใช้ 25% ของไม้แบบ 1 ตร.ม.)</v>
      </c>
      <c r="F163" s="1205"/>
      <c r="G163" s="1203" t="str">
        <f>'RC1_Structure_RE'!F192</f>
        <v>กก.</v>
      </c>
      <c r="H163" s="1203">
        <f>'RC1_Structure_RE'!E192</f>
        <v>57</v>
      </c>
      <c r="I163" s="1203">
        <f>'RC1_Structure_RE'!I192</f>
        <v>1244.8487627414399</v>
      </c>
      <c r="J163" s="1203">
        <f>'RC1_Structure_RE'!L192</f>
        <v>0</v>
      </c>
      <c r="K163" s="1203">
        <f>'RC1_Structure_RE'!M192</f>
        <v>1244.8487627414399</v>
      </c>
    </row>
    <row r="164" spans="1:11">
      <c r="A164" t="s">
        <v>10</v>
      </c>
      <c r="B164" t="s">
        <v>11</v>
      </c>
      <c r="C164" t="s">
        <v>22</v>
      </c>
      <c r="D164" t="s">
        <v>24</v>
      </c>
      <c r="E164" t="str" cm="1">
        <f t="array" ref="E164">_xlfn.LET(_xlpm.c,'RC1_Structure_RE'!C193, _xlpm.b, 'RC1_Structure_RE'!B193, IF(_xlpm.c&lt;&gt;"", _xlpm.c, _xlpm.b))</f>
        <v>งานคอนกรีตโครงสร้าง</v>
      </c>
      <c r="F164" s="1205"/>
      <c r="G164" s="1203">
        <f>'RC1_Structure_RE'!F193</f>
        <v>0</v>
      </c>
      <c r="H164" s="1203">
        <f>'RC1_Structure_RE'!E193</f>
        <v>0</v>
      </c>
      <c r="I164" s="1203">
        <f>'RC1_Structure_RE'!I193</f>
        <v>0</v>
      </c>
      <c r="J164" s="1203">
        <f>'RC1_Structure_RE'!L193</f>
        <v>0</v>
      </c>
      <c r="K164" s="1203">
        <f>'RC1_Structure_RE'!M193</f>
        <v>0</v>
      </c>
    </row>
    <row r="165" spans="1:11">
      <c r="A165" t="s">
        <v>10</v>
      </c>
      <c r="B165" t="s">
        <v>11</v>
      </c>
      <c r="C165" t="s">
        <v>22</v>
      </c>
      <c r="D165" t="s">
        <v>24</v>
      </c>
      <c r="E165" t="str" cm="1">
        <f t="array" ref="E165">_xlfn.LET(_xlpm.c,'RC1_Structure_RE'!C194, _xlpm.b, 'RC1_Structure_RE'!B194, IF(_xlpm.c&lt;&gt;"", _xlpm.c, _xlpm.b))</f>
        <v>งานคอนกรีตโครงสร้าง 320 ksc.ผสมน้ำยากันซึม</v>
      </c>
      <c r="F165" s="1205"/>
      <c r="G165" s="1203" t="str">
        <f>'RC1_Structure_RE'!F194</f>
        <v>ลบ.ม.</v>
      </c>
      <c r="H165" s="1203">
        <f>'RC1_Structure_RE'!E194</f>
        <v>114</v>
      </c>
      <c r="I165" s="1203">
        <f>'RC1_Structure_RE'!I194</f>
        <v>240869.70922908001</v>
      </c>
      <c r="J165" s="1203">
        <f>'RC1_Structure_RE'!L194</f>
        <v>55314.769508801997</v>
      </c>
      <c r="K165" s="1203">
        <f>'RC1_Structure_RE'!M194</f>
        <v>296184.47873788199</v>
      </c>
    </row>
    <row r="166" spans="1:11">
      <c r="A166" t="s">
        <v>10</v>
      </c>
      <c r="B166" t="s">
        <v>11</v>
      </c>
      <c r="C166" t="s">
        <v>22</v>
      </c>
      <c r="D166" t="s">
        <v>24</v>
      </c>
      <c r="E166" t="str" cm="1">
        <f t="array" ref="E166">_xlfn.LET(_xlpm.c,'RC1_Structure_RE'!C195, _xlpm.b, 'RC1_Structure_RE'!B195, IF(_xlpm.c&lt;&gt;"", _xlpm.c, _xlpm.b))</f>
        <v>งาน WATER STOP</v>
      </c>
      <c r="F166" s="1205"/>
      <c r="G166" s="1203">
        <f>'RC1_Structure_RE'!F195</f>
        <v>0</v>
      </c>
      <c r="H166" s="1203">
        <f>'RC1_Structure_RE'!E195</f>
        <v>0</v>
      </c>
      <c r="I166" s="1203">
        <f>'RC1_Structure_RE'!I195</f>
        <v>0</v>
      </c>
      <c r="J166" s="1203">
        <f>'RC1_Structure_RE'!L195</f>
        <v>0</v>
      </c>
      <c r="K166" s="1203">
        <f>'RC1_Structure_RE'!M195</f>
        <v>0</v>
      </c>
    </row>
    <row r="167" spans="1:11">
      <c r="A167" t="s">
        <v>10</v>
      </c>
      <c r="B167" t="s">
        <v>11</v>
      </c>
      <c r="C167" t="s">
        <v>22</v>
      </c>
      <c r="D167" t="s">
        <v>24</v>
      </c>
      <c r="E167" t="str" cm="1">
        <f t="array" ref="E167">_xlfn.LET(_xlpm.c,'RC1_Structure_RE'!C196, _xlpm.b, 'RC1_Structure_RE'!B196, IF(_xlpm.c&lt;&gt;"", _xlpm.c, _xlpm.b))</f>
        <v>WATER STOP 8"</v>
      </c>
      <c r="F167" s="1205"/>
      <c r="G167" s="1203" t="str">
        <f>'RC1_Structure_RE'!F196</f>
        <v>เมตร</v>
      </c>
      <c r="H167" s="1203">
        <f>'RC1_Structure_RE'!E196</f>
        <v>49</v>
      </c>
      <c r="I167" s="1203">
        <f>'RC1_Structure_RE'!I196</f>
        <v>8410.8067540307984</v>
      </c>
      <c r="J167" s="1203">
        <f>'RC1_Structure_RE'!L196</f>
        <v>2523.2420262092401</v>
      </c>
      <c r="K167" s="1203">
        <f>'RC1_Structure_RE'!M196</f>
        <v>10934.048780240038</v>
      </c>
    </row>
    <row r="168" spans="1:11">
      <c r="A168" t="s">
        <v>10</v>
      </c>
      <c r="B168" t="s">
        <v>11</v>
      </c>
      <c r="C168" t="s">
        <v>22</v>
      </c>
      <c r="D168" t="s">
        <v>24</v>
      </c>
      <c r="E168" t="str" cm="1">
        <f t="array" ref="E168">_xlfn.LET(_xlpm.c,'RC1_Structure_RE'!C197, _xlpm.b, 'RC1_Structure_RE'!B197, IF(_xlpm.c&lt;&gt;"", _xlpm.c, _xlpm.b))</f>
        <v>งาน WATER PROOF MEMBRANE</v>
      </c>
      <c r="F168" s="1205"/>
      <c r="G168" s="1203">
        <f>'RC1_Structure_RE'!F197</f>
        <v>0</v>
      </c>
      <c r="H168" s="1203">
        <f>'RC1_Structure_RE'!E197</f>
        <v>0</v>
      </c>
      <c r="I168" s="1203">
        <f>'RC1_Structure_RE'!I197</f>
        <v>0</v>
      </c>
      <c r="J168" s="1203">
        <f>'RC1_Structure_RE'!L197</f>
        <v>0</v>
      </c>
      <c r="K168" s="1203">
        <f>'RC1_Structure_RE'!M197</f>
        <v>0</v>
      </c>
    </row>
    <row r="169" spans="1:11">
      <c r="A169" t="s">
        <v>10</v>
      </c>
      <c r="B169" t="s">
        <v>11</v>
      </c>
      <c r="C169" t="s">
        <v>22</v>
      </c>
      <c r="D169" t="s">
        <v>24</v>
      </c>
      <c r="E169" t="str" cm="1">
        <f t="array" ref="E169">_xlfn.LET(_xlpm.c,'RC1_Structure_RE'!C198, _xlpm.b, 'RC1_Structure_RE'!B198, IF(_xlpm.c&lt;&gt;"", _xlpm.c, _xlpm.b))</f>
        <v>WATER PROOF MEMBRANE (โครงสร้างพื้นและผนังส่วนที่สัมผัสน้ำและดิน)</v>
      </c>
      <c r="F169" s="1205"/>
      <c r="G169" s="1203" t="str">
        <f>'RC1_Structure_RE'!F198</f>
        <v>ตร.ม.</v>
      </c>
      <c r="H169" s="1203">
        <f>'RC1_Structure_RE'!E198</f>
        <v>396</v>
      </c>
      <c r="I169" s="1203">
        <f>'RC1_Structure_RE'!I198</f>
        <v>89594.107960103996</v>
      </c>
      <c r="J169" s="1203">
        <f>'RC1_Structure_RE'!L198</f>
        <v>26878.232388031196</v>
      </c>
      <c r="K169" s="1203">
        <f>'RC1_Structure_RE'!M198</f>
        <v>116472.34034813519</v>
      </c>
    </row>
    <row r="170" spans="1:11">
      <c r="A170" t="s">
        <v>10</v>
      </c>
      <c r="B170" t="s">
        <v>11</v>
      </c>
      <c r="C170" t="s">
        <v>22</v>
      </c>
      <c r="D170" t="s">
        <v>25</v>
      </c>
      <c r="E170" t="str" cm="1">
        <f t="array" ref="E170">_xlfn.LET(_xlpm.c,'RC1_Structure_RE'!C199, _xlpm.b, 'RC1_Structure_RE'!B199, IF(_xlpm.c&lt;&gt;"", _xlpm.c, _xlpm.b))</f>
        <v>โครงสร้าง Drain sump ,Sewage sump ,Escalator pit</v>
      </c>
      <c r="F170" s="1205"/>
      <c r="G170" s="1203">
        <f>'RC1_Structure_RE'!F199</f>
        <v>0</v>
      </c>
      <c r="H170" s="1203">
        <f>'RC1_Structure_RE'!E199</f>
        <v>0</v>
      </c>
      <c r="I170" s="1203">
        <f>'RC1_Structure_RE'!I199</f>
        <v>0</v>
      </c>
      <c r="J170" s="1203">
        <f>'RC1_Structure_RE'!L199</f>
        <v>0</v>
      </c>
      <c r="K170" s="1203">
        <f>'RC1_Structure_RE'!M199</f>
        <v>0</v>
      </c>
    </row>
    <row r="171" spans="1:11">
      <c r="A171" t="s">
        <v>10</v>
      </c>
      <c r="B171" t="s">
        <v>11</v>
      </c>
      <c r="C171" t="s">
        <v>22</v>
      </c>
      <c r="D171" t="s">
        <v>25</v>
      </c>
      <c r="E171" t="str" cm="1">
        <f t="array" ref="E171">_xlfn.LET(_xlpm.c,'RC1_Structure_RE'!C200, _xlpm.b, 'RC1_Structure_RE'!B200, IF(_xlpm.c&lt;&gt;"", _xlpm.c, _xlpm.b))</f>
        <v>งานขุดดิน และถมกลับ</v>
      </c>
      <c r="F171" s="1205"/>
      <c r="G171" s="1203" t="str">
        <f>'RC1_Structure_RE'!F200</f>
        <v>ลบ.ม.</v>
      </c>
      <c r="H171" s="1203">
        <f>'RC1_Structure_RE'!E200</f>
        <v>141</v>
      </c>
      <c r="I171" s="1203">
        <f>'RC1_Structure_RE'!I200</f>
        <v>0</v>
      </c>
      <c r="J171" s="1203">
        <f>'RC1_Structure_RE'!L200</f>
        <v>14764.067878223999</v>
      </c>
      <c r="K171" s="1203">
        <f>'RC1_Structure_RE'!M200</f>
        <v>14764.067878223999</v>
      </c>
    </row>
    <row r="172" spans="1:11">
      <c r="A172" t="s">
        <v>10</v>
      </c>
      <c r="B172" t="s">
        <v>11</v>
      </c>
      <c r="C172" t="s">
        <v>22</v>
      </c>
      <c r="D172" t="s">
        <v>25</v>
      </c>
      <c r="E172" t="str" cm="1">
        <f t="array" ref="E172">_xlfn.LET(_xlpm.c,'RC1_Structure_RE'!C201, _xlpm.b, 'RC1_Structure_RE'!B201, IF(_xlpm.c&lt;&gt;"", _xlpm.c, _xlpm.b))</f>
        <v>งานทรายหยาบบดอัดแน่น</v>
      </c>
      <c r="F172" s="1205"/>
      <c r="G172" s="1203" t="str">
        <f>'RC1_Structure_RE'!F201</f>
        <v>ลบ.ม.</v>
      </c>
      <c r="H172" s="1203">
        <f>'RC1_Structure_RE'!E201</f>
        <v>3</v>
      </c>
      <c r="I172" s="1203">
        <f>'RC1_Structure_RE'!I201</f>
        <v>1425.7254225945298</v>
      </c>
      <c r="J172" s="1203">
        <f>'RC1_Structure_RE'!L201</f>
        <v>291.69131066400001</v>
      </c>
      <c r="K172" s="1203">
        <f>'RC1_Structure_RE'!M201</f>
        <v>1717.4167332585298</v>
      </c>
    </row>
    <row r="173" spans="1:11">
      <c r="A173" t="s">
        <v>10</v>
      </c>
      <c r="B173" t="s">
        <v>11</v>
      </c>
      <c r="C173" t="s">
        <v>22</v>
      </c>
      <c r="D173" t="s">
        <v>25</v>
      </c>
      <c r="E173" t="str" cm="1">
        <f t="array" ref="E173">_xlfn.LET(_xlpm.c,'RC1_Structure_RE'!C202, _xlpm.b, 'RC1_Structure_RE'!B202, IF(_xlpm.c&lt;&gt;"", _xlpm.c, _xlpm.b))</f>
        <v>งานคอนกรีตหยาบ</v>
      </c>
      <c r="F173" s="1205"/>
      <c r="G173" s="1203" t="str">
        <f>'RC1_Structure_RE'!F202</f>
        <v>ลบ.ม.</v>
      </c>
      <c r="H173" s="1203">
        <f>'RC1_Structure_RE'!E202</f>
        <v>3</v>
      </c>
      <c r="I173" s="1203">
        <f>'RC1_Structure_RE'!I202</f>
        <v>6899.6213868599989</v>
      </c>
      <c r="J173" s="1203">
        <f>'RC1_Structure_RE'!L202</f>
        <v>1194.812484066</v>
      </c>
      <c r="K173" s="1203">
        <f>'RC1_Structure_RE'!M202</f>
        <v>8094.4338709259991</v>
      </c>
    </row>
    <row r="174" spans="1:11">
      <c r="A174" t="s">
        <v>10</v>
      </c>
      <c r="B174" t="s">
        <v>11</v>
      </c>
      <c r="C174" t="s">
        <v>22</v>
      </c>
      <c r="D174" t="s">
        <v>25</v>
      </c>
      <c r="E174" t="str" cm="1">
        <f t="array" ref="E174">_xlfn.LET(_xlpm.c,'RC1_Structure_RE'!C203, _xlpm.b, 'RC1_Structure_RE'!B203, IF(_xlpm.c&lt;&gt;"", _xlpm.c, _xlpm.b))</f>
        <v xml:space="preserve">งานเหล็กเสริม </v>
      </c>
      <c r="F174" s="1205"/>
      <c r="G174" s="1203">
        <f>'RC1_Structure_RE'!F203</f>
        <v>0</v>
      </c>
      <c r="H174" s="1203">
        <f>'RC1_Structure_RE'!E203</f>
        <v>0</v>
      </c>
      <c r="I174" s="1203">
        <f>'RC1_Structure_RE'!I203</f>
        <v>0</v>
      </c>
      <c r="J174" s="1203">
        <f>'RC1_Structure_RE'!L203</f>
        <v>0</v>
      </c>
      <c r="K174" s="1203">
        <f>'RC1_Structure_RE'!M203</f>
        <v>0</v>
      </c>
    </row>
    <row r="175" spans="1:11">
      <c r="A175" t="s">
        <v>10</v>
      </c>
      <c r="B175" t="s">
        <v>11</v>
      </c>
      <c r="C175" t="s">
        <v>22</v>
      </c>
      <c r="D175" t="s">
        <v>25</v>
      </c>
      <c r="E175" t="str" cm="1">
        <f t="array" ref="E175">_xlfn.LET(_xlpm.c,'RC1_Structure_RE'!C204, _xlpm.b, 'RC1_Structure_RE'!B204, IF(_xlpm.c&lt;&gt;"", _xlpm.c, _xlpm.b))</f>
        <v>ขนาดเส้นผ่านศูนย์กลาง 12 ม.ม. SD-50</v>
      </c>
      <c r="F175" s="1205"/>
      <c r="G175" s="1203" t="str">
        <f>'RC1_Structure_RE'!F204</f>
        <v>กก.</v>
      </c>
      <c r="H175" s="1203">
        <f>'RC1_Structure_RE'!E204</f>
        <v>4638</v>
      </c>
      <c r="I175" s="1203">
        <f>'RC1_Structure_RE'!I204</f>
        <v>84337.213502627696</v>
      </c>
      <c r="J175" s="1203">
        <f>'RC1_Structure_RE'!L204</f>
        <v>15609.972679149601</v>
      </c>
      <c r="K175" s="1203">
        <f>'RC1_Structure_RE'!M204</f>
        <v>99947.186181777302</v>
      </c>
    </row>
    <row r="176" spans="1:11">
      <c r="A176" t="s">
        <v>10</v>
      </c>
      <c r="B176" t="s">
        <v>11</v>
      </c>
      <c r="C176" t="s">
        <v>22</v>
      </c>
      <c r="D176" t="s">
        <v>25</v>
      </c>
      <c r="E176" t="str" cm="1">
        <f t="array" ref="E176">_xlfn.LET(_xlpm.c,'RC1_Structure_RE'!C205, _xlpm.b, 'RC1_Structure_RE'!B205, IF(_xlpm.c&lt;&gt;"", _xlpm.c, _xlpm.b))</f>
        <v>ขนาดเส้นผ่านศูนย์กลาง 16 ม.ม. SD-50</v>
      </c>
      <c r="F176" s="1205"/>
      <c r="G176" s="1203" t="str">
        <f>'RC1_Structure_RE'!F205</f>
        <v>กก.</v>
      </c>
      <c r="H176" s="1203">
        <f>'RC1_Structure_RE'!E205</f>
        <v>621</v>
      </c>
      <c r="I176" s="1203">
        <f>'RC1_Structure_RE'!I205</f>
        <v>11176.124520849749</v>
      </c>
      <c r="J176" s="1203">
        <f>'RC1_Structure_RE'!L205</f>
        <v>2090.0804298732</v>
      </c>
      <c r="K176" s="1203">
        <f>'RC1_Structure_RE'!M205</f>
        <v>13266.204950722949</v>
      </c>
    </row>
    <row r="177" spans="1:11">
      <c r="A177" t="s">
        <v>10</v>
      </c>
      <c r="B177" t="s">
        <v>11</v>
      </c>
      <c r="C177" t="s">
        <v>22</v>
      </c>
      <c r="D177" t="s">
        <v>25</v>
      </c>
      <c r="E177" t="str" cm="1">
        <f t="array" ref="E177">_xlfn.LET(_xlpm.c,'RC1_Structure_RE'!C206, _xlpm.b, 'RC1_Structure_RE'!B206, IF(_xlpm.c&lt;&gt;"", _xlpm.c, _xlpm.b))</f>
        <v>ลวดผูกเหล็ก</v>
      </c>
      <c r="F177" s="1205"/>
      <c r="G177" s="1203" t="str">
        <f>'RC1_Structure_RE'!F206</f>
        <v>กก.</v>
      </c>
      <c r="H177" s="1203">
        <f>'RC1_Structure_RE'!E206</f>
        <v>95</v>
      </c>
      <c r="I177" s="1203">
        <f>'RC1_Structure_RE'!I206</f>
        <v>2406.9207670014998</v>
      </c>
      <c r="J177" s="1203">
        <f>'RC1_Structure_RE'!L206</f>
        <v>0</v>
      </c>
      <c r="K177" s="1203">
        <f>'RC1_Structure_RE'!M206</f>
        <v>2406.9207670014998</v>
      </c>
    </row>
    <row r="178" spans="1:11">
      <c r="A178" t="s">
        <v>10</v>
      </c>
      <c r="B178" t="s">
        <v>11</v>
      </c>
      <c r="C178" t="s">
        <v>22</v>
      </c>
      <c r="D178" t="s">
        <v>25</v>
      </c>
      <c r="E178" t="str" cm="1">
        <f t="array" ref="E178">_xlfn.LET(_xlpm.c,'RC1_Structure_RE'!C207, _xlpm.b, 'RC1_Structure_RE'!B207, IF(_xlpm.c&lt;&gt;"", _xlpm.c, _xlpm.b))</f>
        <v>งานไม้แบบ</v>
      </c>
      <c r="F178" s="1205"/>
      <c r="G178" s="1203">
        <f>'RC1_Structure_RE'!F207</f>
        <v>0</v>
      </c>
      <c r="H178" s="1203">
        <f>'RC1_Structure_RE'!E207</f>
        <v>0</v>
      </c>
      <c r="I178" s="1203">
        <f>'RC1_Structure_RE'!I207</f>
        <v>0</v>
      </c>
      <c r="J178" s="1203">
        <f>'RC1_Structure_RE'!L207</f>
        <v>0</v>
      </c>
      <c r="K178" s="1203">
        <f>'RC1_Structure_RE'!M207</f>
        <v>0</v>
      </c>
    </row>
    <row r="179" spans="1:11">
      <c r="A179" t="s">
        <v>10</v>
      </c>
      <c r="B179" t="s">
        <v>11</v>
      </c>
      <c r="C179" t="s">
        <v>22</v>
      </c>
      <c r="D179" t="s">
        <v>25</v>
      </c>
      <c r="E179" t="str" cm="1">
        <f t="array" ref="E179">_xlfn.LET(_xlpm.c,'RC1_Structure_RE'!C208, _xlpm.b, 'RC1_Structure_RE'!B208, IF(_xlpm.c&lt;&gt;"", _xlpm.c, _xlpm.b))</f>
        <v>ไม้แบบ ค้ำยัน นั่งร้าน (อาคาร 4 ชั้นขึ้นไป ใช้ 50%)</v>
      </c>
      <c r="F179" s="1205"/>
      <c r="G179" s="1203" t="str">
        <f>'RC1_Structure_RE'!F208</f>
        <v>ตร.ม.</v>
      </c>
      <c r="H179" s="1203">
        <f>'RC1_Structure_RE'!E208</f>
        <v>120</v>
      </c>
      <c r="I179" s="1203">
        <f>'RC1_Structure_RE'!I208</f>
        <v>27508.734374927997</v>
      </c>
      <c r="J179" s="1203">
        <f>'RC1_Structure_RE'!L208</f>
        <v>0</v>
      </c>
      <c r="K179" s="1203">
        <f>'RC1_Structure_RE'!M208</f>
        <v>27508.734374927997</v>
      </c>
    </row>
    <row r="180" spans="1:11">
      <c r="A180" t="s">
        <v>10</v>
      </c>
      <c r="B180" t="s">
        <v>11</v>
      </c>
      <c r="C180" t="s">
        <v>22</v>
      </c>
      <c r="D180" t="s">
        <v>25</v>
      </c>
      <c r="E180" t="str" cm="1">
        <f t="array" ref="E180">_xlfn.LET(_xlpm.c,'RC1_Structure_RE'!C209, _xlpm.b, 'RC1_Structure_RE'!B209, IF(_xlpm.c&lt;&gt;"", _xlpm.c, _xlpm.b))</f>
        <v>ค่าแรงประกอบและติดตั้งไม้แบบหล่อคอนกรีต (ใช้ 100%)</v>
      </c>
      <c r="F180" s="1205"/>
      <c r="G180" s="1203" t="str">
        <f>'RC1_Structure_RE'!F209</f>
        <v>ตร.ม.</v>
      </c>
      <c r="H180" s="1203">
        <f>'RC1_Structure_RE'!E209</f>
        <v>239</v>
      </c>
      <c r="I180" s="1203">
        <f>'RC1_Structure_RE'!I209</f>
        <v>0</v>
      </c>
      <c r="J180" s="1203">
        <f>'RC1_Structure_RE'!L209</f>
        <v>27036.605811193</v>
      </c>
      <c r="K180" s="1203">
        <f>'RC1_Structure_RE'!M209</f>
        <v>27036.605811193</v>
      </c>
    </row>
    <row r="181" spans="1:11">
      <c r="A181" t="s">
        <v>10</v>
      </c>
      <c r="B181" t="s">
        <v>11</v>
      </c>
      <c r="C181" t="s">
        <v>22</v>
      </c>
      <c r="D181" t="s">
        <v>25</v>
      </c>
      <c r="E181" t="str" cm="1">
        <f t="array" ref="E181">_xlfn.LET(_xlpm.c,'RC1_Structure_RE'!C210, _xlpm.b, 'RC1_Structure_RE'!B210, IF(_xlpm.c&lt;&gt;"", _xlpm.c, _xlpm.b))</f>
        <v>ไม้เคร่า (ใช้ 30% ของไม้แบบ 1 ตร.ม.)</v>
      </c>
      <c r="F181" s="1205"/>
      <c r="G181" s="1203" t="str">
        <f>'RC1_Structure_RE'!F210</f>
        <v>ลบ.ฟ.</v>
      </c>
      <c r="H181" s="1203">
        <f>'RC1_Structure_RE'!E210</f>
        <v>36</v>
      </c>
      <c r="I181" s="1203">
        <f>'RC1_Structure_RE'!I210</f>
        <v>10414.052924498639</v>
      </c>
      <c r="J181" s="1203">
        <f>'RC1_Structure_RE'!L210</f>
        <v>0</v>
      </c>
      <c r="K181" s="1203">
        <f>'RC1_Structure_RE'!M210</f>
        <v>10414.052924498639</v>
      </c>
    </row>
    <row r="182" spans="1:11">
      <c r="A182" t="s">
        <v>10</v>
      </c>
      <c r="B182" t="s">
        <v>11</v>
      </c>
      <c r="C182" t="s">
        <v>22</v>
      </c>
      <c r="D182" t="s">
        <v>25</v>
      </c>
      <c r="E182" t="str" cm="1">
        <f t="array" ref="E182">_xlfn.LET(_xlpm.c,'RC1_Structure_RE'!C211, _xlpm.b, 'RC1_Structure_RE'!B211, IF(_xlpm.c&lt;&gt;"", _xlpm.c, _xlpm.b))</f>
        <v>ตะปู (ใช้ 25% ของไม้แบบ 1 ตร.ม.)</v>
      </c>
      <c r="F182" s="1205"/>
      <c r="G182" s="1203" t="str">
        <f>'RC1_Structure_RE'!F211</f>
        <v>กก.</v>
      </c>
      <c r="H182" s="1203">
        <f>'RC1_Structure_RE'!E211</f>
        <v>30</v>
      </c>
      <c r="I182" s="1203">
        <f>'RC1_Structure_RE'!I211</f>
        <v>655.18355933759995</v>
      </c>
      <c r="J182" s="1203">
        <f>'RC1_Structure_RE'!L211</f>
        <v>0</v>
      </c>
      <c r="K182" s="1203">
        <f>'RC1_Structure_RE'!M211</f>
        <v>655.18355933759995</v>
      </c>
    </row>
    <row r="183" spans="1:11">
      <c r="A183" t="s">
        <v>10</v>
      </c>
      <c r="B183" t="s">
        <v>11</v>
      </c>
      <c r="C183" t="s">
        <v>22</v>
      </c>
      <c r="D183" t="s">
        <v>25</v>
      </c>
      <c r="E183" t="str" cm="1">
        <f t="array" ref="E183">_xlfn.LET(_xlpm.c,'RC1_Structure_RE'!C212, _xlpm.b, 'RC1_Structure_RE'!B212, IF(_xlpm.c&lt;&gt;"", _xlpm.c, _xlpm.b))</f>
        <v>งานคอนกรีตโครงสร้าง</v>
      </c>
      <c r="F183" s="1205"/>
      <c r="G183" s="1203">
        <f>'RC1_Structure_RE'!F212</f>
        <v>0</v>
      </c>
      <c r="H183" s="1203">
        <f>'RC1_Structure_RE'!E212</f>
        <v>0</v>
      </c>
      <c r="I183" s="1203">
        <f>'RC1_Structure_RE'!I212</f>
        <v>0</v>
      </c>
      <c r="J183" s="1203">
        <f>'RC1_Structure_RE'!L212</f>
        <v>0</v>
      </c>
      <c r="K183" s="1203">
        <f>'RC1_Structure_RE'!M212</f>
        <v>0</v>
      </c>
    </row>
    <row r="184" spans="1:11">
      <c r="A184" t="s">
        <v>10</v>
      </c>
      <c r="B184" t="s">
        <v>11</v>
      </c>
      <c r="C184" t="s">
        <v>22</v>
      </c>
      <c r="D184" t="s">
        <v>25</v>
      </c>
      <c r="E184" t="str" cm="1">
        <f t="array" ref="E184">_xlfn.LET(_xlpm.c,'RC1_Structure_RE'!C213, _xlpm.b, 'RC1_Structure_RE'!B213, IF(_xlpm.c&lt;&gt;"", _xlpm.c, _xlpm.b))</f>
        <v>งานคอนกรีตโครงสร้าง 320 ksc.ผสมน้ำยากันซึม</v>
      </c>
      <c r="F184" s="1205"/>
      <c r="G184" s="1203" t="str">
        <f>'RC1_Structure_RE'!F213</f>
        <v>ลบ.ม.</v>
      </c>
      <c r="H184" s="1203">
        <f>'RC1_Structure_RE'!E213</f>
        <v>54</v>
      </c>
      <c r="I184" s="1203">
        <f>'RC1_Structure_RE'!I213</f>
        <v>114096.17805587999</v>
      </c>
      <c r="J184" s="1203">
        <f>'RC1_Structure_RE'!L213</f>
        <v>26201.732925221997</v>
      </c>
      <c r="K184" s="1203">
        <f>'RC1_Structure_RE'!M213</f>
        <v>140297.910981102</v>
      </c>
    </row>
    <row r="185" spans="1:11">
      <c r="A185" t="s">
        <v>10</v>
      </c>
      <c r="B185" t="s">
        <v>11</v>
      </c>
      <c r="C185" t="s">
        <v>22</v>
      </c>
      <c r="D185" t="s">
        <v>25</v>
      </c>
      <c r="E185" cm="1">
        <f t="array" ref="E185">_xlfn.LET(_xlpm.c,'RC1_Structure_RE'!C214, _xlpm.b, 'RC1_Structure_RE'!B214, IF(_xlpm.c&lt;&gt;"", _xlpm.c, _xlpm.b))</f>
        <v>0</v>
      </c>
      <c r="F185" s="1205"/>
      <c r="G185" s="1203">
        <f>'RC1_Structure_RE'!F214</f>
        <v>0</v>
      </c>
      <c r="H185" s="1203">
        <f>'RC1_Structure_RE'!E214</f>
        <v>0</v>
      </c>
      <c r="I185" s="1203">
        <f>'RC1_Structure_RE'!I214</f>
        <v>0</v>
      </c>
      <c r="J185" s="1203">
        <f>'RC1_Structure_RE'!L214</f>
        <v>0</v>
      </c>
      <c r="K185" s="1203">
        <f>'RC1_Structure_RE'!M214</f>
        <v>0</v>
      </c>
    </row>
    <row r="186" spans="1:11">
      <c r="A186" t="s">
        <v>10</v>
      </c>
      <c r="B186" t="s">
        <v>11</v>
      </c>
      <c r="C186" t="s">
        <v>22</v>
      </c>
      <c r="D186" t="s">
        <v>26</v>
      </c>
      <c r="E186" t="str" cm="1">
        <f t="array" ref="E186">_xlfn.LET(_xlpm.c,'RC1_Structure_RE'!C215, _xlpm.b, 'RC1_Structure_RE'!B215, IF(_xlpm.c&lt;&gt;"", _xlpm.c, _xlpm.b))</f>
        <v>โครงสร้าง Gutter 200 mm. W x 250 mm. D</v>
      </c>
      <c r="F186" s="1205"/>
      <c r="G186" s="1203">
        <f>'RC1_Structure_RE'!F215</f>
        <v>0</v>
      </c>
      <c r="H186" s="1203">
        <f>'RC1_Structure_RE'!E215</f>
        <v>0</v>
      </c>
      <c r="I186" s="1203">
        <f>'RC1_Structure_RE'!I215</f>
        <v>0</v>
      </c>
      <c r="J186" s="1203">
        <f>'RC1_Structure_RE'!L215</f>
        <v>0</v>
      </c>
      <c r="K186" s="1203">
        <f>'RC1_Structure_RE'!M215</f>
        <v>0</v>
      </c>
    </row>
    <row r="187" spans="1:11">
      <c r="A187" t="s">
        <v>10</v>
      </c>
      <c r="B187" t="s">
        <v>11</v>
      </c>
      <c r="C187" t="s">
        <v>22</v>
      </c>
      <c r="D187" t="s">
        <v>26</v>
      </c>
      <c r="E187" t="str" cm="1">
        <f t="array" ref="E187">_xlfn.LET(_xlpm.c,'RC1_Structure_RE'!C216, _xlpm.b, 'RC1_Structure_RE'!B216, IF(_xlpm.c&lt;&gt;"", _xlpm.c, _xlpm.b))</f>
        <v>งานขุดดิน และถมกลับ</v>
      </c>
      <c r="F187" s="1205"/>
      <c r="G187" s="1203" t="str">
        <f>'RC1_Structure_RE'!F216</f>
        <v>ลบ.ม.</v>
      </c>
      <c r="H187" s="1203">
        <f>'RC1_Structure_RE'!E216</f>
        <v>213.2</v>
      </c>
      <c r="I187" s="1203">
        <f>'RC1_Structure_RE'!I216</f>
        <v>0</v>
      </c>
      <c r="J187" s="1203">
        <f>'RC1_Structure_RE'!L216</f>
        <v>22324.108309484796</v>
      </c>
      <c r="K187" s="1203">
        <f>'RC1_Structure_RE'!M216</f>
        <v>22324.108309484796</v>
      </c>
    </row>
    <row r="188" spans="1:11">
      <c r="A188" t="s">
        <v>10</v>
      </c>
      <c r="B188" t="s">
        <v>11</v>
      </c>
      <c r="C188" t="s">
        <v>22</v>
      </c>
      <c r="D188" t="s">
        <v>26</v>
      </c>
      <c r="E188" t="str" cm="1">
        <f t="array" ref="E188">_xlfn.LET(_xlpm.c,'RC1_Structure_RE'!C217, _xlpm.b, 'RC1_Structure_RE'!B217, IF(_xlpm.c&lt;&gt;"", _xlpm.c, _xlpm.b))</f>
        <v>งานทรายหยาบบดอัดแน่น</v>
      </c>
      <c r="F188" s="1205"/>
      <c r="G188" s="1203" t="str">
        <f>'RC1_Structure_RE'!F217</f>
        <v>ลบ.ม.</v>
      </c>
      <c r="H188" s="1203">
        <f>'RC1_Structure_RE'!E217</f>
        <v>11</v>
      </c>
      <c r="I188" s="1203">
        <f>'RC1_Structure_RE'!I217</f>
        <v>5227.6598828466094</v>
      </c>
      <c r="J188" s="1203">
        <f>'RC1_Structure_RE'!L217</f>
        <v>1069.5348057680001</v>
      </c>
      <c r="K188" s="1203">
        <f>'RC1_Structure_RE'!M217</f>
        <v>6297.1946886146097</v>
      </c>
    </row>
    <row r="189" spans="1:11">
      <c r="A189" t="s">
        <v>10</v>
      </c>
      <c r="B189" t="s">
        <v>11</v>
      </c>
      <c r="C189" t="s">
        <v>22</v>
      </c>
      <c r="D189" t="s">
        <v>26</v>
      </c>
      <c r="E189" t="str" cm="1">
        <f t="array" ref="E189">_xlfn.LET(_xlpm.c,'RC1_Structure_RE'!C218, _xlpm.b, 'RC1_Structure_RE'!B218, IF(_xlpm.c&lt;&gt;"", _xlpm.c, _xlpm.b))</f>
        <v>งานคอนกรีตหยาบ</v>
      </c>
      <c r="F189" s="1205"/>
      <c r="G189" s="1203" t="str">
        <f>'RC1_Structure_RE'!F218</f>
        <v>ลบ.ม.</v>
      </c>
      <c r="H189" s="1203">
        <f>'RC1_Structure_RE'!E218</f>
        <v>11</v>
      </c>
      <c r="I189" s="1203">
        <f>'RC1_Structure_RE'!I218</f>
        <v>25298.611751819997</v>
      </c>
      <c r="J189" s="1203">
        <f>'RC1_Structure_RE'!L218</f>
        <v>4380.9791082419997</v>
      </c>
      <c r="K189" s="1203">
        <f>'RC1_Structure_RE'!M218</f>
        <v>29679.590860061995</v>
      </c>
    </row>
    <row r="190" spans="1:11">
      <c r="A190" t="s">
        <v>10</v>
      </c>
      <c r="B190" t="s">
        <v>11</v>
      </c>
      <c r="C190" t="s">
        <v>22</v>
      </c>
      <c r="D190" t="s">
        <v>26</v>
      </c>
      <c r="E190" t="str" cm="1">
        <f t="array" ref="E190">_xlfn.LET(_xlpm.c,'RC1_Structure_RE'!C219, _xlpm.b, 'RC1_Structure_RE'!B219, IF(_xlpm.c&lt;&gt;"", _xlpm.c, _xlpm.b))</f>
        <v xml:space="preserve">งานเหล็กเสริม </v>
      </c>
      <c r="F190" s="1205"/>
      <c r="G190" s="1203">
        <f>'RC1_Structure_RE'!F219</f>
        <v>0</v>
      </c>
      <c r="H190" s="1203">
        <f>'RC1_Structure_RE'!E219</f>
        <v>0</v>
      </c>
      <c r="I190" s="1203">
        <f>'RC1_Structure_RE'!I219</f>
        <v>0</v>
      </c>
      <c r="J190" s="1203">
        <f>'RC1_Structure_RE'!L219</f>
        <v>0</v>
      </c>
      <c r="K190" s="1203">
        <f>'RC1_Structure_RE'!M219</f>
        <v>0</v>
      </c>
    </row>
    <row r="191" spans="1:11">
      <c r="A191" t="s">
        <v>10</v>
      </c>
      <c r="B191" t="s">
        <v>11</v>
      </c>
      <c r="C191" t="s">
        <v>22</v>
      </c>
      <c r="D191" t="s">
        <v>26</v>
      </c>
      <c r="E191" t="str" cm="1">
        <f t="array" ref="E191">_xlfn.LET(_xlpm.c,'RC1_Structure_RE'!C220, _xlpm.b, 'RC1_Structure_RE'!B220, IF(_xlpm.c&lt;&gt;"", _xlpm.c, _xlpm.b))</f>
        <v>ขนาดเส้นผ่านศูนย์กลาง 16 ม.ม. SD-50</v>
      </c>
      <c r="F191" s="1205"/>
      <c r="G191" s="1203" t="str">
        <f>'RC1_Structure_RE'!F220</f>
        <v>กก.</v>
      </c>
      <c r="H191" s="1203">
        <f>'RC1_Structure_RE'!E220</f>
        <v>10487</v>
      </c>
      <c r="I191" s="1203">
        <f>'RC1_Structure_RE'!I220</f>
        <v>188734.32826111323</v>
      </c>
      <c r="J191" s="1203">
        <f>'RC1_Structure_RE'!L220</f>
        <v>35295.770480000399</v>
      </c>
      <c r="K191" s="1203">
        <f>'RC1_Structure_RE'!M220</f>
        <v>224030.09874111362</v>
      </c>
    </row>
    <row r="192" spans="1:11">
      <c r="A192" t="s">
        <v>10</v>
      </c>
      <c r="B192" t="s">
        <v>11</v>
      </c>
      <c r="C192" t="s">
        <v>22</v>
      </c>
      <c r="D192" t="s">
        <v>26</v>
      </c>
      <c r="E192" t="str" cm="1">
        <f t="array" ref="E192">_xlfn.LET(_xlpm.c,'RC1_Structure_RE'!C221, _xlpm.b, 'RC1_Structure_RE'!B221, IF(_xlpm.c&lt;&gt;"", _xlpm.c, _xlpm.b))</f>
        <v>ลวดผูกเหล็ก</v>
      </c>
      <c r="F192" s="1205"/>
      <c r="G192" s="1203" t="str">
        <f>'RC1_Structure_RE'!F221</f>
        <v>กก.</v>
      </c>
      <c r="H192" s="1203">
        <f>'RC1_Structure_RE'!E221</f>
        <v>189</v>
      </c>
      <c r="I192" s="1203">
        <f>'RC1_Structure_RE'!I221</f>
        <v>4788.5055259293003</v>
      </c>
      <c r="J192" s="1203">
        <f>'RC1_Structure_RE'!L221</f>
        <v>0</v>
      </c>
      <c r="K192" s="1203">
        <f>'RC1_Structure_RE'!M221</f>
        <v>4788.5055259293003</v>
      </c>
    </row>
    <row r="193" spans="1:11">
      <c r="A193" t="s">
        <v>10</v>
      </c>
      <c r="B193" t="s">
        <v>11</v>
      </c>
      <c r="C193" t="s">
        <v>22</v>
      </c>
      <c r="D193" t="s">
        <v>26</v>
      </c>
      <c r="E193" t="str" cm="1">
        <f t="array" ref="E193">_xlfn.LET(_xlpm.c,'RC1_Structure_RE'!C222, _xlpm.b, 'RC1_Structure_RE'!B222, IF(_xlpm.c&lt;&gt;"", _xlpm.c, _xlpm.b))</f>
        <v>งานไม้แบบ</v>
      </c>
      <c r="F193" s="1205"/>
      <c r="G193" s="1203">
        <f>'RC1_Structure_RE'!F222</f>
        <v>0</v>
      </c>
      <c r="H193" s="1203">
        <f>'RC1_Structure_RE'!E222</f>
        <v>0</v>
      </c>
      <c r="I193" s="1203">
        <f>'RC1_Structure_RE'!I222</f>
        <v>0</v>
      </c>
      <c r="J193" s="1203">
        <f>'RC1_Structure_RE'!L222</f>
        <v>0</v>
      </c>
      <c r="K193" s="1203">
        <f>'RC1_Structure_RE'!M222</f>
        <v>0</v>
      </c>
    </row>
    <row r="194" spans="1:11">
      <c r="A194" t="s">
        <v>10</v>
      </c>
      <c r="B194" t="s">
        <v>11</v>
      </c>
      <c r="C194" t="s">
        <v>22</v>
      </c>
      <c r="D194" t="s">
        <v>26</v>
      </c>
      <c r="E194" t="str" cm="1">
        <f t="array" ref="E194">_xlfn.LET(_xlpm.c,'RC1_Structure_RE'!C223, _xlpm.b, 'RC1_Structure_RE'!B223, IF(_xlpm.c&lt;&gt;"", _xlpm.c, _xlpm.b))</f>
        <v>ไม้แบบ ค้ำยัน นั่งร้าน (อาคาร 4 ชั้นขึ้นไป ใช้ 50%)</v>
      </c>
      <c r="F194" s="1205"/>
      <c r="G194" s="1203" t="str">
        <f>'RC1_Structure_RE'!F223</f>
        <v>ตร.ม.</v>
      </c>
      <c r="H194" s="1203">
        <f>'RC1_Structure_RE'!E223</f>
        <v>48</v>
      </c>
      <c r="I194" s="1203">
        <f>'RC1_Structure_RE'!I223</f>
        <v>11003.4937499712</v>
      </c>
      <c r="J194" s="1203">
        <f>'RC1_Structure_RE'!L223</f>
        <v>0</v>
      </c>
      <c r="K194" s="1203">
        <f>'RC1_Structure_RE'!M223</f>
        <v>11003.4937499712</v>
      </c>
    </row>
    <row r="195" spans="1:11">
      <c r="A195" t="s">
        <v>10</v>
      </c>
      <c r="B195" t="s">
        <v>11</v>
      </c>
      <c r="C195" t="s">
        <v>22</v>
      </c>
      <c r="D195" t="s">
        <v>26</v>
      </c>
      <c r="E195" t="str" cm="1">
        <f t="array" ref="E195">_xlfn.LET(_xlpm.c,'RC1_Structure_RE'!C224, _xlpm.b, 'RC1_Structure_RE'!B224, IF(_xlpm.c&lt;&gt;"", _xlpm.c, _xlpm.b))</f>
        <v>ค่าแรงประกอบและติดตั้งไม้แบบหล่อคอนกรีต (ใช้ 100%)</v>
      </c>
      <c r="F195" s="1205"/>
      <c r="G195" s="1203" t="str">
        <f>'RC1_Structure_RE'!F224</f>
        <v>ตร.ม.</v>
      </c>
      <c r="H195" s="1203">
        <f>'RC1_Structure_RE'!E224</f>
        <v>95</v>
      </c>
      <c r="I195" s="1203">
        <f>'RC1_Structure_RE'!I224</f>
        <v>0</v>
      </c>
      <c r="J195" s="1203">
        <f>'RC1_Structure_RE'!L224</f>
        <v>10746.768000265</v>
      </c>
      <c r="K195" s="1203">
        <f>'RC1_Structure_RE'!M224</f>
        <v>10746.768000265</v>
      </c>
    </row>
    <row r="196" spans="1:11">
      <c r="A196" t="s">
        <v>10</v>
      </c>
      <c r="B196" t="s">
        <v>11</v>
      </c>
      <c r="C196" t="s">
        <v>22</v>
      </c>
      <c r="D196" t="s">
        <v>26</v>
      </c>
      <c r="E196" t="str" cm="1">
        <f t="array" ref="E196">_xlfn.LET(_xlpm.c,'RC1_Structure_RE'!C225, _xlpm.b, 'RC1_Structure_RE'!B225, IF(_xlpm.c&lt;&gt;"", _xlpm.c, _xlpm.b))</f>
        <v>ไม้เคร่า (ใช้ 30% ของไม้แบบ 1 ตร.ม.)</v>
      </c>
      <c r="F196" s="1205"/>
      <c r="G196" s="1203" t="str">
        <f>'RC1_Structure_RE'!F225</f>
        <v>ลบ.ฟ.</v>
      </c>
      <c r="H196" s="1203">
        <f>'RC1_Structure_RE'!E225</f>
        <v>15</v>
      </c>
      <c r="I196" s="1203">
        <f>'RC1_Structure_RE'!I225</f>
        <v>4339.1887185410997</v>
      </c>
      <c r="J196" s="1203">
        <f>'RC1_Structure_RE'!L225</f>
        <v>0</v>
      </c>
      <c r="K196" s="1203">
        <f>'RC1_Structure_RE'!M225</f>
        <v>4339.1887185410997</v>
      </c>
    </row>
    <row r="197" spans="1:11">
      <c r="A197" t="s">
        <v>10</v>
      </c>
      <c r="B197" t="s">
        <v>11</v>
      </c>
      <c r="C197" t="s">
        <v>22</v>
      </c>
      <c r="D197" t="s">
        <v>26</v>
      </c>
      <c r="E197" t="str" cm="1">
        <f t="array" ref="E197">_xlfn.LET(_xlpm.c,'RC1_Structure_RE'!C226, _xlpm.b, 'RC1_Structure_RE'!B226, IF(_xlpm.c&lt;&gt;"", _xlpm.c, _xlpm.b))</f>
        <v>ตะปู (ใช้ 25% ของไม้แบบ 1 ตร.ม.)</v>
      </c>
      <c r="F197" s="1205"/>
      <c r="G197" s="1203" t="str">
        <f>'RC1_Structure_RE'!F226</f>
        <v>กก.</v>
      </c>
      <c r="H197" s="1203">
        <f>'RC1_Structure_RE'!E226</f>
        <v>12</v>
      </c>
      <c r="I197" s="1203">
        <f>'RC1_Structure_RE'!I226</f>
        <v>262.07342373504002</v>
      </c>
      <c r="J197" s="1203">
        <f>'RC1_Structure_RE'!L226</f>
        <v>0</v>
      </c>
      <c r="K197" s="1203">
        <f>'RC1_Structure_RE'!M226</f>
        <v>262.07342373504002</v>
      </c>
    </row>
    <row r="198" spans="1:11">
      <c r="A198" t="s">
        <v>10</v>
      </c>
      <c r="B198" t="s">
        <v>11</v>
      </c>
      <c r="C198" t="s">
        <v>22</v>
      </c>
      <c r="D198" t="s">
        <v>26</v>
      </c>
      <c r="E198" t="str" cm="1">
        <f t="array" ref="E198">_xlfn.LET(_xlpm.c,'RC1_Structure_RE'!C227, _xlpm.b, 'RC1_Structure_RE'!B227, IF(_xlpm.c&lt;&gt;"", _xlpm.c, _xlpm.b))</f>
        <v>งานคอนกรีตโครงสร้าง</v>
      </c>
      <c r="F198" s="1205"/>
      <c r="G198" s="1203">
        <f>'RC1_Structure_RE'!F227</f>
        <v>0</v>
      </c>
      <c r="H198" s="1203">
        <f>'RC1_Structure_RE'!E227</f>
        <v>0</v>
      </c>
      <c r="I198" s="1203">
        <f>'RC1_Structure_RE'!I227</f>
        <v>0</v>
      </c>
      <c r="J198" s="1203">
        <f>'RC1_Structure_RE'!L227</f>
        <v>0</v>
      </c>
      <c r="K198" s="1203">
        <f>'RC1_Structure_RE'!M227</f>
        <v>0</v>
      </c>
    </row>
    <row r="199" spans="1:11">
      <c r="A199" t="s">
        <v>10</v>
      </c>
      <c r="B199" t="s">
        <v>11</v>
      </c>
      <c r="C199" t="s">
        <v>22</v>
      </c>
      <c r="D199" t="s">
        <v>26</v>
      </c>
      <c r="E199" t="str" cm="1">
        <f t="array" ref="E199">_xlfn.LET(_xlpm.c,'RC1_Structure_RE'!C228, _xlpm.b, 'RC1_Structure_RE'!B228, IF(_xlpm.c&lt;&gt;"", _xlpm.c, _xlpm.b))</f>
        <v>งานคอนกรีตโครงสร้าง 320 ksc.ผสมน้ำยากันซึม</v>
      </c>
      <c r="F199" s="1205"/>
      <c r="G199" s="1203" t="str">
        <f>'RC1_Structure_RE'!F228</f>
        <v>ลบ.ม.</v>
      </c>
      <c r="H199" s="1203">
        <f>'RC1_Structure_RE'!E228</f>
        <v>136.80000000000001</v>
      </c>
      <c r="I199" s="1203">
        <f>'RC1_Structure_RE'!I228</f>
        <v>289043.65107489604</v>
      </c>
      <c r="J199" s="1203">
        <f>'RC1_Structure_RE'!L228</f>
        <v>66377.723410562394</v>
      </c>
      <c r="K199" s="1203">
        <f>'RC1_Structure_RE'!M228</f>
        <v>355421.37448545842</v>
      </c>
    </row>
    <row r="200" spans="1:11">
      <c r="F200" s="1205"/>
      <c r="G200" s="1203"/>
      <c r="H200" s="1203"/>
      <c r="I200" s="1203"/>
      <c r="J200" s="1203"/>
      <c r="K200" s="1203"/>
    </row>
    <row r="201" spans="1:11">
      <c r="F201" s="1205"/>
      <c r="G201" s="1203"/>
      <c r="H201" s="1203"/>
      <c r="I201" s="1203"/>
      <c r="J201" s="1203"/>
      <c r="K201" s="1203"/>
    </row>
    <row r="202" spans="1:11">
      <c r="F202" s="1205"/>
      <c r="G202" s="1203"/>
      <c r="H202" s="1203"/>
      <c r="I202" s="1203"/>
      <c r="J202" s="1203"/>
      <c r="K202" s="1203"/>
    </row>
    <row r="203" spans="1:11">
      <c r="F203" s="1205"/>
      <c r="G203" s="1203"/>
      <c r="H203" s="1203"/>
      <c r="I203" s="1203"/>
      <c r="J203" s="1203"/>
      <c r="K203" s="1203"/>
    </row>
    <row r="204" spans="1:11">
      <c r="F204" s="1205"/>
      <c r="G204" s="1203"/>
      <c r="H204" s="1203"/>
      <c r="I204" s="1203"/>
      <c r="J204" s="1203"/>
      <c r="K204" s="1203"/>
    </row>
    <row r="205" spans="1:11">
      <c r="F205" s="1205"/>
      <c r="G205" s="1203"/>
      <c r="H205" s="1203"/>
      <c r="I205" s="1203"/>
      <c r="J205" s="1203"/>
      <c r="K205" s="1203"/>
    </row>
    <row r="206" spans="1:11">
      <c r="F206" s="1205"/>
      <c r="G206" s="1203"/>
      <c r="H206" s="1203"/>
      <c r="I206" s="1203"/>
      <c r="J206" s="1203"/>
      <c r="K206" s="1203"/>
    </row>
    <row r="207" spans="1:11">
      <c r="F207" s="1205"/>
      <c r="G207" s="1203"/>
      <c r="H207" s="1203"/>
      <c r="I207" s="1203"/>
      <c r="J207" s="1203"/>
      <c r="K207" s="1203"/>
    </row>
    <row r="208" spans="1:11">
      <c r="F208" s="1205"/>
      <c r="G208" s="1203"/>
      <c r="H208" s="1203"/>
      <c r="I208" s="1203"/>
      <c r="J208" s="1203"/>
      <c r="K208" s="1203"/>
    </row>
    <row r="209" spans="1:11">
      <c r="F209" s="1205"/>
      <c r="G209" s="1203"/>
      <c r="H209" s="1203"/>
      <c r="I209" s="1203"/>
      <c r="J209" s="1203"/>
      <c r="K209" s="1203"/>
    </row>
    <row r="210" spans="1:11">
      <c r="F210" s="1205"/>
      <c r="G210" s="1203"/>
      <c r="H210" s="1203"/>
      <c r="I210" s="1203"/>
      <c r="J210" s="1203"/>
      <c r="K210" s="1203"/>
    </row>
    <row r="211" spans="1:11">
      <c r="F211" s="1205"/>
      <c r="G211" s="1203"/>
      <c r="H211" s="1203"/>
      <c r="I211" s="1203"/>
      <c r="J211" s="1203"/>
      <c r="K211" s="1203"/>
    </row>
    <row r="212" spans="1:11">
      <c r="F212" s="1205"/>
      <c r="G212" s="1203"/>
      <c r="H212" s="1203"/>
      <c r="I212" s="1203"/>
      <c r="J212" s="1203"/>
      <c r="K212" s="1203"/>
    </row>
    <row r="213" spans="1:11">
      <c r="F213" s="1205"/>
      <c r="G213" s="1203"/>
      <c r="H213" s="1203"/>
      <c r="I213" s="1203"/>
      <c r="J213" s="1203"/>
      <c r="K213" s="1203"/>
    </row>
    <row r="214" spans="1:11">
      <c r="F214" s="1205"/>
      <c r="G214" s="1203"/>
      <c r="H214" s="1203"/>
      <c r="I214" s="1203"/>
      <c r="J214" s="1203"/>
      <c r="K214" s="1203"/>
    </row>
    <row r="215" spans="1:11">
      <c r="F215" s="1205"/>
      <c r="G215" s="1203"/>
      <c r="H215" s="1203"/>
      <c r="I215" s="1203"/>
      <c r="J215" s="1203"/>
      <c r="K215" s="1203"/>
    </row>
    <row r="216" spans="1:11">
      <c r="E216" t="str" cm="1">
        <f t="array" ref="E216">_xlfn.LET(_xlpm.c,'RC1_Structure_RE'!C245, _xlpm.b, 'RC1_Structure_RE'!B245, IF(_xlpm.c&lt;&gt;"", _xlpm.c, _xlpm.b))</f>
        <v>งานโครงสร้าง คาน พื้น เสา ผนังชั้น 1</v>
      </c>
      <c r="F216" s="1205"/>
      <c r="G216" s="1203"/>
      <c r="H216" s="1203"/>
      <c r="I216" s="1203"/>
      <c r="J216" s="1203"/>
      <c r="K216" s="1203"/>
    </row>
    <row r="217" spans="1:11">
      <c r="E217" cm="1">
        <f t="array" ref="E217">_xlfn.LET(_xlpm.c,'RC1_Structure_RE'!C246, _xlpm.b, 'RC1_Structure_RE'!B246, IF(_xlpm.c&lt;&gt;"", _xlpm.c, _xlpm.b))</f>
        <v>0</v>
      </c>
      <c r="F217" s="1205"/>
      <c r="G217" s="1203">
        <f>'RC1_Structure_RE'!F246</f>
        <v>0</v>
      </c>
      <c r="H217" s="1203">
        <f>'RC1_Structure_RE'!E246</f>
        <v>0</v>
      </c>
      <c r="I217" s="1203">
        <f>'RC1_Structure_RE'!I246</f>
        <v>0</v>
      </c>
      <c r="J217" s="1203">
        <f>'RC1_Structure_RE'!L246</f>
        <v>0</v>
      </c>
      <c r="K217" s="1203">
        <f>'RC1_Structure_RE'!M246</f>
        <v>0</v>
      </c>
    </row>
    <row r="218" spans="1:11">
      <c r="A218" t="s">
        <v>10</v>
      </c>
      <c r="B218" t="s">
        <v>27</v>
      </c>
      <c r="C218" t="s">
        <v>28</v>
      </c>
      <c r="D218" t="s">
        <v>17</v>
      </c>
      <c r="E218" t="str" cm="1">
        <f t="array" ref="E218">_xlfn.LET(_xlpm.c,'RC1_Structure_RE'!C247, _xlpm.b, 'RC1_Structure_RE'!B247, IF(_xlpm.c&lt;&gt;"", _xlpm.c, _xlpm.b))</f>
        <v>โครงสร้างคาน ชั้น 1</v>
      </c>
      <c r="F218" s="1205"/>
      <c r="G218" s="1203">
        <f>'RC1_Structure_RE'!F247</f>
        <v>0</v>
      </c>
      <c r="H218" s="1203">
        <f>'RC1_Structure_RE'!E247</f>
        <v>0</v>
      </c>
      <c r="I218" s="1203">
        <f>'RC1_Structure_RE'!I247</f>
        <v>0</v>
      </c>
      <c r="J218" s="1203">
        <f>'RC1_Structure_RE'!L247</f>
        <v>0</v>
      </c>
      <c r="K218" s="1203">
        <f>'RC1_Structure_RE'!M247</f>
        <v>0</v>
      </c>
    </row>
    <row r="219" spans="1:11">
      <c r="A219" t="s">
        <v>10</v>
      </c>
      <c r="B219" t="s">
        <v>27</v>
      </c>
      <c r="C219" t="s">
        <v>28</v>
      </c>
      <c r="D219" t="s">
        <v>17</v>
      </c>
      <c r="E219" t="str" cm="1">
        <f t="array" ref="E219">_xlfn.LET(_xlpm.c,'RC1_Structure_RE'!C248, _xlpm.b, 'RC1_Structure_RE'!B248, IF(_xlpm.c&lt;&gt;"", _xlpm.c, _xlpm.b))</f>
        <v>งานขุดดิน และถมกลับ</v>
      </c>
      <c r="F219" s="1205"/>
      <c r="G219" s="1203" t="str">
        <f>'RC1_Structure_RE'!F248</f>
        <v>ลบ.ม.</v>
      </c>
      <c r="H219" s="1203">
        <f>'RC1_Structure_RE'!E248</f>
        <v>231</v>
      </c>
      <c r="I219" s="1203">
        <f>'RC1_Structure_RE'!I248</f>
        <v>0</v>
      </c>
      <c r="J219" s="1203">
        <f>'RC1_Structure_RE'!L248</f>
        <v>24187.940991983996</v>
      </c>
      <c r="K219" s="1203">
        <f>'RC1_Structure_RE'!M248</f>
        <v>24187.940991983996</v>
      </c>
    </row>
    <row r="220" spans="1:11">
      <c r="A220" t="s">
        <v>10</v>
      </c>
      <c r="B220" t="s">
        <v>27</v>
      </c>
      <c r="C220" t="s">
        <v>28</v>
      </c>
      <c r="D220" t="s">
        <v>17</v>
      </c>
      <c r="E220" t="str" cm="1">
        <f t="array" ref="E220">_xlfn.LET(_xlpm.c,'RC1_Structure_RE'!C249, _xlpm.b, 'RC1_Structure_RE'!B249, IF(_xlpm.c&lt;&gt;"", _xlpm.c, _xlpm.b))</f>
        <v>งานทรายหยาบบดอัดแน่น</v>
      </c>
      <c r="F220" s="1205"/>
      <c r="G220" s="1203" t="str">
        <f>'RC1_Structure_RE'!F249</f>
        <v>ลบ.ม.</v>
      </c>
      <c r="H220" s="1203">
        <f>'RC1_Structure_RE'!E249</f>
        <v>7</v>
      </c>
      <c r="I220" s="1203">
        <f>'RC1_Structure_RE'!I249</f>
        <v>3326.6926527205696</v>
      </c>
      <c r="J220" s="1203">
        <f>'RC1_Structure_RE'!L249</f>
        <v>680.61305821600001</v>
      </c>
      <c r="K220" s="1203">
        <f>'RC1_Structure_RE'!M249</f>
        <v>4007.3057109365695</v>
      </c>
    </row>
    <row r="221" spans="1:11">
      <c r="A221" t="s">
        <v>10</v>
      </c>
      <c r="B221" t="s">
        <v>27</v>
      </c>
      <c r="C221" t="s">
        <v>28</v>
      </c>
      <c r="D221" t="s">
        <v>17</v>
      </c>
      <c r="E221" t="str" cm="1">
        <f t="array" ref="E221">_xlfn.LET(_xlpm.c,'RC1_Structure_RE'!C250, _xlpm.b, 'RC1_Structure_RE'!B250, IF(_xlpm.c&lt;&gt;"", _xlpm.c, _xlpm.b))</f>
        <v>งานคอนกรีตหยาบ</v>
      </c>
      <c r="F221" s="1205"/>
      <c r="G221" s="1203" t="str">
        <f>'RC1_Structure_RE'!F250</f>
        <v>ลบ.ม.</v>
      </c>
      <c r="H221" s="1203">
        <f>'RC1_Structure_RE'!E250</f>
        <v>7</v>
      </c>
      <c r="I221" s="1203">
        <f>'RC1_Structure_RE'!I250</f>
        <v>16099.116569339998</v>
      </c>
      <c r="J221" s="1203">
        <f>'RC1_Structure_RE'!L250</f>
        <v>2787.895796154</v>
      </c>
      <c r="K221" s="1203">
        <f>'RC1_Structure_RE'!M250</f>
        <v>18887.012365493996</v>
      </c>
    </row>
    <row r="222" spans="1:11">
      <c r="A222" t="s">
        <v>10</v>
      </c>
      <c r="B222" t="s">
        <v>27</v>
      </c>
      <c r="C222" t="s">
        <v>28</v>
      </c>
      <c r="D222" t="s">
        <v>17</v>
      </c>
      <c r="E222" t="str" cm="1">
        <f t="array" ref="E222">_xlfn.LET(_xlpm.c,'RC1_Structure_RE'!C251, _xlpm.b, 'RC1_Structure_RE'!B251, IF(_xlpm.c&lt;&gt;"", _xlpm.c, _xlpm.b))</f>
        <v xml:space="preserve">งานเหล็กเสริม </v>
      </c>
      <c r="F222" s="1205"/>
      <c r="G222" s="1203">
        <f>'RC1_Structure_RE'!F251</f>
        <v>0</v>
      </c>
      <c r="H222" s="1203">
        <f>'RC1_Structure_RE'!E251</f>
        <v>0</v>
      </c>
      <c r="I222" s="1203">
        <f>'RC1_Structure_RE'!I251</f>
        <v>0</v>
      </c>
      <c r="J222" s="1203">
        <f>'RC1_Structure_RE'!L251</f>
        <v>0</v>
      </c>
      <c r="K222" s="1203">
        <f>'RC1_Structure_RE'!M251</f>
        <v>0</v>
      </c>
    </row>
    <row r="223" spans="1:11">
      <c r="A223" t="s">
        <v>10</v>
      </c>
      <c r="B223" t="s">
        <v>27</v>
      </c>
      <c r="C223" t="s">
        <v>28</v>
      </c>
      <c r="D223" t="s">
        <v>17</v>
      </c>
      <c r="E223" t="str" cm="1">
        <f t="array" ref="E223">_xlfn.LET(_xlpm.c,'RC1_Structure_RE'!C252, _xlpm.b, 'RC1_Structure_RE'!B252, IF(_xlpm.c&lt;&gt;"", _xlpm.c, _xlpm.b))</f>
        <v>ขนาดเส้นผ่านศูนย์กลาง 9 ม.ม. SR-24</v>
      </c>
      <c r="F223" s="1205"/>
      <c r="G223" s="1203" t="str">
        <f>'RC1_Structure_RE'!F252</f>
        <v>กก.</v>
      </c>
      <c r="H223" s="1203">
        <f>'RC1_Structure_RE'!E252</f>
        <v>29</v>
      </c>
      <c r="I223" s="1203">
        <f>'RC1_Structure_RE'!I252</f>
        <v>531.40173391480005</v>
      </c>
      <c r="J223" s="1203">
        <f>'RC1_Structure_RE'!L252</f>
        <v>119.2942667972</v>
      </c>
      <c r="K223" s="1203">
        <f>'RC1_Structure_RE'!M252</f>
        <v>650.696000712</v>
      </c>
    </row>
    <row r="224" spans="1:11">
      <c r="A224" t="s">
        <v>10</v>
      </c>
      <c r="B224" t="s">
        <v>27</v>
      </c>
      <c r="C224" t="s">
        <v>28</v>
      </c>
      <c r="D224" t="s">
        <v>17</v>
      </c>
      <c r="E224" t="str" cm="1">
        <f t="array" ref="E224">_xlfn.LET(_xlpm.c,'RC1_Structure_RE'!C253, _xlpm.b, 'RC1_Structure_RE'!B253, IF(_xlpm.c&lt;&gt;"", _xlpm.c, _xlpm.b))</f>
        <v>ขนาดเส้นผ่านศูนย์กลาง 12 ม.ม. SD-50</v>
      </c>
      <c r="F224" s="1205"/>
      <c r="G224" s="1203" t="str">
        <f>'RC1_Structure_RE'!F253</f>
        <v>กก.</v>
      </c>
      <c r="H224" s="1203">
        <f>'RC1_Structure_RE'!E253</f>
        <v>21547</v>
      </c>
      <c r="I224" s="1203">
        <f>'RC1_Structure_RE'!I253</f>
        <v>391809.81874539005</v>
      </c>
      <c r="J224" s="1203">
        <f>'RC1_Structure_RE'!L253</f>
        <v>72520.069279352407</v>
      </c>
      <c r="K224" s="1203">
        <f>'RC1_Structure_RE'!M253</f>
        <v>464329.88802474248</v>
      </c>
    </row>
    <row r="225" spans="1:11">
      <c r="A225" t="s">
        <v>10</v>
      </c>
      <c r="B225" t="s">
        <v>27</v>
      </c>
      <c r="C225" t="s">
        <v>28</v>
      </c>
      <c r="D225" t="s">
        <v>17</v>
      </c>
      <c r="E225" t="str" cm="1">
        <f t="array" ref="E225">_xlfn.LET(_xlpm.c,'RC1_Structure_RE'!C254, _xlpm.b, 'RC1_Structure_RE'!B254, IF(_xlpm.c&lt;&gt;"", _xlpm.c, _xlpm.b))</f>
        <v>ขนาดเส้นผ่านศูนย์กลาง 16 ม.ม. SD-50</v>
      </c>
      <c r="F225" s="1205"/>
      <c r="G225" s="1203" t="str">
        <f>'RC1_Structure_RE'!F254</f>
        <v>กก.</v>
      </c>
      <c r="H225" s="1203">
        <f>'RC1_Structure_RE'!E254</f>
        <v>22957</v>
      </c>
      <c r="I225" s="1203">
        <f>'RC1_Structure_RE'!I254</f>
        <v>413156.66767334571</v>
      </c>
      <c r="J225" s="1203">
        <f>'RC1_Structure_RE'!L254</f>
        <v>77265.662525924403</v>
      </c>
      <c r="K225" s="1203">
        <f>'RC1_Structure_RE'!M254</f>
        <v>490422.3301992701</v>
      </c>
    </row>
    <row r="226" spans="1:11">
      <c r="A226" t="s">
        <v>10</v>
      </c>
      <c r="B226" t="s">
        <v>27</v>
      </c>
      <c r="C226" t="s">
        <v>28</v>
      </c>
      <c r="D226" t="s">
        <v>17</v>
      </c>
      <c r="E226" t="str" cm="1">
        <f t="array" ref="E226">_xlfn.LET(_xlpm.c,'RC1_Structure_RE'!C255, _xlpm.b, 'RC1_Structure_RE'!B255, IF(_xlpm.c&lt;&gt;"", _xlpm.c, _xlpm.b))</f>
        <v>ขนาดเส้นผ่านศูนย์กลาง 20 ม.ม. SD-50</v>
      </c>
      <c r="F226" s="1205"/>
      <c r="G226" s="1203" t="str">
        <f>'RC1_Structure_RE'!F255</f>
        <v>กก.</v>
      </c>
      <c r="H226" s="1203">
        <f>'RC1_Structure_RE'!E255</f>
        <v>1765</v>
      </c>
      <c r="I226" s="1203">
        <f>'RC1_Structure_RE'!I255</f>
        <v>31764.669531883748</v>
      </c>
      <c r="J226" s="1203">
        <f>'RC1_Structure_RE'!L255</f>
        <v>5115.3493791604997</v>
      </c>
      <c r="K226" s="1203">
        <f>'RC1_Structure_RE'!M255</f>
        <v>36880.018911044244</v>
      </c>
    </row>
    <row r="227" spans="1:11">
      <c r="A227" t="s">
        <v>10</v>
      </c>
      <c r="B227" t="s">
        <v>27</v>
      </c>
      <c r="C227" t="s">
        <v>28</v>
      </c>
      <c r="D227" t="s">
        <v>17</v>
      </c>
      <c r="E227" t="str" cm="1">
        <f t="array" ref="E227">_xlfn.LET(_xlpm.c,'RC1_Structure_RE'!C256, _xlpm.b, 'RC1_Structure_RE'!B256, IF(_xlpm.c&lt;&gt;"", _xlpm.c, _xlpm.b))</f>
        <v>ขนาดเส้นผ่านศูนย์กลาง 25 ม.ม. SD-50</v>
      </c>
      <c r="F227" s="1205"/>
      <c r="G227" s="1203" t="str">
        <f>'RC1_Structure_RE'!F256</f>
        <v>กก.</v>
      </c>
      <c r="H227" s="1203">
        <f>'RC1_Structure_RE'!E256</f>
        <v>6517</v>
      </c>
      <c r="I227" s="1203">
        <f>'RC1_Structure_RE'!I256</f>
        <v>117286.31803925574</v>
      </c>
      <c r="J227" s="1203">
        <f>'RC1_Structure_RE'!L256</f>
        <v>18887.666801126899</v>
      </c>
      <c r="K227" s="1203">
        <f>'RC1_Structure_RE'!M256</f>
        <v>136173.98484038265</v>
      </c>
    </row>
    <row r="228" spans="1:11">
      <c r="A228" t="s">
        <v>10</v>
      </c>
      <c r="B228" t="s">
        <v>27</v>
      </c>
      <c r="C228" t="s">
        <v>28</v>
      </c>
      <c r="D228" t="s">
        <v>17</v>
      </c>
      <c r="E228" t="str" cm="1">
        <f t="array" ref="E228">_xlfn.LET(_xlpm.c,'RC1_Structure_RE'!C257, _xlpm.b, 'RC1_Structure_RE'!B257, IF(_xlpm.c&lt;&gt;"", _xlpm.c, _xlpm.b))</f>
        <v>ลวดผูกเหล็ก</v>
      </c>
      <c r="F228" s="1205"/>
      <c r="G228" s="1203" t="str">
        <f>'RC1_Structure_RE'!F257</f>
        <v>กก.</v>
      </c>
      <c r="H228" s="1203">
        <f>'RC1_Structure_RE'!E257</f>
        <v>951</v>
      </c>
      <c r="I228" s="1203">
        <f>'RC1_Structure_RE'!I257</f>
        <v>24094.543678088699</v>
      </c>
      <c r="J228" s="1203">
        <f>'RC1_Structure_RE'!L257</f>
        <v>0</v>
      </c>
      <c r="K228" s="1203">
        <f>'RC1_Structure_RE'!M257</f>
        <v>24094.543678088699</v>
      </c>
    </row>
    <row r="229" spans="1:11">
      <c r="A229" t="s">
        <v>10</v>
      </c>
      <c r="B229" t="s">
        <v>27</v>
      </c>
      <c r="C229" t="s">
        <v>28</v>
      </c>
      <c r="D229" t="s">
        <v>17</v>
      </c>
      <c r="E229" t="str" cm="1">
        <f t="array" ref="E229">_xlfn.LET(_xlpm.c,'RC1_Structure_RE'!C258, _xlpm.b, 'RC1_Structure_RE'!B258, IF(_xlpm.c&lt;&gt;"", _xlpm.c, _xlpm.b))</f>
        <v>งานไม้แบบ</v>
      </c>
      <c r="F229" s="1205"/>
      <c r="G229" s="1203">
        <f>'RC1_Structure_RE'!F258</f>
        <v>0</v>
      </c>
      <c r="H229" s="1203">
        <f>'RC1_Structure_RE'!E258</f>
        <v>0</v>
      </c>
      <c r="I229" s="1203">
        <f>'RC1_Structure_RE'!I258</f>
        <v>0</v>
      </c>
      <c r="J229" s="1203">
        <f>'RC1_Structure_RE'!L258</f>
        <v>0</v>
      </c>
      <c r="K229" s="1203">
        <f>'RC1_Structure_RE'!M258</f>
        <v>0</v>
      </c>
    </row>
    <row r="230" spans="1:11">
      <c r="A230" t="s">
        <v>10</v>
      </c>
      <c r="B230" t="s">
        <v>27</v>
      </c>
      <c r="C230" t="s">
        <v>28</v>
      </c>
      <c r="D230" t="s">
        <v>17</v>
      </c>
      <c r="E230" t="str" cm="1">
        <f t="array" ref="E230">_xlfn.LET(_xlpm.c,'RC1_Structure_RE'!C259, _xlpm.b, 'RC1_Structure_RE'!B259, IF(_xlpm.c&lt;&gt;"", _xlpm.c, _xlpm.b))</f>
        <v>ไม้แบบ ค้ำยัน นั่งร้าน (อาคาร 4 ชั้นขึ้นไป ใช้ 50%)</v>
      </c>
      <c r="F230" s="1205"/>
      <c r="G230" s="1203" t="str">
        <f>'RC1_Structure_RE'!F259</f>
        <v>ตร.ม.</v>
      </c>
      <c r="H230" s="1203">
        <f>'RC1_Structure_RE'!E259</f>
        <v>772</v>
      </c>
      <c r="I230" s="1203">
        <f>'RC1_Structure_RE'!I259</f>
        <v>176972.85781203679</v>
      </c>
      <c r="J230" s="1203">
        <f>'RC1_Structure_RE'!L259</f>
        <v>0</v>
      </c>
      <c r="K230" s="1203">
        <f>'RC1_Structure_RE'!M259</f>
        <v>176972.85781203679</v>
      </c>
    </row>
    <row r="231" spans="1:11">
      <c r="A231" t="s">
        <v>10</v>
      </c>
      <c r="B231" t="s">
        <v>27</v>
      </c>
      <c r="C231" t="s">
        <v>28</v>
      </c>
      <c r="D231" t="s">
        <v>17</v>
      </c>
      <c r="E231" t="str" cm="1">
        <f t="array" ref="E231">_xlfn.LET(_xlpm.c,'RC1_Structure_RE'!C260, _xlpm.b, 'RC1_Structure_RE'!B260, IF(_xlpm.c&lt;&gt;"", _xlpm.c, _xlpm.b))</f>
        <v>ค่าแรงประกอบและติดตั้งไม้แบบหล่อคอนกรีต (ใช้ 100%)</v>
      </c>
      <c r="F231" s="1205"/>
      <c r="G231" s="1203" t="str">
        <f>'RC1_Structure_RE'!F260</f>
        <v>ตร.ม.</v>
      </c>
      <c r="H231" s="1203">
        <f>'RC1_Structure_RE'!E260</f>
        <v>1544</v>
      </c>
      <c r="I231" s="1203">
        <f>'RC1_Structure_RE'!I260</f>
        <v>0</v>
      </c>
      <c r="J231" s="1203">
        <f>'RC1_Structure_RE'!L260</f>
        <v>174663.26097272799</v>
      </c>
      <c r="K231" s="1203">
        <f>'RC1_Structure_RE'!M260</f>
        <v>174663.26097272799</v>
      </c>
    </row>
    <row r="232" spans="1:11">
      <c r="A232" t="s">
        <v>10</v>
      </c>
      <c r="B232" t="s">
        <v>27</v>
      </c>
      <c r="C232" t="s">
        <v>28</v>
      </c>
      <c r="D232" t="s">
        <v>17</v>
      </c>
      <c r="E232" t="str" cm="1">
        <f t="array" ref="E232">_xlfn.LET(_xlpm.c,'RC1_Structure_RE'!C261, _xlpm.b, 'RC1_Structure_RE'!B261, IF(_xlpm.c&lt;&gt;"", _xlpm.c, _xlpm.b))</f>
        <v>ไม้เคร่า (ใช้ 30% ของไม้แบบ 1 ตร.ม.)</v>
      </c>
      <c r="F232" s="1205"/>
      <c r="G232" s="1203" t="str">
        <f>'RC1_Structure_RE'!F261</f>
        <v>ลบ.ฟ.</v>
      </c>
      <c r="H232" s="1203">
        <f>'RC1_Structure_RE'!E261</f>
        <v>232</v>
      </c>
      <c r="I232" s="1203">
        <f>'RC1_Structure_RE'!I261</f>
        <v>67112.78551343568</v>
      </c>
      <c r="J232" s="1203">
        <f>'RC1_Structure_RE'!L261</f>
        <v>0</v>
      </c>
      <c r="K232" s="1203">
        <f>'RC1_Structure_RE'!M261</f>
        <v>67112.78551343568</v>
      </c>
    </row>
    <row r="233" spans="1:11">
      <c r="A233" t="s">
        <v>10</v>
      </c>
      <c r="B233" t="s">
        <v>27</v>
      </c>
      <c r="C233" t="s">
        <v>28</v>
      </c>
      <c r="D233" t="s">
        <v>17</v>
      </c>
      <c r="E233" t="str" cm="1">
        <f t="array" ref="E233">_xlfn.LET(_xlpm.c,'RC1_Structure_RE'!C262, _xlpm.b, 'RC1_Structure_RE'!B262, IF(_xlpm.c&lt;&gt;"", _xlpm.c, _xlpm.b))</f>
        <v>ตะปู (ใช้ 25% ของไม้แบบ 1 ตร.ม.)</v>
      </c>
      <c r="F233" s="1205"/>
      <c r="G233" s="1203" t="str">
        <f>'RC1_Structure_RE'!F262</f>
        <v>กก.</v>
      </c>
      <c r="H233" s="1203">
        <f>'RC1_Structure_RE'!E262</f>
        <v>193</v>
      </c>
      <c r="I233" s="1203">
        <f>'RC1_Structure_RE'!I262</f>
        <v>4215.0142317385598</v>
      </c>
      <c r="J233" s="1203">
        <f>'RC1_Structure_RE'!L262</f>
        <v>0</v>
      </c>
      <c r="K233" s="1203">
        <f>'RC1_Structure_RE'!M262</f>
        <v>4215.0142317385598</v>
      </c>
    </row>
    <row r="234" spans="1:11">
      <c r="A234" t="s">
        <v>10</v>
      </c>
      <c r="B234" t="s">
        <v>27</v>
      </c>
      <c r="C234" t="s">
        <v>28</v>
      </c>
      <c r="D234" t="s">
        <v>17</v>
      </c>
      <c r="E234" t="str" cm="1">
        <f t="array" ref="E234">_xlfn.LET(_xlpm.c,'RC1_Structure_RE'!C263, _xlpm.b, 'RC1_Structure_RE'!B263, IF(_xlpm.c&lt;&gt;"", _xlpm.c, _xlpm.b))</f>
        <v>งานคอนกรีตโครงสร้าง</v>
      </c>
      <c r="F234" s="1205"/>
      <c r="G234" s="1203">
        <f>'RC1_Structure_RE'!F263</f>
        <v>0</v>
      </c>
      <c r="H234" s="1203">
        <f>'RC1_Structure_RE'!E263</f>
        <v>0</v>
      </c>
      <c r="I234" s="1203">
        <f>'RC1_Structure_RE'!I263</f>
        <v>0</v>
      </c>
      <c r="J234" s="1203">
        <f>'RC1_Structure_RE'!L263</f>
        <v>0</v>
      </c>
      <c r="K234" s="1203">
        <f>'RC1_Structure_RE'!M263</f>
        <v>0</v>
      </c>
    </row>
    <row r="235" spans="1:11">
      <c r="A235" t="s">
        <v>10</v>
      </c>
      <c r="B235" t="s">
        <v>27</v>
      </c>
      <c r="C235" t="s">
        <v>28</v>
      </c>
      <c r="D235" t="s">
        <v>17</v>
      </c>
      <c r="E235" t="str" cm="1">
        <f t="array" ref="E235">_xlfn.LET(_xlpm.c,'RC1_Structure_RE'!C264, _xlpm.b, 'RC1_Structure_RE'!B264, IF(_xlpm.c&lt;&gt;"", _xlpm.c, _xlpm.b))</f>
        <v>งานคอนกรีตโครงสร้าง 320 ksc.</v>
      </c>
      <c r="F235" s="1205"/>
      <c r="G235" s="1203" t="str">
        <f>'RC1_Structure_RE'!F264</f>
        <v>ลบ.ม.</v>
      </c>
      <c r="H235" s="1203">
        <f>'RC1_Structure_RE'!E264</f>
        <v>425.37</v>
      </c>
      <c r="I235" s="1203">
        <f>'RC1_Structure_RE'!I264</f>
        <v>1065747.5521688098</v>
      </c>
      <c r="J235" s="1203">
        <f>'RC1_Structure_RE'!L264</f>
        <v>206396.87285929039</v>
      </c>
      <c r="K235" s="1203">
        <f>'RC1_Structure_RE'!M264</f>
        <v>1272144.4250281001</v>
      </c>
    </row>
    <row r="236" spans="1:11">
      <c r="A236" t="s">
        <v>10</v>
      </c>
      <c r="B236" t="s">
        <v>27</v>
      </c>
      <c r="C236" t="s">
        <v>28</v>
      </c>
      <c r="D236" t="s">
        <v>29</v>
      </c>
      <c r="E236" t="str" cm="1">
        <f t="array" ref="E236">_xlfn.LET(_xlpm.c,'RC1_Structure_RE'!C265, _xlpm.b, 'RC1_Structure_RE'!B265, IF(_xlpm.c&lt;&gt;"", _xlpm.c, _xlpm.b))</f>
        <v>โครงสร้างพื้น ชั้น 1</v>
      </c>
      <c r="F236" s="1205"/>
      <c r="G236" s="1203">
        <f>'RC1_Structure_RE'!F265</f>
        <v>0</v>
      </c>
      <c r="H236" s="1203">
        <f>'RC1_Structure_RE'!E265</f>
        <v>0</v>
      </c>
      <c r="I236" s="1203">
        <f>'RC1_Structure_RE'!I265</f>
        <v>0</v>
      </c>
      <c r="J236" s="1203">
        <f>'RC1_Structure_RE'!L265</f>
        <v>0</v>
      </c>
      <c r="K236" s="1203">
        <f>'RC1_Structure_RE'!M265</f>
        <v>0</v>
      </c>
    </row>
    <row r="237" spans="1:11">
      <c r="A237" t="s">
        <v>10</v>
      </c>
      <c r="B237" t="s">
        <v>27</v>
      </c>
      <c r="C237" t="s">
        <v>28</v>
      </c>
      <c r="D237" t="s">
        <v>29</v>
      </c>
      <c r="E237" t="str" cm="1">
        <f t="array" ref="E237">_xlfn.LET(_xlpm.c,'RC1_Structure_RE'!C266, _xlpm.b, 'RC1_Structure_RE'!B266, IF(_xlpm.c&lt;&gt;"", _xlpm.c, _xlpm.b))</f>
        <v xml:space="preserve">งานเหล็กเสริม </v>
      </c>
      <c r="F237" s="1205"/>
      <c r="G237" s="1203">
        <f>'RC1_Structure_RE'!F266</f>
        <v>0</v>
      </c>
      <c r="H237" s="1203">
        <f>'RC1_Structure_RE'!E266</f>
        <v>0</v>
      </c>
      <c r="I237" s="1203">
        <f>'RC1_Structure_RE'!I266</f>
        <v>0</v>
      </c>
      <c r="J237" s="1203">
        <f>'RC1_Structure_RE'!L266</f>
        <v>0</v>
      </c>
      <c r="K237" s="1203">
        <f>'RC1_Structure_RE'!M266</f>
        <v>0</v>
      </c>
    </row>
    <row r="238" spans="1:11">
      <c r="A238" t="s">
        <v>10</v>
      </c>
      <c r="B238" t="s">
        <v>27</v>
      </c>
      <c r="C238" t="s">
        <v>28</v>
      </c>
      <c r="D238" t="s">
        <v>29</v>
      </c>
      <c r="E238" t="str" cm="1">
        <f t="array" ref="E238">_xlfn.LET(_xlpm.c,'RC1_Structure_RE'!C267, _xlpm.b, 'RC1_Structure_RE'!B267, IF(_xlpm.c&lt;&gt;"", _xlpm.c, _xlpm.b))</f>
        <v>ขนาดเส้นผ่านศูนย์กลาง 6 ม.ม. SR-24</v>
      </c>
      <c r="F238" s="1205"/>
      <c r="G238" s="1203" t="str">
        <f>'RC1_Structure_RE'!F267</f>
        <v>กก.</v>
      </c>
      <c r="H238" s="1203">
        <f>'RC1_Structure_RE'!E267</f>
        <v>3348</v>
      </c>
      <c r="I238" s="1203">
        <f>'RC1_Structure_RE'!I267</f>
        <v>63696.968076594596</v>
      </c>
      <c r="J238" s="1203">
        <f>'RC1_Structure_RE'!L267</f>
        <v>13772.3174219664</v>
      </c>
      <c r="K238" s="1203">
        <f>'RC1_Structure_RE'!M267</f>
        <v>77469.285498560988</v>
      </c>
    </row>
    <row r="239" spans="1:11">
      <c r="A239" t="s">
        <v>10</v>
      </c>
      <c r="B239" t="s">
        <v>27</v>
      </c>
      <c r="C239" t="s">
        <v>28</v>
      </c>
      <c r="D239" t="s">
        <v>29</v>
      </c>
      <c r="E239" t="str" cm="1">
        <f t="array" ref="E239">_xlfn.LET(_xlpm.c,'RC1_Structure_RE'!C268, _xlpm.b, 'RC1_Structure_RE'!B268, IF(_xlpm.c&lt;&gt;"", _xlpm.c, _xlpm.b))</f>
        <v>ขนาดเส้นผ่านศูนย์กลาง 9 ม.ม. SR-24</v>
      </c>
      <c r="F239" s="1205"/>
      <c r="G239" s="1203" t="str">
        <f>'RC1_Structure_RE'!F268</f>
        <v>กก.</v>
      </c>
      <c r="H239" s="1203">
        <f>'RC1_Structure_RE'!E268</f>
        <v>5065</v>
      </c>
      <c r="I239" s="1203">
        <f>'RC1_Structure_RE'!I268</f>
        <v>92812.061457878008</v>
      </c>
      <c r="J239" s="1203">
        <f>'RC1_Structure_RE'!L268</f>
        <v>20835.360735442002</v>
      </c>
      <c r="K239" s="1203">
        <f>'RC1_Structure_RE'!M268</f>
        <v>113647.42219332</v>
      </c>
    </row>
    <row r="240" spans="1:11">
      <c r="A240" t="s">
        <v>10</v>
      </c>
      <c r="B240" t="s">
        <v>27</v>
      </c>
      <c r="C240" t="s">
        <v>28</v>
      </c>
      <c r="D240" t="s">
        <v>29</v>
      </c>
      <c r="E240" t="str" cm="1">
        <f t="array" ref="E240">_xlfn.LET(_xlpm.c,'RC1_Structure_RE'!C269, _xlpm.b, 'RC1_Structure_RE'!B269, IF(_xlpm.c&lt;&gt;"", _xlpm.c, _xlpm.b))</f>
        <v>ขนาดเส้นผ่านศูนย์กลาง 12 ม.ม. SD-50</v>
      </c>
      <c r="F240" s="1205"/>
      <c r="G240" s="1203" t="str">
        <f>'RC1_Structure_RE'!F269</f>
        <v>กก.</v>
      </c>
      <c r="H240" s="1203">
        <f>'RC1_Structure_RE'!E269</f>
        <v>27129</v>
      </c>
      <c r="I240" s="1203">
        <f>'RC1_Structure_RE'!I269</f>
        <v>493312.69191737531</v>
      </c>
      <c r="J240" s="1203">
        <f>'RC1_Structure_RE'!L269</f>
        <v>91307.233465426805</v>
      </c>
      <c r="K240" s="1203">
        <f>'RC1_Structure_RE'!M269</f>
        <v>584619.92538280215</v>
      </c>
    </row>
    <row r="241" spans="1:11">
      <c r="A241" t="s">
        <v>10</v>
      </c>
      <c r="B241" t="s">
        <v>27</v>
      </c>
      <c r="C241" t="s">
        <v>28</v>
      </c>
      <c r="D241" t="s">
        <v>29</v>
      </c>
      <c r="E241" t="str" cm="1">
        <f t="array" ref="E241">_xlfn.LET(_xlpm.c,'RC1_Structure_RE'!C270, _xlpm.b, 'RC1_Structure_RE'!B270, IF(_xlpm.c&lt;&gt;"", _xlpm.c, _xlpm.b))</f>
        <v>ขนาดเส้นผ่านศูนย์กลาง 16 ม.ม. SD-50</v>
      </c>
      <c r="F241" s="1205"/>
      <c r="G241" s="1203" t="str">
        <f>'RC1_Structure_RE'!F270</f>
        <v>กก.</v>
      </c>
      <c r="H241" s="1203">
        <f>'RC1_Structure_RE'!E270</f>
        <v>38186</v>
      </c>
      <c r="I241" s="1203">
        <f>'RC1_Structure_RE'!I270</f>
        <v>687232.67464278347</v>
      </c>
      <c r="J241" s="1203">
        <f>'RC1_Structure_RE'!L270</f>
        <v>128521.4352578712</v>
      </c>
      <c r="K241" s="1203">
        <f>'RC1_Structure_RE'!M270</f>
        <v>815754.10990065464</v>
      </c>
    </row>
    <row r="242" spans="1:11">
      <c r="A242" t="s">
        <v>10</v>
      </c>
      <c r="B242" t="s">
        <v>27</v>
      </c>
      <c r="C242" t="s">
        <v>28</v>
      </c>
      <c r="D242" t="s">
        <v>29</v>
      </c>
      <c r="E242" t="str" cm="1">
        <f t="array" ref="E242">_xlfn.LET(_xlpm.c,'RC1_Structure_RE'!C271, _xlpm.b, 'RC1_Structure_RE'!B271, IF(_xlpm.c&lt;&gt;"", _xlpm.c, _xlpm.b))</f>
        <v>ขนาดเส้นผ่านศูนย์กลาง 20 ม.ม. SD-50</v>
      </c>
      <c r="F242" s="1205"/>
      <c r="G242" s="1203" t="str">
        <f>'RC1_Structure_RE'!F271</f>
        <v>กก.</v>
      </c>
      <c r="H242" s="1203">
        <f>'RC1_Structure_RE'!E271</f>
        <v>74736</v>
      </c>
      <c r="I242" s="1203">
        <f>'RC1_Structure_RE'!I271</f>
        <v>1345022.2901613959</v>
      </c>
      <c r="J242" s="1203">
        <f>'RC1_Structure_RE'!L271</f>
        <v>216600.9921818352</v>
      </c>
      <c r="K242" s="1203">
        <f>'RC1_Structure_RE'!M271</f>
        <v>1561623.2823432311</v>
      </c>
    </row>
    <row r="243" spans="1:11">
      <c r="A243" t="s">
        <v>10</v>
      </c>
      <c r="B243" t="s">
        <v>27</v>
      </c>
      <c r="C243" t="s">
        <v>28</v>
      </c>
      <c r="D243" t="s">
        <v>29</v>
      </c>
      <c r="E243" t="str" cm="1">
        <f t="array" ref="E243">_xlfn.LET(_xlpm.c,'RC1_Structure_RE'!C272, _xlpm.b, 'RC1_Structure_RE'!B272, IF(_xlpm.c&lt;&gt;"", _xlpm.c, _xlpm.b))</f>
        <v>ขนาดเส้นผ่านศูนย์กลาง 25 ม.ม. SD-50</v>
      </c>
      <c r="F243" s="1205"/>
      <c r="G243" s="1203" t="str">
        <f>'RC1_Structure_RE'!F272</f>
        <v>กก.</v>
      </c>
      <c r="H243" s="1203">
        <f>'RC1_Structure_RE'!E272</f>
        <v>5367</v>
      </c>
      <c r="I243" s="1203">
        <f>'RC1_Structure_RE'!I272</f>
        <v>96589.791148793243</v>
      </c>
      <c r="J243" s="1203">
        <f>'RC1_Structure_RE'!L272</f>
        <v>15554.7196135719</v>
      </c>
      <c r="K243" s="1203">
        <f>'RC1_Structure_RE'!M272</f>
        <v>112144.51076236514</v>
      </c>
    </row>
    <row r="244" spans="1:11">
      <c r="A244" t="s">
        <v>10</v>
      </c>
      <c r="B244" t="s">
        <v>27</v>
      </c>
      <c r="C244" t="s">
        <v>28</v>
      </c>
      <c r="D244" t="s">
        <v>29</v>
      </c>
      <c r="E244" t="str" cm="1">
        <f t="array" ref="E244">_xlfn.LET(_xlpm.c,'RC1_Structure_RE'!C273, _xlpm.b, 'RC1_Structure_RE'!B273, IF(_xlpm.c&lt;&gt;"", _xlpm.c, _xlpm.b))</f>
        <v>ลวดผูกเหล็ก</v>
      </c>
      <c r="F244" s="1205"/>
      <c r="G244" s="1203" t="str">
        <f>'RC1_Structure_RE'!F273</f>
        <v>กก.</v>
      </c>
      <c r="H244" s="1203">
        <f>'RC1_Structure_RE'!E273</f>
        <v>2769</v>
      </c>
      <c r="I244" s="1203">
        <f>'RC1_Structure_RE'!I273</f>
        <v>70155.406356075298</v>
      </c>
      <c r="J244" s="1203">
        <f>'RC1_Structure_RE'!L273</f>
        <v>0</v>
      </c>
      <c r="K244" s="1203">
        <f>'RC1_Structure_RE'!M273</f>
        <v>70155.406356075298</v>
      </c>
    </row>
    <row r="245" spans="1:11">
      <c r="A245" t="s">
        <v>10</v>
      </c>
      <c r="B245" t="s">
        <v>27</v>
      </c>
      <c r="C245" t="s">
        <v>28</v>
      </c>
      <c r="D245" t="s">
        <v>29</v>
      </c>
      <c r="E245" t="str" cm="1">
        <f t="array" ref="E245">_xlfn.LET(_xlpm.c,'RC1_Structure_RE'!C274, _xlpm.b, 'RC1_Structure_RE'!B274, IF(_xlpm.c&lt;&gt;"", _xlpm.c, _xlpm.b))</f>
        <v>งานไม้แบบ</v>
      </c>
      <c r="F245" s="1205"/>
      <c r="G245" s="1203">
        <f>'RC1_Structure_RE'!F274</f>
        <v>0</v>
      </c>
      <c r="H245" s="1203">
        <f>'RC1_Structure_RE'!E274</f>
        <v>0</v>
      </c>
      <c r="I245" s="1203">
        <f>'RC1_Structure_RE'!I274</f>
        <v>0</v>
      </c>
      <c r="J245" s="1203">
        <f>'RC1_Structure_RE'!L274</f>
        <v>0</v>
      </c>
      <c r="K245" s="1203">
        <f>'RC1_Structure_RE'!M274</f>
        <v>0</v>
      </c>
    </row>
    <row r="246" spans="1:11">
      <c r="A246" t="s">
        <v>10</v>
      </c>
      <c r="B246" t="s">
        <v>27</v>
      </c>
      <c r="C246" t="s">
        <v>28</v>
      </c>
      <c r="D246" t="s">
        <v>29</v>
      </c>
      <c r="E246" t="str" cm="1">
        <f t="array" ref="E246">_xlfn.LET(_xlpm.c,'RC1_Structure_RE'!C275, _xlpm.b, 'RC1_Structure_RE'!B275, IF(_xlpm.c&lt;&gt;"", _xlpm.c, _xlpm.b))</f>
        <v>ไม้แบบ ค้ำยัน นั่งร้าน (อาคาร 4 ชั้นขึ้นไป ใช้ 50%)</v>
      </c>
      <c r="F246" s="1205"/>
      <c r="G246" s="1203" t="str">
        <f>'RC1_Structure_RE'!F275</f>
        <v>ตร.ม.</v>
      </c>
      <c r="H246" s="1203">
        <f>'RC1_Structure_RE'!E275</f>
        <v>2790</v>
      </c>
      <c r="I246" s="1203">
        <f>'RC1_Structure_RE'!I275</f>
        <v>639578.07421707595</v>
      </c>
      <c r="J246" s="1203">
        <f>'RC1_Structure_RE'!L275</f>
        <v>0</v>
      </c>
      <c r="K246" s="1203">
        <f>'RC1_Structure_RE'!M275</f>
        <v>639578.07421707595</v>
      </c>
    </row>
    <row r="247" spans="1:11">
      <c r="A247" t="s">
        <v>10</v>
      </c>
      <c r="B247" t="s">
        <v>27</v>
      </c>
      <c r="C247" t="s">
        <v>28</v>
      </c>
      <c r="D247" t="s">
        <v>29</v>
      </c>
      <c r="E247" t="str" cm="1">
        <f t="array" ref="E247">_xlfn.LET(_xlpm.c,'RC1_Structure_RE'!C276, _xlpm.b, 'RC1_Structure_RE'!B276, IF(_xlpm.c&lt;&gt;"", _xlpm.c, _xlpm.b))</f>
        <v>ค่าแรงประกอบและติดตั้งไม้แบบหล่อคอนกรีต (ใช้ 100%)</v>
      </c>
      <c r="F247" s="1205"/>
      <c r="G247" s="1203" t="str">
        <f>'RC1_Structure_RE'!F276</f>
        <v>ตร.ม.</v>
      </c>
      <c r="H247" s="1203">
        <f>'RC1_Structure_RE'!E276</f>
        <v>5579</v>
      </c>
      <c r="I247" s="1203">
        <f>'RC1_Structure_RE'!I276</f>
        <v>0</v>
      </c>
      <c r="J247" s="1203">
        <f>'RC1_Structure_RE'!L276</f>
        <v>631118.09129977296</v>
      </c>
      <c r="K247" s="1203">
        <f>'RC1_Structure_RE'!M276</f>
        <v>631118.09129977296</v>
      </c>
    </row>
    <row r="248" spans="1:11">
      <c r="A248" t="s">
        <v>10</v>
      </c>
      <c r="B248" t="s">
        <v>27</v>
      </c>
      <c r="C248" t="s">
        <v>28</v>
      </c>
      <c r="D248" t="s">
        <v>29</v>
      </c>
      <c r="E248" t="str" cm="1">
        <f t="array" ref="E248">_xlfn.LET(_xlpm.c,'RC1_Structure_RE'!C277, _xlpm.b, 'RC1_Structure_RE'!B277, IF(_xlpm.c&lt;&gt;"", _xlpm.c, _xlpm.b))</f>
        <v>ไม้เคร่า (ใช้ 30% ของไม้แบบ 1 ตร.ม.)</v>
      </c>
      <c r="F248" s="1205"/>
      <c r="G248" s="1203" t="str">
        <f>'RC1_Structure_RE'!F277</f>
        <v>ลบ.ฟ.</v>
      </c>
      <c r="H248" s="1203">
        <f>'RC1_Structure_RE'!E277</f>
        <v>837</v>
      </c>
      <c r="I248" s="1203">
        <f>'RC1_Structure_RE'!I277</f>
        <v>242126.73049459339</v>
      </c>
      <c r="J248" s="1203">
        <f>'RC1_Structure_RE'!L277</f>
        <v>0</v>
      </c>
      <c r="K248" s="1203">
        <f>'RC1_Structure_RE'!M277</f>
        <v>242126.73049459339</v>
      </c>
    </row>
    <row r="249" spans="1:11">
      <c r="A249" t="s">
        <v>10</v>
      </c>
      <c r="B249" t="s">
        <v>27</v>
      </c>
      <c r="C249" t="s">
        <v>28</v>
      </c>
      <c r="D249" t="s">
        <v>29</v>
      </c>
      <c r="E249" t="str" cm="1">
        <f t="array" ref="E249">_xlfn.LET(_xlpm.c,'RC1_Structure_RE'!C278, _xlpm.b, 'RC1_Structure_RE'!B278, IF(_xlpm.c&lt;&gt;"", _xlpm.c, _xlpm.b))</f>
        <v>ตะปู (ใช้ 25% ของไม้แบบ 1 ตร.ม.)</v>
      </c>
      <c r="F249" s="1205"/>
      <c r="G249" s="1203" t="str">
        <f>'RC1_Structure_RE'!F278</f>
        <v>กก.</v>
      </c>
      <c r="H249" s="1203">
        <f>'RC1_Structure_RE'!E278</f>
        <v>698</v>
      </c>
      <c r="I249" s="1203">
        <f>'RC1_Structure_RE'!I278</f>
        <v>15243.93748058816</v>
      </c>
      <c r="J249" s="1203">
        <f>'RC1_Structure_RE'!L278</f>
        <v>0</v>
      </c>
      <c r="K249" s="1203">
        <f>'RC1_Structure_RE'!M278</f>
        <v>15243.93748058816</v>
      </c>
    </row>
    <row r="250" spans="1:11">
      <c r="A250" t="s">
        <v>10</v>
      </c>
      <c r="B250" t="s">
        <v>27</v>
      </c>
      <c r="C250" t="s">
        <v>28</v>
      </c>
      <c r="D250" t="s">
        <v>29</v>
      </c>
      <c r="E250" t="str" cm="1">
        <f t="array" ref="E250">_xlfn.LET(_xlpm.c,'RC1_Structure_RE'!C279, _xlpm.b, 'RC1_Structure_RE'!B279, IF(_xlpm.c&lt;&gt;"", _xlpm.c, _xlpm.b))</f>
        <v>งานคอนกรีตโครงสร้าง</v>
      </c>
      <c r="F250" s="1205"/>
      <c r="G250" s="1203">
        <f>'RC1_Structure_RE'!F279</f>
        <v>0</v>
      </c>
      <c r="H250" s="1203">
        <f>'RC1_Structure_RE'!E279</f>
        <v>0</v>
      </c>
      <c r="I250" s="1203">
        <f>'RC1_Structure_RE'!I279</f>
        <v>0</v>
      </c>
      <c r="J250" s="1203">
        <f>'RC1_Structure_RE'!L279</f>
        <v>0</v>
      </c>
      <c r="K250" s="1203">
        <f>'RC1_Structure_RE'!M279</f>
        <v>0</v>
      </c>
    </row>
    <row r="251" spans="1:11">
      <c r="A251" t="s">
        <v>10</v>
      </c>
      <c r="B251" t="s">
        <v>27</v>
      </c>
      <c r="C251" t="s">
        <v>28</v>
      </c>
      <c r="D251" t="s">
        <v>29</v>
      </c>
      <c r="E251" t="str" cm="1">
        <f t="array" ref="E251">_xlfn.LET(_xlpm.c,'RC1_Structure_RE'!C280, _xlpm.b, 'RC1_Structure_RE'!B280, IF(_xlpm.c&lt;&gt;"", _xlpm.c, _xlpm.b))</f>
        <v>งานคอนกรีตโครงสร้าง 320 ksc.</v>
      </c>
      <c r="F251" s="1205"/>
      <c r="G251" s="1203" t="str">
        <f>'RC1_Structure_RE'!F280</f>
        <v>ลบ.ม.</v>
      </c>
      <c r="H251" s="1203">
        <f>'RC1_Structure_RE'!E280</f>
        <v>1741</v>
      </c>
      <c r="I251" s="1203">
        <f>'RC1_Structure_RE'!I280</f>
        <v>4362005.9908453766</v>
      </c>
      <c r="J251" s="1203">
        <f>'RC1_Structure_RE'!L280</f>
        <v>844763.27820021298</v>
      </c>
      <c r="K251" s="1203">
        <f>'RC1_Structure_RE'!M280</f>
        <v>5206769.2690455895</v>
      </c>
    </row>
    <row r="252" spans="1:11">
      <c r="A252" t="s">
        <v>10</v>
      </c>
      <c r="B252" t="s">
        <v>27</v>
      </c>
      <c r="C252" t="s">
        <v>28</v>
      </c>
      <c r="D252" t="s">
        <v>30</v>
      </c>
      <c r="E252" t="str" cm="1">
        <f t="array" ref="E252">_xlfn.LET(_xlpm.c,'RC1_Structure_RE'!C281, _xlpm.b, 'RC1_Structure_RE'!B281, IF(_xlpm.c&lt;&gt;"", _xlpm.c, _xlpm.b))</f>
        <v>งานระบบพื้นอัดแรง (Post tension 0.23m. Thk.)</v>
      </c>
      <c r="F252" s="1205"/>
      <c r="G252" s="1203" t="str">
        <f>'RC1_Structure_RE'!F281</f>
        <v>ตร.ม.</v>
      </c>
      <c r="H252" s="1203">
        <f>'RC1_Structure_RE'!E281</f>
        <v>2334</v>
      </c>
      <c r="I252" s="1203">
        <f>'RC1_Structure_RE'!I281</f>
        <v>981933.92176409997</v>
      </c>
      <c r="J252" s="1203">
        <f>'RC1_Structure_RE'!L281</f>
        <v>0</v>
      </c>
      <c r="K252" s="1203">
        <f>'RC1_Structure_RE'!M281</f>
        <v>981933.92176409997</v>
      </c>
    </row>
    <row r="253" spans="1:11">
      <c r="E253" cm="1">
        <f t="array" ref="E253">_xlfn.LET(_xlpm.c,'RC1_Structure_RE'!C282, _xlpm.b, 'RC1_Structure_RE'!B282, IF(_xlpm.c&lt;&gt;"", _xlpm.c, _xlpm.b))</f>
        <v>0</v>
      </c>
      <c r="F253" s="1205"/>
      <c r="G253" s="1203">
        <f>'RC1_Structure_RE'!F282</f>
        <v>0</v>
      </c>
      <c r="H253" s="1203">
        <f>'RC1_Structure_RE'!E282</f>
        <v>0</v>
      </c>
      <c r="I253" s="1203">
        <f>'RC1_Structure_RE'!I282</f>
        <v>0</v>
      </c>
      <c r="J253" s="1203">
        <f>'RC1_Structure_RE'!L282</f>
        <v>0</v>
      </c>
      <c r="K253" s="1203">
        <f>'RC1_Structure_RE'!M282</f>
        <v>0</v>
      </c>
    </row>
    <row r="254" spans="1:11">
      <c r="A254" t="s">
        <v>10</v>
      </c>
      <c r="B254" t="s">
        <v>27</v>
      </c>
      <c r="C254" t="s">
        <v>28</v>
      </c>
      <c r="D254" t="s">
        <v>19</v>
      </c>
      <c r="E254" t="str" cm="1">
        <f t="array" ref="E254">_xlfn.LET(_xlpm.c,'RC1_Structure_RE'!C283, _xlpm.b, 'RC1_Structure_RE'!B283, IF(_xlpm.c&lt;&gt;"", _xlpm.c, _xlpm.b))</f>
        <v>โครงสร้างเสา ชั้น 1</v>
      </c>
      <c r="F254" s="1205"/>
      <c r="G254" s="1203">
        <f>'RC1_Structure_RE'!F283</f>
        <v>0</v>
      </c>
      <c r="H254" s="1203">
        <f>'RC1_Structure_RE'!E283</f>
        <v>0</v>
      </c>
      <c r="I254" s="1203">
        <f>'RC1_Structure_RE'!I283</f>
        <v>0</v>
      </c>
      <c r="J254" s="1203">
        <f>'RC1_Structure_RE'!L283</f>
        <v>0</v>
      </c>
      <c r="K254" s="1203">
        <f>'RC1_Structure_RE'!M283</f>
        <v>0</v>
      </c>
    </row>
    <row r="255" spans="1:11">
      <c r="A255" t="s">
        <v>10</v>
      </c>
      <c r="B255" t="s">
        <v>27</v>
      </c>
      <c r="C255" t="s">
        <v>28</v>
      </c>
      <c r="D255" t="s">
        <v>19</v>
      </c>
      <c r="E255" t="str" cm="1">
        <f t="array" ref="E255">_xlfn.LET(_xlpm.c,'RC1_Structure_RE'!C284, _xlpm.b, 'RC1_Structure_RE'!B284, IF(_xlpm.c&lt;&gt;"", _xlpm.c, _xlpm.b))</f>
        <v xml:space="preserve">งานเหล็กเสริม </v>
      </c>
      <c r="F255" s="1205"/>
      <c r="G255" s="1203">
        <f>'RC1_Structure_RE'!F284</f>
        <v>0</v>
      </c>
      <c r="H255" s="1203">
        <f>'RC1_Structure_RE'!E284</f>
        <v>0</v>
      </c>
      <c r="I255" s="1203">
        <f>'RC1_Structure_RE'!I284</f>
        <v>0</v>
      </c>
      <c r="J255" s="1203">
        <f>'RC1_Structure_RE'!L284</f>
        <v>0</v>
      </c>
      <c r="K255" s="1203">
        <f>'RC1_Structure_RE'!M284</f>
        <v>0</v>
      </c>
    </row>
    <row r="256" spans="1:11">
      <c r="A256" t="s">
        <v>10</v>
      </c>
      <c r="B256" t="s">
        <v>27</v>
      </c>
      <c r="C256" t="s">
        <v>28</v>
      </c>
      <c r="D256" t="s">
        <v>19</v>
      </c>
      <c r="E256" t="str" cm="1">
        <f t="array" ref="E256">_xlfn.LET(_xlpm.c,'RC1_Structure_RE'!C285, _xlpm.b, 'RC1_Structure_RE'!B285, IF(_xlpm.c&lt;&gt;"", _xlpm.c, _xlpm.b))</f>
        <v>ขนาดเส้นผ่านศูนย์กลาง 9 ม.ม. SR-24</v>
      </c>
      <c r="F256" s="1205"/>
      <c r="G256" s="1203" t="str">
        <f>'RC1_Structure_RE'!F285</f>
        <v>กก.</v>
      </c>
      <c r="H256" s="1203">
        <f>'RC1_Structure_RE'!E285</f>
        <v>2864</v>
      </c>
      <c r="I256" s="1203">
        <f>'RC1_Structure_RE'!I285</f>
        <v>52480.502273516802</v>
      </c>
      <c r="J256" s="1203">
        <f>'RC1_Structure_RE'!L285</f>
        <v>11781.337245075199</v>
      </c>
      <c r="K256" s="1203">
        <f>'RC1_Structure_RE'!M285</f>
        <v>64261.839518592002</v>
      </c>
    </row>
    <row r="257" spans="1:11">
      <c r="A257" t="s">
        <v>10</v>
      </c>
      <c r="B257" t="s">
        <v>27</v>
      </c>
      <c r="C257" t="s">
        <v>28</v>
      </c>
      <c r="D257" t="s">
        <v>19</v>
      </c>
      <c r="E257" t="str" cm="1">
        <f t="array" ref="E257">_xlfn.LET(_xlpm.c,'RC1_Structure_RE'!C286, _xlpm.b, 'RC1_Structure_RE'!B286, IF(_xlpm.c&lt;&gt;"", _xlpm.c, _xlpm.b))</f>
        <v>ขนาดเส้นผ่านศูนย์กลาง 12 ม.ม. SD-50</v>
      </c>
      <c r="F257" s="1205"/>
      <c r="G257" s="1203" t="str">
        <f>'RC1_Structure_RE'!F286</f>
        <v>กก.</v>
      </c>
      <c r="H257" s="1203">
        <f>'RC1_Structure_RE'!E286</f>
        <v>1804</v>
      </c>
      <c r="I257" s="1203">
        <f>'RC1_Structure_RE'!I286</f>
        <v>32803.866571526596</v>
      </c>
      <c r="J257" s="1203">
        <f>'RC1_Structure_RE'!L286</f>
        <v>6071.6668204368007</v>
      </c>
      <c r="K257" s="1203">
        <f>'RC1_Structure_RE'!M286</f>
        <v>38875.533391963399</v>
      </c>
    </row>
    <row r="258" spans="1:11">
      <c r="A258" t="s">
        <v>10</v>
      </c>
      <c r="B258" t="s">
        <v>27</v>
      </c>
      <c r="C258" t="s">
        <v>28</v>
      </c>
      <c r="D258" t="s">
        <v>19</v>
      </c>
      <c r="E258" t="str" cm="1">
        <f t="array" ref="E258">_xlfn.LET(_xlpm.c,'RC1_Structure_RE'!C287, _xlpm.b, 'RC1_Structure_RE'!B287, IF(_xlpm.c&lt;&gt;"", _xlpm.c, _xlpm.b))</f>
        <v>ขนาดเส้นผ่านศูนย์กลาง 16 ม.ม. SD-50</v>
      </c>
      <c r="F258" s="1205"/>
      <c r="G258" s="1203" t="str">
        <f>'RC1_Structure_RE'!F287</f>
        <v>กก.</v>
      </c>
      <c r="H258" s="1203">
        <f>'RC1_Structure_RE'!E287</f>
        <v>942</v>
      </c>
      <c r="I258" s="1203">
        <f>'RC1_Structure_RE'!I287</f>
        <v>16953.155070274501</v>
      </c>
      <c r="J258" s="1203">
        <f>'RC1_Structure_RE'!L287</f>
        <v>3170.4601689864003</v>
      </c>
      <c r="K258" s="1203">
        <f>'RC1_Structure_RE'!M287</f>
        <v>20123.6152392609</v>
      </c>
    </row>
    <row r="259" spans="1:11">
      <c r="A259" t="s">
        <v>10</v>
      </c>
      <c r="B259" t="s">
        <v>27</v>
      </c>
      <c r="C259" t="s">
        <v>28</v>
      </c>
      <c r="D259" t="s">
        <v>19</v>
      </c>
      <c r="E259" t="str" cm="1">
        <f t="array" ref="E259">_xlfn.LET(_xlpm.c,'RC1_Structure_RE'!C288, _xlpm.b, 'RC1_Structure_RE'!B288, IF(_xlpm.c&lt;&gt;"", _xlpm.c, _xlpm.b))</f>
        <v>ขนาดเส้นผ่านศูนย์กลาง 20 ม.ม. SD-50</v>
      </c>
      <c r="F259" s="1205"/>
      <c r="G259" s="1203" t="str">
        <f>'RC1_Structure_RE'!F288</f>
        <v>กก.</v>
      </c>
      <c r="H259" s="1203">
        <f>'RC1_Structure_RE'!E288</f>
        <v>2700</v>
      </c>
      <c r="I259" s="1203">
        <f>'RC1_Structure_RE'!I288</f>
        <v>48591.845742824997</v>
      </c>
      <c r="J259" s="1203">
        <f>'RC1_Structure_RE'!L288</f>
        <v>7825.1803533900002</v>
      </c>
      <c r="K259" s="1203">
        <f>'RC1_Structure_RE'!M288</f>
        <v>56417.026096214999</v>
      </c>
    </row>
    <row r="260" spans="1:11">
      <c r="A260" t="s">
        <v>10</v>
      </c>
      <c r="B260" t="s">
        <v>27</v>
      </c>
      <c r="C260" t="s">
        <v>28</v>
      </c>
      <c r="D260" t="s">
        <v>19</v>
      </c>
      <c r="E260" t="str" cm="1">
        <f t="array" ref="E260">_xlfn.LET(_xlpm.c,'RC1_Structure_RE'!C289, _xlpm.b, 'RC1_Structure_RE'!B289, IF(_xlpm.c&lt;&gt;"", _xlpm.c, _xlpm.b))</f>
        <v>ขนาดเส้นผ่านศูนย์กลาง 25 ม.ม. SD-50</v>
      </c>
      <c r="F260" s="1205"/>
      <c r="G260" s="1203" t="str">
        <f>'RC1_Structure_RE'!F289</f>
        <v>กก.</v>
      </c>
      <c r="H260" s="1203">
        <f>'RC1_Structure_RE'!E289</f>
        <v>10230</v>
      </c>
      <c r="I260" s="1203">
        <f>'RC1_Structure_RE'!I289</f>
        <v>184109.10442559249</v>
      </c>
      <c r="J260" s="1203">
        <f>'RC1_Structure_RE'!L289</f>
        <v>29648.738894511</v>
      </c>
      <c r="K260" s="1203">
        <f>'RC1_Structure_RE'!M289</f>
        <v>213757.84332010348</v>
      </c>
    </row>
    <row r="261" spans="1:11">
      <c r="A261" t="s">
        <v>10</v>
      </c>
      <c r="B261" t="s">
        <v>27</v>
      </c>
      <c r="C261" t="s">
        <v>28</v>
      </c>
      <c r="D261" t="s">
        <v>19</v>
      </c>
      <c r="E261" t="str" cm="1">
        <f t="array" ref="E261">_xlfn.LET(_xlpm.c,'RC1_Structure_RE'!C290, _xlpm.b, 'RC1_Structure_RE'!B290, IF(_xlpm.c&lt;&gt;"", _xlpm.c, _xlpm.b))</f>
        <v>ขนาดเส้นผ่านศูนย์กลาง 28 ม.ม. SD-50</v>
      </c>
      <c r="F261" s="1205"/>
      <c r="G261" s="1203" t="str">
        <f>'RC1_Structure_RE'!F290</f>
        <v>กก.</v>
      </c>
      <c r="H261" s="1203">
        <f>'RC1_Structure_RE'!E290</f>
        <v>5232</v>
      </c>
      <c r="I261" s="1203">
        <f>'RC1_Structure_RE'!I290</f>
        <v>94160.198861651996</v>
      </c>
      <c r="J261" s="1203">
        <f>'RC1_Structure_RE'!L290</f>
        <v>15163.460595902399</v>
      </c>
      <c r="K261" s="1203">
        <f>'RC1_Structure_RE'!M290</f>
        <v>109323.6594575544</v>
      </c>
    </row>
    <row r="262" spans="1:11">
      <c r="A262" t="s">
        <v>10</v>
      </c>
      <c r="B262" t="s">
        <v>27</v>
      </c>
      <c r="C262" t="s">
        <v>28</v>
      </c>
      <c r="D262" t="s">
        <v>19</v>
      </c>
      <c r="E262" t="str" cm="1">
        <f t="array" ref="E262">_xlfn.LET(_xlpm.c,'RC1_Structure_RE'!C291, _xlpm.b, 'RC1_Structure_RE'!B291, IF(_xlpm.c&lt;&gt;"", _xlpm.c, _xlpm.b))</f>
        <v>ขนาดเส้นผ่านศูนย์กลาง 32 ม.ม. SD-50</v>
      </c>
      <c r="F262" s="1205"/>
      <c r="G262" s="1203" t="str">
        <f>'RC1_Structure_RE'!F291</f>
        <v>กก.</v>
      </c>
      <c r="H262" s="1203">
        <f>'RC1_Structure_RE'!E291</f>
        <v>14965</v>
      </c>
      <c r="I262" s="1203">
        <f>'RC1_Structure_RE'!I291</f>
        <v>269324.80427458376</v>
      </c>
      <c r="J262" s="1203">
        <f>'RC1_Structure_RE'!L291</f>
        <v>43371.786662400496</v>
      </c>
      <c r="K262" s="1203">
        <f>'RC1_Structure_RE'!M291</f>
        <v>312696.59093698428</v>
      </c>
    </row>
    <row r="263" spans="1:11">
      <c r="A263" t="s">
        <v>10</v>
      </c>
      <c r="B263" t="s">
        <v>27</v>
      </c>
      <c r="C263" t="s">
        <v>28</v>
      </c>
      <c r="D263" t="s">
        <v>19</v>
      </c>
      <c r="E263" t="str" cm="1">
        <f t="array" ref="E263">_xlfn.LET(_xlpm.c,'RC1_Structure_RE'!C292, _xlpm.b, 'RC1_Structure_RE'!B292, IF(_xlpm.c&lt;&gt;"", _xlpm.c, _xlpm.b))</f>
        <v>ลวดผูกเหล็ก</v>
      </c>
      <c r="F263" s="1205"/>
      <c r="G263" s="1203" t="str">
        <f>'RC1_Structure_RE'!F292</f>
        <v>กก.</v>
      </c>
      <c r="H263" s="1203">
        <f>'RC1_Structure_RE'!E292</f>
        <v>697</v>
      </c>
      <c r="I263" s="1203">
        <f>'RC1_Structure_RE'!I292</f>
        <v>17659.1976273689</v>
      </c>
      <c r="J263" s="1203">
        <f>'RC1_Structure_RE'!L292</f>
        <v>0</v>
      </c>
      <c r="K263" s="1203">
        <f>'RC1_Structure_RE'!M292</f>
        <v>17659.1976273689</v>
      </c>
    </row>
    <row r="264" spans="1:11">
      <c r="A264" t="s">
        <v>10</v>
      </c>
      <c r="B264" t="s">
        <v>27</v>
      </c>
      <c r="C264" t="s">
        <v>28</v>
      </c>
      <c r="D264" t="s">
        <v>19</v>
      </c>
      <c r="E264" t="str" cm="1">
        <f t="array" ref="E264">_xlfn.LET(_xlpm.c,'RC1_Structure_RE'!C293, _xlpm.b, 'RC1_Structure_RE'!B293, IF(_xlpm.c&lt;&gt;"", _xlpm.c, _xlpm.b))</f>
        <v>งานไม้แบบ</v>
      </c>
      <c r="F264" s="1205"/>
      <c r="G264" s="1203">
        <f>'RC1_Structure_RE'!F293</f>
        <v>0</v>
      </c>
      <c r="H264" s="1203">
        <f>'RC1_Structure_RE'!E293</f>
        <v>0</v>
      </c>
      <c r="I264" s="1203">
        <f>'RC1_Structure_RE'!I293</f>
        <v>0</v>
      </c>
      <c r="J264" s="1203">
        <f>'RC1_Structure_RE'!L293</f>
        <v>0</v>
      </c>
      <c r="K264" s="1203">
        <f>'RC1_Structure_RE'!M293</f>
        <v>0</v>
      </c>
    </row>
    <row r="265" spans="1:11">
      <c r="A265" t="s">
        <v>10</v>
      </c>
      <c r="B265" t="s">
        <v>27</v>
      </c>
      <c r="C265" t="s">
        <v>28</v>
      </c>
      <c r="D265" t="s">
        <v>19</v>
      </c>
      <c r="E265" t="str" cm="1">
        <f t="array" ref="E265">_xlfn.LET(_xlpm.c,'RC1_Structure_RE'!C294, _xlpm.b, 'RC1_Structure_RE'!B294, IF(_xlpm.c&lt;&gt;"", _xlpm.c, _xlpm.b))</f>
        <v>ไม้แบบ ค้ำยัน นั่งร้าน (อาคาร 4 ชั้นขึ้นไป ใช้ 50%)</v>
      </c>
      <c r="F265" s="1205"/>
      <c r="G265" s="1203" t="str">
        <f>'RC1_Structure_RE'!F294</f>
        <v>ตร.ม.</v>
      </c>
      <c r="H265" s="1203">
        <f>'RC1_Structure_RE'!E294</f>
        <v>389</v>
      </c>
      <c r="I265" s="1203">
        <f>'RC1_Structure_RE'!I294</f>
        <v>89174.147265391584</v>
      </c>
      <c r="J265" s="1203">
        <f>'RC1_Structure_RE'!L294</f>
        <v>0</v>
      </c>
      <c r="K265" s="1203">
        <f>'RC1_Structure_RE'!M294</f>
        <v>89174.147265391584</v>
      </c>
    </row>
    <row r="266" spans="1:11">
      <c r="A266" t="s">
        <v>10</v>
      </c>
      <c r="B266" t="s">
        <v>27</v>
      </c>
      <c r="C266" t="s">
        <v>28</v>
      </c>
      <c r="D266" t="s">
        <v>19</v>
      </c>
      <c r="E266" t="str" cm="1">
        <f t="array" ref="E266">_xlfn.LET(_xlpm.c,'RC1_Structure_RE'!C295, _xlpm.b, 'RC1_Structure_RE'!B295, IF(_xlpm.c&lt;&gt;"", _xlpm.c, _xlpm.b))</f>
        <v>ค่าแรงประกอบและติดตั้งไม้แบบหล่อคอนกรีต (ใช้ 100%)</v>
      </c>
      <c r="F266" s="1205"/>
      <c r="G266" s="1203" t="str">
        <f>'RC1_Structure_RE'!F295</f>
        <v>ตร.ม.</v>
      </c>
      <c r="H266" s="1203">
        <f>'RC1_Structure_RE'!E295</f>
        <v>778</v>
      </c>
      <c r="I266" s="1203">
        <f>'RC1_Structure_RE'!I295</f>
        <v>0</v>
      </c>
      <c r="J266" s="1203">
        <f>'RC1_Structure_RE'!L295</f>
        <v>88010.373728485996</v>
      </c>
      <c r="K266" s="1203">
        <f>'RC1_Structure_RE'!M295</f>
        <v>88010.373728485996</v>
      </c>
    </row>
    <row r="267" spans="1:11">
      <c r="A267" t="s">
        <v>10</v>
      </c>
      <c r="B267" t="s">
        <v>27</v>
      </c>
      <c r="C267" t="s">
        <v>28</v>
      </c>
      <c r="D267" t="s">
        <v>19</v>
      </c>
      <c r="E267" t="str" cm="1">
        <f t="array" ref="E267">_xlfn.LET(_xlpm.c,'RC1_Structure_RE'!C296, _xlpm.b, 'RC1_Structure_RE'!B296, IF(_xlpm.c&lt;&gt;"", _xlpm.c, _xlpm.b))</f>
        <v>ไม้เคร่า (ใช้ 30% ของไม้แบบ 1 ตร.ม.)</v>
      </c>
      <c r="F267" s="1205"/>
      <c r="G267" s="1203" t="str">
        <f>'RC1_Structure_RE'!F296</f>
        <v>ลบ.ฟ.</v>
      </c>
      <c r="H267" s="1203">
        <f>'RC1_Structure_RE'!E296</f>
        <v>117</v>
      </c>
      <c r="I267" s="1203">
        <f>'RC1_Structure_RE'!I296</f>
        <v>33845.672004620581</v>
      </c>
      <c r="J267" s="1203">
        <f>'RC1_Structure_RE'!L296</f>
        <v>0</v>
      </c>
      <c r="K267" s="1203">
        <f>'RC1_Structure_RE'!M296</f>
        <v>33845.672004620581</v>
      </c>
    </row>
    <row r="268" spans="1:11">
      <c r="A268" t="s">
        <v>10</v>
      </c>
      <c r="B268" t="s">
        <v>27</v>
      </c>
      <c r="C268" t="s">
        <v>28</v>
      </c>
      <c r="D268" t="s">
        <v>19</v>
      </c>
      <c r="E268" t="str" cm="1">
        <f t="array" ref="E268">_xlfn.LET(_xlpm.c,'RC1_Structure_RE'!C297, _xlpm.b, 'RC1_Structure_RE'!B297, IF(_xlpm.c&lt;&gt;"", _xlpm.c, _xlpm.b))</f>
        <v>ตะปู (ใช้ 25% ของไม้แบบ 1 ตร.ม.)</v>
      </c>
      <c r="F268" s="1205"/>
      <c r="G268" s="1203" t="str">
        <f>'RC1_Structure_RE'!F297</f>
        <v>กก.</v>
      </c>
      <c r="H268" s="1203">
        <f>'RC1_Structure_RE'!E297</f>
        <v>97</v>
      </c>
      <c r="I268" s="1203">
        <f>'RC1_Structure_RE'!I297</f>
        <v>2118.4268418582401</v>
      </c>
      <c r="J268" s="1203">
        <f>'RC1_Structure_RE'!L297</f>
        <v>0</v>
      </c>
      <c r="K268" s="1203">
        <f>'RC1_Structure_RE'!M297</f>
        <v>2118.4268418582401</v>
      </c>
    </row>
    <row r="269" spans="1:11">
      <c r="A269" t="s">
        <v>10</v>
      </c>
      <c r="B269" t="s">
        <v>27</v>
      </c>
      <c r="C269" t="s">
        <v>28</v>
      </c>
      <c r="D269" t="s">
        <v>19</v>
      </c>
      <c r="E269" t="str" cm="1">
        <f t="array" ref="E269">_xlfn.LET(_xlpm.c,'RC1_Structure_RE'!C298, _xlpm.b, 'RC1_Structure_RE'!B298, IF(_xlpm.c&lt;&gt;"", _xlpm.c, _xlpm.b))</f>
        <v>งานคอนกรีตโครงสร้าง</v>
      </c>
      <c r="F269" s="1205"/>
      <c r="G269" s="1203">
        <f>'RC1_Structure_RE'!F298</f>
        <v>0</v>
      </c>
      <c r="H269" s="1203">
        <f>'RC1_Structure_RE'!E298</f>
        <v>0</v>
      </c>
      <c r="I269" s="1203">
        <f>'RC1_Structure_RE'!I298</f>
        <v>0</v>
      </c>
      <c r="J269" s="1203">
        <f>'RC1_Structure_RE'!L298</f>
        <v>0</v>
      </c>
      <c r="K269" s="1203">
        <f>'RC1_Structure_RE'!M298</f>
        <v>0</v>
      </c>
    </row>
    <row r="270" spans="1:11">
      <c r="A270" t="s">
        <v>10</v>
      </c>
      <c r="B270" t="s">
        <v>27</v>
      </c>
      <c r="C270" t="s">
        <v>28</v>
      </c>
      <c r="D270" t="s">
        <v>19</v>
      </c>
      <c r="E270" t="str" cm="1">
        <f t="array" ref="E270">_xlfn.LET(_xlpm.c,'RC1_Structure_RE'!C299, _xlpm.b, 'RC1_Structure_RE'!B299, IF(_xlpm.c&lt;&gt;"", _xlpm.c, _xlpm.b))</f>
        <v>งานคอนกรีตโครงสร้าง 320 ksc.</v>
      </c>
      <c r="F270" s="1205"/>
      <c r="G270" s="1203" t="str">
        <f>'RC1_Structure_RE'!F299</f>
        <v>ลบ.ม.</v>
      </c>
      <c r="H270" s="1203">
        <f>'RC1_Structure_RE'!E299</f>
        <v>45</v>
      </c>
      <c r="I270" s="1203">
        <f>'RC1_Structure_RE'!I299</f>
        <v>112745.7033819885</v>
      </c>
      <c r="J270" s="1203">
        <f>'RC1_Structure_RE'!L299</f>
        <v>21834.777437684999</v>
      </c>
      <c r="K270" s="1203">
        <f>'RC1_Structure_RE'!M299</f>
        <v>134580.48081967351</v>
      </c>
    </row>
    <row r="271" spans="1:11">
      <c r="A271" t="s">
        <v>10</v>
      </c>
      <c r="B271" t="s">
        <v>27</v>
      </c>
      <c r="C271" t="s">
        <v>28</v>
      </c>
      <c r="D271" t="s">
        <v>19</v>
      </c>
      <c r="E271" t="str" cm="1">
        <f t="array" ref="E271">_xlfn.LET(_xlpm.c,'RC1_Structure_RE'!C300, _xlpm.b, 'RC1_Structure_RE'!B300, IF(_xlpm.c&lt;&gt;"", _xlpm.c, _xlpm.b))</f>
        <v>งานคอนกรีตโครงสร้าง 550 ksc.</v>
      </c>
      <c r="F271" s="1205"/>
      <c r="G271" s="1203" t="str">
        <f>'RC1_Structure_RE'!F300</f>
        <v>ลบ.ม.</v>
      </c>
      <c r="H271" s="1203">
        <f>'RC1_Structure_RE'!E300</f>
        <v>66</v>
      </c>
      <c r="I271" s="1203">
        <f>'RC1_Structure_RE'!I300</f>
        <v>186654.39158354999</v>
      </c>
      <c r="J271" s="1203">
        <f>'RC1_Structure_RE'!L300</f>
        <v>32024.340241937996</v>
      </c>
      <c r="K271" s="1203">
        <f>'RC1_Structure_RE'!M300</f>
        <v>218678.73182548798</v>
      </c>
    </row>
    <row r="272" spans="1:11">
      <c r="A272" t="s">
        <v>10</v>
      </c>
      <c r="B272" t="s">
        <v>27</v>
      </c>
      <c r="C272" t="s">
        <v>28</v>
      </c>
      <c r="D272" t="s">
        <v>19</v>
      </c>
      <c r="E272" t="str" cm="1">
        <f t="array" ref="E272">_xlfn.LET(_xlpm.c,'RC1_Structure_RE'!C301, _xlpm.b, 'RC1_Structure_RE'!B301, IF(_xlpm.c&lt;&gt;"", _xlpm.c, _xlpm.b))</f>
        <v>เสาเหล็กรูปพรรณ (เสา Composite)</v>
      </c>
      <c r="F272" s="1205"/>
      <c r="G272" s="1203">
        <f>'RC1_Structure_RE'!F301</f>
        <v>0</v>
      </c>
      <c r="H272" s="1203">
        <f>'RC1_Structure_RE'!E301</f>
        <v>0</v>
      </c>
      <c r="I272" s="1203">
        <f>'RC1_Structure_RE'!I301</f>
        <v>0</v>
      </c>
      <c r="J272" s="1203">
        <f>'RC1_Structure_RE'!L301</f>
        <v>0</v>
      </c>
      <c r="K272" s="1203">
        <f>'RC1_Structure_RE'!M301</f>
        <v>0</v>
      </c>
    </row>
    <row r="273" spans="1:11">
      <c r="A273" t="s">
        <v>10</v>
      </c>
      <c r="B273" t="s">
        <v>27</v>
      </c>
      <c r="C273" t="s">
        <v>28</v>
      </c>
      <c r="D273" t="s">
        <v>19</v>
      </c>
      <c r="E273" t="str" cm="1">
        <f t="array" ref="E273">_xlfn.LET(_xlpm.c,'RC1_Structure_RE'!C302, _xlpm.b, 'RC1_Structure_RE'!B302, IF(_xlpm.c&lt;&gt;"", _xlpm.c, _xlpm.b))</f>
        <v>WF300x300x10x15 mm.-94.0 Kg./m.(sm520)</v>
      </c>
      <c r="F273" s="1205"/>
      <c r="G273" s="1203" t="str">
        <f>'RC1_Structure_RE'!F302</f>
        <v>กก.</v>
      </c>
      <c r="H273" s="1203">
        <f>'RC1_Structure_RE'!E302</f>
        <v>4465</v>
      </c>
      <c r="I273" s="1203">
        <f>'RC1_Structure_RE'!I302</f>
        <v>152447.7889783046</v>
      </c>
      <c r="J273" s="1203">
        <f>'RC1_Structure_RE'!L302</f>
        <v>58441.102017969992</v>
      </c>
      <c r="K273" s="1203">
        <f>'RC1_Structure_RE'!M302</f>
        <v>210888.8909962746</v>
      </c>
    </row>
    <row r="274" spans="1:11">
      <c r="A274" t="s">
        <v>10</v>
      </c>
      <c r="B274" t="s">
        <v>27</v>
      </c>
      <c r="C274" t="s">
        <v>28</v>
      </c>
      <c r="D274" t="s">
        <v>19</v>
      </c>
      <c r="E274" cm="1">
        <f t="array" ref="E274">_xlfn.LET(_xlpm.c,'RC1_Structure_RE'!C303, _xlpm.b, 'RC1_Structure_RE'!B303, IF(_xlpm.c&lt;&gt;"", _xlpm.c, _xlpm.b))</f>
        <v>0</v>
      </c>
      <c r="F274" s="1205"/>
      <c r="G274" s="1203">
        <f>'RC1_Structure_RE'!F303</f>
        <v>0</v>
      </c>
      <c r="H274" s="1203">
        <f>'RC1_Structure_RE'!E303</f>
        <v>0</v>
      </c>
      <c r="I274" s="1203">
        <f>'RC1_Structure_RE'!I303</f>
        <v>0</v>
      </c>
      <c r="J274" s="1203">
        <f>'RC1_Structure_RE'!L303</f>
        <v>0</v>
      </c>
      <c r="K274" s="1203">
        <f>'RC1_Structure_RE'!M303</f>
        <v>0</v>
      </c>
    </row>
    <row r="275" spans="1:11">
      <c r="A275" t="s">
        <v>10</v>
      </c>
      <c r="B275" t="s">
        <v>27</v>
      </c>
      <c r="C275" t="s">
        <v>28</v>
      </c>
      <c r="D275" t="s">
        <v>19</v>
      </c>
      <c r="E275" cm="1">
        <f t="array" ref="E275">_xlfn.LET(_xlpm.c,'RC1_Structure_RE'!C304, _xlpm.b, 'RC1_Structure_RE'!B304, IF(_xlpm.c&lt;&gt;"", _xlpm.c, _xlpm.b))</f>
        <v>0</v>
      </c>
      <c r="F275" s="1205"/>
      <c r="G275" s="1203">
        <f>'RC1_Structure_RE'!F304</f>
        <v>0</v>
      </c>
      <c r="H275" s="1203">
        <f>'RC1_Structure_RE'!E304</f>
        <v>0</v>
      </c>
      <c r="I275" s="1203">
        <f>'RC1_Structure_RE'!I304</f>
        <v>0</v>
      </c>
      <c r="J275" s="1203">
        <f>'RC1_Structure_RE'!L304</f>
        <v>0</v>
      </c>
      <c r="K275" s="1203">
        <f>'RC1_Structure_RE'!M304</f>
        <v>0</v>
      </c>
    </row>
    <row r="276" spans="1:11">
      <c r="A276" t="s">
        <v>10</v>
      </c>
      <c r="B276" t="s">
        <v>27</v>
      </c>
      <c r="C276" t="s">
        <v>28</v>
      </c>
      <c r="D276" t="s">
        <v>31</v>
      </c>
      <c r="E276" t="str" cm="1">
        <f t="array" ref="E276">_xlfn.LET(_xlpm.c,'RC1_Structure_RE'!C305, _xlpm.b, 'RC1_Structure_RE'!B305, IF(_xlpm.c&lt;&gt;"", _xlpm.c, _xlpm.b))</f>
        <v>โครงสร้างผนัง ชั้น 1</v>
      </c>
      <c r="F276" s="1205"/>
      <c r="G276" s="1203">
        <f>'RC1_Structure_RE'!F305</f>
        <v>0</v>
      </c>
      <c r="H276" s="1203">
        <f>'RC1_Structure_RE'!E305</f>
        <v>0</v>
      </c>
      <c r="I276" s="1203">
        <f>'RC1_Structure_RE'!I305</f>
        <v>0</v>
      </c>
      <c r="J276" s="1203">
        <f>'RC1_Structure_RE'!L305</f>
        <v>0</v>
      </c>
      <c r="K276" s="1203">
        <f>'RC1_Structure_RE'!M305</f>
        <v>0</v>
      </c>
    </row>
    <row r="277" spans="1:11">
      <c r="A277" t="s">
        <v>10</v>
      </c>
      <c r="B277" t="s">
        <v>27</v>
      </c>
      <c r="C277" t="s">
        <v>28</v>
      </c>
      <c r="D277" t="s">
        <v>31</v>
      </c>
      <c r="E277" t="str" cm="1">
        <f t="array" ref="E277">_xlfn.LET(_xlpm.c,'RC1_Structure_RE'!C306, _xlpm.b, 'RC1_Structure_RE'!B306, IF(_xlpm.c&lt;&gt;"", _xlpm.c, _xlpm.b))</f>
        <v xml:space="preserve">งานเหล็กเสริม </v>
      </c>
      <c r="F277" s="1205"/>
      <c r="G277" s="1203">
        <f>'RC1_Structure_RE'!F306</f>
        <v>0</v>
      </c>
      <c r="H277" s="1203">
        <f>'RC1_Structure_RE'!E306</f>
        <v>0</v>
      </c>
      <c r="I277" s="1203">
        <f>'RC1_Structure_RE'!I306</f>
        <v>0</v>
      </c>
      <c r="J277" s="1203">
        <f>'RC1_Structure_RE'!L306</f>
        <v>0</v>
      </c>
      <c r="K277" s="1203">
        <f>'RC1_Structure_RE'!M306</f>
        <v>0</v>
      </c>
    </row>
    <row r="278" spans="1:11">
      <c r="A278" t="s">
        <v>10</v>
      </c>
      <c r="B278" t="s">
        <v>27</v>
      </c>
      <c r="C278" t="s">
        <v>28</v>
      </c>
      <c r="D278" t="s">
        <v>31</v>
      </c>
      <c r="E278" t="str" cm="1">
        <f t="array" ref="E278">_xlfn.LET(_xlpm.c,'RC1_Structure_RE'!C307, _xlpm.b, 'RC1_Structure_RE'!B307, IF(_xlpm.c&lt;&gt;"", _xlpm.c, _xlpm.b))</f>
        <v>ขนาดเส้นผ่านศูนย์กลาง 12 ม.ม. SD-50</v>
      </c>
      <c r="F278" s="1205"/>
      <c r="G278" s="1203" t="str">
        <f>'RC1_Structure_RE'!F307</f>
        <v>กก.</v>
      </c>
      <c r="H278" s="1203">
        <f>'RC1_Structure_RE'!E307</f>
        <v>11001</v>
      </c>
      <c r="I278" s="1203">
        <f>'RC1_Structure_RE'!I307</f>
        <v>200041.76061716414</v>
      </c>
      <c r="J278" s="1203">
        <f>'RC1_Structure_RE'!L307</f>
        <v>37025.7243301692</v>
      </c>
      <c r="K278" s="1203">
        <f>'RC1_Structure_RE'!M307</f>
        <v>237067.48494733335</v>
      </c>
    </row>
    <row r="279" spans="1:11">
      <c r="A279" t="s">
        <v>10</v>
      </c>
      <c r="B279" t="s">
        <v>27</v>
      </c>
      <c r="C279" t="s">
        <v>28</v>
      </c>
      <c r="D279" t="s">
        <v>31</v>
      </c>
      <c r="E279" t="str" cm="1">
        <f t="array" ref="E279">_xlfn.LET(_xlpm.c,'RC1_Structure_RE'!C308, _xlpm.b, 'RC1_Structure_RE'!B308, IF(_xlpm.c&lt;&gt;"", _xlpm.c, _xlpm.b))</f>
        <v>ขนาดเส้นผ่านศูนย์กลาง 16 ม.ม. SD-50</v>
      </c>
      <c r="F279" s="1205"/>
      <c r="G279" s="1203" t="str">
        <f>'RC1_Structure_RE'!F308</f>
        <v>กก.</v>
      </c>
      <c r="H279" s="1203">
        <f>'RC1_Structure_RE'!E308</f>
        <v>2022</v>
      </c>
      <c r="I279" s="1203">
        <f>'RC1_Structure_RE'!I308</f>
        <v>36389.893367404497</v>
      </c>
      <c r="J279" s="1203">
        <f>'RC1_Structure_RE'!L308</f>
        <v>6805.3826557224002</v>
      </c>
      <c r="K279" s="1203">
        <f>'RC1_Structure_RE'!M308</f>
        <v>43195.276023126899</v>
      </c>
    </row>
    <row r="280" spans="1:11">
      <c r="A280" t="s">
        <v>10</v>
      </c>
      <c r="B280" t="s">
        <v>27</v>
      </c>
      <c r="C280" t="s">
        <v>28</v>
      </c>
      <c r="D280" t="s">
        <v>31</v>
      </c>
      <c r="E280" t="str" cm="1">
        <f t="array" ref="E280">_xlfn.LET(_xlpm.c,'RC1_Structure_RE'!C309, _xlpm.b, 'RC1_Structure_RE'!B309, IF(_xlpm.c&lt;&gt;"", _xlpm.c, _xlpm.b))</f>
        <v>ขนาดเส้นผ่านศูนย์กลาง 20 ม.ม. SD-50</v>
      </c>
      <c r="F280" s="1205"/>
      <c r="G280" s="1203" t="str">
        <f>'RC1_Structure_RE'!F309</f>
        <v>กก.</v>
      </c>
      <c r="H280" s="1203">
        <f>'RC1_Structure_RE'!E309</f>
        <v>3414</v>
      </c>
      <c r="I280" s="1203">
        <f>'RC1_Structure_RE'!I309</f>
        <v>61441.689394816494</v>
      </c>
      <c r="J280" s="1203">
        <f>'RC1_Structure_RE'!L309</f>
        <v>9894.5058246198005</v>
      </c>
      <c r="K280" s="1203">
        <f>'RC1_Structure_RE'!M309</f>
        <v>71336.195219436297</v>
      </c>
    </row>
    <row r="281" spans="1:11">
      <c r="A281" t="s">
        <v>10</v>
      </c>
      <c r="B281" t="s">
        <v>27</v>
      </c>
      <c r="C281" t="s">
        <v>28</v>
      </c>
      <c r="D281" t="s">
        <v>31</v>
      </c>
      <c r="E281" t="str" cm="1">
        <f t="array" ref="E281">_xlfn.LET(_xlpm.c,'RC1_Structure_RE'!C310, _xlpm.b, 'RC1_Structure_RE'!B310, IF(_xlpm.c&lt;&gt;"", _xlpm.c, _xlpm.b))</f>
        <v>ลวดผูกเหล็ก</v>
      </c>
      <c r="F281" s="1205"/>
      <c r="G281" s="1203" t="str">
        <f>'RC1_Structure_RE'!F310</f>
        <v>กก.</v>
      </c>
      <c r="H281" s="1203">
        <f>'RC1_Structure_RE'!E310</f>
        <v>296</v>
      </c>
      <c r="I281" s="1203">
        <f>'RC1_Structure_RE'!I310</f>
        <v>7499.4583898152005</v>
      </c>
      <c r="J281" s="1203">
        <f>'RC1_Structure_RE'!L310</f>
        <v>0</v>
      </c>
      <c r="K281" s="1203">
        <f>'RC1_Structure_RE'!M310</f>
        <v>7499.4583898152005</v>
      </c>
    </row>
    <row r="282" spans="1:11">
      <c r="A282" t="s">
        <v>10</v>
      </c>
      <c r="B282" t="s">
        <v>27</v>
      </c>
      <c r="C282" t="s">
        <v>28</v>
      </c>
      <c r="D282" t="s">
        <v>31</v>
      </c>
      <c r="E282" t="str" cm="1">
        <f t="array" ref="E282">_xlfn.LET(_xlpm.c,'RC1_Structure_RE'!C311, _xlpm.b, 'RC1_Structure_RE'!B311, IF(_xlpm.c&lt;&gt;"", _xlpm.c, _xlpm.b))</f>
        <v>งานไม้แบบ</v>
      </c>
      <c r="F282" s="1205"/>
      <c r="G282" s="1203">
        <f>'RC1_Structure_RE'!F311</f>
        <v>0</v>
      </c>
      <c r="H282" s="1203">
        <f>'RC1_Structure_RE'!E311</f>
        <v>0</v>
      </c>
      <c r="I282" s="1203">
        <f>'RC1_Structure_RE'!I311</f>
        <v>0</v>
      </c>
      <c r="J282" s="1203">
        <f>'RC1_Structure_RE'!L311</f>
        <v>0</v>
      </c>
      <c r="K282" s="1203">
        <f>'RC1_Structure_RE'!M311</f>
        <v>0</v>
      </c>
    </row>
    <row r="283" spans="1:11">
      <c r="A283" t="s">
        <v>10</v>
      </c>
      <c r="B283" t="s">
        <v>27</v>
      </c>
      <c r="C283" t="s">
        <v>28</v>
      </c>
      <c r="D283" t="s">
        <v>31</v>
      </c>
      <c r="E283" t="str" cm="1">
        <f t="array" ref="E283">_xlfn.LET(_xlpm.c,'RC1_Structure_RE'!C312, _xlpm.b, 'RC1_Structure_RE'!B312, IF(_xlpm.c&lt;&gt;"", _xlpm.c, _xlpm.b))</f>
        <v>ไม้แบบ ค้ำยัน นั่งร้าน (อาคาร 4 ชั้นขึ้นไป ใช้ 50%)</v>
      </c>
      <c r="F283" s="1205"/>
      <c r="G283" s="1203" t="str">
        <f>'RC1_Structure_RE'!F312</f>
        <v>ตร.ม.</v>
      </c>
      <c r="H283" s="1203">
        <f>'RC1_Structure_RE'!E312</f>
        <v>768</v>
      </c>
      <c r="I283" s="1203">
        <f>'RC1_Structure_RE'!I312</f>
        <v>176055.89999953919</v>
      </c>
      <c r="J283" s="1203">
        <f>'RC1_Structure_RE'!L312</f>
        <v>0</v>
      </c>
      <c r="K283" s="1203">
        <f>'RC1_Structure_RE'!M312</f>
        <v>176055.89999953919</v>
      </c>
    </row>
    <row r="284" spans="1:11">
      <c r="A284" t="s">
        <v>10</v>
      </c>
      <c r="B284" t="s">
        <v>27</v>
      </c>
      <c r="C284" t="s">
        <v>28</v>
      </c>
      <c r="D284" t="s">
        <v>31</v>
      </c>
      <c r="E284" t="str" cm="1">
        <f t="array" ref="E284">_xlfn.LET(_xlpm.c,'RC1_Structure_RE'!C313, _xlpm.b, 'RC1_Structure_RE'!B313, IF(_xlpm.c&lt;&gt;"", _xlpm.c, _xlpm.b))</f>
        <v>ค่าแรงประกอบและติดตั้งไม้แบบหล่อคอนกรีต (ใช้ 100%)</v>
      </c>
      <c r="F284" s="1205"/>
      <c r="G284" s="1203" t="str">
        <f>'RC1_Structure_RE'!F313</f>
        <v>ตร.ม.</v>
      </c>
      <c r="H284" s="1203">
        <f>'RC1_Structure_RE'!E313</f>
        <v>1536</v>
      </c>
      <c r="I284" s="1203">
        <f>'RC1_Structure_RE'!I313</f>
        <v>0</v>
      </c>
      <c r="J284" s="1203">
        <f>'RC1_Structure_RE'!L313</f>
        <v>173758.26998323199</v>
      </c>
      <c r="K284" s="1203">
        <f>'RC1_Structure_RE'!M313</f>
        <v>173758.26998323199</v>
      </c>
    </row>
    <row r="285" spans="1:11">
      <c r="A285" t="s">
        <v>10</v>
      </c>
      <c r="B285" t="s">
        <v>27</v>
      </c>
      <c r="C285" t="s">
        <v>28</v>
      </c>
      <c r="D285" t="s">
        <v>31</v>
      </c>
      <c r="E285" t="str" cm="1">
        <f t="array" ref="E285">_xlfn.LET(_xlpm.c,'RC1_Structure_RE'!C314, _xlpm.b, 'RC1_Structure_RE'!B314, IF(_xlpm.c&lt;&gt;"", _xlpm.c, _xlpm.b))</f>
        <v>ไม้เคร่า (ใช้ 30% ของไม้แบบ 1 ตร.ม.)</v>
      </c>
      <c r="F285" s="1205"/>
      <c r="G285" s="1203" t="str">
        <f>'RC1_Structure_RE'!F314</f>
        <v>ลบ.ฟ.</v>
      </c>
      <c r="H285" s="1203">
        <f>'RC1_Structure_RE'!E314</f>
        <v>231</v>
      </c>
      <c r="I285" s="1203">
        <f>'RC1_Structure_RE'!I314</f>
        <v>66823.506265532938</v>
      </c>
      <c r="J285" s="1203">
        <f>'RC1_Structure_RE'!L314</f>
        <v>0</v>
      </c>
      <c r="K285" s="1203">
        <f>'RC1_Structure_RE'!M314</f>
        <v>66823.506265532938</v>
      </c>
    </row>
    <row r="286" spans="1:11">
      <c r="A286" t="s">
        <v>10</v>
      </c>
      <c r="B286" t="s">
        <v>27</v>
      </c>
      <c r="C286" t="s">
        <v>28</v>
      </c>
      <c r="D286" t="s">
        <v>31</v>
      </c>
      <c r="E286" t="str" cm="1">
        <f t="array" ref="E286">_xlfn.LET(_xlpm.c,'RC1_Structure_RE'!C315, _xlpm.b, 'RC1_Structure_RE'!B315, IF(_xlpm.c&lt;&gt;"", _xlpm.c, _xlpm.b))</f>
        <v>ตะปู (ใช้ 25% ของไม้แบบ 1 ตร.ม.)</v>
      </c>
      <c r="F286" s="1205"/>
      <c r="G286" s="1203" t="str">
        <f>'RC1_Structure_RE'!F315</f>
        <v>กก.</v>
      </c>
      <c r="H286" s="1203">
        <f>'RC1_Structure_RE'!E315</f>
        <v>192</v>
      </c>
      <c r="I286" s="1203">
        <f>'RC1_Structure_RE'!I315</f>
        <v>4193.1747797606404</v>
      </c>
      <c r="J286" s="1203">
        <f>'RC1_Structure_RE'!L315</f>
        <v>0</v>
      </c>
      <c r="K286" s="1203">
        <f>'RC1_Structure_RE'!M315</f>
        <v>4193.1747797606404</v>
      </c>
    </row>
    <row r="287" spans="1:11">
      <c r="A287" t="s">
        <v>10</v>
      </c>
      <c r="B287" t="s">
        <v>27</v>
      </c>
      <c r="C287" t="s">
        <v>28</v>
      </c>
      <c r="D287" t="s">
        <v>31</v>
      </c>
      <c r="E287" t="str" cm="1">
        <f t="array" ref="E287">_xlfn.LET(_xlpm.c,'RC1_Structure_RE'!C316, _xlpm.b, 'RC1_Structure_RE'!B316, IF(_xlpm.c&lt;&gt;"", _xlpm.c, _xlpm.b))</f>
        <v>งานคอนกรีตโครงสร้าง</v>
      </c>
      <c r="F287" s="1205"/>
      <c r="G287" s="1203">
        <f>'RC1_Structure_RE'!F316</f>
        <v>0</v>
      </c>
      <c r="H287" s="1203">
        <f>'RC1_Structure_RE'!E316</f>
        <v>0</v>
      </c>
      <c r="I287" s="1203">
        <f>'RC1_Structure_RE'!I316</f>
        <v>0</v>
      </c>
      <c r="J287" s="1203">
        <f>'RC1_Structure_RE'!L316</f>
        <v>0</v>
      </c>
      <c r="K287" s="1203">
        <f>'RC1_Structure_RE'!M316</f>
        <v>0</v>
      </c>
    </row>
    <row r="288" spans="1:11">
      <c r="A288" t="s">
        <v>10</v>
      </c>
      <c r="B288" t="s">
        <v>27</v>
      </c>
      <c r="C288" t="s">
        <v>28</v>
      </c>
      <c r="D288" t="s">
        <v>31</v>
      </c>
      <c r="E288" t="str" cm="1">
        <f t="array" ref="E288">_xlfn.LET(_xlpm.c,'RC1_Structure_RE'!C317, _xlpm.b, 'RC1_Structure_RE'!B317, IF(_xlpm.c&lt;&gt;"", _xlpm.c, _xlpm.b))</f>
        <v>งานคอนกรีตโครงสร้าง 320 ksc.</v>
      </c>
      <c r="F288" s="1205"/>
      <c r="G288" s="1203" t="str">
        <f>'RC1_Structure_RE'!F317</f>
        <v>ลบ.ม.</v>
      </c>
      <c r="H288" s="1203">
        <f>'RC1_Structure_RE'!E317</f>
        <v>156</v>
      </c>
      <c r="I288" s="1203">
        <f>'RC1_Structure_RE'!I317</f>
        <v>390851.77172422677</v>
      </c>
      <c r="J288" s="1203">
        <f>'RC1_Structure_RE'!L317</f>
        <v>75693.895117307999</v>
      </c>
      <c r="K288" s="1203">
        <f>'RC1_Structure_RE'!M317</f>
        <v>466545.66684153478</v>
      </c>
    </row>
    <row r="289" spans="1:11">
      <c r="A289" t="s">
        <v>10</v>
      </c>
      <c r="B289" t="s">
        <v>27</v>
      </c>
      <c r="C289" t="s">
        <v>28</v>
      </c>
      <c r="D289" t="s">
        <v>26</v>
      </c>
      <c r="E289" t="str" cm="1">
        <f t="array" ref="E289">_xlfn.LET(_xlpm.c,'RC1_Structure_RE'!C318, _xlpm.b, 'RC1_Structure_RE'!B318, IF(_xlpm.c&lt;&gt;"", _xlpm.c, _xlpm.b))</f>
        <v>โครงสร้าง Gutter 200 mm. W x 350 mm. D</v>
      </c>
      <c r="F289" s="1205"/>
      <c r="G289" s="1203">
        <f>'RC1_Structure_RE'!F318</f>
        <v>0</v>
      </c>
      <c r="H289" s="1203">
        <f>'RC1_Structure_RE'!E318</f>
        <v>0</v>
      </c>
      <c r="I289" s="1203">
        <f>'RC1_Structure_RE'!I318</f>
        <v>0</v>
      </c>
      <c r="J289" s="1203">
        <f>'RC1_Structure_RE'!L318</f>
        <v>0</v>
      </c>
      <c r="K289" s="1203">
        <f>'RC1_Structure_RE'!M318</f>
        <v>0</v>
      </c>
    </row>
    <row r="290" spans="1:11">
      <c r="A290" t="s">
        <v>10</v>
      </c>
      <c r="B290" t="s">
        <v>27</v>
      </c>
      <c r="C290" t="s">
        <v>28</v>
      </c>
      <c r="D290" t="s">
        <v>26</v>
      </c>
      <c r="E290" t="str" cm="1">
        <f t="array" ref="E290">_xlfn.LET(_xlpm.c,'RC1_Structure_RE'!C319, _xlpm.b, 'RC1_Structure_RE'!B319, IF(_xlpm.c&lt;&gt;"", _xlpm.c, _xlpm.b))</f>
        <v>งานขุดดิน และถมกลับ</v>
      </c>
      <c r="F290" s="1205"/>
      <c r="G290" s="1203" t="str">
        <f>'RC1_Structure_RE'!F319</f>
        <v>ลบ.ม.</v>
      </c>
      <c r="H290" s="1203">
        <f>'RC1_Structure_RE'!E319</f>
        <v>282</v>
      </c>
      <c r="I290" s="1203">
        <f>'RC1_Structure_RE'!I319</f>
        <v>0</v>
      </c>
      <c r="J290" s="1203">
        <f>'RC1_Structure_RE'!L319</f>
        <v>29528.135756447999</v>
      </c>
      <c r="K290" s="1203">
        <f>'RC1_Structure_RE'!M319</f>
        <v>29528.135756447999</v>
      </c>
    </row>
    <row r="291" spans="1:11">
      <c r="A291" t="s">
        <v>10</v>
      </c>
      <c r="B291" t="s">
        <v>27</v>
      </c>
      <c r="C291" t="s">
        <v>28</v>
      </c>
      <c r="D291" t="s">
        <v>26</v>
      </c>
      <c r="E291" t="str" cm="1">
        <f t="array" ref="E291">_xlfn.LET(_xlpm.c,'RC1_Structure_RE'!C320, _xlpm.b, 'RC1_Structure_RE'!B320, IF(_xlpm.c&lt;&gt;"", _xlpm.c, _xlpm.b))</f>
        <v>งานทรายหยาบบดอัดแน่น</v>
      </c>
      <c r="F291" s="1205"/>
      <c r="G291" s="1203" t="str">
        <f>'RC1_Structure_RE'!F320</f>
        <v>ลบ.ม.</v>
      </c>
      <c r="H291" s="1203">
        <f>'RC1_Structure_RE'!E320</f>
        <v>13</v>
      </c>
      <c r="I291" s="1203">
        <f>'RC1_Structure_RE'!I320</f>
        <v>6178.1434979096293</v>
      </c>
      <c r="J291" s="1203">
        <f>'RC1_Structure_RE'!L320</f>
        <v>1263.995679544</v>
      </c>
      <c r="K291" s="1203">
        <f>'RC1_Structure_RE'!M320</f>
        <v>7442.1391774536296</v>
      </c>
    </row>
    <row r="292" spans="1:11">
      <c r="A292" t="s">
        <v>10</v>
      </c>
      <c r="B292" t="s">
        <v>27</v>
      </c>
      <c r="C292" t="s">
        <v>28</v>
      </c>
      <c r="D292" t="s">
        <v>26</v>
      </c>
      <c r="E292" t="str" cm="1">
        <f t="array" ref="E292">_xlfn.LET(_xlpm.c,'RC1_Structure_RE'!C321, _xlpm.b, 'RC1_Structure_RE'!B321, IF(_xlpm.c&lt;&gt;"", _xlpm.c, _xlpm.b))</f>
        <v>งานคอนกรีตหยาบ</v>
      </c>
      <c r="F292" s="1205"/>
      <c r="G292" s="1203" t="str">
        <f>'RC1_Structure_RE'!F321</f>
        <v>ลบ.ม.</v>
      </c>
      <c r="H292" s="1203">
        <f>'RC1_Structure_RE'!E321</f>
        <v>13</v>
      </c>
      <c r="I292" s="1203">
        <f>'RC1_Structure_RE'!I321</f>
        <v>29898.359343059998</v>
      </c>
      <c r="J292" s="1203">
        <f>'RC1_Structure_RE'!L321</f>
        <v>5177.5207642859996</v>
      </c>
      <c r="K292" s="1203">
        <f>'RC1_Structure_RE'!M321</f>
        <v>35075.880107345998</v>
      </c>
    </row>
    <row r="293" spans="1:11">
      <c r="A293" t="s">
        <v>10</v>
      </c>
      <c r="B293" t="s">
        <v>27</v>
      </c>
      <c r="C293" t="s">
        <v>28</v>
      </c>
      <c r="D293" t="s">
        <v>26</v>
      </c>
      <c r="E293" t="str" cm="1">
        <f t="array" ref="E293">_xlfn.LET(_xlpm.c,'RC1_Structure_RE'!C322, _xlpm.b, 'RC1_Structure_RE'!B322, IF(_xlpm.c&lt;&gt;"", _xlpm.c, _xlpm.b))</f>
        <v xml:space="preserve">งานเหล็กเสริม </v>
      </c>
      <c r="F293" s="1205"/>
      <c r="G293" s="1203">
        <f>'RC1_Structure_RE'!F322</f>
        <v>0</v>
      </c>
      <c r="H293" s="1203">
        <f>'RC1_Structure_RE'!E322</f>
        <v>0</v>
      </c>
      <c r="I293" s="1203">
        <f>'RC1_Structure_RE'!I322</f>
        <v>0</v>
      </c>
      <c r="J293" s="1203">
        <f>'RC1_Structure_RE'!L322</f>
        <v>0</v>
      </c>
      <c r="K293" s="1203">
        <f>'RC1_Structure_RE'!M322</f>
        <v>0</v>
      </c>
    </row>
    <row r="294" spans="1:11">
      <c r="A294" t="s">
        <v>10</v>
      </c>
      <c r="B294" t="s">
        <v>27</v>
      </c>
      <c r="C294" t="s">
        <v>28</v>
      </c>
      <c r="D294" t="s">
        <v>26</v>
      </c>
      <c r="E294" t="str" cm="1">
        <f t="array" ref="E294">_xlfn.LET(_xlpm.c,'RC1_Structure_RE'!C323, _xlpm.b, 'RC1_Structure_RE'!B323, IF(_xlpm.c&lt;&gt;"", _xlpm.c, _xlpm.b))</f>
        <v>ขนาดเส้นผ่านศูนย์กลาง 16 ม.ม. SD-50</v>
      </c>
      <c r="F294" s="1205"/>
      <c r="G294" s="1203" t="str">
        <f>'RC1_Structure_RE'!F323</f>
        <v>กก.</v>
      </c>
      <c r="H294" s="1203">
        <f>'RC1_Structure_RE'!E323</f>
        <v>11414</v>
      </c>
      <c r="I294" s="1203">
        <f>'RC1_Structure_RE'!I323</f>
        <v>205417.52863281648</v>
      </c>
      <c r="J294" s="1203">
        <f>'RC1_Structure_RE'!L323</f>
        <v>38415.745614448802</v>
      </c>
      <c r="K294" s="1203">
        <f>'RC1_Structure_RE'!M323</f>
        <v>243833.27424726528</v>
      </c>
    </row>
    <row r="295" spans="1:11">
      <c r="A295" t="s">
        <v>10</v>
      </c>
      <c r="B295" t="s">
        <v>27</v>
      </c>
      <c r="C295" t="s">
        <v>28</v>
      </c>
      <c r="D295" t="s">
        <v>26</v>
      </c>
      <c r="E295" t="str" cm="1">
        <f t="array" ref="E295">_xlfn.LET(_xlpm.c,'RC1_Structure_RE'!C324, _xlpm.b, 'RC1_Structure_RE'!B324, IF(_xlpm.c&lt;&gt;"", _xlpm.c, _xlpm.b))</f>
        <v>ลวดผูกเหล็ก</v>
      </c>
      <c r="F295" s="1205"/>
      <c r="G295" s="1203" t="str">
        <f>'RC1_Structure_RE'!F324</f>
        <v>กก.</v>
      </c>
      <c r="H295" s="1203">
        <f>'RC1_Structure_RE'!E324</f>
        <v>205</v>
      </c>
      <c r="I295" s="1203">
        <f>'RC1_Structure_RE'!I324</f>
        <v>5193.8816551085001</v>
      </c>
      <c r="J295" s="1203">
        <f>'RC1_Structure_RE'!L324</f>
        <v>0</v>
      </c>
      <c r="K295" s="1203">
        <f>'RC1_Structure_RE'!M324</f>
        <v>5193.8816551085001</v>
      </c>
    </row>
    <row r="296" spans="1:11">
      <c r="A296" t="s">
        <v>10</v>
      </c>
      <c r="B296" t="s">
        <v>27</v>
      </c>
      <c r="C296" t="s">
        <v>28</v>
      </c>
      <c r="D296" t="s">
        <v>26</v>
      </c>
      <c r="E296" t="str" cm="1">
        <f t="array" ref="E296">_xlfn.LET(_xlpm.c,'RC1_Structure_RE'!C325, _xlpm.b, 'RC1_Structure_RE'!B325, IF(_xlpm.c&lt;&gt;"", _xlpm.c, _xlpm.b))</f>
        <v>งานไม้แบบ</v>
      </c>
      <c r="F296" s="1205"/>
      <c r="G296" s="1203">
        <f>'RC1_Structure_RE'!F325</f>
        <v>0</v>
      </c>
      <c r="H296" s="1203">
        <f>'RC1_Structure_RE'!E325</f>
        <v>0</v>
      </c>
      <c r="I296" s="1203">
        <f>'RC1_Structure_RE'!I325</f>
        <v>0</v>
      </c>
      <c r="J296" s="1203">
        <f>'RC1_Structure_RE'!L325</f>
        <v>0</v>
      </c>
      <c r="K296" s="1203">
        <f>'RC1_Structure_RE'!M325</f>
        <v>0</v>
      </c>
    </row>
    <row r="297" spans="1:11">
      <c r="A297" t="s">
        <v>10</v>
      </c>
      <c r="B297" t="s">
        <v>27</v>
      </c>
      <c r="C297" t="s">
        <v>28</v>
      </c>
      <c r="D297" t="s">
        <v>26</v>
      </c>
      <c r="E297" t="str" cm="1">
        <f t="array" ref="E297">_xlfn.LET(_xlpm.c,'RC1_Structure_RE'!C326, _xlpm.b, 'RC1_Structure_RE'!B326, IF(_xlpm.c&lt;&gt;"", _xlpm.c, _xlpm.b))</f>
        <v>ไม้แบบ ค้ำยัน นั่งร้าน (อาคาร 4 ชั้นขึ้นไป ใช้ 50%)</v>
      </c>
      <c r="F297" s="1205"/>
      <c r="G297" s="1203" t="str">
        <f>'RC1_Structure_RE'!F326</f>
        <v>ตร.ม.</v>
      </c>
      <c r="H297" s="1203">
        <f>'RC1_Structure_RE'!E326</f>
        <v>73</v>
      </c>
      <c r="I297" s="1203">
        <f>'RC1_Structure_RE'!I326</f>
        <v>16734.480078081197</v>
      </c>
      <c r="J297" s="1203">
        <f>'RC1_Structure_RE'!L326</f>
        <v>0</v>
      </c>
      <c r="K297" s="1203">
        <f>'RC1_Structure_RE'!M326</f>
        <v>16734.480078081197</v>
      </c>
    </row>
    <row r="298" spans="1:11">
      <c r="A298" t="s">
        <v>10</v>
      </c>
      <c r="B298" t="s">
        <v>27</v>
      </c>
      <c r="C298" t="s">
        <v>28</v>
      </c>
      <c r="D298" t="s">
        <v>26</v>
      </c>
      <c r="E298" t="str" cm="1">
        <f t="array" ref="E298">_xlfn.LET(_xlpm.c,'RC1_Structure_RE'!C327, _xlpm.b, 'RC1_Structure_RE'!B327, IF(_xlpm.c&lt;&gt;"", _xlpm.c, _xlpm.b))</f>
        <v>ค่าแรงประกอบและติดตั้งไม้แบบหล่อคอนกรีต (ใช้ 100%)</v>
      </c>
      <c r="F298" s="1205"/>
      <c r="G298" s="1203" t="str">
        <f>'RC1_Structure_RE'!F327</f>
        <v>ตร.ม.</v>
      </c>
      <c r="H298" s="1203">
        <f>'RC1_Structure_RE'!E327</f>
        <v>144.9</v>
      </c>
      <c r="I298" s="1203">
        <f>'RC1_Structure_RE'!I327</f>
        <v>0</v>
      </c>
      <c r="J298" s="1203">
        <f>'RC1_Structure_RE'!L327</f>
        <v>16391.649297246302</v>
      </c>
      <c r="K298" s="1203">
        <f>'RC1_Structure_RE'!M327</f>
        <v>16391.649297246302</v>
      </c>
    </row>
    <row r="299" spans="1:11">
      <c r="A299" t="s">
        <v>10</v>
      </c>
      <c r="B299" t="s">
        <v>27</v>
      </c>
      <c r="C299" t="s">
        <v>28</v>
      </c>
      <c r="D299" t="s">
        <v>26</v>
      </c>
      <c r="E299" t="str" cm="1">
        <f t="array" ref="E299">_xlfn.LET(_xlpm.c,'RC1_Structure_RE'!C328, _xlpm.b, 'RC1_Structure_RE'!B328, IF(_xlpm.c&lt;&gt;"", _xlpm.c, _xlpm.b))</f>
        <v>ไม้เคร่า (ใช้ 30% ของไม้แบบ 1 ตร.ม.)</v>
      </c>
      <c r="F299" s="1205"/>
      <c r="G299" s="1203" t="str">
        <f>'RC1_Structure_RE'!F328</f>
        <v>ลบ.ฟ.</v>
      </c>
      <c r="H299" s="1203">
        <f>'RC1_Structure_RE'!E328</f>
        <v>22</v>
      </c>
      <c r="I299" s="1203">
        <f>'RC1_Structure_RE'!I328</f>
        <v>6364.1434538602798</v>
      </c>
      <c r="J299" s="1203">
        <f>'RC1_Structure_RE'!L328</f>
        <v>0</v>
      </c>
      <c r="K299" s="1203">
        <f>'RC1_Structure_RE'!M328</f>
        <v>6364.1434538602798</v>
      </c>
    </row>
    <row r="300" spans="1:11">
      <c r="A300" t="s">
        <v>10</v>
      </c>
      <c r="B300" t="s">
        <v>27</v>
      </c>
      <c r="C300" t="s">
        <v>28</v>
      </c>
      <c r="D300" t="s">
        <v>26</v>
      </c>
      <c r="E300" t="str" cm="1">
        <f t="array" ref="E300">_xlfn.LET(_xlpm.c,'RC1_Structure_RE'!C329, _xlpm.b, 'RC1_Structure_RE'!B329, IF(_xlpm.c&lt;&gt;"", _xlpm.c, _xlpm.b))</f>
        <v>ตะปู (ใช้ 25% ของไม้แบบ 1 ตร.ม.)</v>
      </c>
      <c r="F300" s="1205"/>
      <c r="G300" s="1203" t="str">
        <f>'RC1_Structure_RE'!F329</f>
        <v>กก.</v>
      </c>
      <c r="H300" s="1203">
        <f>'RC1_Structure_RE'!E329</f>
        <v>18</v>
      </c>
      <c r="I300" s="1203">
        <f>'RC1_Structure_RE'!I329</f>
        <v>393.11013560255998</v>
      </c>
      <c r="J300" s="1203">
        <f>'RC1_Structure_RE'!L329</f>
        <v>0</v>
      </c>
      <c r="K300" s="1203">
        <f>'RC1_Structure_RE'!M329</f>
        <v>393.11013560255998</v>
      </c>
    </row>
    <row r="301" spans="1:11">
      <c r="A301" t="s">
        <v>10</v>
      </c>
      <c r="B301" t="s">
        <v>27</v>
      </c>
      <c r="C301" t="s">
        <v>28</v>
      </c>
      <c r="D301" t="s">
        <v>26</v>
      </c>
      <c r="E301" t="str" cm="1">
        <f t="array" ref="E301">_xlfn.LET(_xlpm.c,'RC1_Structure_RE'!C330, _xlpm.b, 'RC1_Structure_RE'!B330, IF(_xlpm.c&lt;&gt;"", _xlpm.c, _xlpm.b))</f>
        <v>งานคอนกรีตโครงสร้าง</v>
      </c>
      <c r="F301" s="1205"/>
      <c r="G301" s="1203">
        <f>'RC1_Structure_RE'!F330</f>
        <v>0</v>
      </c>
      <c r="H301" s="1203">
        <f>'RC1_Structure_RE'!E330</f>
        <v>0</v>
      </c>
      <c r="I301" s="1203">
        <f>'RC1_Structure_RE'!I330</f>
        <v>0</v>
      </c>
      <c r="J301" s="1203">
        <f>'RC1_Structure_RE'!L330</f>
        <v>0</v>
      </c>
      <c r="K301" s="1203">
        <f>'RC1_Structure_RE'!M330</f>
        <v>0</v>
      </c>
    </row>
    <row r="302" spans="1:11">
      <c r="A302" t="s">
        <v>10</v>
      </c>
      <c r="B302" t="s">
        <v>27</v>
      </c>
      <c r="C302" t="s">
        <v>28</v>
      </c>
      <c r="D302" t="s">
        <v>26</v>
      </c>
      <c r="E302" t="str" cm="1">
        <f t="array" ref="E302">_xlfn.LET(_xlpm.c,'RC1_Structure_RE'!C331, _xlpm.b, 'RC1_Structure_RE'!B331, IF(_xlpm.c&lt;&gt;"", _xlpm.c, _xlpm.b))</f>
        <v>งานคอนกรีตโครงสร้าง 320 ksc.ผสมน้ำยากันซึม</v>
      </c>
      <c r="F302" s="1205"/>
      <c r="G302" s="1203" t="str">
        <f>'RC1_Structure_RE'!F331</f>
        <v>ลบ.ม.</v>
      </c>
      <c r="H302" s="1203">
        <f>'RC1_Structure_RE'!E331</f>
        <v>186.3</v>
      </c>
      <c r="I302" s="1203">
        <f>'RC1_Structure_RE'!I331</f>
        <v>393631.814292786</v>
      </c>
      <c r="J302" s="1203">
        <f>'RC1_Structure_RE'!L331</f>
        <v>90395.978592015905</v>
      </c>
      <c r="K302" s="1203">
        <f>'RC1_Structure_RE'!M331</f>
        <v>484027.79288480192</v>
      </c>
    </row>
    <row r="303" spans="1:11">
      <c r="A303" t="s">
        <v>10</v>
      </c>
      <c r="B303" t="s">
        <v>27</v>
      </c>
      <c r="C303" t="s">
        <v>28</v>
      </c>
      <c r="D303" t="s">
        <v>32</v>
      </c>
      <c r="E303" t="str" cm="1">
        <f t="array" ref="E303">_xlfn.LET(_xlpm.c,'RC1_Structure_RE'!C332, _xlpm.b, 'RC1_Structure_RE'!B332, IF(_xlpm.c&lt;&gt;"", _xlpm.c, _xlpm.b))</f>
        <v>โครงสร้าง Amphitheater</v>
      </c>
      <c r="F303" s="1205"/>
      <c r="G303" s="1203">
        <f>'RC1_Structure_RE'!F332</f>
        <v>0</v>
      </c>
      <c r="H303" s="1203">
        <f>'RC1_Structure_RE'!E332</f>
        <v>0</v>
      </c>
      <c r="I303" s="1203">
        <f>'RC1_Structure_RE'!I332</f>
        <v>0</v>
      </c>
      <c r="J303" s="1203">
        <f>'RC1_Structure_RE'!L332</f>
        <v>0</v>
      </c>
      <c r="K303" s="1203">
        <f>'RC1_Structure_RE'!M332</f>
        <v>0</v>
      </c>
    </row>
    <row r="304" spans="1:11">
      <c r="A304" t="s">
        <v>10</v>
      </c>
      <c r="B304" t="s">
        <v>27</v>
      </c>
      <c r="C304" t="s">
        <v>28</v>
      </c>
      <c r="D304" t="s">
        <v>32</v>
      </c>
      <c r="E304" t="str" cm="1">
        <f t="array" ref="E304">_xlfn.LET(_xlpm.c,'RC1_Structure_RE'!C333, _xlpm.b, 'RC1_Structure_RE'!B333, IF(_xlpm.c&lt;&gt;"", _xlpm.c, _xlpm.b))</f>
        <v xml:space="preserve">งานเหล็กเสริม </v>
      </c>
      <c r="F304" s="1205"/>
      <c r="G304" s="1203">
        <f>'RC1_Structure_RE'!F333</f>
        <v>0</v>
      </c>
      <c r="H304" s="1203">
        <f>'RC1_Structure_RE'!E333</f>
        <v>0</v>
      </c>
      <c r="I304" s="1203">
        <f>'RC1_Structure_RE'!I333</f>
        <v>0</v>
      </c>
      <c r="J304" s="1203">
        <f>'RC1_Structure_RE'!L333</f>
        <v>0</v>
      </c>
      <c r="K304" s="1203">
        <f>'RC1_Structure_RE'!M333</f>
        <v>0</v>
      </c>
    </row>
    <row r="305" spans="1:11">
      <c r="A305" t="s">
        <v>10</v>
      </c>
      <c r="B305" t="s">
        <v>27</v>
      </c>
      <c r="C305" t="s">
        <v>28</v>
      </c>
      <c r="D305" t="s">
        <v>32</v>
      </c>
      <c r="E305" t="str" cm="1">
        <f t="array" ref="E305">_xlfn.LET(_xlpm.c,'RC1_Structure_RE'!C334, _xlpm.b, 'RC1_Structure_RE'!B334, IF(_xlpm.c&lt;&gt;"", _xlpm.c, _xlpm.b))</f>
        <v>ขนาดเส้นผ่านศูนย์กลาง 9 ม.ม. SR-24</v>
      </c>
      <c r="F305" s="1205"/>
      <c r="G305" s="1203" t="str">
        <f>'RC1_Structure_RE'!F334</f>
        <v>กก.</v>
      </c>
      <c r="H305" s="1203">
        <f>'RC1_Structure_RE'!E334</f>
        <v>576</v>
      </c>
      <c r="I305" s="1203">
        <f>'RC1_Structure_RE'!I334</f>
        <v>10554.7378874112</v>
      </c>
      <c r="J305" s="1203">
        <f>'RC1_Structure_RE'!L334</f>
        <v>2369.4309543168001</v>
      </c>
      <c r="K305" s="1203">
        <f>'RC1_Structure_RE'!M334</f>
        <v>12924.168841728</v>
      </c>
    </row>
    <row r="306" spans="1:11">
      <c r="A306" t="s">
        <v>10</v>
      </c>
      <c r="B306" t="s">
        <v>27</v>
      </c>
      <c r="C306" t="s">
        <v>28</v>
      </c>
      <c r="D306" t="s">
        <v>32</v>
      </c>
      <c r="E306" t="str" cm="1">
        <f t="array" ref="E306">_xlfn.LET(_xlpm.c,'RC1_Structure_RE'!C335, _xlpm.b, 'RC1_Structure_RE'!B335, IF(_xlpm.c&lt;&gt;"", _xlpm.c, _xlpm.b))</f>
        <v>ขนาดเส้นผ่านศูนย์กลาง 12 ม.ม. SD-50</v>
      </c>
      <c r="F306" s="1205"/>
      <c r="G306" s="1203" t="str">
        <f>'RC1_Structure_RE'!F335</f>
        <v>กก.</v>
      </c>
      <c r="H306" s="1203">
        <f>'RC1_Structure_RE'!E335</f>
        <v>6136</v>
      </c>
      <c r="I306" s="1203">
        <f>'RC1_Structure_RE'!I335</f>
        <v>111576.78785082439</v>
      </c>
      <c r="J306" s="1203">
        <f>'RC1_Structure_RE'!L335</f>
        <v>20651.7447950112</v>
      </c>
      <c r="K306" s="1203">
        <f>'RC1_Structure_RE'!M335</f>
        <v>132228.5326458356</v>
      </c>
    </row>
    <row r="307" spans="1:11">
      <c r="A307" t="s">
        <v>10</v>
      </c>
      <c r="B307" t="s">
        <v>27</v>
      </c>
      <c r="C307" t="s">
        <v>28</v>
      </c>
      <c r="D307" t="s">
        <v>32</v>
      </c>
      <c r="E307" t="str" cm="1">
        <f t="array" ref="E307">_xlfn.LET(_xlpm.c,'RC1_Structure_RE'!C336, _xlpm.b, 'RC1_Structure_RE'!B336, IF(_xlpm.c&lt;&gt;"", _xlpm.c, _xlpm.b))</f>
        <v>ขนาดเส้นผ่านศูนย์กลาง 16 ม.ม. SD-50</v>
      </c>
      <c r="F307" s="1205"/>
      <c r="G307" s="1203" t="str">
        <f>'RC1_Structure_RE'!F336</f>
        <v>กก.</v>
      </c>
      <c r="H307" s="1203">
        <f>'RC1_Structure_RE'!E336</f>
        <v>1279</v>
      </c>
      <c r="I307" s="1203">
        <f>'RC1_Structure_RE'!I336</f>
        <v>23018.13729817525</v>
      </c>
      <c r="J307" s="1203">
        <f>'RC1_Structure_RE'!L336</f>
        <v>4304.6906116068003</v>
      </c>
      <c r="K307" s="1203">
        <f>'RC1_Structure_RE'!M336</f>
        <v>27322.827909782049</v>
      </c>
    </row>
    <row r="308" spans="1:11">
      <c r="A308" t="s">
        <v>10</v>
      </c>
      <c r="B308" t="s">
        <v>27</v>
      </c>
      <c r="C308" t="s">
        <v>28</v>
      </c>
      <c r="D308" t="s">
        <v>32</v>
      </c>
      <c r="E308" t="str" cm="1">
        <f t="array" ref="E308">_xlfn.LET(_xlpm.c,'RC1_Structure_RE'!C337, _xlpm.b, 'RC1_Structure_RE'!B337, IF(_xlpm.c&lt;&gt;"", _xlpm.c, _xlpm.b))</f>
        <v>ขนาดเส้นผ่านศูนย์กลาง 20 ม.ม. SD-50</v>
      </c>
      <c r="F308" s="1205"/>
      <c r="G308" s="1203" t="str">
        <f>'RC1_Structure_RE'!F337</f>
        <v>กก.</v>
      </c>
      <c r="H308" s="1203">
        <f>'RC1_Structure_RE'!E337</f>
        <v>11150</v>
      </c>
      <c r="I308" s="1203">
        <f>'RC1_Structure_RE'!I337</f>
        <v>200666.32593796248</v>
      </c>
      <c r="J308" s="1203">
        <f>'RC1_Structure_RE'!L337</f>
        <v>32315.096644555</v>
      </c>
      <c r="K308" s="1203">
        <f>'RC1_Structure_RE'!M337</f>
        <v>232981.42258251749</v>
      </c>
    </row>
    <row r="309" spans="1:11">
      <c r="A309" t="s">
        <v>10</v>
      </c>
      <c r="B309" t="s">
        <v>27</v>
      </c>
      <c r="C309" t="s">
        <v>28</v>
      </c>
      <c r="D309" t="s">
        <v>32</v>
      </c>
      <c r="E309" t="str" cm="1">
        <f t="array" ref="E309">_xlfn.LET(_xlpm.c,'RC1_Structure_RE'!C338, _xlpm.b, 'RC1_Structure_RE'!B338, IF(_xlpm.c&lt;&gt;"", _xlpm.c, _xlpm.b))</f>
        <v>ลวดผูกเหล็ก</v>
      </c>
      <c r="F309" s="1205"/>
      <c r="G309" s="1203" t="str">
        <f>'RC1_Structure_RE'!F338</f>
        <v>กก.</v>
      </c>
      <c r="H309" s="1203">
        <f>'RC1_Structure_RE'!E338</f>
        <v>345</v>
      </c>
      <c r="I309" s="1203">
        <f>'RC1_Structure_RE'!I338</f>
        <v>8740.9227854265009</v>
      </c>
      <c r="J309" s="1203">
        <f>'RC1_Structure_RE'!L338</f>
        <v>0</v>
      </c>
      <c r="K309" s="1203">
        <f>'RC1_Structure_RE'!M338</f>
        <v>8740.9227854265009</v>
      </c>
    </row>
    <row r="310" spans="1:11">
      <c r="A310" t="s">
        <v>10</v>
      </c>
      <c r="B310" t="s">
        <v>27</v>
      </c>
      <c r="C310" t="s">
        <v>28</v>
      </c>
      <c r="D310" t="s">
        <v>32</v>
      </c>
      <c r="E310" t="str" cm="1">
        <f t="array" ref="E310">_xlfn.LET(_xlpm.c,'RC1_Structure_RE'!C339, _xlpm.b, 'RC1_Structure_RE'!B339, IF(_xlpm.c&lt;&gt;"", _xlpm.c, _xlpm.b))</f>
        <v>งานไม้แบบ</v>
      </c>
      <c r="F310" s="1205"/>
      <c r="G310" s="1203">
        <f>'RC1_Structure_RE'!F339</f>
        <v>0</v>
      </c>
      <c r="H310" s="1203">
        <f>'RC1_Structure_RE'!E339</f>
        <v>0</v>
      </c>
      <c r="I310" s="1203">
        <f>'RC1_Structure_RE'!I339</f>
        <v>0</v>
      </c>
      <c r="J310" s="1203">
        <f>'RC1_Structure_RE'!L339</f>
        <v>0</v>
      </c>
      <c r="K310" s="1203">
        <f>'RC1_Structure_RE'!M339</f>
        <v>0</v>
      </c>
    </row>
    <row r="311" spans="1:11">
      <c r="A311" t="s">
        <v>10</v>
      </c>
      <c r="B311" t="s">
        <v>27</v>
      </c>
      <c r="C311" t="s">
        <v>28</v>
      </c>
      <c r="D311" t="s">
        <v>32</v>
      </c>
      <c r="E311" t="str" cm="1">
        <f t="array" ref="E311">_xlfn.LET(_xlpm.c,'RC1_Structure_RE'!C340, _xlpm.b, 'RC1_Structure_RE'!B340, IF(_xlpm.c&lt;&gt;"", _xlpm.c, _xlpm.b))</f>
        <v>ไม้แบบ ค้ำยัน นั่งร้าน (อาคาร 4 ชั้นขึ้นไป ใช้ 50%)</v>
      </c>
      <c r="F311" s="1205"/>
      <c r="G311" s="1203" t="str">
        <f>'RC1_Structure_RE'!F340</f>
        <v>ตร.ม.</v>
      </c>
      <c r="H311" s="1203">
        <f>'RC1_Structure_RE'!E340</f>
        <v>526</v>
      </c>
      <c r="I311" s="1203">
        <f>'RC1_Structure_RE'!I340</f>
        <v>120579.95234343439</v>
      </c>
      <c r="J311" s="1203">
        <f>'RC1_Structure_RE'!L340</f>
        <v>0</v>
      </c>
      <c r="K311" s="1203">
        <f>'RC1_Structure_RE'!M340</f>
        <v>120579.95234343439</v>
      </c>
    </row>
    <row r="312" spans="1:11">
      <c r="A312" t="s">
        <v>10</v>
      </c>
      <c r="B312" t="s">
        <v>27</v>
      </c>
      <c r="C312" t="s">
        <v>28</v>
      </c>
      <c r="D312" t="s">
        <v>32</v>
      </c>
      <c r="E312" t="str" cm="1">
        <f t="array" ref="E312">_xlfn.LET(_xlpm.c,'RC1_Structure_RE'!C341, _xlpm.b, 'RC1_Structure_RE'!B341, IF(_xlpm.c&lt;&gt;"", _xlpm.c, _xlpm.b))</f>
        <v>ค่าแรงประกอบและติดตั้งไม้แบบหล่อคอนกรีต (ใช้ 100%)</v>
      </c>
      <c r="F312" s="1205"/>
      <c r="G312" s="1203" t="str">
        <f>'RC1_Structure_RE'!F341</f>
        <v>ตร.ม.</v>
      </c>
      <c r="H312" s="1203">
        <f>'RC1_Structure_RE'!E341</f>
        <v>1051</v>
      </c>
      <c r="I312" s="1203">
        <f>'RC1_Structure_RE'!I341</f>
        <v>0</v>
      </c>
      <c r="J312" s="1203">
        <f>'RC1_Structure_RE'!L341</f>
        <v>118893.191245037</v>
      </c>
      <c r="K312" s="1203">
        <f>'RC1_Structure_RE'!M341</f>
        <v>118893.191245037</v>
      </c>
    </row>
    <row r="313" spans="1:11">
      <c r="A313" t="s">
        <v>10</v>
      </c>
      <c r="B313" t="s">
        <v>27</v>
      </c>
      <c r="C313" t="s">
        <v>28</v>
      </c>
      <c r="D313" t="s">
        <v>32</v>
      </c>
      <c r="E313" t="str" cm="1">
        <f t="array" ref="E313">_xlfn.LET(_xlpm.c,'RC1_Structure_RE'!C342, _xlpm.b, 'RC1_Structure_RE'!B342, IF(_xlpm.c&lt;&gt;"", _xlpm.c, _xlpm.b))</f>
        <v>ไม้เคร่า (ใช้ 30% ของไม้แบบ 1 ตร.ม.)</v>
      </c>
      <c r="F313" s="1205"/>
      <c r="G313" s="1203" t="str">
        <f>'RC1_Structure_RE'!F342</f>
        <v>ลบ.ฟ.</v>
      </c>
      <c r="H313" s="1203">
        <f>'RC1_Structure_RE'!E342</f>
        <v>158</v>
      </c>
      <c r="I313" s="1203">
        <f>'RC1_Structure_RE'!I342</f>
        <v>45706.121168632919</v>
      </c>
      <c r="J313" s="1203">
        <f>'RC1_Structure_RE'!L342</f>
        <v>0</v>
      </c>
      <c r="K313" s="1203">
        <f>'RC1_Structure_RE'!M342</f>
        <v>45706.121168632919</v>
      </c>
    </row>
    <row r="314" spans="1:11">
      <c r="A314" t="s">
        <v>10</v>
      </c>
      <c r="B314" t="s">
        <v>27</v>
      </c>
      <c r="C314" t="s">
        <v>28</v>
      </c>
      <c r="D314" t="s">
        <v>32</v>
      </c>
      <c r="E314" t="str" cm="1">
        <f t="array" ref="E314">_xlfn.LET(_xlpm.c,'RC1_Structure_RE'!C343, _xlpm.b, 'RC1_Structure_RE'!B343, IF(_xlpm.c&lt;&gt;"", _xlpm.c, _xlpm.b))</f>
        <v>ตะปู (ใช้ 25% ของไม้แบบ 1 ตร.ม.)</v>
      </c>
      <c r="F314" s="1205"/>
      <c r="G314" s="1203" t="str">
        <f>'RC1_Structure_RE'!F343</f>
        <v>กก.</v>
      </c>
      <c r="H314" s="1203">
        <f>'RC1_Structure_RE'!E343</f>
        <v>132</v>
      </c>
      <c r="I314" s="1203">
        <f>'RC1_Structure_RE'!I343</f>
        <v>2882.80766108544</v>
      </c>
      <c r="J314" s="1203">
        <f>'RC1_Structure_RE'!L343</f>
        <v>0</v>
      </c>
      <c r="K314" s="1203">
        <f>'RC1_Structure_RE'!M343</f>
        <v>2882.80766108544</v>
      </c>
    </row>
    <row r="315" spans="1:11">
      <c r="A315" t="s">
        <v>10</v>
      </c>
      <c r="B315" t="s">
        <v>27</v>
      </c>
      <c r="C315" t="s">
        <v>28</v>
      </c>
      <c r="D315" t="s">
        <v>32</v>
      </c>
      <c r="E315" t="str" cm="1">
        <f t="array" ref="E315">_xlfn.LET(_xlpm.c,'RC1_Structure_RE'!C344, _xlpm.b, 'RC1_Structure_RE'!B344, IF(_xlpm.c&lt;&gt;"", _xlpm.c, _xlpm.b))</f>
        <v>งานคอนกรีตโครงสร้าง</v>
      </c>
      <c r="F315" s="1205"/>
      <c r="G315" s="1203">
        <f>'RC1_Structure_RE'!F344</f>
        <v>0</v>
      </c>
      <c r="H315" s="1203">
        <f>'RC1_Structure_RE'!E344</f>
        <v>0</v>
      </c>
      <c r="I315" s="1203">
        <f>'RC1_Structure_RE'!I344</f>
        <v>0</v>
      </c>
      <c r="J315" s="1203">
        <f>'RC1_Structure_RE'!L344</f>
        <v>0</v>
      </c>
      <c r="K315" s="1203">
        <f>'RC1_Structure_RE'!M344</f>
        <v>0</v>
      </c>
    </row>
    <row r="316" spans="1:11">
      <c r="A316" t="s">
        <v>10</v>
      </c>
      <c r="B316" t="s">
        <v>27</v>
      </c>
      <c r="C316" t="s">
        <v>28</v>
      </c>
      <c r="D316" t="s">
        <v>32</v>
      </c>
      <c r="E316" t="str" cm="1">
        <f t="array" ref="E316">_xlfn.LET(_xlpm.c,'RC1_Structure_RE'!C345, _xlpm.b, 'RC1_Structure_RE'!B345, IF(_xlpm.c&lt;&gt;"", _xlpm.c, _xlpm.b))</f>
        <v>งานคอนกรีตโครงสร้าง 320 ksc.ผสมน้ำยากันซึม</v>
      </c>
      <c r="F316" s="1205"/>
      <c r="G316" s="1203" t="str">
        <f>'RC1_Structure_RE'!F345</f>
        <v>ลบ.ม.</v>
      </c>
      <c r="H316" s="1203">
        <f>'RC1_Structure_RE'!E345</f>
        <v>105</v>
      </c>
      <c r="I316" s="1203">
        <f>'RC1_Structure_RE'!I345</f>
        <v>221853.6795531</v>
      </c>
      <c r="J316" s="1203">
        <f>'RC1_Structure_RE'!L345</f>
        <v>50947.814021264996</v>
      </c>
      <c r="K316" s="1203">
        <f>'RC1_Structure_RE'!M345</f>
        <v>272801.49357436498</v>
      </c>
    </row>
    <row r="317" spans="1:11">
      <c r="F317" s="1205"/>
      <c r="G317" s="1203"/>
      <c r="H317" s="1203"/>
      <c r="I317" s="1203"/>
      <c r="J317" s="1203"/>
      <c r="K317" s="1203"/>
    </row>
    <row r="318" spans="1:11">
      <c r="F318" s="1205"/>
      <c r="G318" s="1203"/>
      <c r="H318" s="1203"/>
      <c r="I318" s="1203"/>
      <c r="J318" s="1203"/>
      <c r="K318" s="1203"/>
    </row>
    <row r="319" spans="1:11">
      <c r="F319" s="1205"/>
      <c r="G319" s="1203"/>
      <c r="H319" s="1203"/>
      <c r="I319" s="1203"/>
      <c r="J319" s="1203"/>
      <c r="K319" s="1203"/>
    </row>
    <row r="320" spans="1:11">
      <c r="F320" s="1205"/>
      <c r="G320" s="1203"/>
      <c r="H320" s="1203"/>
      <c r="I320" s="1203"/>
      <c r="J320" s="1203"/>
      <c r="K320" s="1203"/>
    </row>
    <row r="321" spans="1:11">
      <c r="F321" s="1205"/>
      <c r="G321" s="1203"/>
      <c r="H321" s="1203"/>
      <c r="I321" s="1203"/>
      <c r="J321" s="1203"/>
      <c r="K321" s="1203"/>
    </row>
    <row r="322" spans="1:11">
      <c r="F322" s="1205"/>
      <c r="G322" s="1203"/>
      <c r="H322" s="1203"/>
      <c r="I322" s="1203"/>
      <c r="J322" s="1203"/>
      <c r="K322" s="1203"/>
    </row>
    <row r="323" spans="1:11">
      <c r="F323" s="1205"/>
      <c r="G323" s="1203"/>
      <c r="H323" s="1203"/>
      <c r="I323" s="1203"/>
      <c r="J323" s="1203"/>
      <c r="K323" s="1203"/>
    </row>
    <row r="324" spans="1:11">
      <c r="F324" s="1205"/>
      <c r="G324" s="1203"/>
      <c r="H324" s="1203"/>
      <c r="I324" s="1203"/>
      <c r="J324" s="1203"/>
      <c r="K324" s="1203"/>
    </row>
    <row r="325" spans="1:11">
      <c r="F325" s="1205"/>
      <c r="G325" s="1203"/>
      <c r="H325" s="1203"/>
      <c r="I325" s="1203"/>
      <c r="J325" s="1203"/>
      <c r="K325" s="1203"/>
    </row>
    <row r="326" spans="1:11">
      <c r="F326" s="1205"/>
      <c r="G326" s="1203"/>
      <c r="H326" s="1203"/>
      <c r="I326" s="1203"/>
      <c r="J326" s="1203"/>
      <c r="K326" s="1203"/>
    </row>
    <row r="327" spans="1:11">
      <c r="F327" s="1205"/>
      <c r="G327" s="1203"/>
      <c r="H327" s="1203"/>
      <c r="I327" s="1203"/>
      <c r="J327" s="1203"/>
      <c r="K327" s="1203"/>
    </row>
    <row r="328" spans="1:11">
      <c r="F328" s="1205"/>
      <c r="G328" s="1203"/>
      <c r="H328" s="1203"/>
      <c r="I328" s="1203"/>
      <c r="J328" s="1203"/>
      <c r="K328" s="1203"/>
    </row>
    <row r="329" spans="1:11">
      <c r="F329" s="1205"/>
      <c r="G329" s="1203"/>
      <c r="H329" s="1203"/>
      <c r="I329" s="1203"/>
      <c r="J329" s="1203"/>
      <c r="K329" s="1203"/>
    </row>
    <row r="330" spans="1:11">
      <c r="E330" t="str" cm="1">
        <f t="array" ref="E330">_xlfn.LET(_xlpm.c,'RC1_Structure_RE'!C359, _xlpm.b, 'RC1_Structure_RE'!B359, IF(_xlpm.c&lt;&gt;"", _xlpm.c, _xlpm.b))</f>
        <v>งานโครงสร้าง คาน พื้น เสา ผนังชั้น 2</v>
      </c>
      <c r="F330" s="1205"/>
      <c r="G330" s="1203">
        <f>'RC1_Structure_RE'!F359</f>
        <v>0</v>
      </c>
      <c r="H330" s="1203">
        <f>'RC1_Structure_RE'!E359</f>
        <v>0</v>
      </c>
      <c r="I330" s="1203">
        <f>'RC1_Structure_RE'!I359</f>
        <v>0</v>
      </c>
      <c r="J330" s="1203">
        <f>'RC1_Structure_RE'!L359</f>
        <v>0</v>
      </c>
      <c r="K330" s="1203">
        <f>'RC1_Structure_RE'!M359</f>
        <v>0</v>
      </c>
    </row>
    <row r="331" spans="1:11">
      <c r="A331" t="s">
        <v>10</v>
      </c>
      <c r="B331" t="s">
        <v>27</v>
      </c>
      <c r="C331" t="s">
        <v>33</v>
      </c>
      <c r="D331" t="s">
        <v>34</v>
      </c>
      <c r="E331" t="str" cm="1">
        <f t="array" ref="E331">_xlfn.LET(_xlpm.c,'RC1_Structure_RE'!C360, _xlpm.b, 'RC1_Structure_RE'!B360, IF(_xlpm.c&lt;&gt;"", _xlpm.c, _xlpm.b))</f>
        <v>โครงสร้างคาน ชั้น 2</v>
      </c>
      <c r="F331" s="1205"/>
      <c r="G331" s="1203">
        <f>'RC1_Structure_RE'!F360</f>
        <v>0</v>
      </c>
      <c r="H331" s="1203">
        <f>'RC1_Structure_RE'!E360</f>
        <v>0</v>
      </c>
      <c r="I331" s="1203">
        <f>'RC1_Structure_RE'!I360</f>
        <v>0</v>
      </c>
      <c r="J331" s="1203">
        <f>'RC1_Structure_RE'!L360</f>
        <v>0</v>
      </c>
      <c r="K331" s="1203">
        <f>'RC1_Structure_RE'!M360</f>
        <v>0</v>
      </c>
    </row>
    <row r="332" spans="1:11">
      <c r="A332" t="s">
        <v>10</v>
      </c>
      <c r="B332" t="s">
        <v>27</v>
      </c>
      <c r="C332" t="s">
        <v>33</v>
      </c>
      <c r="D332" t="s">
        <v>34</v>
      </c>
      <c r="E332" t="str" cm="1">
        <f t="array" ref="E332">_xlfn.LET(_xlpm.c,'RC1_Structure_RE'!C361, _xlpm.b, 'RC1_Structure_RE'!B361, IF(_xlpm.c&lt;&gt;"", _xlpm.c, _xlpm.b))</f>
        <v xml:space="preserve">งานเหล็กเสริม </v>
      </c>
      <c r="F332" s="1205"/>
      <c r="G332" s="1203">
        <f>'RC1_Structure_RE'!F361</f>
        <v>0</v>
      </c>
      <c r="H332" s="1203">
        <f>'RC1_Structure_RE'!E361</f>
        <v>0</v>
      </c>
      <c r="I332" s="1203">
        <f>'RC1_Structure_RE'!I361</f>
        <v>0</v>
      </c>
      <c r="J332" s="1203">
        <f>'RC1_Structure_RE'!L361</f>
        <v>0</v>
      </c>
      <c r="K332" s="1203">
        <f>'RC1_Structure_RE'!M361</f>
        <v>0</v>
      </c>
    </row>
    <row r="333" spans="1:11">
      <c r="A333" t="s">
        <v>10</v>
      </c>
      <c r="B333" t="s">
        <v>27</v>
      </c>
      <c r="C333" t="s">
        <v>33</v>
      </c>
      <c r="D333" t="s">
        <v>34</v>
      </c>
      <c r="E333" t="str" cm="1">
        <f t="array" ref="E333">_xlfn.LET(_xlpm.c,'RC1_Structure_RE'!C362, _xlpm.b, 'RC1_Structure_RE'!B362, IF(_xlpm.c&lt;&gt;"", _xlpm.c, _xlpm.b))</f>
        <v>ขนาดเส้นผ่านศูนย์กลาง 9 ม.ม. SR-24</v>
      </c>
      <c r="F333" s="1205"/>
      <c r="G333" s="1203" t="str">
        <f>'RC1_Structure_RE'!F362</f>
        <v>กก.</v>
      </c>
      <c r="H333" s="1203">
        <f>'RC1_Structure_RE'!E362</f>
        <v>283</v>
      </c>
      <c r="I333" s="1203">
        <f>'RC1_Structure_RE'!I362</f>
        <v>5185.7479550996004</v>
      </c>
      <c r="J333" s="1203">
        <f>'RC1_Structure_RE'!L362</f>
        <v>1164.1475001244</v>
      </c>
      <c r="K333" s="1203">
        <f>'RC1_Structure_RE'!M362</f>
        <v>6349.8954552240002</v>
      </c>
    </row>
    <row r="334" spans="1:11">
      <c r="A334" t="s">
        <v>10</v>
      </c>
      <c r="B334" t="s">
        <v>27</v>
      </c>
      <c r="C334" t="s">
        <v>33</v>
      </c>
      <c r="D334" t="s">
        <v>34</v>
      </c>
      <c r="E334" t="str" cm="1">
        <f t="array" ref="E334">_xlfn.LET(_xlpm.c,'RC1_Structure_RE'!C363, _xlpm.b, 'RC1_Structure_RE'!B363, IF(_xlpm.c&lt;&gt;"", _xlpm.c, _xlpm.b))</f>
        <v>ขนาดเส้นผ่านศูนย์กลาง 12 ม.ม. SD-50</v>
      </c>
      <c r="F334" s="1205"/>
      <c r="G334" s="1203" t="str">
        <f>'RC1_Structure_RE'!F363</f>
        <v>กก.</v>
      </c>
      <c r="H334" s="1203">
        <f>'RC1_Structure_RE'!E363</f>
        <v>20449</v>
      </c>
      <c r="I334" s="1203">
        <f>'RC1_Structure_RE'!I363</f>
        <v>371843.82900285331</v>
      </c>
      <c r="J334" s="1203">
        <f>'RC1_Structure_RE'!L363</f>
        <v>68824.564751170808</v>
      </c>
      <c r="K334" s="1203">
        <f>'RC1_Structure_RE'!M363</f>
        <v>440668.39375402412</v>
      </c>
    </row>
    <row r="335" spans="1:11">
      <c r="A335" t="s">
        <v>10</v>
      </c>
      <c r="B335" t="s">
        <v>27</v>
      </c>
      <c r="C335" t="s">
        <v>33</v>
      </c>
      <c r="D335" t="s">
        <v>34</v>
      </c>
      <c r="E335" t="str" cm="1">
        <f t="array" ref="E335">_xlfn.LET(_xlpm.c,'RC1_Structure_RE'!C364, _xlpm.b, 'RC1_Structure_RE'!B364, IF(_xlpm.c&lt;&gt;"", _xlpm.c, _xlpm.b))</f>
        <v>ขนาดเส้นผ่านศูนย์กลาง 16 ม.ม. SD-50</v>
      </c>
      <c r="F335" s="1205"/>
      <c r="G335" s="1203" t="str">
        <f>'RC1_Structure_RE'!F364</f>
        <v>กก.</v>
      </c>
      <c r="H335" s="1203">
        <f>'RC1_Structure_RE'!E364</f>
        <v>31519</v>
      </c>
      <c r="I335" s="1203">
        <f>'RC1_Structure_RE'!I364</f>
        <v>567246.80961781519</v>
      </c>
      <c r="J335" s="1203">
        <f>'RC1_Structure_RE'!L364</f>
        <v>106082.5202402148</v>
      </c>
      <c r="K335" s="1203">
        <f>'RC1_Structure_RE'!M364</f>
        <v>673329.32985802996</v>
      </c>
    </row>
    <row r="336" spans="1:11">
      <c r="A336" t="s">
        <v>10</v>
      </c>
      <c r="B336" t="s">
        <v>27</v>
      </c>
      <c r="C336" t="s">
        <v>33</v>
      </c>
      <c r="D336" t="s">
        <v>34</v>
      </c>
      <c r="E336" t="str" cm="1">
        <f t="array" ref="E336">_xlfn.LET(_xlpm.c,'RC1_Structure_RE'!C365, _xlpm.b, 'RC1_Structure_RE'!B365, IF(_xlpm.c&lt;&gt;"", _xlpm.c, _xlpm.b))</f>
        <v>ขนาดเส้นผ่านศูนย์กลาง 20 ม.ม. SD-50</v>
      </c>
      <c r="F336" s="1205"/>
      <c r="G336" s="1203" t="str">
        <f>'RC1_Structure_RE'!F365</f>
        <v>กก.</v>
      </c>
      <c r="H336" s="1203">
        <f>'RC1_Structure_RE'!E365</f>
        <v>8460</v>
      </c>
      <c r="I336" s="1203">
        <f>'RC1_Structure_RE'!I365</f>
        <v>152254.44999418498</v>
      </c>
      <c r="J336" s="1203">
        <f>'RC1_Structure_RE'!L365</f>
        <v>24518.898440622001</v>
      </c>
      <c r="K336" s="1203">
        <f>'RC1_Structure_RE'!M365</f>
        <v>176773.34843480698</v>
      </c>
    </row>
    <row r="337" spans="1:11">
      <c r="A337" t="s">
        <v>10</v>
      </c>
      <c r="B337" t="s">
        <v>27</v>
      </c>
      <c r="C337" t="s">
        <v>33</v>
      </c>
      <c r="D337" t="s">
        <v>34</v>
      </c>
      <c r="E337" t="str" cm="1">
        <f t="array" ref="E337">_xlfn.LET(_xlpm.c,'RC1_Structure_RE'!C366, _xlpm.b, 'RC1_Structure_RE'!B366, IF(_xlpm.c&lt;&gt;"", _xlpm.c, _xlpm.b))</f>
        <v>ขนาดเส้นผ่านศูนย์กลาง 25 ม.ม. SD-50</v>
      </c>
      <c r="F337" s="1205"/>
      <c r="G337" s="1203" t="str">
        <f>'RC1_Structure_RE'!F366</f>
        <v>กก.</v>
      </c>
      <c r="H337" s="1203">
        <f>'RC1_Structure_RE'!E366</f>
        <v>349</v>
      </c>
      <c r="I337" s="1203">
        <f>'RC1_Structure_RE'!I366</f>
        <v>6280.9459867577498</v>
      </c>
      <c r="J337" s="1203">
        <f>'RC1_Structure_RE'!L366</f>
        <v>1011.4770160493</v>
      </c>
      <c r="K337" s="1203">
        <f>'RC1_Structure_RE'!M366</f>
        <v>7292.4230028070497</v>
      </c>
    </row>
    <row r="338" spans="1:11">
      <c r="A338" t="s">
        <v>10</v>
      </c>
      <c r="B338" t="s">
        <v>27</v>
      </c>
      <c r="C338" t="s">
        <v>33</v>
      </c>
      <c r="D338" t="s">
        <v>34</v>
      </c>
      <c r="E338" t="str" cm="1">
        <f t="array" ref="E338">_xlfn.LET(_xlpm.c,'RC1_Structure_RE'!C367, _xlpm.b, 'RC1_Structure_RE'!B367, IF(_xlpm.c&lt;&gt;"", _xlpm.c, _xlpm.b))</f>
        <v>ขนาดเส้นผ่านศูนย์กลาง 28 ม.ม. SD-50</v>
      </c>
      <c r="F338" s="1205"/>
      <c r="G338" s="1203" t="str">
        <f>'RC1_Structure_RE'!F367</f>
        <v>กก.</v>
      </c>
      <c r="H338" s="1203">
        <f>'RC1_Structure_RE'!E367</f>
        <v>3385</v>
      </c>
      <c r="I338" s="1203">
        <f>'RC1_Structure_RE'!I367</f>
        <v>60919.776977578746</v>
      </c>
      <c r="J338" s="1203">
        <f>'RC1_Structure_RE'!L367</f>
        <v>9810.4575911944994</v>
      </c>
      <c r="K338" s="1203">
        <f>'RC1_Structure_RE'!M367</f>
        <v>70730.234568773245</v>
      </c>
    </row>
    <row r="339" spans="1:11">
      <c r="A339" t="s">
        <v>10</v>
      </c>
      <c r="B339" t="s">
        <v>27</v>
      </c>
      <c r="C339" t="s">
        <v>33</v>
      </c>
      <c r="D339" t="s">
        <v>34</v>
      </c>
      <c r="E339" t="str" cm="1">
        <f t="array" ref="E339">_xlfn.LET(_xlpm.c,'RC1_Structure_RE'!C368, _xlpm.b, 'RC1_Structure_RE'!B368, IF(_xlpm.c&lt;&gt;"", _xlpm.c, _xlpm.b))</f>
        <v>ขนาดเส้นผ่านศูนย์กลาง 32 ม.ม. SD-50</v>
      </c>
      <c r="F339" s="1205"/>
      <c r="G339" s="1203" t="str">
        <f>'RC1_Structure_RE'!F368</f>
        <v>กก.</v>
      </c>
      <c r="H339" s="1203">
        <f>'RC1_Structure_RE'!E368</f>
        <v>24818</v>
      </c>
      <c r="I339" s="1203">
        <f>'RC1_Structure_RE'!I368</f>
        <v>446649.04727608548</v>
      </c>
      <c r="J339" s="1203">
        <f>'RC1_Structure_RE'!L368</f>
        <v>71927.898522382602</v>
      </c>
      <c r="K339" s="1203">
        <f>'RC1_Structure_RE'!M368</f>
        <v>518576.94579846808</v>
      </c>
    </row>
    <row r="340" spans="1:11">
      <c r="A340" t="s">
        <v>10</v>
      </c>
      <c r="B340" t="s">
        <v>27</v>
      </c>
      <c r="C340" t="s">
        <v>33</v>
      </c>
      <c r="D340" t="s">
        <v>34</v>
      </c>
      <c r="E340" t="str" cm="1">
        <f t="array" ref="E340">_xlfn.LET(_xlpm.c,'RC1_Structure_RE'!C369, _xlpm.b, 'RC1_Structure_RE'!B369, IF(_xlpm.c&lt;&gt;"", _xlpm.c, _xlpm.b))</f>
        <v>ลวดผูกเหล็ก</v>
      </c>
      <c r="F340" s="1205"/>
      <c r="G340" s="1203" t="str">
        <f>'RC1_Structure_RE'!F369</f>
        <v>กก.</v>
      </c>
      <c r="H340" s="1203">
        <f>'RC1_Structure_RE'!E369</f>
        <v>1607</v>
      </c>
      <c r="I340" s="1203">
        <f>'RC1_Structure_RE'!I369</f>
        <v>40714.964974435898</v>
      </c>
      <c r="J340" s="1203">
        <f>'RC1_Structure_RE'!L369</f>
        <v>0</v>
      </c>
      <c r="K340" s="1203">
        <f>'RC1_Structure_RE'!M369</f>
        <v>40714.964974435898</v>
      </c>
    </row>
    <row r="341" spans="1:11">
      <c r="A341" t="s">
        <v>10</v>
      </c>
      <c r="B341" t="s">
        <v>27</v>
      </c>
      <c r="C341" t="s">
        <v>33</v>
      </c>
      <c r="D341" t="s">
        <v>34</v>
      </c>
      <c r="E341" t="str" cm="1">
        <f t="array" ref="E341">_xlfn.LET(_xlpm.c,'RC1_Structure_RE'!C370, _xlpm.b, 'RC1_Structure_RE'!B370, IF(_xlpm.c&lt;&gt;"", _xlpm.c, _xlpm.b))</f>
        <v>งานไม้แบบ</v>
      </c>
      <c r="F341" s="1205"/>
      <c r="G341" s="1203">
        <f>'RC1_Structure_RE'!F370</f>
        <v>0</v>
      </c>
      <c r="H341" s="1203">
        <f>'RC1_Structure_RE'!E370</f>
        <v>0</v>
      </c>
      <c r="I341" s="1203">
        <f>'RC1_Structure_RE'!I370</f>
        <v>0</v>
      </c>
      <c r="J341" s="1203">
        <f>'RC1_Structure_RE'!L370</f>
        <v>0</v>
      </c>
      <c r="K341" s="1203">
        <f>'RC1_Structure_RE'!M370</f>
        <v>0</v>
      </c>
    </row>
    <row r="342" spans="1:11">
      <c r="A342" t="s">
        <v>10</v>
      </c>
      <c r="B342" t="s">
        <v>27</v>
      </c>
      <c r="C342" t="s">
        <v>33</v>
      </c>
      <c r="D342" t="s">
        <v>34</v>
      </c>
      <c r="E342" t="str" cm="1">
        <f t="array" ref="E342">_xlfn.LET(_xlpm.c,'RC1_Structure_RE'!C371, _xlpm.b, 'RC1_Structure_RE'!B371, IF(_xlpm.c&lt;&gt;"", _xlpm.c, _xlpm.b))</f>
        <v>ไม้แบบ ค้ำยัน นั่งร้าน (อาคาร 4 ชั้นขึ้นไป ใช้ 50%)</v>
      </c>
      <c r="F342" s="1205"/>
      <c r="G342" s="1203" t="str">
        <f>'RC1_Structure_RE'!F371</f>
        <v>ตร.ม.</v>
      </c>
      <c r="H342" s="1203">
        <f>'RC1_Structure_RE'!E371</f>
        <v>891</v>
      </c>
      <c r="I342" s="1203">
        <f>'RC1_Structure_RE'!I371</f>
        <v>204252.35273384038</v>
      </c>
      <c r="J342" s="1203">
        <f>'RC1_Structure_RE'!L371</f>
        <v>0</v>
      </c>
      <c r="K342" s="1203">
        <f>'RC1_Structure_RE'!M371</f>
        <v>204252.35273384038</v>
      </c>
    </row>
    <row r="343" spans="1:11">
      <c r="A343" t="s">
        <v>10</v>
      </c>
      <c r="B343" t="s">
        <v>27</v>
      </c>
      <c r="C343" t="s">
        <v>33</v>
      </c>
      <c r="D343" t="s">
        <v>34</v>
      </c>
      <c r="E343" t="str" cm="1">
        <f t="array" ref="E343">_xlfn.LET(_xlpm.c,'RC1_Structure_RE'!C372, _xlpm.b, 'RC1_Structure_RE'!B372, IF(_xlpm.c&lt;&gt;"", _xlpm.c, _xlpm.b))</f>
        <v>ค่าแรงประกอบและติดตั้งไม้แบบหล่อคอนกรีต (ใช้ 100%)</v>
      </c>
      <c r="F343" s="1205"/>
      <c r="G343" s="1203" t="str">
        <f>'RC1_Structure_RE'!F372</f>
        <v>ตร.ม.</v>
      </c>
      <c r="H343" s="1203">
        <f>'RC1_Structure_RE'!E372</f>
        <v>1781</v>
      </c>
      <c r="I343" s="1203">
        <f>'RC1_Structure_RE'!I372</f>
        <v>0</v>
      </c>
      <c r="J343" s="1203">
        <f>'RC1_Structure_RE'!L372</f>
        <v>201473.619036547</v>
      </c>
      <c r="K343" s="1203">
        <f>'RC1_Structure_RE'!M372</f>
        <v>201473.619036547</v>
      </c>
    </row>
    <row r="344" spans="1:11">
      <c r="A344" t="s">
        <v>10</v>
      </c>
      <c r="B344" t="s">
        <v>27</v>
      </c>
      <c r="C344" t="s">
        <v>33</v>
      </c>
      <c r="D344" t="s">
        <v>34</v>
      </c>
      <c r="E344" t="str" cm="1">
        <f t="array" ref="E344">_xlfn.LET(_xlpm.c,'RC1_Structure_RE'!C373, _xlpm.b, 'RC1_Structure_RE'!B373, IF(_xlpm.c&lt;&gt;"", _xlpm.c, _xlpm.b))</f>
        <v>ไม้เคร่า (ใช้ 30% ของไม้แบบ 1 ตร.ม.)</v>
      </c>
      <c r="F344" s="1205"/>
      <c r="G344" s="1203" t="str">
        <f>'RC1_Structure_RE'!F373</f>
        <v>ลบ.ฟ.</v>
      </c>
      <c r="H344" s="1203">
        <f>'RC1_Structure_RE'!E373</f>
        <v>268</v>
      </c>
      <c r="I344" s="1203">
        <f>'RC1_Structure_RE'!I373</f>
        <v>77526.838437934319</v>
      </c>
      <c r="J344" s="1203">
        <f>'RC1_Structure_RE'!L373</f>
        <v>0</v>
      </c>
      <c r="K344" s="1203">
        <f>'RC1_Structure_RE'!M373</f>
        <v>77526.838437934319</v>
      </c>
    </row>
    <row r="345" spans="1:11">
      <c r="A345" t="s">
        <v>10</v>
      </c>
      <c r="B345" t="s">
        <v>27</v>
      </c>
      <c r="C345" t="s">
        <v>33</v>
      </c>
      <c r="D345" t="s">
        <v>34</v>
      </c>
      <c r="E345" t="str" cm="1">
        <f t="array" ref="E345">_xlfn.LET(_xlpm.c,'RC1_Structure_RE'!C374, _xlpm.b, 'RC1_Structure_RE'!B374, IF(_xlpm.c&lt;&gt;"", _xlpm.c, _xlpm.b))</f>
        <v>ตะปู (ใช้ 25% ของไม้แบบ 1 ตร.ม.)</v>
      </c>
      <c r="F345" s="1205"/>
      <c r="G345" s="1203" t="str">
        <f>'RC1_Structure_RE'!F374</f>
        <v>กก.</v>
      </c>
      <c r="H345" s="1203">
        <f>'RC1_Structure_RE'!E374</f>
        <v>223</v>
      </c>
      <c r="I345" s="1203">
        <f>'RC1_Structure_RE'!I374</f>
        <v>4870.1977910761598</v>
      </c>
      <c r="J345" s="1203">
        <f>'RC1_Structure_RE'!L374</f>
        <v>0</v>
      </c>
      <c r="K345" s="1203">
        <f>'RC1_Structure_RE'!M374</f>
        <v>4870.1977910761598</v>
      </c>
    </row>
    <row r="346" spans="1:11">
      <c r="A346" t="s">
        <v>10</v>
      </c>
      <c r="B346" t="s">
        <v>27</v>
      </c>
      <c r="C346" t="s">
        <v>33</v>
      </c>
      <c r="D346" t="s">
        <v>34</v>
      </c>
      <c r="E346" t="str" cm="1">
        <f t="array" ref="E346">_xlfn.LET(_xlpm.c,'RC1_Structure_RE'!C375, _xlpm.b, 'RC1_Structure_RE'!B375, IF(_xlpm.c&lt;&gt;"", _xlpm.c, _xlpm.b))</f>
        <v>งานคอนกรีตโครงสร้าง</v>
      </c>
      <c r="F346" s="1205"/>
      <c r="G346" s="1203">
        <f>'RC1_Structure_RE'!F375</f>
        <v>0</v>
      </c>
      <c r="H346" s="1203">
        <f>'RC1_Structure_RE'!E375</f>
        <v>0</v>
      </c>
      <c r="I346" s="1203">
        <f>'RC1_Structure_RE'!I375</f>
        <v>0</v>
      </c>
      <c r="J346" s="1203">
        <f>'RC1_Structure_RE'!L375</f>
        <v>0</v>
      </c>
      <c r="K346" s="1203">
        <f>'RC1_Structure_RE'!M375</f>
        <v>0</v>
      </c>
    </row>
    <row r="347" spans="1:11">
      <c r="A347" t="s">
        <v>10</v>
      </c>
      <c r="B347" t="s">
        <v>27</v>
      </c>
      <c r="C347" t="s">
        <v>33</v>
      </c>
      <c r="D347" t="s">
        <v>34</v>
      </c>
      <c r="E347" t="str" cm="1">
        <f t="array" ref="E347">_xlfn.LET(_xlpm.c,'RC1_Structure_RE'!C376, _xlpm.b, 'RC1_Structure_RE'!B376, IF(_xlpm.c&lt;&gt;"", _xlpm.c, _xlpm.b))</f>
        <v>งานคอนกรีตโครงสร้าง 320 ksc.</v>
      </c>
      <c r="F347" s="1205"/>
      <c r="G347" s="1203" t="str">
        <f>'RC1_Structure_RE'!F376</f>
        <v>ลบ.ม.</v>
      </c>
      <c r="H347" s="1203">
        <f>'RC1_Structure_RE'!E376</f>
        <v>558.77</v>
      </c>
      <c r="I347" s="1203">
        <f>'RC1_Structure_RE'!I376</f>
        <v>1399975.9261945267</v>
      </c>
      <c r="J347" s="1203">
        <f>'RC1_Structure_RE'!L376</f>
        <v>271124.85753011657</v>
      </c>
      <c r="K347" s="1203">
        <f>'RC1_Structure_RE'!M376</f>
        <v>1671100.7837246433</v>
      </c>
    </row>
    <row r="348" spans="1:11">
      <c r="A348" t="s">
        <v>10</v>
      </c>
      <c r="B348" t="s">
        <v>27</v>
      </c>
      <c r="C348" t="s">
        <v>33</v>
      </c>
      <c r="D348" t="s">
        <v>35</v>
      </c>
      <c r="E348" t="str" cm="1">
        <f t="array" ref="E348">_xlfn.LET(_xlpm.c,'RC1_Structure_RE'!C377, _xlpm.b, 'RC1_Structure_RE'!B377, IF(_xlpm.c&lt;&gt;"", _xlpm.c, _xlpm.b))</f>
        <v>โครงสร้างพื้น ชั้น 2</v>
      </c>
      <c r="F348" s="1205"/>
      <c r="G348" s="1203">
        <f>'RC1_Structure_RE'!F377</f>
        <v>0</v>
      </c>
      <c r="H348" s="1203">
        <f>'RC1_Structure_RE'!E377</f>
        <v>0</v>
      </c>
      <c r="I348" s="1203">
        <f>'RC1_Structure_RE'!I377</f>
        <v>0</v>
      </c>
      <c r="J348" s="1203">
        <f>'RC1_Structure_RE'!L377</f>
        <v>0</v>
      </c>
      <c r="K348" s="1203">
        <f>'RC1_Structure_RE'!M377</f>
        <v>0</v>
      </c>
    </row>
    <row r="349" spans="1:11">
      <c r="A349" t="s">
        <v>10</v>
      </c>
      <c r="B349" t="s">
        <v>27</v>
      </c>
      <c r="C349" t="s">
        <v>33</v>
      </c>
      <c r="D349" t="s">
        <v>35</v>
      </c>
      <c r="E349" t="str" cm="1">
        <f t="array" ref="E349">_xlfn.LET(_xlpm.c,'RC1_Structure_RE'!C378, _xlpm.b, 'RC1_Structure_RE'!B378, IF(_xlpm.c&lt;&gt;"", _xlpm.c, _xlpm.b))</f>
        <v xml:space="preserve">งานเหล็กเสริม </v>
      </c>
      <c r="F349" s="1205"/>
      <c r="G349" s="1203">
        <f>'RC1_Structure_RE'!F378</f>
        <v>0</v>
      </c>
      <c r="H349" s="1203">
        <f>'RC1_Structure_RE'!E378</f>
        <v>0</v>
      </c>
      <c r="I349" s="1203">
        <f>'RC1_Structure_RE'!I378</f>
        <v>0</v>
      </c>
      <c r="J349" s="1203">
        <f>'RC1_Structure_RE'!L378</f>
        <v>0</v>
      </c>
      <c r="K349" s="1203">
        <f>'RC1_Structure_RE'!M378</f>
        <v>0</v>
      </c>
    </row>
    <row r="350" spans="1:11">
      <c r="A350" t="s">
        <v>10</v>
      </c>
      <c r="B350" t="s">
        <v>27</v>
      </c>
      <c r="C350" t="s">
        <v>33</v>
      </c>
      <c r="D350" t="s">
        <v>35</v>
      </c>
      <c r="E350" t="str" cm="1">
        <f t="array" ref="E350">_xlfn.LET(_xlpm.c,'RC1_Structure_RE'!C379, _xlpm.b, 'RC1_Structure_RE'!B379, IF(_xlpm.c&lt;&gt;"", _xlpm.c, _xlpm.b))</f>
        <v>ขนาดเส้นผ่านศูนย์กลาง 12 ม.ม. SD-50</v>
      </c>
      <c r="F350" s="1205"/>
      <c r="G350" s="1203" t="str">
        <f>'RC1_Structure_RE'!F379</f>
        <v>กก.</v>
      </c>
      <c r="H350" s="1203">
        <f>'RC1_Structure_RE'!E379</f>
        <v>19097</v>
      </c>
      <c r="I350" s="1203">
        <f>'RC1_Structure_RE'!I379</f>
        <v>347259.11303572252</v>
      </c>
      <c r="J350" s="1203">
        <f>'RC1_Structure_RE'!L379</f>
        <v>64274.180304812406</v>
      </c>
      <c r="K350" s="1203">
        <f>'RC1_Structure_RE'!M379</f>
        <v>411533.2933405349</v>
      </c>
    </row>
    <row r="351" spans="1:11">
      <c r="A351" t="s">
        <v>10</v>
      </c>
      <c r="B351" t="s">
        <v>27</v>
      </c>
      <c r="C351" t="s">
        <v>33</v>
      </c>
      <c r="D351" t="s">
        <v>35</v>
      </c>
      <c r="E351" t="str" cm="1">
        <f t="array" ref="E351">_xlfn.LET(_xlpm.c,'RC1_Structure_RE'!C380, _xlpm.b, 'RC1_Structure_RE'!B380, IF(_xlpm.c&lt;&gt;"", _xlpm.c, _xlpm.b))</f>
        <v>ขนาดเส้นผ่านศูนย์กลาง 16 ม.ม. SD-50</v>
      </c>
      <c r="F351" s="1205"/>
      <c r="G351" s="1203" t="str">
        <f>'RC1_Structure_RE'!F380</f>
        <v>กก.</v>
      </c>
      <c r="H351" s="1203">
        <f>'RC1_Structure_RE'!E380</f>
        <v>28914</v>
      </c>
      <c r="I351" s="1203">
        <f>'RC1_Structure_RE'!I380</f>
        <v>520364.67696594144</v>
      </c>
      <c r="J351" s="1203">
        <f>'RC1_Structure_RE'!L380</f>
        <v>97314.952575448799</v>
      </c>
      <c r="K351" s="1203">
        <f>'RC1_Structure_RE'!M380</f>
        <v>617679.62954139023</v>
      </c>
    </row>
    <row r="352" spans="1:11">
      <c r="A352" t="s">
        <v>10</v>
      </c>
      <c r="B352" t="s">
        <v>27</v>
      </c>
      <c r="C352" t="s">
        <v>33</v>
      </c>
      <c r="D352" t="s">
        <v>35</v>
      </c>
      <c r="E352" t="str" cm="1">
        <f t="array" ref="E352">_xlfn.LET(_xlpm.c,'RC1_Structure_RE'!C381, _xlpm.b, 'RC1_Structure_RE'!B381, IF(_xlpm.c&lt;&gt;"", _xlpm.c, _xlpm.b))</f>
        <v>ขนาดเส้นผ่านศูนย์กลาง 25 ม.ม. SD-50</v>
      </c>
      <c r="F352" s="1205"/>
      <c r="G352" s="1203" t="str">
        <f>'RC1_Structure_RE'!F381</f>
        <v>กก.</v>
      </c>
      <c r="H352" s="1203">
        <f>'RC1_Structure_RE'!E381</f>
        <v>8076</v>
      </c>
      <c r="I352" s="1203">
        <f>'RC1_Structure_RE'!I381</f>
        <v>145343.609710761</v>
      </c>
      <c r="J352" s="1203">
        <f>'RC1_Structure_RE'!L381</f>
        <v>23405.983901473199</v>
      </c>
      <c r="K352" s="1203">
        <f>'RC1_Structure_RE'!M381</f>
        <v>168749.5936122342</v>
      </c>
    </row>
    <row r="353" spans="1:11">
      <c r="A353" t="s">
        <v>10</v>
      </c>
      <c r="B353" t="s">
        <v>27</v>
      </c>
      <c r="C353" t="s">
        <v>33</v>
      </c>
      <c r="D353" t="s">
        <v>35</v>
      </c>
      <c r="E353" t="str" cm="1">
        <f t="array" ref="E353">_xlfn.LET(_xlpm.c,'RC1_Structure_RE'!C382, _xlpm.b, 'RC1_Structure_RE'!B382, IF(_xlpm.c&lt;&gt;"", _xlpm.c, _xlpm.b))</f>
        <v>ลวดผูกเหล็ก</v>
      </c>
      <c r="F353" s="1205"/>
      <c r="G353" s="1203" t="str">
        <f>'RC1_Structure_RE'!F382</f>
        <v>กก.</v>
      </c>
      <c r="H353" s="1203">
        <f>'RC1_Structure_RE'!E382</f>
        <v>1010</v>
      </c>
      <c r="I353" s="1203">
        <f>'RC1_Structure_RE'!I382</f>
        <v>25589.368154437001</v>
      </c>
      <c r="J353" s="1203">
        <f>'RC1_Structure_RE'!L382</f>
        <v>0</v>
      </c>
      <c r="K353" s="1203">
        <f>'RC1_Structure_RE'!M382</f>
        <v>25589.368154437001</v>
      </c>
    </row>
    <row r="354" spans="1:11">
      <c r="A354" t="s">
        <v>10</v>
      </c>
      <c r="B354" t="s">
        <v>27</v>
      </c>
      <c r="C354" t="s">
        <v>33</v>
      </c>
      <c r="D354" t="s">
        <v>35</v>
      </c>
      <c r="E354" t="str" cm="1">
        <f t="array" ref="E354">_xlfn.LET(_xlpm.c,'RC1_Structure_RE'!C383, _xlpm.b, 'RC1_Structure_RE'!B383, IF(_xlpm.c&lt;&gt;"", _xlpm.c, _xlpm.b))</f>
        <v>งานไม้แบบ</v>
      </c>
      <c r="F354" s="1205"/>
      <c r="G354" s="1203">
        <f>'RC1_Structure_RE'!F383</f>
        <v>0</v>
      </c>
      <c r="H354" s="1203">
        <f>'RC1_Structure_RE'!E383</f>
        <v>0</v>
      </c>
      <c r="I354" s="1203">
        <f>'RC1_Structure_RE'!I383</f>
        <v>0</v>
      </c>
      <c r="J354" s="1203">
        <f>'RC1_Structure_RE'!L383</f>
        <v>0</v>
      </c>
      <c r="K354" s="1203">
        <f>'RC1_Structure_RE'!M383</f>
        <v>0</v>
      </c>
    </row>
    <row r="355" spans="1:11">
      <c r="A355" t="s">
        <v>10</v>
      </c>
      <c r="B355" t="s">
        <v>27</v>
      </c>
      <c r="C355" t="s">
        <v>33</v>
      </c>
      <c r="D355" t="s">
        <v>35</v>
      </c>
      <c r="E355" t="str" cm="1">
        <f t="array" ref="E355">_xlfn.LET(_xlpm.c,'RC1_Structure_RE'!C384, _xlpm.b, 'RC1_Structure_RE'!B384, IF(_xlpm.c&lt;&gt;"", _xlpm.c, _xlpm.b))</f>
        <v>ไม้แบบ ค้ำยัน นั่งร้าน (อาคาร 4 ชั้นขึ้นไป ใช้ 50%)</v>
      </c>
      <c r="F355" s="1205"/>
      <c r="G355" s="1203" t="str">
        <f>'RC1_Structure_RE'!F384</f>
        <v>ตร.ม.</v>
      </c>
      <c r="H355" s="1203">
        <f>'RC1_Structure_RE'!E384</f>
        <v>1531</v>
      </c>
      <c r="I355" s="1203">
        <f>'RC1_Structure_RE'!I384</f>
        <v>350965.60273345636</v>
      </c>
      <c r="J355" s="1203">
        <f>'RC1_Structure_RE'!L384</f>
        <v>0</v>
      </c>
      <c r="K355" s="1203">
        <f>'RC1_Structure_RE'!M384</f>
        <v>350965.60273345636</v>
      </c>
    </row>
    <row r="356" spans="1:11">
      <c r="A356" t="s">
        <v>10</v>
      </c>
      <c r="B356" t="s">
        <v>27</v>
      </c>
      <c r="C356" t="s">
        <v>33</v>
      </c>
      <c r="D356" t="s">
        <v>35</v>
      </c>
      <c r="E356" t="str" cm="1">
        <f t="array" ref="E356">_xlfn.LET(_xlpm.c,'RC1_Structure_RE'!C385, _xlpm.b, 'RC1_Structure_RE'!B385, IF(_xlpm.c&lt;&gt;"", _xlpm.c, _xlpm.b))</f>
        <v>ค่าแรงประกอบและติดตั้งไม้แบบหล่อคอนกรีต (ใช้ 100%)</v>
      </c>
      <c r="F356" s="1205"/>
      <c r="G356" s="1203" t="str">
        <f>'RC1_Structure_RE'!F385</f>
        <v>ตร.ม.</v>
      </c>
      <c r="H356" s="1203">
        <f>'RC1_Structure_RE'!E385</f>
        <v>3061</v>
      </c>
      <c r="I356" s="1203">
        <f>'RC1_Structure_RE'!I385</f>
        <v>0</v>
      </c>
      <c r="J356" s="1203">
        <f>'RC1_Structure_RE'!L385</f>
        <v>346272.17735590698</v>
      </c>
      <c r="K356" s="1203">
        <f>'RC1_Structure_RE'!M385</f>
        <v>346272.17735590698</v>
      </c>
    </row>
    <row r="357" spans="1:11">
      <c r="A357" t="s">
        <v>10</v>
      </c>
      <c r="B357" t="s">
        <v>27</v>
      </c>
      <c r="C357" t="s">
        <v>33</v>
      </c>
      <c r="D357" t="s">
        <v>35</v>
      </c>
      <c r="E357" t="str" cm="1">
        <f t="array" ref="E357">_xlfn.LET(_xlpm.c,'RC1_Structure_RE'!C386, _xlpm.b, 'RC1_Structure_RE'!B386, IF(_xlpm.c&lt;&gt;"", _xlpm.c, _xlpm.b))</f>
        <v>ไม้เคร่า (ใช้ 30% ของไม้แบบ 1 ตร.ม.)</v>
      </c>
      <c r="F357" s="1205"/>
      <c r="G357" s="1203" t="str">
        <f>'RC1_Structure_RE'!F386</f>
        <v>ลบ.ฟ.</v>
      </c>
      <c r="H357" s="1203">
        <f>'RC1_Structure_RE'!E386</f>
        <v>460</v>
      </c>
      <c r="I357" s="1203">
        <f>'RC1_Structure_RE'!I386</f>
        <v>133068.45403526039</v>
      </c>
      <c r="J357" s="1203">
        <f>'RC1_Structure_RE'!L386</f>
        <v>0</v>
      </c>
      <c r="K357" s="1203">
        <f>'RC1_Structure_RE'!M386</f>
        <v>133068.45403526039</v>
      </c>
    </row>
    <row r="358" spans="1:11">
      <c r="A358" t="s">
        <v>10</v>
      </c>
      <c r="B358" t="s">
        <v>27</v>
      </c>
      <c r="C358" t="s">
        <v>33</v>
      </c>
      <c r="D358" t="s">
        <v>35</v>
      </c>
      <c r="E358" t="str" cm="1">
        <f t="array" ref="E358">_xlfn.LET(_xlpm.c,'RC1_Structure_RE'!C387, _xlpm.b, 'RC1_Structure_RE'!B387, IF(_xlpm.c&lt;&gt;"", _xlpm.c, _xlpm.b))</f>
        <v>ตะปู (ใช้ 25% ของไม้แบบ 1 ตร.ม.)</v>
      </c>
      <c r="F358" s="1205"/>
      <c r="G358" s="1203" t="str">
        <f>'RC1_Structure_RE'!F387</f>
        <v>กก.</v>
      </c>
      <c r="H358" s="1203">
        <f>'RC1_Structure_RE'!E387</f>
        <v>383</v>
      </c>
      <c r="I358" s="1203">
        <f>'RC1_Structure_RE'!I387</f>
        <v>8364.5101075433595</v>
      </c>
      <c r="J358" s="1203">
        <f>'RC1_Structure_RE'!L387</f>
        <v>0</v>
      </c>
      <c r="K358" s="1203">
        <f>'RC1_Structure_RE'!M387</f>
        <v>8364.5101075433595</v>
      </c>
    </row>
    <row r="359" spans="1:11">
      <c r="A359" t="s">
        <v>10</v>
      </c>
      <c r="B359" t="s">
        <v>27</v>
      </c>
      <c r="C359" t="s">
        <v>33</v>
      </c>
      <c r="D359" t="s">
        <v>35</v>
      </c>
      <c r="E359" t="str" cm="1">
        <f t="array" ref="E359">_xlfn.LET(_xlpm.c,'RC1_Structure_RE'!C388, _xlpm.b, 'RC1_Structure_RE'!B388, IF(_xlpm.c&lt;&gt;"", _xlpm.c, _xlpm.b))</f>
        <v>งานคอนกรีตโครงสร้าง</v>
      </c>
      <c r="F359" s="1205"/>
      <c r="G359" s="1203">
        <f>'RC1_Structure_RE'!F388</f>
        <v>0</v>
      </c>
      <c r="H359" s="1203">
        <f>'RC1_Structure_RE'!E388</f>
        <v>0</v>
      </c>
      <c r="I359" s="1203">
        <f>'RC1_Structure_RE'!I388</f>
        <v>0</v>
      </c>
      <c r="J359" s="1203">
        <f>'RC1_Structure_RE'!L388</f>
        <v>0</v>
      </c>
      <c r="K359" s="1203">
        <f>'RC1_Structure_RE'!M388</f>
        <v>0</v>
      </c>
    </row>
    <row r="360" spans="1:11">
      <c r="A360" t="s">
        <v>10</v>
      </c>
      <c r="B360" t="s">
        <v>27</v>
      </c>
      <c r="C360" t="s">
        <v>33</v>
      </c>
      <c r="D360" t="s">
        <v>35</v>
      </c>
      <c r="E360" t="str" cm="1">
        <f t="array" ref="E360">_xlfn.LET(_xlpm.c,'RC1_Structure_RE'!C389, _xlpm.b, 'RC1_Structure_RE'!B389, IF(_xlpm.c&lt;&gt;"", _xlpm.c, _xlpm.b))</f>
        <v xml:space="preserve">งานคอนกรีตโครงสร้าง 320 ksc. </v>
      </c>
      <c r="F360" s="1205"/>
      <c r="G360" s="1203" t="str">
        <f>'RC1_Structure_RE'!F389</f>
        <v>ลบ.ม.</v>
      </c>
      <c r="H360" s="1203">
        <f>'RC1_Structure_RE'!E389</f>
        <v>884</v>
      </c>
      <c r="I360" s="1203">
        <f>'RC1_Structure_RE'!I389</f>
        <v>2214826.7064372851</v>
      </c>
      <c r="J360" s="1203">
        <f>'RC1_Structure_RE'!L389</f>
        <v>428932.07233141194</v>
      </c>
      <c r="K360" s="1203">
        <f>'RC1_Structure_RE'!M389</f>
        <v>2643758.7787686968</v>
      </c>
    </row>
    <row r="361" spans="1:11">
      <c r="A361" t="s">
        <v>10</v>
      </c>
      <c r="B361" t="s">
        <v>27</v>
      </c>
      <c r="C361" t="s">
        <v>33</v>
      </c>
      <c r="D361" t="s">
        <v>35</v>
      </c>
      <c r="E361" t="str" cm="1">
        <f t="array" ref="E361">_xlfn.LET(_xlpm.c,'RC1_Structure_RE'!C390, _xlpm.b, 'RC1_Structure_RE'!B390, IF(_xlpm.c&lt;&gt;"", _xlpm.c, _xlpm.b))</f>
        <v>งานระบบพื้นอัดแรง (Post tension 0.23m. Thk.)</v>
      </c>
      <c r="F361" s="1205"/>
      <c r="G361" s="1203" t="str">
        <f>'RC1_Structure_RE'!F390</f>
        <v>ตร.ม.</v>
      </c>
      <c r="H361" s="1203">
        <f>'RC1_Structure_RE'!E390</f>
        <v>2397</v>
      </c>
      <c r="I361" s="1203">
        <f>'RC1_Structure_RE'!I390</f>
        <v>1008438.56489655</v>
      </c>
      <c r="J361" s="1203">
        <f>'RC1_Structure_RE'!L390</f>
        <v>0</v>
      </c>
      <c r="K361" s="1203">
        <f>'RC1_Structure_RE'!M390</f>
        <v>1008438.56489655</v>
      </c>
    </row>
    <row r="362" spans="1:11">
      <c r="A362" t="s">
        <v>10</v>
      </c>
      <c r="B362" t="s">
        <v>27</v>
      </c>
      <c r="C362" t="s">
        <v>33</v>
      </c>
      <c r="D362" t="s">
        <v>19</v>
      </c>
      <c r="E362" t="str" cm="1">
        <f t="array" ref="E362">_xlfn.LET(_xlpm.c,'RC1_Structure_RE'!C391, _xlpm.b, 'RC1_Structure_RE'!B391, IF(_xlpm.c&lt;&gt;"", _xlpm.c, _xlpm.b))</f>
        <v>โครงสร้างเสา ชั้น 2</v>
      </c>
      <c r="F362" s="1205"/>
      <c r="G362" s="1203">
        <f>'RC1_Structure_RE'!F391</f>
        <v>0</v>
      </c>
      <c r="H362" s="1203">
        <f>'RC1_Structure_RE'!E391</f>
        <v>0</v>
      </c>
      <c r="I362" s="1203">
        <f>'RC1_Structure_RE'!I391</f>
        <v>0</v>
      </c>
      <c r="J362" s="1203">
        <f>'RC1_Structure_RE'!L391</f>
        <v>0</v>
      </c>
      <c r="K362" s="1203">
        <f>'RC1_Structure_RE'!M391</f>
        <v>0</v>
      </c>
    </row>
    <row r="363" spans="1:11">
      <c r="A363" t="s">
        <v>10</v>
      </c>
      <c r="B363" t="s">
        <v>27</v>
      </c>
      <c r="C363" t="s">
        <v>33</v>
      </c>
      <c r="D363" t="s">
        <v>19</v>
      </c>
      <c r="E363" t="str" cm="1">
        <f t="array" ref="E363">_xlfn.LET(_xlpm.c,'RC1_Structure_RE'!C392, _xlpm.b, 'RC1_Structure_RE'!B392, IF(_xlpm.c&lt;&gt;"", _xlpm.c, _xlpm.b))</f>
        <v xml:space="preserve">งานเหล็กเสริม </v>
      </c>
      <c r="F363" s="1205"/>
      <c r="G363" s="1203">
        <f>'RC1_Structure_RE'!F392</f>
        <v>0</v>
      </c>
      <c r="H363" s="1203">
        <f>'RC1_Structure_RE'!E392</f>
        <v>0</v>
      </c>
      <c r="I363" s="1203">
        <f>'RC1_Structure_RE'!I392</f>
        <v>0</v>
      </c>
      <c r="J363" s="1203">
        <f>'RC1_Structure_RE'!L392</f>
        <v>0</v>
      </c>
      <c r="K363" s="1203">
        <f>'RC1_Structure_RE'!M392</f>
        <v>0</v>
      </c>
    </row>
    <row r="364" spans="1:11">
      <c r="A364" t="s">
        <v>10</v>
      </c>
      <c r="B364" t="s">
        <v>27</v>
      </c>
      <c r="C364" t="s">
        <v>33</v>
      </c>
      <c r="D364" t="s">
        <v>19</v>
      </c>
      <c r="E364" t="str" cm="1">
        <f t="array" ref="E364">_xlfn.LET(_xlpm.c,'RC1_Structure_RE'!C393, _xlpm.b, 'RC1_Structure_RE'!B393, IF(_xlpm.c&lt;&gt;"", _xlpm.c, _xlpm.b))</f>
        <v>ขนาดเส้นผ่านศูนย์กลาง 9 ม.ม. SR-24</v>
      </c>
      <c r="F364" s="1205"/>
      <c r="G364" s="1203" t="str">
        <f>'RC1_Structure_RE'!F393</f>
        <v>กก.</v>
      </c>
      <c r="H364" s="1203">
        <f>'RC1_Structure_RE'!E393</f>
        <v>1902</v>
      </c>
      <c r="I364" s="1203">
        <f>'RC1_Structure_RE'!I393</f>
        <v>34852.624065722404</v>
      </c>
      <c r="J364" s="1203">
        <f>'RC1_Structure_RE'!L393</f>
        <v>7824.0584637335996</v>
      </c>
      <c r="K364" s="1203">
        <f>'RC1_Structure_RE'!M393</f>
        <v>42676.682529456004</v>
      </c>
    </row>
    <row r="365" spans="1:11">
      <c r="A365" t="s">
        <v>10</v>
      </c>
      <c r="B365" t="s">
        <v>27</v>
      </c>
      <c r="C365" t="s">
        <v>33</v>
      </c>
      <c r="D365" t="s">
        <v>19</v>
      </c>
      <c r="E365" t="str" cm="1">
        <f t="array" ref="E365">_xlfn.LET(_xlpm.c,'RC1_Structure_RE'!C394, _xlpm.b, 'RC1_Structure_RE'!B394, IF(_xlpm.c&lt;&gt;"", _xlpm.c, _xlpm.b))</f>
        <v>ขนาดเส้นผ่านศูนย์กลาง 12 ม.ม. SD-50</v>
      </c>
      <c r="F365" s="1205"/>
      <c r="G365" s="1203" t="str">
        <f>'RC1_Structure_RE'!F394</f>
        <v>กก.</v>
      </c>
      <c r="H365" s="1203">
        <f>'RC1_Structure_RE'!E394</f>
        <v>1280</v>
      </c>
      <c r="I365" s="1203">
        <f>'RC1_Structure_RE'!I394</f>
        <v>23275.470738111999</v>
      </c>
      <c r="J365" s="1203">
        <f>'RC1_Structure_RE'!L394</f>
        <v>4308.0562805760001</v>
      </c>
      <c r="K365" s="1203">
        <f>'RC1_Structure_RE'!M394</f>
        <v>27583.527018688001</v>
      </c>
    </row>
    <row r="366" spans="1:11">
      <c r="A366" t="s">
        <v>10</v>
      </c>
      <c r="B366" t="s">
        <v>27</v>
      </c>
      <c r="C366" t="s">
        <v>33</v>
      </c>
      <c r="D366" t="s">
        <v>19</v>
      </c>
      <c r="E366" t="str" cm="1">
        <f t="array" ref="E366">_xlfn.LET(_xlpm.c,'RC1_Structure_RE'!C395, _xlpm.b, 'RC1_Structure_RE'!B395, IF(_xlpm.c&lt;&gt;"", _xlpm.c, _xlpm.b))</f>
        <v>ขนาดเส้นผ่านศูนย์กลาง 20 ม.ม. SD-50</v>
      </c>
      <c r="F366" s="1205"/>
      <c r="G366" s="1203" t="str">
        <f>'RC1_Structure_RE'!F395</f>
        <v>กก.</v>
      </c>
      <c r="H366" s="1203">
        <f>'RC1_Structure_RE'!E395</f>
        <v>1980</v>
      </c>
      <c r="I366" s="1203">
        <f>'RC1_Structure_RE'!I395</f>
        <v>35634.020211404997</v>
      </c>
      <c r="J366" s="1203">
        <f>'RC1_Structure_RE'!L395</f>
        <v>5738.4655924859999</v>
      </c>
      <c r="K366" s="1203">
        <f>'RC1_Structure_RE'!M395</f>
        <v>41372.485803890995</v>
      </c>
    </row>
    <row r="367" spans="1:11">
      <c r="A367" t="s">
        <v>10</v>
      </c>
      <c r="B367" t="s">
        <v>27</v>
      </c>
      <c r="C367" t="s">
        <v>33</v>
      </c>
      <c r="D367" t="s">
        <v>19</v>
      </c>
      <c r="E367" t="str" cm="1">
        <f t="array" ref="E367">_xlfn.LET(_xlpm.c,'RC1_Structure_RE'!C396, _xlpm.b, 'RC1_Structure_RE'!B396, IF(_xlpm.c&lt;&gt;"", _xlpm.c, _xlpm.b))</f>
        <v>ขนาดเส้นผ่านศูนย์กลาง 25 ม.ม. SD-50</v>
      </c>
      <c r="F367" s="1205"/>
      <c r="G367" s="1203" t="str">
        <f>'RC1_Structure_RE'!F396</f>
        <v>กก.</v>
      </c>
      <c r="H367" s="1203">
        <f>'RC1_Structure_RE'!E396</f>
        <v>8087</v>
      </c>
      <c r="I367" s="1203">
        <f>'RC1_Structure_RE'!I396</f>
        <v>145541.57648971325</v>
      </c>
      <c r="J367" s="1203">
        <f>'RC1_Structure_RE'!L396</f>
        <v>23437.864265875898</v>
      </c>
      <c r="K367" s="1203">
        <f>'RC1_Structure_RE'!M396</f>
        <v>168979.44075558914</v>
      </c>
    </row>
    <row r="368" spans="1:11">
      <c r="A368" t="s">
        <v>10</v>
      </c>
      <c r="B368" t="s">
        <v>27</v>
      </c>
      <c r="C368" t="s">
        <v>33</v>
      </c>
      <c r="D368" t="s">
        <v>19</v>
      </c>
      <c r="E368" t="str" cm="1">
        <f t="array" ref="E368">_xlfn.LET(_xlpm.c,'RC1_Structure_RE'!C397, _xlpm.b, 'RC1_Structure_RE'!B397, IF(_xlpm.c&lt;&gt;"", _xlpm.c, _xlpm.b))</f>
        <v>ขนาดเส้นผ่านศูนย์กลาง 28 ม.ม. SD-50</v>
      </c>
      <c r="F368" s="1205"/>
      <c r="G368" s="1203" t="str">
        <f>'RC1_Structure_RE'!F397</f>
        <v>กก.</v>
      </c>
      <c r="H368" s="1203">
        <f>'RC1_Structure_RE'!E397</f>
        <v>3346</v>
      </c>
      <c r="I368" s="1203">
        <f>'RC1_Structure_RE'!I397</f>
        <v>60217.894761293494</v>
      </c>
      <c r="J368" s="1203">
        <f>'RC1_Structure_RE'!L397</f>
        <v>9697.4272083121996</v>
      </c>
      <c r="K368" s="1203">
        <f>'RC1_Structure_RE'!M397</f>
        <v>69915.321969605691</v>
      </c>
    </row>
    <row r="369" spans="1:11">
      <c r="A369" t="s">
        <v>10</v>
      </c>
      <c r="B369" t="s">
        <v>27</v>
      </c>
      <c r="C369" t="s">
        <v>33</v>
      </c>
      <c r="D369" t="s">
        <v>19</v>
      </c>
      <c r="E369" t="str" cm="1">
        <f t="array" ref="E369">_xlfn.LET(_xlpm.c,'RC1_Structure_RE'!C398, _xlpm.b, 'RC1_Structure_RE'!B398, IF(_xlpm.c&lt;&gt;"", _xlpm.c, _xlpm.b))</f>
        <v>ขนาดเส้นผ่านศูนย์กลาง 32 ม.ม. SD-50</v>
      </c>
      <c r="F369" s="1205"/>
      <c r="G369" s="1203" t="str">
        <f>'RC1_Structure_RE'!F398</f>
        <v>กก.</v>
      </c>
      <c r="H369" s="1203">
        <f>'RC1_Structure_RE'!E398</f>
        <v>10944</v>
      </c>
      <c r="I369" s="1203">
        <f>'RC1_Structure_RE'!I398</f>
        <v>196958.94807758398</v>
      </c>
      <c r="J369" s="1203">
        <f>'RC1_Structure_RE'!L398</f>
        <v>31718.0643657408</v>
      </c>
      <c r="K369" s="1203">
        <f>'RC1_Structure_RE'!M398</f>
        <v>228677.01244332478</v>
      </c>
    </row>
    <row r="370" spans="1:11">
      <c r="A370" t="s">
        <v>10</v>
      </c>
      <c r="B370" t="s">
        <v>27</v>
      </c>
      <c r="C370" t="s">
        <v>33</v>
      </c>
      <c r="D370" t="s">
        <v>19</v>
      </c>
      <c r="E370" t="str" cm="1">
        <f t="array" ref="E370">_xlfn.LET(_xlpm.c,'RC1_Structure_RE'!C399, _xlpm.b, 'RC1_Structure_RE'!B399, IF(_xlpm.c&lt;&gt;"", _xlpm.c, _xlpm.b))</f>
        <v>ลวดผูกเหล็ก</v>
      </c>
      <c r="F370" s="1205"/>
      <c r="G370" s="1203" t="str">
        <f>'RC1_Structure_RE'!F399</f>
        <v>กก.</v>
      </c>
      <c r="H370" s="1203">
        <f>'RC1_Structure_RE'!E399</f>
        <v>496</v>
      </c>
      <c r="I370" s="1203">
        <f>'RC1_Structure_RE'!I399</f>
        <v>12566.6600045552</v>
      </c>
      <c r="J370" s="1203">
        <f>'RC1_Structure_RE'!L399</f>
        <v>0</v>
      </c>
      <c r="K370" s="1203">
        <f>'RC1_Structure_RE'!M399</f>
        <v>12566.6600045552</v>
      </c>
    </row>
    <row r="371" spans="1:11">
      <c r="A371" t="s">
        <v>10</v>
      </c>
      <c r="B371" t="s">
        <v>27</v>
      </c>
      <c r="C371" t="s">
        <v>33</v>
      </c>
      <c r="D371" t="s">
        <v>19</v>
      </c>
      <c r="E371" t="str" cm="1">
        <f t="array" ref="E371">_xlfn.LET(_xlpm.c,'RC1_Structure_RE'!C400, _xlpm.b, 'RC1_Structure_RE'!B400, IF(_xlpm.c&lt;&gt;"", _xlpm.c, _xlpm.b))</f>
        <v>งานไม้แบบ</v>
      </c>
      <c r="F371" s="1205"/>
      <c r="G371" s="1203">
        <f>'RC1_Structure_RE'!F400</f>
        <v>0</v>
      </c>
      <c r="H371" s="1203">
        <f>'RC1_Structure_RE'!E400</f>
        <v>0</v>
      </c>
      <c r="I371" s="1203">
        <f>'RC1_Structure_RE'!I400</f>
        <v>0</v>
      </c>
      <c r="J371" s="1203">
        <f>'RC1_Structure_RE'!L400</f>
        <v>0</v>
      </c>
      <c r="K371" s="1203">
        <f>'RC1_Structure_RE'!M400</f>
        <v>0</v>
      </c>
    </row>
    <row r="372" spans="1:11">
      <c r="A372" t="s">
        <v>10</v>
      </c>
      <c r="B372" t="s">
        <v>27</v>
      </c>
      <c r="C372" t="s">
        <v>33</v>
      </c>
      <c r="D372" t="s">
        <v>19</v>
      </c>
      <c r="E372" t="str" cm="1">
        <f t="array" ref="E372">_xlfn.LET(_xlpm.c,'RC1_Structure_RE'!C401, _xlpm.b, 'RC1_Structure_RE'!B401, IF(_xlpm.c&lt;&gt;"", _xlpm.c, _xlpm.b))</f>
        <v>ไม้แบบ ค้ำยัน นั่งร้าน (อาคาร 4 ชั้นขึ้นไป ใช้ 50%)</v>
      </c>
      <c r="F372" s="1205"/>
      <c r="G372" s="1203" t="str">
        <f>'RC1_Structure_RE'!F401</f>
        <v>ตร.ม.</v>
      </c>
      <c r="H372" s="1203">
        <f>'RC1_Structure_RE'!E401</f>
        <v>251</v>
      </c>
      <c r="I372" s="1203">
        <f>'RC1_Structure_RE'!I401</f>
        <v>57539.102734224391</v>
      </c>
      <c r="J372" s="1203">
        <f>'RC1_Structure_RE'!L401</f>
        <v>0</v>
      </c>
      <c r="K372" s="1203">
        <f>'RC1_Structure_RE'!M401</f>
        <v>57539.102734224391</v>
      </c>
    </row>
    <row r="373" spans="1:11">
      <c r="A373" t="s">
        <v>10</v>
      </c>
      <c r="B373" t="s">
        <v>27</v>
      </c>
      <c r="C373" t="s">
        <v>33</v>
      </c>
      <c r="D373" t="s">
        <v>19</v>
      </c>
      <c r="E373" t="str" cm="1">
        <f t="array" ref="E373">_xlfn.LET(_xlpm.c,'RC1_Structure_RE'!C402, _xlpm.b, 'RC1_Structure_RE'!B402, IF(_xlpm.c&lt;&gt;"", _xlpm.c, _xlpm.b))</f>
        <v>ค่าแรงประกอบและติดตั้งไม้แบบหล่อคอนกรีต (ใช้ 100%)</v>
      </c>
      <c r="F373" s="1205"/>
      <c r="G373" s="1203" t="str">
        <f>'RC1_Structure_RE'!F402</f>
        <v>ตร.ม.</v>
      </c>
      <c r="H373" s="1203">
        <f>'RC1_Structure_RE'!E402</f>
        <v>501</v>
      </c>
      <c r="I373" s="1203">
        <f>'RC1_Structure_RE'!I402</f>
        <v>0</v>
      </c>
      <c r="J373" s="1203">
        <f>'RC1_Structure_RE'!L402</f>
        <v>56675.060717187</v>
      </c>
      <c r="K373" s="1203">
        <f>'RC1_Structure_RE'!M402</f>
        <v>56675.060717187</v>
      </c>
    </row>
    <row r="374" spans="1:11">
      <c r="A374" t="s">
        <v>10</v>
      </c>
      <c r="B374" t="s">
        <v>27</v>
      </c>
      <c r="C374" t="s">
        <v>33</v>
      </c>
      <c r="D374" t="s">
        <v>19</v>
      </c>
      <c r="E374" t="str" cm="1">
        <f t="array" ref="E374">_xlfn.LET(_xlpm.c,'RC1_Structure_RE'!C403, _xlpm.b, 'RC1_Structure_RE'!B403, IF(_xlpm.c&lt;&gt;"", _xlpm.c, _xlpm.b))</f>
        <v>ไม้เคร่า (ใช้ 30% ของไม้แบบ 1 ตร.ม.)</v>
      </c>
      <c r="F374" s="1205"/>
      <c r="G374" s="1203" t="str">
        <f>'RC1_Structure_RE'!F403</f>
        <v>ลบ.ฟ.</v>
      </c>
      <c r="H374" s="1203">
        <f>'RC1_Structure_RE'!E403</f>
        <v>76</v>
      </c>
      <c r="I374" s="1203">
        <f>'RC1_Structure_RE'!I403</f>
        <v>21985.222840608239</v>
      </c>
      <c r="J374" s="1203">
        <f>'RC1_Structure_RE'!L403</f>
        <v>0</v>
      </c>
      <c r="K374" s="1203">
        <f>'RC1_Structure_RE'!M403</f>
        <v>21985.222840608239</v>
      </c>
    </row>
    <row r="375" spans="1:11">
      <c r="A375" t="s">
        <v>10</v>
      </c>
      <c r="B375" t="s">
        <v>27</v>
      </c>
      <c r="C375" t="s">
        <v>33</v>
      </c>
      <c r="D375" t="s">
        <v>19</v>
      </c>
      <c r="E375" t="str" cm="1">
        <f t="array" ref="E375">_xlfn.LET(_xlpm.c,'RC1_Structure_RE'!C404, _xlpm.b, 'RC1_Structure_RE'!B404, IF(_xlpm.c&lt;&gt;"", _xlpm.c, _xlpm.b))</f>
        <v>ตะปู (ใช้ 25% ของไม้แบบ 1 ตร.ม.)</v>
      </c>
      <c r="F375" s="1205"/>
      <c r="G375" s="1203" t="str">
        <f>'RC1_Structure_RE'!F404</f>
        <v>กก.</v>
      </c>
      <c r="H375" s="1203">
        <f>'RC1_Structure_RE'!E404</f>
        <v>63</v>
      </c>
      <c r="I375" s="1203">
        <f>'RC1_Structure_RE'!I404</f>
        <v>1375.8854746089601</v>
      </c>
      <c r="J375" s="1203">
        <f>'RC1_Structure_RE'!L404</f>
        <v>0</v>
      </c>
      <c r="K375" s="1203">
        <f>'RC1_Structure_RE'!M404</f>
        <v>1375.8854746089601</v>
      </c>
    </row>
    <row r="376" spans="1:11">
      <c r="A376" t="s">
        <v>10</v>
      </c>
      <c r="B376" t="s">
        <v>27</v>
      </c>
      <c r="C376" t="s">
        <v>33</v>
      </c>
      <c r="D376" t="s">
        <v>19</v>
      </c>
      <c r="E376" t="str" cm="1">
        <f t="array" ref="E376">_xlfn.LET(_xlpm.c,'RC1_Structure_RE'!C405, _xlpm.b, 'RC1_Structure_RE'!B405, IF(_xlpm.c&lt;&gt;"", _xlpm.c, _xlpm.b))</f>
        <v>งานคอนกรีตโครงสร้าง</v>
      </c>
      <c r="F376" s="1205"/>
      <c r="G376" s="1203">
        <f>'RC1_Structure_RE'!F405</f>
        <v>0</v>
      </c>
      <c r="H376" s="1203">
        <f>'RC1_Structure_RE'!E405</f>
        <v>0</v>
      </c>
      <c r="I376" s="1203">
        <f>'RC1_Structure_RE'!I405</f>
        <v>0</v>
      </c>
      <c r="J376" s="1203">
        <f>'RC1_Structure_RE'!L405</f>
        <v>0</v>
      </c>
      <c r="K376" s="1203">
        <f>'RC1_Structure_RE'!M405</f>
        <v>0</v>
      </c>
    </row>
    <row r="377" spans="1:11">
      <c r="A377" t="s">
        <v>10</v>
      </c>
      <c r="B377" t="s">
        <v>27</v>
      </c>
      <c r="C377" t="s">
        <v>33</v>
      </c>
      <c r="D377" t="s">
        <v>19</v>
      </c>
      <c r="E377" t="str" cm="1">
        <f t="array" ref="E377">_xlfn.LET(_xlpm.c,'RC1_Structure_RE'!C406, _xlpm.b, 'RC1_Structure_RE'!B406, IF(_xlpm.c&lt;&gt;"", _xlpm.c, _xlpm.b))</f>
        <v>งานคอนกรีตโครงสร้าง 320 ksc.</v>
      </c>
      <c r="F377" s="1205"/>
      <c r="G377" s="1203" t="str">
        <f>'RC1_Structure_RE'!F406</f>
        <v>ลบ.ม.</v>
      </c>
      <c r="H377" s="1203">
        <f>'RC1_Structure_RE'!E406</f>
        <v>23</v>
      </c>
      <c r="I377" s="1203">
        <f>'RC1_Structure_RE'!I406</f>
        <v>57625.581728571895</v>
      </c>
      <c r="J377" s="1203">
        <f>'RC1_Structure_RE'!L406</f>
        <v>11159.997357038999</v>
      </c>
      <c r="K377" s="1203">
        <f>'RC1_Structure_RE'!M406</f>
        <v>68785.579085610894</v>
      </c>
    </row>
    <row r="378" spans="1:11">
      <c r="A378" t="s">
        <v>10</v>
      </c>
      <c r="B378" t="s">
        <v>27</v>
      </c>
      <c r="C378" t="s">
        <v>33</v>
      </c>
      <c r="D378" t="s">
        <v>19</v>
      </c>
      <c r="E378" t="str" cm="1">
        <f t="array" ref="E378">_xlfn.LET(_xlpm.c,'RC1_Structure_RE'!C407, _xlpm.b, 'RC1_Structure_RE'!B407, IF(_xlpm.c&lt;&gt;"", _xlpm.c, _xlpm.b))</f>
        <v>งานคอนกรีตโครงสร้าง 550 ksc.</v>
      </c>
      <c r="F378" s="1205"/>
      <c r="G378" s="1203" t="str">
        <f>'RC1_Structure_RE'!F407</f>
        <v>ลบ.ม.</v>
      </c>
      <c r="H378" s="1203">
        <f>'RC1_Structure_RE'!E407</f>
        <v>49</v>
      </c>
      <c r="I378" s="1203">
        <f>'RC1_Structure_RE'!I407</f>
        <v>138576.74526657499</v>
      </c>
      <c r="J378" s="1203">
        <f>'RC1_Structure_RE'!L407</f>
        <v>23775.646543256997</v>
      </c>
      <c r="K378" s="1203">
        <f>'RC1_Structure_RE'!M407</f>
        <v>162352.39180983198</v>
      </c>
    </row>
    <row r="379" spans="1:11">
      <c r="A379" t="s">
        <v>10</v>
      </c>
      <c r="B379" t="s">
        <v>27</v>
      </c>
      <c r="C379" t="s">
        <v>33</v>
      </c>
      <c r="D379" t="s">
        <v>19</v>
      </c>
      <c r="E379" t="str" cm="1">
        <f t="array" ref="E379">_xlfn.LET(_xlpm.c,'RC1_Structure_RE'!C408, _xlpm.b, 'RC1_Structure_RE'!B408, IF(_xlpm.c&lt;&gt;"", _xlpm.c, _xlpm.b))</f>
        <v>เสาเหล็กรูปพรรณ (เสา Composite)</v>
      </c>
      <c r="F379" s="1205"/>
      <c r="G379" s="1203">
        <f>'RC1_Structure_RE'!F408</f>
        <v>0</v>
      </c>
      <c r="H379" s="1203">
        <f>'RC1_Structure_RE'!E408</f>
        <v>0</v>
      </c>
      <c r="I379" s="1203">
        <f>'RC1_Structure_RE'!I408</f>
        <v>0</v>
      </c>
      <c r="J379" s="1203">
        <f>'RC1_Structure_RE'!L408</f>
        <v>0</v>
      </c>
      <c r="K379" s="1203">
        <f>'RC1_Structure_RE'!M408</f>
        <v>0</v>
      </c>
    </row>
    <row r="380" spans="1:11">
      <c r="A380" t="s">
        <v>10</v>
      </c>
      <c r="B380" t="s">
        <v>27</v>
      </c>
      <c r="C380" t="s">
        <v>33</v>
      </c>
      <c r="D380" t="s">
        <v>19</v>
      </c>
      <c r="E380" t="str" cm="1">
        <f t="array" ref="E380">_xlfn.LET(_xlpm.c,'RC1_Structure_RE'!C409, _xlpm.b, 'RC1_Structure_RE'!B409, IF(_xlpm.c&lt;&gt;"", _xlpm.c, _xlpm.b))</f>
        <v>WF300x300x10x15 mm.-94.0 Kg./m.(sm520)</v>
      </c>
      <c r="F380" s="1205"/>
      <c r="G380" s="1203" t="str">
        <f>'RC1_Structure_RE'!F409</f>
        <v>กก.</v>
      </c>
      <c r="H380" s="1203">
        <f>'RC1_Structure_RE'!E409</f>
        <v>3125.5</v>
      </c>
      <c r="I380" s="1203">
        <f>'RC1_Structure_RE'!I409</f>
        <v>106713.45228481323</v>
      </c>
      <c r="J380" s="1203">
        <f>'RC1_Structure_RE'!L409</f>
        <v>40908.771412578993</v>
      </c>
      <c r="K380" s="1203">
        <f>'RC1_Structure_RE'!M409</f>
        <v>147622.22369739221</v>
      </c>
    </row>
    <row r="381" spans="1:11">
      <c r="A381" t="s">
        <v>10</v>
      </c>
      <c r="B381" t="s">
        <v>27</v>
      </c>
      <c r="C381" t="s">
        <v>33</v>
      </c>
      <c r="D381" t="s">
        <v>31</v>
      </c>
      <c r="E381" t="str" cm="1">
        <f t="array" ref="E381">_xlfn.LET(_xlpm.c,'RC1_Structure_RE'!C410, _xlpm.b, 'RC1_Structure_RE'!B410, IF(_xlpm.c&lt;&gt;"", _xlpm.c, _xlpm.b))</f>
        <v>โครงสร้างผนัง ชั้น 2</v>
      </c>
      <c r="F381" s="1205"/>
      <c r="G381" s="1203">
        <f>'RC1_Structure_RE'!F410</f>
        <v>0</v>
      </c>
      <c r="H381" s="1203">
        <f>'RC1_Structure_RE'!E410</f>
        <v>0</v>
      </c>
      <c r="I381" s="1203">
        <f>'RC1_Structure_RE'!I410</f>
        <v>0</v>
      </c>
      <c r="J381" s="1203">
        <f>'RC1_Structure_RE'!L410</f>
        <v>0</v>
      </c>
      <c r="K381" s="1203">
        <f>'RC1_Structure_RE'!M410</f>
        <v>0</v>
      </c>
    </row>
    <row r="382" spans="1:11">
      <c r="A382" t="s">
        <v>10</v>
      </c>
      <c r="B382" t="s">
        <v>27</v>
      </c>
      <c r="C382" t="s">
        <v>33</v>
      </c>
      <c r="D382" t="s">
        <v>31</v>
      </c>
      <c r="E382" t="str" cm="1">
        <f t="array" ref="E382">_xlfn.LET(_xlpm.c,'RC1_Structure_RE'!C411, _xlpm.b, 'RC1_Structure_RE'!B411, IF(_xlpm.c&lt;&gt;"", _xlpm.c, _xlpm.b))</f>
        <v xml:space="preserve">งานเหล็กเสริม </v>
      </c>
      <c r="F382" s="1205"/>
      <c r="G382" s="1203">
        <f>'RC1_Structure_RE'!F411</f>
        <v>0</v>
      </c>
      <c r="H382" s="1203">
        <f>'RC1_Structure_RE'!E411</f>
        <v>0</v>
      </c>
      <c r="I382" s="1203">
        <f>'RC1_Structure_RE'!I411</f>
        <v>0</v>
      </c>
      <c r="J382" s="1203">
        <f>'RC1_Structure_RE'!L411</f>
        <v>0</v>
      </c>
      <c r="K382" s="1203">
        <f>'RC1_Structure_RE'!M411</f>
        <v>0</v>
      </c>
    </row>
    <row r="383" spans="1:11">
      <c r="A383" t="s">
        <v>10</v>
      </c>
      <c r="B383" t="s">
        <v>27</v>
      </c>
      <c r="C383" t="s">
        <v>33</v>
      </c>
      <c r="D383" t="s">
        <v>31</v>
      </c>
      <c r="E383" t="str" cm="1">
        <f t="array" ref="E383">_xlfn.LET(_xlpm.c,'RC1_Structure_RE'!C412, _xlpm.b, 'RC1_Structure_RE'!B412, IF(_xlpm.c&lt;&gt;"", _xlpm.c, _xlpm.b))</f>
        <v>ขนาดเส้นผ่านศูนย์กลาง 12 ม.ม. SD-50</v>
      </c>
      <c r="F383" s="1205"/>
      <c r="G383" s="1203" t="str">
        <f>'RC1_Structure_RE'!F412</f>
        <v>กก.</v>
      </c>
      <c r="H383" s="1203">
        <f>'RC1_Structure_RE'!E412</f>
        <v>8600</v>
      </c>
      <c r="I383" s="1203">
        <f>'RC1_Structure_RE'!I412</f>
        <v>156382.06902169</v>
      </c>
      <c r="J383" s="1203">
        <f>'RC1_Structure_RE'!L412</f>
        <v>28944.753135120001</v>
      </c>
      <c r="K383" s="1203">
        <f>'RC1_Structure_RE'!M412</f>
        <v>185326.82215681</v>
      </c>
    </row>
    <row r="384" spans="1:11">
      <c r="A384" t="s">
        <v>10</v>
      </c>
      <c r="B384" t="s">
        <v>27</v>
      </c>
      <c r="C384" t="s">
        <v>33</v>
      </c>
      <c r="D384" t="s">
        <v>31</v>
      </c>
      <c r="E384" t="str" cm="1">
        <f t="array" ref="E384">_xlfn.LET(_xlpm.c,'RC1_Structure_RE'!C413, _xlpm.b, 'RC1_Structure_RE'!B413, IF(_xlpm.c&lt;&gt;"", _xlpm.c, _xlpm.b))</f>
        <v>ขนาดเส้นผ่านศูนย์กลาง 16 ม.ม. SD-50</v>
      </c>
      <c r="F384" s="1205"/>
      <c r="G384" s="1203" t="str">
        <f>'RC1_Structure_RE'!F413</f>
        <v>กก.</v>
      </c>
      <c r="H384" s="1203">
        <f>'RC1_Structure_RE'!E413</f>
        <v>1480</v>
      </c>
      <c r="I384" s="1203">
        <f>'RC1_Structure_RE'!I413</f>
        <v>26635.530259029998</v>
      </c>
      <c r="J384" s="1203">
        <f>'RC1_Structure_RE'!L413</f>
        <v>4981.1900744160002</v>
      </c>
      <c r="K384" s="1203">
        <f>'RC1_Structure_RE'!M413</f>
        <v>31616.720333445999</v>
      </c>
    </row>
    <row r="385" spans="1:11">
      <c r="A385" t="s">
        <v>10</v>
      </c>
      <c r="B385" t="s">
        <v>27</v>
      </c>
      <c r="C385" t="s">
        <v>33</v>
      </c>
      <c r="D385" t="s">
        <v>31</v>
      </c>
      <c r="E385" t="str" cm="1">
        <f t="array" ref="E385">_xlfn.LET(_xlpm.c,'RC1_Structure_RE'!C414, _xlpm.b, 'RC1_Structure_RE'!B414, IF(_xlpm.c&lt;&gt;"", _xlpm.c, _xlpm.b))</f>
        <v>ลวดผูกเหล็ก</v>
      </c>
      <c r="F385" s="1205"/>
      <c r="G385" s="1203" t="str">
        <f>'RC1_Structure_RE'!F414</f>
        <v>กก.</v>
      </c>
      <c r="H385" s="1203">
        <f>'RC1_Structure_RE'!E414</f>
        <v>181</v>
      </c>
      <c r="I385" s="1203">
        <f>'RC1_Structure_RE'!I414</f>
        <v>4585.8174613397005</v>
      </c>
      <c r="J385" s="1203">
        <f>'RC1_Structure_RE'!L414</f>
        <v>0</v>
      </c>
      <c r="K385" s="1203">
        <f>'RC1_Structure_RE'!M414</f>
        <v>4585.8174613397005</v>
      </c>
    </row>
    <row r="386" spans="1:11">
      <c r="A386" t="s">
        <v>10</v>
      </c>
      <c r="B386" t="s">
        <v>27</v>
      </c>
      <c r="C386" t="s">
        <v>33</v>
      </c>
      <c r="D386" t="s">
        <v>31</v>
      </c>
      <c r="E386" t="str" cm="1">
        <f t="array" ref="E386">_xlfn.LET(_xlpm.c,'RC1_Structure_RE'!C415, _xlpm.b, 'RC1_Structure_RE'!B415, IF(_xlpm.c&lt;&gt;"", _xlpm.c, _xlpm.b))</f>
        <v>งานไม้แบบ</v>
      </c>
      <c r="F386" s="1205"/>
      <c r="G386" s="1203">
        <f>'RC1_Structure_RE'!F415</f>
        <v>0</v>
      </c>
      <c r="H386" s="1203">
        <f>'RC1_Structure_RE'!E415</f>
        <v>0</v>
      </c>
      <c r="I386" s="1203">
        <f>'RC1_Structure_RE'!I415</f>
        <v>0</v>
      </c>
      <c r="J386" s="1203">
        <f>'RC1_Structure_RE'!L415</f>
        <v>0</v>
      </c>
      <c r="K386" s="1203">
        <f>'RC1_Structure_RE'!M415</f>
        <v>0</v>
      </c>
    </row>
    <row r="387" spans="1:11">
      <c r="A387" t="s">
        <v>10</v>
      </c>
      <c r="B387" t="s">
        <v>27</v>
      </c>
      <c r="C387" t="s">
        <v>33</v>
      </c>
      <c r="D387" t="s">
        <v>31</v>
      </c>
      <c r="E387" t="str" cm="1">
        <f t="array" ref="E387">_xlfn.LET(_xlpm.c,'RC1_Structure_RE'!C416, _xlpm.b, 'RC1_Structure_RE'!B416, IF(_xlpm.c&lt;&gt;"", _xlpm.c, _xlpm.b))</f>
        <v>ไม้แบบ ค้ำยัน นั่งร้าน (อาคาร 4 ชั้นขึ้นไป ใช้ 50%)</v>
      </c>
      <c r="F387" s="1205"/>
      <c r="G387" s="1203" t="str">
        <f>'RC1_Structure_RE'!F416</f>
        <v>ตร.ม.</v>
      </c>
      <c r="H387" s="1203">
        <f>'RC1_Structure_RE'!E416</f>
        <v>538</v>
      </c>
      <c r="I387" s="1203">
        <f>'RC1_Structure_RE'!I416</f>
        <v>123330.82578092719</v>
      </c>
      <c r="J387" s="1203">
        <f>'RC1_Structure_RE'!L416</f>
        <v>0</v>
      </c>
      <c r="K387" s="1203">
        <f>'RC1_Structure_RE'!M416</f>
        <v>123330.82578092719</v>
      </c>
    </row>
    <row r="388" spans="1:11">
      <c r="A388" t="s">
        <v>10</v>
      </c>
      <c r="B388" t="s">
        <v>27</v>
      </c>
      <c r="C388" t="s">
        <v>33</v>
      </c>
      <c r="D388" t="s">
        <v>31</v>
      </c>
      <c r="E388" t="str" cm="1">
        <f t="array" ref="E388">_xlfn.LET(_xlpm.c,'RC1_Structure_RE'!C417, _xlpm.b, 'RC1_Structure_RE'!B417, IF(_xlpm.c&lt;&gt;"", _xlpm.c, _xlpm.b))</f>
        <v>ค่าแรงประกอบและติดตั้งไม้แบบหล่อคอนกรีต (ใช้ 100%)</v>
      </c>
      <c r="F388" s="1205"/>
      <c r="G388" s="1203" t="str">
        <f>'RC1_Structure_RE'!F417</f>
        <v>ตร.ม.</v>
      </c>
      <c r="H388" s="1203">
        <f>'RC1_Structure_RE'!E417</f>
        <v>1076</v>
      </c>
      <c r="I388" s="1203">
        <f>'RC1_Structure_RE'!I417</f>
        <v>0</v>
      </c>
      <c r="J388" s="1203">
        <f>'RC1_Structure_RE'!L417</f>
        <v>121721.288087212</v>
      </c>
      <c r="K388" s="1203">
        <f>'RC1_Structure_RE'!M417</f>
        <v>121721.288087212</v>
      </c>
    </row>
    <row r="389" spans="1:11">
      <c r="A389" t="s">
        <v>10</v>
      </c>
      <c r="B389" t="s">
        <v>27</v>
      </c>
      <c r="C389" t="s">
        <v>33</v>
      </c>
      <c r="D389" t="s">
        <v>31</v>
      </c>
      <c r="E389" t="str" cm="1">
        <f t="array" ref="E389">_xlfn.LET(_xlpm.c,'RC1_Structure_RE'!C418, _xlpm.b, 'RC1_Structure_RE'!B418, IF(_xlpm.c&lt;&gt;"", _xlpm.c, _xlpm.b))</f>
        <v>ไม้เคร่า (ใช้ 30% ของไม้แบบ 1 ตร.ม.)</v>
      </c>
      <c r="F389" s="1205"/>
      <c r="G389" s="1203" t="str">
        <f>'RC1_Structure_RE'!F418</f>
        <v>ลบ.ฟ.</v>
      </c>
      <c r="H389" s="1203">
        <f>'RC1_Structure_RE'!E418</f>
        <v>162</v>
      </c>
      <c r="I389" s="1203">
        <f>'RC1_Structure_RE'!I418</f>
        <v>46863.238160243876</v>
      </c>
      <c r="J389" s="1203">
        <f>'RC1_Structure_RE'!L418</f>
        <v>0</v>
      </c>
      <c r="K389" s="1203">
        <f>'RC1_Structure_RE'!M418</f>
        <v>46863.238160243876</v>
      </c>
    </row>
    <row r="390" spans="1:11">
      <c r="A390" t="s">
        <v>10</v>
      </c>
      <c r="B390" t="s">
        <v>27</v>
      </c>
      <c r="C390" t="s">
        <v>33</v>
      </c>
      <c r="D390" t="s">
        <v>31</v>
      </c>
      <c r="E390" t="str" cm="1">
        <f t="array" ref="E390">_xlfn.LET(_xlpm.c,'RC1_Structure_RE'!C419, _xlpm.b, 'RC1_Structure_RE'!B419, IF(_xlpm.c&lt;&gt;"", _xlpm.c, _xlpm.b))</f>
        <v>ตะปู (ใช้ 25% ของไม้แบบ 1 ตร.ม.)</v>
      </c>
      <c r="F390" s="1205"/>
      <c r="G390" s="1203" t="str">
        <f>'RC1_Structure_RE'!F419</f>
        <v>กก.</v>
      </c>
      <c r="H390" s="1203">
        <f>'RC1_Structure_RE'!E419</f>
        <v>135</v>
      </c>
      <c r="I390" s="1203">
        <f>'RC1_Structure_RE'!I419</f>
        <v>2948.3260170191998</v>
      </c>
      <c r="J390" s="1203">
        <f>'RC1_Structure_RE'!L419</f>
        <v>0</v>
      </c>
      <c r="K390" s="1203">
        <f>'RC1_Structure_RE'!M419</f>
        <v>2948.3260170191998</v>
      </c>
    </row>
    <row r="391" spans="1:11">
      <c r="A391" t="s">
        <v>10</v>
      </c>
      <c r="B391" t="s">
        <v>27</v>
      </c>
      <c r="C391" t="s">
        <v>33</v>
      </c>
      <c r="D391" t="s">
        <v>31</v>
      </c>
      <c r="E391" t="str" cm="1">
        <f t="array" ref="E391">_xlfn.LET(_xlpm.c,'RC1_Structure_RE'!C420, _xlpm.b, 'RC1_Structure_RE'!B420, IF(_xlpm.c&lt;&gt;"", _xlpm.c, _xlpm.b))</f>
        <v>งานคอนกรีตโครงสร้าง</v>
      </c>
      <c r="F391" s="1205"/>
      <c r="G391" s="1203">
        <f>'RC1_Structure_RE'!F420</f>
        <v>0</v>
      </c>
      <c r="H391" s="1203">
        <f>'RC1_Structure_RE'!E420</f>
        <v>0</v>
      </c>
      <c r="I391" s="1203">
        <f>'RC1_Structure_RE'!I420</f>
        <v>0</v>
      </c>
      <c r="J391" s="1203">
        <f>'RC1_Structure_RE'!L420</f>
        <v>0</v>
      </c>
      <c r="K391" s="1203">
        <f>'RC1_Structure_RE'!M420</f>
        <v>0</v>
      </c>
    </row>
    <row r="392" spans="1:11">
      <c r="A392" t="s">
        <v>10</v>
      </c>
      <c r="B392" t="s">
        <v>27</v>
      </c>
      <c r="C392" t="s">
        <v>33</v>
      </c>
      <c r="D392" t="s">
        <v>31</v>
      </c>
      <c r="E392" t="str" cm="1">
        <f t="array" ref="E392">_xlfn.LET(_xlpm.c,'RC1_Structure_RE'!C421, _xlpm.b, 'RC1_Structure_RE'!B421, IF(_xlpm.c&lt;&gt;"", _xlpm.c, _xlpm.b))</f>
        <v>งานคอนกรีตโครงสร้าง 320 ksc.</v>
      </c>
      <c r="F392" s="1205"/>
      <c r="G392" s="1203" t="str">
        <f>'RC1_Structure_RE'!F421</f>
        <v>ลบ.ม.</v>
      </c>
      <c r="H392" s="1203">
        <f>'RC1_Structure_RE'!E421</f>
        <v>108</v>
      </c>
      <c r="I392" s="1203">
        <f>'RC1_Structure_RE'!I421</f>
        <v>270589.68811677239</v>
      </c>
      <c r="J392" s="1203">
        <f>'RC1_Structure_RE'!L421</f>
        <v>52403.465850443994</v>
      </c>
      <c r="K392" s="1203">
        <f>'RC1_Structure_RE'!M421</f>
        <v>322993.15396721638</v>
      </c>
    </row>
    <row r="393" spans="1:11">
      <c r="A393" t="s">
        <v>10</v>
      </c>
      <c r="B393" t="s">
        <v>27</v>
      </c>
      <c r="C393" t="s">
        <v>33</v>
      </c>
      <c r="D393" t="s">
        <v>36</v>
      </c>
      <c r="E393" t="str" cm="1">
        <f t="array" ref="E393">_xlfn.LET(_xlpm.c,'RC1_Structure_RE'!C422, _xlpm.b, 'RC1_Structure_RE'!B422, IF(_xlpm.c&lt;&gt;"", _xlpm.c, _xlpm.b))</f>
        <v>Catwalk ชั้นที่ 2 (ref. dwg A429)</v>
      </c>
      <c r="F393" s="1205"/>
      <c r="G393" s="1203">
        <f>'RC1_Structure_RE'!F422</f>
        <v>0</v>
      </c>
      <c r="H393" s="1203">
        <f>'RC1_Structure_RE'!E422</f>
        <v>0</v>
      </c>
      <c r="I393" s="1203">
        <f>'RC1_Structure_RE'!I422</f>
        <v>0</v>
      </c>
      <c r="J393" s="1203">
        <f>'RC1_Structure_RE'!L422</f>
        <v>0</v>
      </c>
      <c r="K393" s="1203">
        <f>'RC1_Structure_RE'!M422</f>
        <v>0</v>
      </c>
    </row>
    <row r="394" spans="1:11">
      <c r="A394" t="s">
        <v>10</v>
      </c>
      <c r="B394" t="s">
        <v>27</v>
      </c>
      <c r="C394" t="s">
        <v>33</v>
      </c>
      <c r="D394" t="s">
        <v>36</v>
      </c>
      <c r="E394" t="str" cm="1">
        <f t="array" ref="E394">_xlfn.LET(_xlpm.c,'RC1_Structure_RE'!C423, _xlpm.b, 'RC1_Structure_RE'!B423, IF(_xlpm.c&lt;&gt;"", _xlpm.c, _xlpm.b))</f>
        <v>เหล็กกล่อง 100x50x3.2 mm. THK</v>
      </c>
      <c r="F394" s="1205"/>
      <c r="G394" s="1203" t="str">
        <f>'RC1_Structure_RE'!F423</f>
        <v>กก.</v>
      </c>
      <c r="H394" s="1203">
        <f>'RC1_Structure_RE'!E423</f>
        <v>211</v>
      </c>
      <c r="I394" s="1203">
        <f>'RC1_Structure_RE'!I423</f>
        <v>5235.4289687171795</v>
      </c>
      <c r="J394" s="1203">
        <f>'RC1_Structure_RE'!L423</f>
        <v>2761.7183708379998</v>
      </c>
      <c r="K394" s="1203">
        <f>'RC1_Structure_RE'!M423</f>
        <v>7997.1473395551793</v>
      </c>
    </row>
    <row r="395" spans="1:11">
      <c r="A395" t="s">
        <v>10</v>
      </c>
      <c r="B395" t="s">
        <v>27</v>
      </c>
      <c r="C395" t="s">
        <v>33</v>
      </c>
      <c r="D395" t="s">
        <v>36</v>
      </c>
      <c r="E395" t="str" cm="1">
        <f t="array" ref="E395">_xlfn.LET(_xlpm.c,'RC1_Structure_RE'!C424, _xlpm.b, 'RC1_Structure_RE'!B424, IF(_xlpm.c&lt;&gt;"", _xlpm.c, _xlpm.b))</f>
        <v>เหล็กกล่อง 75x38x2.3 mm. THK</v>
      </c>
      <c r="F395" s="1205"/>
      <c r="G395" s="1203" t="str">
        <f>'RC1_Structure_RE'!F424</f>
        <v>กก.</v>
      </c>
      <c r="H395" s="1203">
        <f>'RC1_Structure_RE'!E424</f>
        <v>526</v>
      </c>
      <c r="I395" s="1203">
        <f>'RC1_Structure_RE'!I424</f>
        <v>13154.6236753135</v>
      </c>
      <c r="J395" s="1203">
        <f>'RC1_Structure_RE'!L424</f>
        <v>6884.6628581079995</v>
      </c>
      <c r="K395" s="1203">
        <f>'RC1_Structure_RE'!M424</f>
        <v>20039.286533421498</v>
      </c>
    </row>
    <row r="396" spans="1:11">
      <c r="A396" t="s">
        <v>10</v>
      </c>
      <c r="B396" t="s">
        <v>27</v>
      </c>
      <c r="C396" t="s">
        <v>33</v>
      </c>
      <c r="D396" t="s">
        <v>36</v>
      </c>
      <c r="E396" t="str" cm="1">
        <f t="array" ref="E396">_xlfn.LET(_xlpm.c,'RC1_Structure_RE'!C425, _xlpm.b, 'RC1_Structure_RE'!B425, IF(_xlpm.c&lt;&gt;"", _xlpm.c, _xlpm.b))</f>
        <v>เหล็กกล่อง 50x25x2.3 mm. THK</v>
      </c>
      <c r="F396" s="1205"/>
      <c r="G396" s="1203" t="str">
        <f>'RC1_Structure_RE'!F425</f>
        <v>กก.</v>
      </c>
      <c r="H396" s="1203">
        <f>'RC1_Structure_RE'!E425</f>
        <v>425</v>
      </c>
      <c r="I396" s="1203">
        <f>'RC1_Structure_RE'!I425</f>
        <v>10640.6559369305</v>
      </c>
      <c r="J396" s="1203">
        <f>'RC1_Structure_RE'!L425</f>
        <v>5562.702879649999</v>
      </c>
      <c r="K396" s="1203">
        <f>'RC1_Structure_RE'!M425</f>
        <v>16203.358816580498</v>
      </c>
    </row>
    <row r="397" spans="1:11">
      <c r="A397" t="s">
        <v>10</v>
      </c>
      <c r="B397" t="s">
        <v>27</v>
      </c>
      <c r="C397" t="s">
        <v>33</v>
      </c>
      <c r="D397" t="s">
        <v>36</v>
      </c>
      <c r="E397" t="str" cm="1">
        <f t="array" ref="E397">_xlfn.LET(_xlpm.c,'RC1_Structure_RE'!C426, _xlpm.b, 'RC1_Structure_RE'!B426, IF(_xlpm.c&lt;&gt;"", _xlpm.c, _xlpm.b))</f>
        <v>งานสีกันสนิม</v>
      </c>
      <c r="F397" s="1205"/>
      <c r="G397" s="1203" t="str">
        <f>'RC1_Structure_RE'!F426</f>
        <v>ตร.ม.</v>
      </c>
      <c r="H397" s="1203">
        <f>'RC1_Structure_RE'!E426</f>
        <v>63</v>
      </c>
      <c r="I397" s="1203">
        <f>'RC1_Structure_RE'!I426</f>
        <v>1650.3557790472198</v>
      </c>
      <c r="J397" s="1203">
        <f>'RC1_Structure_RE'!L426</f>
        <v>1766.9762088299999</v>
      </c>
      <c r="K397" s="1203">
        <f>'RC1_Structure_RE'!M426</f>
        <v>3417.3319878772199</v>
      </c>
    </row>
    <row r="398" spans="1:11">
      <c r="A398" t="s">
        <v>10</v>
      </c>
      <c r="B398" t="s">
        <v>27</v>
      </c>
      <c r="C398" t="s">
        <v>33</v>
      </c>
      <c r="D398" t="s">
        <v>36</v>
      </c>
      <c r="E398" t="str" cm="1">
        <f t="array" ref="E398">_xlfn.LET(_xlpm.c,'RC1_Structure_RE'!C427, _xlpm.b, 'RC1_Structure_RE'!B427, IF(_xlpm.c&lt;&gt;"", _xlpm.c, _xlpm.b))</f>
        <v>งานสีน้ำมัน</v>
      </c>
      <c r="F398" s="1205"/>
      <c r="G398" s="1203" t="str">
        <f>'RC1_Structure_RE'!F427</f>
        <v>ตร.ม.</v>
      </c>
      <c r="H398" s="1203">
        <f>'RC1_Structure_RE'!E427</f>
        <v>63</v>
      </c>
      <c r="I398" s="1203">
        <f>'RC1_Structure_RE'!I427</f>
        <v>1903.6223689795199</v>
      </c>
      <c r="J398" s="1203">
        <f>'RC1_Structure_RE'!L427</f>
        <v>2061.4722436349998</v>
      </c>
      <c r="K398" s="1203">
        <f>'RC1_Structure_RE'!M427</f>
        <v>3965.09461261452</v>
      </c>
    </row>
    <row r="399" spans="1:11">
      <c r="A399" t="s">
        <v>10</v>
      </c>
      <c r="B399" t="s">
        <v>27</v>
      </c>
      <c r="C399" t="s">
        <v>33</v>
      </c>
      <c r="D399" t="s">
        <v>36</v>
      </c>
      <c r="E399" t="str" cm="1">
        <f t="array" ref="E399">_xlfn.LET(_xlpm.c,'RC1_Structure_RE'!C428, _xlpm.b, 'RC1_Structure_RE'!B428, IF(_xlpm.c&lt;&gt;"", _xlpm.c, _xlpm.b))</f>
        <v>งานทาสีกันไฟ Fireproof Coating  ความหนาไม่น้อยกว่า 500 ไมครอน</v>
      </c>
      <c r="F399" s="1205"/>
      <c r="G399" s="1203" t="str">
        <f>'RC1_Structure_RE'!F428</f>
        <v>ตร.ม.</v>
      </c>
      <c r="H399" s="1203">
        <f>'RC1_Structure_RE'!E428</f>
        <v>63</v>
      </c>
      <c r="I399" s="1203">
        <f>'RC1_Structure_RE'!I428</f>
        <v>7656.8969049299994</v>
      </c>
      <c r="J399" s="1203">
        <f>'RC1_Structure_RE'!L428</f>
        <v>1766.9762088299999</v>
      </c>
      <c r="K399" s="1203">
        <f>'RC1_Structure_RE'!M428</f>
        <v>9423.8731137599989</v>
      </c>
    </row>
    <row r="400" spans="1:11">
      <c r="F400" s="1205"/>
      <c r="G400" s="1203"/>
      <c r="H400" s="1203"/>
      <c r="I400" s="1203"/>
      <c r="J400" s="1203"/>
      <c r="K400" s="1203"/>
    </row>
    <row r="401" spans="6:11">
      <c r="F401" s="1205"/>
      <c r="G401" s="1203"/>
      <c r="H401" s="1203"/>
      <c r="I401" s="1203"/>
      <c r="J401" s="1203"/>
      <c r="K401" s="1203"/>
    </row>
    <row r="402" spans="6:11">
      <c r="F402" s="1205"/>
      <c r="G402" s="1203"/>
      <c r="H402" s="1203"/>
      <c r="I402" s="1203"/>
      <c r="J402" s="1203"/>
      <c r="K402" s="1203"/>
    </row>
    <row r="403" spans="6:11">
      <c r="F403" s="1205"/>
      <c r="G403" s="1203"/>
      <c r="H403" s="1203"/>
      <c r="I403" s="1203"/>
      <c r="J403" s="1203"/>
      <c r="K403" s="1203"/>
    </row>
    <row r="404" spans="6:11">
      <c r="F404" s="1205"/>
      <c r="G404" s="1203"/>
      <c r="H404" s="1203"/>
      <c r="I404" s="1203"/>
      <c r="J404" s="1203"/>
      <c r="K404" s="1203"/>
    </row>
    <row r="405" spans="6:11">
      <c r="F405" s="1205"/>
      <c r="G405" s="1203"/>
      <c r="H405" s="1203"/>
      <c r="I405" s="1203"/>
      <c r="J405" s="1203"/>
      <c r="K405" s="1203"/>
    </row>
    <row r="406" spans="6:11">
      <c r="F406" s="1205"/>
      <c r="G406" s="1203"/>
      <c r="H406" s="1203"/>
      <c r="I406" s="1203"/>
      <c r="J406" s="1203"/>
      <c r="K406" s="1203"/>
    </row>
    <row r="407" spans="6:11">
      <c r="F407" s="1205"/>
      <c r="G407" s="1203"/>
      <c r="H407" s="1203"/>
      <c r="I407" s="1203"/>
      <c r="J407" s="1203"/>
      <c r="K407" s="1203"/>
    </row>
    <row r="408" spans="6:11">
      <c r="F408" s="1205"/>
      <c r="G408" s="1203"/>
      <c r="H408" s="1203"/>
      <c r="I408" s="1203"/>
      <c r="J408" s="1203"/>
      <c r="K408" s="1203"/>
    </row>
    <row r="409" spans="6:11">
      <c r="F409" s="1205"/>
      <c r="G409" s="1203"/>
      <c r="H409" s="1203"/>
      <c r="I409" s="1203"/>
      <c r="J409" s="1203"/>
      <c r="K409" s="1203"/>
    </row>
    <row r="410" spans="6:11">
      <c r="F410" s="1205"/>
      <c r="G410" s="1203"/>
      <c r="H410" s="1203"/>
      <c r="I410" s="1203"/>
      <c r="J410" s="1203"/>
      <c r="K410" s="1203"/>
    </row>
    <row r="411" spans="6:11">
      <c r="F411" s="1205"/>
      <c r="G411" s="1203"/>
      <c r="H411" s="1203"/>
      <c r="I411" s="1203"/>
      <c r="J411" s="1203"/>
      <c r="K411" s="1203"/>
    </row>
    <row r="412" spans="6:11">
      <c r="F412" s="1205"/>
      <c r="G412" s="1203"/>
      <c r="H412" s="1203"/>
      <c r="I412" s="1203"/>
      <c r="J412" s="1203"/>
      <c r="K412" s="1203"/>
    </row>
    <row r="413" spans="6:11">
      <c r="F413" s="1205"/>
      <c r="G413" s="1203"/>
      <c r="H413" s="1203"/>
      <c r="I413" s="1203"/>
      <c r="J413" s="1203"/>
      <c r="K413" s="1203"/>
    </row>
    <row r="414" spans="6:11">
      <c r="F414" s="1205"/>
      <c r="G414" s="1203"/>
      <c r="H414" s="1203"/>
      <c r="I414" s="1203"/>
      <c r="J414" s="1203"/>
      <c r="K414" s="1203"/>
    </row>
    <row r="415" spans="6:11">
      <c r="F415" s="1205"/>
      <c r="G415" s="1203"/>
      <c r="H415" s="1203"/>
      <c r="I415" s="1203"/>
      <c r="J415" s="1203"/>
      <c r="K415" s="1203"/>
    </row>
    <row r="416" spans="6:11">
      <c r="F416" s="1205"/>
      <c r="G416" s="1203"/>
      <c r="H416" s="1203"/>
      <c r="I416" s="1203"/>
      <c r="J416" s="1203"/>
      <c r="K416" s="1203"/>
    </row>
    <row r="417" spans="1:11">
      <c r="F417" s="1205"/>
      <c r="G417" s="1203"/>
      <c r="H417" s="1203"/>
      <c r="I417" s="1203"/>
      <c r="J417" s="1203"/>
      <c r="K417" s="1203"/>
    </row>
    <row r="418" spans="1:11">
      <c r="F418" s="1205"/>
      <c r="G418" s="1203"/>
      <c r="H418" s="1203"/>
      <c r="I418" s="1203"/>
      <c r="J418" s="1203"/>
      <c r="K418" s="1203"/>
    </row>
    <row r="419" spans="1:11">
      <c r="F419" s="1205"/>
      <c r="G419" s="1203"/>
      <c r="H419" s="1203"/>
      <c r="I419" s="1203"/>
      <c r="J419" s="1203"/>
      <c r="K419" s="1203"/>
    </row>
    <row r="420" spans="1:11">
      <c r="E420" t="str" cm="1">
        <f t="array" ref="E420">_xlfn.LET(_xlpm.c,'RC1_Structure_RE'!C449, _xlpm.b, 'RC1_Structure_RE'!B449, IF(_xlpm.c&lt;&gt;"", _xlpm.c, _xlpm.b))</f>
        <v>งานโครงสร้าง คาน พื้น เสา ผนังชั้น 3</v>
      </c>
      <c r="F420" s="1205"/>
      <c r="G420" s="1203">
        <f>'RC1_Structure_RE'!F449</f>
        <v>0</v>
      </c>
      <c r="H420" s="1203">
        <f>'RC1_Structure_RE'!E449</f>
        <v>0</v>
      </c>
      <c r="I420" s="1203">
        <f>'RC1_Structure_RE'!I449</f>
        <v>0</v>
      </c>
      <c r="J420" s="1203">
        <f>'RC1_Structure_RE'!L449</f>
        <v>0</v>
      </c>
      <c r="K420" s="1203">
        <f>'RC1_Structure_RE'!M449</f>
        <v>0</v>
      </c>
    </row>
    <row r="421" spans="1:11">
      <c r="E421" cm="1">
        <f t="array" ref="E421">_xlfn.LET(_xlpm.c,'RC1_Structure_RE'!C450, _xlpm.b, 'RC1_Structure_RE'!B450, IF(_xlpm.c&lt;&gt;"", _xlpm.c, _xlpm.b))</f>
        <v>0</v>
      </c>
      <c r="F421" s="1205"/>
      <c r="G421" s="1203">
        <f>'RC1_Structure_RE'!F450</f>
        <v>0</v>
      </c>
      <c r="H421" s="1203">
        <f>'RC1_Structure_RE'!E450</f>
        <v>0</v>
      </c>
      <c r="I421" s="1203">
        <f>'RC1_Structure_RE'!I450</f>
        <v>0</v>
      </c>
      <c r="J421" s="1203">
        <f>'RC1_Structure_RE'!L450</f>
        <v>0</v>
      </c>
      <c r="K421" s="1203">
        <f>'RC1_Structure_RE'!M450</f>
        <v>0</v>
      </c>
    </row>
    <row r="422" spans="1:11">
      <c r="A422" t="s">
        <v>10</v>
      </c>
      <c r="B422" t="s">
        <v>27</v>
      </c>
      <c r="C422" t="s">
        <v>37</v>
      </c>
      <c r="D422" t="s">
        <v>17</v>
      </c>
      <c r="E422" t="str" cm="1">
        <f t="array" ref="E422">_xlfn.LET(_xlpm.c,'RC1_Structure_RE'!C451, _xlpm.b, 'RC1_Structure_RE'!B451, IF(_xlpm.c&lt;&gt;"", _xlpm.c, _xlpm.b))</f>
        <v>โครงสร้างคาน ชั้น 3</v>
      </c>
      <c r="F422" s="1205"/>
      <c r="G422" s="1203">
        <f>'RC1_Structure_RE'!F451</f>
        <v>0</v>
      </c>
      <c r="H422" s="1203">
        <f>'RC1_Structure_RE'!E451</f>
        <v>0</v>
      </c>
      <c r="I422" s="1203">
        <f>'RC1_Structure_RE'!I451</f>
        <v>0</v>
      </c>
      <c r="J422" s="1203">
        <f>'RC1_Structure_RE'!L451</f>
        <v>0</v>
      </c>
      <c r="K422" s="1203">
        <f>'RC1_Structure_RE'!M451</f>
        <v>0</v>
      </c>
    </row>
    <row r="423" spans="1:11">
      <c r="A423" t="s">
        <v>10</v>
      </c>
      <c r="B423" t="s">
        <v>27</v>
      </c>
      <c r="C423" t="s">
        <v>37</v>
      </c>
      <c r="D423" t="s">
        <v>17</v>
      </c>
      <c r="E423" t="str" cm="1">
        <f t="array" ref="E423">_xlfn.LET(_xlpm.c,'RC1_Structure_RE'!C452, _xlpm.b, 'RC1_Structure_RE'!B452, IF(_xlpm.c&lt;&gt;"", _xlpm.c, _xlpm.b))</f>
        <v>งานเหล็กเสริม</v>
      </c>
      <c r="F423" s="1205"/>
      <c r="G423" s="1203">
        <f>'RC1_Structure_RE'!F452</f>
        <v>0</v>
      </c>
      <c r="H423" s="1203">
        <f>'RC1_Structure_RE'!E452</f>
        <v>0</v>
      </c>
      <c r="I423" s="1203">
        <f>'RC1_Structure_RE'!I452</f>
        <v>0</v>
      </c>
      <c r="J423" s="1203">
        <f>'RC1_Structure_RE'!L452</f>
        <v>0</v>
      </c>
      <c r="K423" s="1203">
        <f>'RC1_Structure_RE'!M452</f>
        <v>0</v>
      </c>
    </row>
    <row r="424" spans="1:11">
      <c r="A424" t="s">
        <v>10</v>
      </c>
      <c r="B424" t="s">
        <v>27</v>
      </c>
      <c r="C424" t="s">
        <v>37</v>
      </c>
      <c r="D424" t="s">
        <v>17</v>
      </c>
      <c r="E424" t="str" cm="1">
        <f t="array" ref="E424">_xlfn.LET(_xlpm.c,'RC1_Structure_RE'!C453, _xlpm.b, 'RC1_Structure_RE'!B453, IF(_xlpm.c&lt;&gt;"", _xlpm.c, _xlpm.b))</f>
        <v>ขนาดเส้นผ่านศูนย์กลาง 9 ม.ม. SR-24</v>
      </c>
      <c r="F424" s="1205"/>
      <c r="G424" s="1203" t="str">
        <f>'RC1_Structure_RE'!F453</f>
        <v>กก.</v>
      </c>
      <c r="H424" s="1203">
        <f>'RC1_Structure_RE'!E453</f>
        <v>244</v>
      </c>
      <c r="I424" s="1203">
        <f>'RC1_Structure_RE'!I453</f>
        <v>4471.1042439727998</v>
      </c>
      <c r="J424" s="1203">
        <f>'RC1_Structure_RE'!L453</f>
        <v>1003.7172792592</v>
      </c>
      <c r="K424" s="1203">
        <f>'RC1_Structure_RE'!M453</f>
        <v>5474.8215232319999</v>
      </c>
    </row>
    <row r="425" spans="1:11">
      <c r="A425" t="s">
        <v>10</v>
      </c>
      <c r="B425" t="s">
        <v>27</v>
      </c>
      <c r="C425" t="s">
        <v>37</v>
      </c>
      <c r="D425" t="s">
        <v>17</v>
      </c>
      <c r="E425" t="str" cm="1">
        <f t="array" ref="E425">_xlfn.LET(_xlpm.c,'RC1_Structure_RE'!C454, _xlpm.b, 'RC1_Structure_RE'!B454, IF(_xlpm.c&lt;&gt;"", _xlpm.c, _xlpm.b))</f>
        <v>ขนาดเส้นผ่านศูนย์กลาง 12 ม.ม. SD-50</v>
      </c>
      <c r="F425" s="1205"/>
      <c r="G425" s="1203" t="str">
        <f>'RC1_Structure_RE'!F454</f>
        <v>กก.</v>
      </c>
      <c r="H425" s="1203">
        <f>'RC1_Structure_RE'!E454</f>
        <v>30882</v>
      </c>
      <c r="I425" s="1203">
        <f>'RC1_Structure_RE'!I454</f>
        <v>561557.0994799803</v>
      </c>
      <c r="J425" s="1203">
        <f>'RC1_Structure_RE'!L454</f>
        <v>103938.58910683441</v>
      </c>
      <c r="K425" s="1203">
        <f>'RC1_Structure_RE'!M454</f>
        <v>665495.68858681468</v>
      </c>
    </row>
    <row r="426" spans="1:11">
      <c r="A426" t="s">
        <v>10</v>
      </c>
      <c r="B426" t="s">
        <v>27</v>
      </c>
      <c r="C426" t="s">
        <v>37</v>
      </c>
      <c r="D426" t="s">
        <v>17</v>
      </c>
      <c r="E426" t="str" cm="1">
        <f t="array" ref="E426">_xlfn.LET(_xlpm.c,'RC1_Structure_RE'!C455, _xlpm.b, 'RC1_Structure_RE'!B455, IF(_xlpm.c&lt;&gt;"", _xlpm.c, _xlpm.b))</f>
        <v>ขนาดเส้นผ่านศูนย์กลาง 16 ม.ม. SD-50</v>
      </c>
      <c r="F426" s="1205"/>
      <c r="G426" s="1203" t="str">
        <f>'RC1_Structure_RE'!F455</f>
        <v>กก.</v>
      </c>
      <c r="H426" s="1203">
        <f>'RC1_Structure_RE'!E455</f>
        <v>29140</v>
      </c>
      <c r="I426" s="1203">
        <f>'RC1_Structure_RE'!I455</f>
        <v>524431.99442441494</v>
      </c>
      <c r="J426" s="1203">
        <f>'RC1_Structure_RE'!L455</f>
        <v>98075.593762488003</v>
      </c>
      <c r="K426" s="1203">
        <f>'RC1_Structure_RE'!M455</f>
        <v>622507.58818690293</v>
      </c>
    </row>
    <row r="427" spans="1:11">
      <c r="A427" t="s">
        <v>10</v>
      </c>
      <c r="B427" t="s">
        <v>27</v>
      </c>
      <c r="C427" t="s">
        <v>37</v>
      </c>
      <c r="D427" t="s">
        <v>17</v>
      </c>
      <c r="E427" t="str" cm="1">
        <f t="array" ref="E427">_xlfn.LET(_xlpm.c,'RC1_Structure_RE'!C456, _xlpm.b, 'RC1_Structure_RE'!B456, IF(_xlpm.c&lt;&gt;"", _xlpm.c, _xlpm.b))</f>
        <v>ขนาดเส้นผ่านศูนย์กลาง 20 ม.ม. SD-50</v>
      </c>
      <c r="F427" s="1205"/>
      <c r="G427" s="1203" t="str">
        <f>'RC1_Structure_RE'!F456</f>
        <v>กก.</v>
      </c>
      <c r="H427" s="1203">
        <f>'RC1_Structure_RE'!E456</f>
        <v>4234</v>
      </c>
      <c r="I427" s="1203">
        <f>'RC1_Structure_RE'!I456</f>
        <v>76199.212916711491</v>
      </c>
      <c r="J427" s="1203">
        <f>'RC1_Structure_RE'!L456</f>
        <v>12271.042080093799</v>
      </c>
      <c r="K427" s="1203">
        <f>'RC1_Structure_RE'!M456</f>
        <v>88470.254996805292</v>
      </c>
    </row>
    <row r="428" spans="1:11">
      <c r="A428" t="s">
        <v>10</v>
      </c>
      <c r="B428" t="s">
        <v>27</v>
      </c>
      <c r="C428" t="s">
        <v>37</v>
      </c>
      <c r="D428" t="s">
        <v>17</v>
      </c>
      <c r="E428" t="str" cm="1">
        <f t="array" ref="E428">_xlfn.LET(_xlpm.c,'RC1_Structure_RE'!C457, _xlpm.b, 'RC1_Structure_RE'!B457, IF(_xlpm.c&lt;&gt;"", _xlpm.c, _xlpm.b))</f>
        <v>ขนาดเส้นผ่านศูนย์กลาง 25 ม.ม. SD-50</v>
      </c>
      <c r="F428" s="1205"/>
      <c r="G428" s="1203" t="str">
        <f>'RC1_Structure_RE'!F457</f>
        <v>กก.</v>
      </c>
      <c r="H428" s="1203">
        <f>'RC1_Structure_RE'!E457</f>
        <v>4041</v>
      </c>
      <c r="I428" s="1203">
        <f>'RC1_Structure_RE'!I457</f>
        <v>72725.795795094746</v>
      </c>
      <c r="J428" s="1203">
        <f>'RC1_Structure_RE'!L457</f>
        <v>11711.686595573699</v>
      </c>
      <c r="K428" s="1203">
        <f>'RC1_Structure_RE'!M457</f>
        <v>84437.482390668447</v>
      </c>
    </row>
    <row r="429" spans="1:11">
      <c r="A429" t="s">
        <v>10</v>
      </c>
      <c r="B429" t="s">
        <v>27</v>
      </c>
      <c r="C429" t="s">
        <v>37</v>
      </c>
      <c r="D429" t="s">
        <v>17</v>
      </c>
      <c r="E429" t="str" cm="1">
        <f t="array" ref="E429">_xlfn.LET(_xlpm.c,'RC1_Structure_RE'!C458, _xlpm.b, 'RC1_Structure_RE'!B458, IF(_xlpm.c&lt;&gt;"", _xlpm.c, _xlpm.b))</f>
        <v>ลวดผูกเหล็ก</v>
      </c>
      <c r="F429" s="1205"/>
      <c r="G429" s="1203" t="str">
        <f>'RC1_Structure_RE'!F458</f>
        <v>กก.</v>
      </c>
      <c r="H429" s="1203">
        <f>'RC1_Structure_RE'!E458</f>
        <v>1234</v>
      </c>
      <c r="I429" s="1203">
        <f>'RC1_Structure_RE'!I458</f>
        <v>31264.633962945802</v>
      </c>
      <c r="J429" s="1203">
        <f>'RC1_Structure_RE'!L458</f>
        <v>0</v>
      </c>
      <c r="K429" s="1203">
        <f>'RC1_Structure_RE'!M458</f>
        <v>31264.633962945802</v>
      </c>
    </row>
    <row r="430" spans="1:11">
      <c r="A430" t="s">
        <v>10</v>
      </c>
      <c r="B430" t="s">
        <v>27</v>
      </c>
      <c r="C430" t="s">
        <v>37</v>
      </c>
      <c r="D430" t="s">
        <v>17</v>
      </c>
      <c r="E430" t="str" cm="1">
        <f t="array" ref="E430">_xlfn.LET(_xlpm.c,'RC1_Structure_RE'!C459, _xlpm.b, 'RC1_Structure_RE'!B459, IF(_xlpm.c&lt;&gt;"", _xlpm.c, _xlpm.b))</f>
        <v>งานไม้แบบ</v>
      </c>
      <c r="F430" s="1205"/>
      <c r="G430" s="1203">
        <f>'RC1_Structure_RE'!F459</f>
        <v>0</v>
      </c>
      <c r="H430" s="1203">
        <f>'RC1_Structure_RE'!E459</f>
        <v>0</v>
      </c>
      <c r="I430" s="1203">
        <f>'RC1_Structure_RE'!I459</f>
        <v>0</v>
      </c>
      <c r="J430" s="1203">
        <f>'RC1_Structure_RE'!L459</f>
        <v>0</v>
      </c>
      <c r="K430" s="1203">
        <f>'RC1_Structure_RE'!M459</f>
        <v>0</v>
      </c>
    </row>
    <row r="431" spans="1:11">
      <c r="A431" t="s">
        <v>10</v>
      </c>
      <c r="B431" t="s">
        <v>27</v>
      </c>
      <c r="C431" t="s">
        <v>37</v>
      </c>
      <c r="D431" t="s">
        <v>17</v>
      </c>
      <c r="E431" t="str" cm="1">
        <f t="array" ref="E431">_xlfn.LET(_xlpm.c,'RC1_Structure_RE'!C460, _xlpm.b, 'RC1_Structure_RE'!B460, IF(_xlpm.c&lt;&gt;"", _xlpm.c, _xlpm.b))</f>
        <v>ไม้แบบ ค้ำยัน นั่งร้าน (อาคาร 4 ชั้นขึ้นไป ใช้ 50%)</v>
      </c>
      <c r="F431" s="1205"/>
      <c r="G431" s="1203" t="str">
        <f>'RC1_Structure_RE'!F460</f>
        <v>ตร.ม.</v>
      </c>
      <c r="H431" s="1203">
        <f>'RC1_Structure_RE'!E460</f>
        <v>1209</v>
      </c>
      <c r="I431" s="1203">
        <f>'RC1_Structure_RE'!I460</f>
        <v>277150.49882739957</v>
      </c>
      <c r="J431" s="1203">
        <f>'RC1_Structure_RE'!L460</f>
        <v>0</v>
      </c>
      <c r="K431" s="1203">
        <f>'RC1_Structure_RE'!M460</f>
        <v>277150.49882739957</v>
      </c>
    </row>
    <row r="432" spans="1:11">
      <c r="A432" t="s">
        <v>10</v>
      </c>
      <c r="B432" t="s">
        <v>27</v>
      </c>
      <c r="C432" t="s">
        <v>37</v>
      </c>
      <c r="D432" t="s">
        <v>17</v>
      </c>
      <c r="E432" t="str" cm="1">
        <f t="array" ref="E432">_xlfn.LET(_xlpm.c,'RC1_Structure_RE'!C461, _xlpm.b, 'RC1_Structure_RE'!B461, IF(_xlpm.c&lt;&gt;"", _xlpm.c, _xlpm.b))</f>
        <v>ค่าแรงประกอบและติดตั้งไม้แบบหล่อคอนกรีต (ใช้ 100%)</v>
      </c>
      <c r="F432" s="1205"/>
      <c r="G432" s="1203" t="str">
        <f>'RC1_Structure_RE'!F461</f>
        <v>ตร.ม.</v>
      </c>
      <c r="H432" s="1203">
        <f>'RC1_Structure_RE'!E461</f>
        <v>2417</v>
      </c>
      <c r="I432" s="1203">
        <f>'RC1_Structure_RE'!I461</f>
        <v>0</v>
      </c>
      <c r="J432" s="1203">
        <f>'RC1_Structure_RE'!L461</f>
        <v>273420.40270147898</v>
      </c>
      <c r="K432" s="1203">
        <f>'RC1_Structure_RE'!M461</f>
        <v>273420.40270147898</v>
      </c>
    </row>
    <row r="433" spans="1:11">
      <c r="A433" t="s">
        <v>10</v>
      </c>
      <c r="B433" t="s">
        <v>27</v>
      </c>
      <c r="C433" t="s">
        <v>37</v>
      </c>
      <c r="D433" t="s">
        <v>17</v>
      </c>
      <c r="E433" t="str" cm="1">
        <f t="array" ref="E433">_xlfn.LET(_xlpm.c,'RC1_Structure_RE'!C462, _xlpm.b, 'RC1_Structure_RE'!B462, IF(_xlpm.c&lt;&gt;"", _xlpm.c, _xlpm.b))</f>
        <v>ไม้เคร่า (ใช้ 30% ของไม้แบบ 1 ตร.ม.)</v>
      </c>
      <c r="F433" s="1205"/>
      <c r="G433" s="1203" t="str">
        <f>'RC1_Structure_RE'!F462</f>
        <v>ลบ.ฟ.</v>
      </c>
      <c r="H433" s="1203">
        <f>'RC1_Structure_RE'!E462</f>
        <v>363</v>
      </c>
      <c r="I433" s="1203">
        <f>'RC1_Structure_RE'!I462</f>
        <v>105008.36698869462</v>
      </c>
      <c r="J433" s="1203">
        <f>'RC1_Structure_RE'!L462</f>
        <v>0</v>
      </c>
      <c r="K433" s="1203">
        <f>'RC1_Structure_RE'!M462</f>
        <v>105008.36698869462</v>
      </c>
    </row>
    <row r="434" spans="1:11">
      <c r="A434" t="s">
        <v>10</v>
      </c>
      <c r="B434" t="s">
        <v>27</v>
      </c>
      <c r="C434" t="s">
        <v>37</v>
      </c>
      <c r="D434" t="s">
        <v>17</v>
      </c>
      <c r="E434" t="str" cm="1">
        <f t="array" ref="E434">_xlfn.LET(_xlpm.c,'RC1_Structure_RE'!C463, _xlpm.b, 'RC1_Structure_RE'!B463, IF(_xlpm.c&lt;&gt;"", _xlpm.c, _xlpm.b))</f>
        <v>ตะปู (ใช้ 25% ของไม้แบบ 1 ตร.ม.)</v>
      </c>
      <c r="F434" s="1205"/>
      <c r="G434" s="1203" t="str">
        <f>'RC1_Structure_RE'!F463</f>
        <v>กก.</v>
      </c>
      <c r="H434" s="1203">
        <f>'RC1_Structure_RE'!E463</f>
        <v>302</v>
      </c>
      <c r="I434" s="1203">
        <f>'RC1_Structure_RE'!I463</f>
        <v>6595.5144973318402</v>
      </c>
      <c r="J434" s="1203">
        <f>'RC1_Structure_RE'!L463</f>
        <v>0</v>
      </c>
      <c r="K434" s="1203">
        <f>'RC1_Structure_RE'!M463</f>
        <v>6595.5144973318402</v>
      </c>
    </row>
    <row r="435" spans="1:11">
      <c r="A435" t="s">
        <v>10</v>
      </c>
      <c r="B435" t="s">
        <v>27</v>
      </c>
      <c r="C435" t="s">
        <v>37</v>
      </c>
      <c r="D435" t="s">
        <v>17</v>
      </c>
      <c r="E435" t="str" cm="1">
        <f t="array" ref="E435">_xlfn.LET(_xlpm.c,'RC1_Structure_RE'!C464, _xlpm.b, 'RC1_Structure_RE'!B464, IF(_xlpm.c&lt;&gt;"", _xlpm.c, _xlpm.b))</f>
        <v>งานคอนกรีตโครงสร้าง</v>
      </c>
      <c r="F435" s="1205"/>
      <c r="G435" s="1203">
        <f>'RC1_Structure_RE'!F464</f>
        <v>0</v>
      </c>
      <c r="H435" s="1203">
        <f>'RC1_Structure_RE'!E464</f>
        <v>0</v>
      </c>
      <c r="I435" s="1203">
        <f>'RC1_Structure_RE'!I464</f>
        <v>0</v>
      </c>
      <c r="J435" s="1203">
        <f>'RC1_Structure_RE'!L464</f>
        <v>0</v>
      </c>
      <c r="K435" s="1203">
        <f>'RC1_Structure_RE'!M464</f>
        <v>0</v>
      </c>
    </row>
    <row r="436" spans="1:11">
      <c r="A436" t="s">
        <v>10</v>
      </c>
      <c r="B436" t="s">
        <v>27</v>
      </c>
      <c r="C436" t="s">
        <v>37</v>
      </c>
      <c r="D436" t="s">
        <v>17</v>
      </c>
      <c r="E436" t="str" cm="1">
        <f t="array" ref="E436">_xlfn.LET(_xlpm.c,'RC1_Structure_RE'!C465, _xlpm.b, 'RC1_Structure_RE'!B465, IF(_xlpm.c&lt;&gt;"", _xlpm.c, _xlpm.b))</f>
        <v>งานคอนกรีตโครงสร้าง 320 ksc.</v>
      </c>
      <c r="F436" s="1205"/>
      <c r="G436" s="1203" t="str">
        <f>'RC1_Structure_RE'!F465</f>
        <v>ลบ.ม.</v>
      </c>
      <c r="H436" s="1203">
        <f>'RC1_Structure_RE'!E465</f>
        <v>688.37</v>
      </c>
      <c r="I436" s="1203">
        <f>'RC1_Structure_RE'!I465</f>
        <v>1724683.5519346537</v>
      </c>
      <c r="J436" s="1203">
        <f>'RC1_Structure_RE'!L465</f>
        <v>334009.01655064936</v>
      </c>
      <c r="K436" s="1203">
        <f>'RC1_Structure_RE'!M465</f>
        <v>2058692.5684853031</v>
      </c>
    </row>
    <row r="437" spans="1:11">
      <c r="A437" t="s">
        <v>10</v>
      </c>
      <c r="B437" t="s">
        <v>27</v>
      </c>
      <c r="C437" t="s">
        <v>37</v>
      </c>
      <c r="D437" t="s">
        <v>35</v>
      </c>
      <c r="E437" t="str" cm="1">
        <f t="array" ref="E437">_xlfn.LET(_xlpm.c,'RC1_Structure_RE'!C466, _xlpm.b, 'RC1_Structure_RE'!B466, IF(_xlpm.c&lt;&gt;"", _xlpm.c, _xlpm.b))</f>
        <v>โครงสร้างพื้น ชั้น 3</v>
      </c>
      <c r="F437" s="1205"/>
      <c r="G437" s="1203">
        <f>'RC1_Structure_RE'!F466</f>
        <v>0</v>
      </c>
      <c r="H437" s="1203">
        <f>'RC1_Structure_RE'!E466</f>
        <v>0</v>
      </c>
      <c r="I437" s="1203">
        <f>'RC1_Structure_RE'!I466</f>
        <v>0</v>
      </c>
      <c r="J437" s="1203">
        <f>'RC1_Structure_RE'!L466</f>
        <v>0</v>
      </c>
      <c r="K437" s="1203">
        <f>'RC1_Structure_RE'!M466</f>
        <v>0</v>
      </c>
    </row>
    <row r="438" spans="1:11">
      <c r="A438" t="s">
        <v>10</v>
      </c>
      <c r="B438" t="s">
        <v>27</v>
      </c>
      <c r="C438" t="s">
        <v>37</v>
      </c>
      <c r="D438" t="s">
        <v>35</v>
      </c>
      <c r="E438" t="str" cm="1">
        <f t="array" ref="E438">_xlfn.LET(_xlpm.c,'RC1_Structure_RE'!C467, _xlpm.b, 'RC1_Structure_RE'!B467, IF(_xlpm.c&lt;&gt;"", _xlpm.c, _xlpm.b))</f>
        <v xml:space="preserve">งานเหล็กเสริม </v>
      </c>
      <c r="F438" s="1205"/>
      <c r="G438" s="1203">
        <f>'RC1_Structure_RE'!F467</f>
        <v>0</v>
      </c>
      <c r="H438" s="1203">
        <f>'RC1_Structure_RE'!E467</f>
        <v>0</v>
      </c>
      <c r="I438" s="1203">
        <f>'RC1_Structure_RE'!I467</f>
        <v>0</v>
      </c>
      <c r="J438" s="1203">
        <f>'RC1_Structure_RE'!L467</f>
        <v>0</v>
      </c>
      <c r="K438" s="1203">
        <f>'RC1_Structure_RE'!M467</f>
        <v>0</v>
      </c>
    </row>
    <row r="439" spans="1:11">
      <c r="A439" t="s">
        <v>10</v>
      </c>
      <c r="B439" t="s">
        <v>27</v>
      </c>
      <c r="C439" t="s">
        <v>37</v>
      </c>
      <c r="D439" t="s">
        <v>35</v>
      </c>
      <c r="E439" t="str" cm="1">
        <f t="array" ref="E439">_xlfn.LET(_xlpm.c,'RC1_Structure_RE'!C468, _xlpm.b, 'RC1_Structure_RE'!B468, IF(_xlpm.c&lt;&gt;"", _xlpm.c, _xlpm.b))</f>
        <v>ขนาดเส้นผ่านศูนย์กลาง 12 ม.ม. SD-50</v>
      </c>
      <c r="F439" s="1205"/>
      <c r="G439" s="1203" t="str">
        <f>'RC1_Structure_RE'!F468</f>
        <v>กก.</v>
      </c>
      <c r="H439" s="1203">
        <f>'RC1_Structure_RE'!E468</f>
        <v>26997</v>
      </c>
      <c r="I439" s="1203">
        <f>'RC1_Structure_RE'!I468</f>
        <v>490912.40899750753</v>
      </c>
      <c r="J439" s="1203">
        <f>'RC1_Structure_RE'!L468</f>
        <v>90862.965161492408</v>
      </c>
      <c r="K439" s="1203">
        <f>'RC1_Structure_RE'!M468</f>
        <v>581775.37415899988</v>
      </c>
    </row>
    <row r="440" spans="1:11">
      <c r="A440" t="s">
        <v>10</v>
      </c>
      <c r="B440" t="s">
        <v>27</v>
      </c>
      <c r="C440" t="s">
        <v>37</v>
      </c>
      <c r="D440" t="s">
        <v>35</v>
      </c>
      <c r="E440" t="str" cm="1">
        <f t="array" ref="E440">_xlfn.LET(_xlpm.c,'RC1_Structure_RE'!C469, _xlpm.b, 'RC1_Structure_RE'!B469, IF(_xlpm.c&lt;&gt;"", _xlpm.c, _xlpm.b))</f>
        <v>ขนาดเส้นผ่านศูนย์กลาง 16 ม.ม. SD-50</v>
      </c>
      <c r="F440" s="1205"/>
      <c r="G440" s="1203" t="str">
        <f>'RC1_Structure_RE'!F469</f>
        <v>กก.</v>
      </c>
      <c r="H440" s="1203">
        <f>'RC1_Structure_RE'!E469</f>
        <v>20720</v>
      </c>
      <c r="I440" s="1203">
        <f>'RC1_Structure_RE'!I469</f>
        <v>372897.42362641997</v>
      </c>
      <c r="J440" s="1203">
        <f>'RC1_Structure_RE'!L469</f>
        <v>69736.661041824002</v>
      </c>
      <c r="K440" s="1203">
        <f>'RC1_Structure_RE'!M469</f>
        <v>442634.084668244</v>
      </c>
    </row>
    <row r="441" spans="1:11">
      <c r="A441" t="s">
        <v>10</v>
      </c>
      <c r="B441" t="s">
        <v>27</v>
      </c>
      <c r="C441" t="s">
        <v>37</v>
      </c>
      <c r="D441" t="s">
        <v>35</v>
      </c>
      <c r="E441" t="str" cm="1">
        <f t="array" ref="E441">_xlfn.LET(_xlpm.c,'RC1_Structure_RE'!C470, _xlpm.b, 'RC1_Structure_RE'!B470, IF(_xlpm.c&lt;&gt;"", _xlpm.c, _xlpm.b))</f>
        <v>ขนาดเส้นผ่านศูนย์กลาง 25 ม.ม. SD-50</v>
      </c>
      <c r="F441" s="1205"/>
      <c r="G441" s="1203" t="str">
        <f>'RC1_Structure_RE'!F470</f>
        <v>กก.</v>
      </c>
      <c r="H441" s="1203">
        <f>'RC1_Structure_RE'!E470</f>
        <v>7864</v>
      </c>
      <c r="I441" s="1203">
        <f>'RC1_Structure_RE'!I470</f>
        <v>141528.249970954</v>
      </c>
      <c r="J441" s="1203">
        <f>'RC1_Structure_RE'!L470</f>
        <v>22791.562332984799</v>
      </c>
      <c r="K441" s="1203">
        <f>'RC1_Structure_RE'!M470</f>
        <v>164319.81230393879</v>
      </c>
    </row>
    <row r="442" spans="1:11">
      <c r="A442" t="s">
        <v>10</v>
      </c>
      <c r="B442" t="s">
        <v>27</v>
      </c>
      <c r="C442" t="s">
        <v>37</v>
      </c>
      <c r="D442" t="s">
        <v>35</v>
      </c>
      <c r="E442" t="str" cm="1">
        <f t="array" ref="E442">_xlfn.LET(_xlpm.c,'RC1_Structure_RE'!C471, _xlpm.b, 'RC1_Structure_RE'!B471, IF(_xlpm.c&lt;&gt;"", _xlpm.c, _xlpm.b))</f>
        <v>ลวดผูกเหล็ก</v>
      </c>
      <c r="F442" s="1205"/>
      <c r="G442" s="1203" t="str">
        <f>'RC1_Structure_RE'!F471</f>
        <v>กก.</v>
      </c>
      <c r="H442" s="1203">
        <f>'RC1_Structure_RE'!E471</f>
        <v>1000</v>
      </c>
      <c r="I442" s="1203">
        <f>'RC1_Structure_RE'!I471</f>
        <v>25336.008073699999</v>
      </c>
      <c r="J442" s="1203">
        <f>'RC1_Structure_RE'!L471</f>
        <v>0</v>
      </c>
      <c r="K442" s="1203">
        <f>'RC1_Structure_RE'!M471</f>
        <v>25336.008073699999</v>
      </c>
    </row>
    <row r="443" spans="1:11">
      <c r="A443" t="s">
        <v>10</v>
      </c>
      <c r="B443" t="s">
        <v>27</v>
      </c>
      <c r="C443" t="s">
        <v>37</v>
      </c>
      <c r="D443" t="s">
        <v>35</v>
      </c>
      <c r="E443" t="str" cm="1">
        <f t="array" ref="E443">_xlfn.LET(_xlpm.c,'RC1_Structure_RE'!C472, _xlpm.b, 'RC1_Structure_RE'!B472, IF(_xlpm.c&lt;&gt;"", _xlpm.c, _xlpm.b))</f>
        <v>งานไม้แบบ</v>
      </c>
      <c r="F443" s="1205"/>
      <c r="G443" s="1203">
        <f>'RC1_Structure_RE'!F472</f>
        <v>0</v>
      </c>
      <c r="H443" s="1203">
        <f>'RC1_Structure_RE'!E472</f>
        <v>0</v>
      </c>
      <c r="I443" s="1203">
        <f>'RC1_Structure_RE'!I472</f>
        <v>0</v>
      </c>
      <c r="J443" s="1203">
        <f>'RC1_Structure_RE'!L472</f>
        <v>0</v>
      </c>
      <c r="K443" s="1203">
        <f>'RC1_Structure_RE'!M472</f>
        <v>0</v>
      </c>
    </row>
    <row r="444" spans="1:11">
      <c r="A444" t="s">
        <v>10</v>
      </c>
      <c r="B444" t="s">
        <v>27</v>
      </c>
      <c r="C444" t="s">
        <v>37</v>
      </c>
      <c r="D444" t="s">
        <v>35</v>
      </c>
      <c r="E444" t="str" cm="1">
        <f t="array" ref="E444">_xlfn.LET(_xlpm.c,'RC1_Structure_RE'!C473, _xlpm.b, 'RC1_Structure_RE'!B473, IF(_xlpm.c&lt;&gt;"", _xlpm.c, _xlpm.b))</f>
        <v>ไม้แบบ ค้ำยัน นั่งร้าน (อาคาร 4 ชั้นขึ้นไป ใช้ 50%)</v>
      </c>
      <c r="F444" s="1205"/>
      <c r="G444" s="1203" t="str">
        <f>'RC1_Structure_RE'!F473</f>
        <v>ตร.ม.</v>
      </c>
      <c r="H444" s="1203">
        <f>'RC1_Structure_RE'!E473</f>
        <v>1929</v>
      </c>
      <c r="I444" s="1203">
        <f>'RC1_Structure_RE'!I473</f>
        <v>442202.90507696755</v>
      </c>
      <c r="J444" s="1203">
        <f>'RC1_Structure_RE'!L473</f>
        <v>0</v>
      </c>
      <c r="K444" s="1203">
        <f>'RC1_Structure_RE'!M473</f>
        <v>442202.90507696755</v>
      </c>
    </row>
    <row r="445" spans="1:11">
      <c r="A445" t="s">
        <v>10</v>
      </c>
      <c r="B445" t="s">
        <v>27</v>
      </c>
      <c r="C445" t="s">
        <v>37</v>
      </c>
      <c r="D445" t="s">
        <v>35</v>
      </c>
      <c r="E445" t="str" cm="1">
        <f t="array" ref="E445">_xlfn.LET(_xlpm.c,'RC1_Structure_RE'!C474, _xlpm.b, 'RC1_Structure_RE'!B474, IF(_xlpm.c&lt;&gt;"", _xlpm.c, _xlpm.b))</f>
        <v>ค่าแรงประกอบและติดตั้งไม้แบบหล่อคอนกรีต (ใช้ 100%)</v>
      </c>
      <c r="F445" s="1205"/>
      <c r="G445" s="1203" t="str">
        <f>'RC1_Structure_RE'!F474</f>
        <v>ตร.ม.</v>
      </c>
      <c r="H445" s="1203">
        <f>'RC1_Structure_RE'!E474</f>
        <v>3858</v>
      </c>
      <c r="I445" s="1203">
        <f>'RC1_Structure_RE'!I474</f>
        <v>0</v>
      </c>
      <c r="J445" s="1203">
        <f>'RC1_Structure_RE'!L474</f>
        <v>436431.904684446</v>
      </c>
      <c r="K445" s="1203">
        <f>'RC1_Structure_RE'!M474</f>
        <v>436431.904684446</v>
      </c>
    </row>
    <row r="446" spans="1:11">
      <c r="A446" t="s">
        <v>10</v>
      </c>
      <c r="B446" t="s">
        <v>27</v>
      </c>
      <c r="C446" t="s">
        <v>37</v>
      </c>
      <c r="D446" t="s">
        <v>35</v>
      </c>
      <c r="E446" t="str" cm="1">
        <f t="array" ref="E446">_xlfn.LET(_xlpm.c,'RC1_Structure_RE'!C475, _xlpm.b, 'RC1_Structure_RE'!B475, IF(_xlpm.c&lt;&gt;"", _xlpm.c, _xlpm.b))</f>
        <v>ไม้เคร่า (ใช้ 30% ของไม้แบบ 1 ตร.ม.)</v>
      </c>
      <c r="F446" s="1205"/>
      <c r="G446" s="1203" t="str">
        <f>'RC1_Structure_RE'!F475</f>
        <v>ลบ.ฟ.</v>
      </c>
      <c r="H446" s="1203">
        <f>'RC1_Structure_RE'!E475</f>
        <v>579</v>
      </c>
      <c r="I446" s="1203">
        <f>'RC1_Structure_RE'!I475</f>
        <v>167492.68453568645</v>
      </c>
      <c r="J446" s="1203">
        <f>'RC1_Structure_RE'!L475</f>
        <v>0</v>
      </c>
      <c r="K446" s="1203">
        <f>'RC1_Structure_RE'!M475</f>
        <v>167492.68453568645</v>
      </c>
    </row>
    <row r="447" spans="1:11">
      <c r="A447" t="s">
        <v>10</v>
      </c>
      <c r="B447" t="s">
        <v>27</v>
      </c>
      <c r="C447" t="s">
        <v>37</v>
      </c>
      <c r="D447" t="s">
        <v>35</v>
      </c>
      <c r="E447" t="str" cm="1">
        <f t="array" ref="E447">_xlfn.LET(_xlpm.c,'RC1_Structure_RE'!C476, _xlpm.b, 'RC1_Structure_RE'!B476, IF(_xlpm.c&lt;&gt;"", _xlpm.c, _xlpm.b))</f>
        <v>ตะปู (ใช้ 25% ของไม้แบบ 1 ตร.ม.)</v>
      </c>
      <c r="F447" s="1205"/>
      <c r="G447" s="1203" t="str">
        <f>'RC1_Structure_RE'!F476</f>
        <v>กก.</v>
      </c>
      <c r="H447" s="1203">
        <f>'RC1_Structure_RE'!E476</f>
        <v>482</v>
      </c>
      <c r="I447" s="1203">
        <f>'RC1_Structure_RE'!I476</f>
        <v>10526.61585335744</v>
      </c>
      <c r="J447" s="1203">
        <f>'RC1_Structure_RE'!L476</f>
        <v>0</v>
      </c>
      <c r="K447" s="1203">
        <f>'RC1_Structure_RE'!M476</f>
        <v>10526.61585335744</v>
      </c>
    </row>
    <row r="448" spans="1:11">
      <c r="A448" t="s">
        <v>10</v>
      </c>
      <c r="B448" t="s">
        <v>27</v>
      </c>
      <c r="C448" t="s">
        <v>37</v>
      </c>
      <c r="D448" t="s">
        <v>35</v>
      </c>
      <c r="E448" t="str" cm="1">
        <f t="array" ref="E448">_xlfn.LET(_xlpm.c,'RC1_Structure_RE'!C477, _xlpm.b, 'RC1_Structure_RE'!B477, IF(_xlpm.c&lt;&gt;"", _xlpm.c, _xlpm.b))</f>
        <v>งานคอนกรีตโครงสร้าง</v>
      </c>
      <c r="F448" s="1205"/>
      <c r="G448" s="1203">
        <f>'RC1_Structure_RE'!F477</f>
        <v>0</v>
      </c>
      <c r="H448" s="1203">
        <f>'RC1_Structure_RE'!E477</f>
        <v>0</v>
      </c>
      <c r="I448" s="1203">
        <f>'RC1_Structure_RE'!I477</f>
        <v>0</v>
      </c>
      <c r="J448" s="1203">
        <f>'RC1_Structure_RE'!L477</f>
        <v>0</v>
      </c>
      <c r="K448" s="1203">
        <f>'RC1_Structure_RE'!M477</f>
        <v>0</v>
      </c>
    </row>
    <row r="449" spans="1:11">
      <c r="A449" t="s">
        <v>10</v>
      </c>
      <c r="B449" t="s">
        <v>27</v>
      </c>
      <c r="C449" t="s">
        <v>37</v>
      </c>
      <c r="D449" t="s">
        <v>35</v>
      </c>
      <c r="E449" t="str" cm="1">
        <f t="array" ref="E449">_xlfn.LET(_xlpm.c,'RC1_Structure_RE'!C478, _xlpm.b, 'RC1_Structure_RE'!B478, IF(_xlpm.c&lt;&gt;"", _xlpm.c, _xlpm.b))</f>
        <v>งานคอนกรีตโครงสร้าง 320 ksc.</v>
      </c>
      <c r="F449" s="1205"/>
      <c r="G449" s="1203" t="str">
        <f>'RC1_Structure_RE'!F478</f>
        <v>ลบ.ม.</v>
      </c>
      <c r="H449" s="1203">
        <f>'RC1_Structure_RE'!E478</f>
        <v>888</v>
      </c>
      <c r="I449" s="1203">
        <f>'RC1_Structure_RE'!I478</f>
        <v>2224848.5467379061</v>
      </c>
      <c r="J449" s="1203">
        <f>'RC1_Structure_RE'!L478</f>
        <v>430872.94143698399</v>
      </c>
      <c r="K449" s="1203">
        <f>'RC1_Structure_RE'!M478</f>
        <v>2655721.4881748902</v>
      </c>
    </row>
    <row r="450" spans="1:11">
      <c r="A450" t="s">
        <v>10</v>
      </c>
      <c r="B450" t="s">
        <v>27</v>
      </c>
      <c r="C450" t="s">
        <v>37</v>
      </c>
      <c r="D450" t="s">
        <v>35</v>
      </c>
      <c r="E450" t="str" cm="1">
        <f t="array" ref="E450">_xlfn.LET(_xlpm.c,'RC1_Structure_RE'!C479, _xlpm.b, 'RC1_Structure_RE'!B479, IF(_xlpm.c&lt;&gt;"", _xlpm.c, _xlpm.b))</f>
        <v>งานระบบพื้นอัดแรง (Post tension 0.23m. Thk.)</v>
      </c>
      <c r="F450" s="1205"/>
      <c r="G450" s="1203" t="str">
        <f>'RC1_Structure_RE'!F479</f>
        <v>ตร.ม.</v>
      </c>
      <c r="H450" s="1203">
        <f>'RC1_Structure_RE'!E479</f>
        <v>3858</v>
      </c>
      <c r="I450" s="1203">
        <f>'RC1_Structure_RE'!I479</f>
        <v>1623093.8603967</v>
      </c>
      <c r="J450" s="1203">
        <f>'RC1_Structure_RE'!L479</f>
        <v>0</v>
      </c>
      <c r="K450" s="1203">
        <f>'RC1_Structure_RE'!M479</f>
        <v>1623093.8603967</v>
      </c>
    </row>
    <row r="451" spans="1:11">
      <c r="A451" t="s">
        <v>10</v>
      </c>
      <c r="B451" t="s">
        <v>27</v>
      </c>
      <c r="C451" t="s">
        <v>37</v>
      </c>
      <c r="D451" t="s">
        <v>35</v>
      </c>
      <c r="E451" cm="1">
        <f t="array" ref="E451">_xlfn.LET(_xlpm.c,'RC1_Structure_RE'!C480, _xlpm.b, 'RC1_Structure_RE'!B480, IF(_xlpm.c&lt;&gt;"", _xlpm.c, _xlpm.b))</f>
        <v>0</v>
      </c>
      <c r="F451" s="1205"/>
      <c r="G451" s="1203">
        <f>'RC1_Structure_RE'!F480</f>
        <v>0</v>
      </c>
      <c r="H451" s="1203">
        <f>'RC1_Structure_RE'!E480</f>
        <v>0</v>
      </c>
      <c r="I451" s="1203">
        <f>'RC1_Structure_RE'!I480</f>
        <v>0</v>
      </c>
      <c r="J451" s="1203">
        <f>'RC1_Structure_RE'!L480</f>
        <v>0</v>
      </c>
      <c r="K451" s="1203">
        <f>'RC1_Structure_RE'!M480</f>
        <v>0</v>
      </c>
    </row>
    <row r="452" spans="1:11">
      <c r="A452" t="s">
        <v>10</v>
      </c>
      <c r="B452" t="s">
        <v>27</v>
      </c>
      <c r="C452" t="s">
        <v>37</v>
      </c>
      <c r="D452" t="s">
        <v>19</v>
      </c>
      <c r="E452" t="str" cm="1">
        <f t="array" ref="E452">_xlfn.LET(_xlpm.c,'RC1_Structure_RE'!C481, _xlpm.b, 'RC1_Structure_RE'!B481, IF(_xlpm.c&lt;&gt;"", _xlpm.c, _xlpm.b))</f>
        <v>โครงสร้างเสา ชั้น 3</v>
      </c>
      <c r="F452" s="1205"/>
      <c r="G452" s="1203">
        <f>'RC1_Structure_RE'!F481</f>
        <v>0</v>
      </c>
      <c r="H452" s="1203">
        <f>'RC1_Structure_RE'!E481</f>
        <v>0</v>
      </c>
      <c r="I452" s="1203">
        <f>'RC1_Structure_RE'!I481</f>
        <v>0</v>
      </c>
      <c r="J452" s="1203">
        <f>'RC1_Structure_RE'!L481</f>
        <v>0</v>
      </c>
      <c r="K452" s="1203">
        <f>'RC1_Structure_RE'!M481</f>
        <v>0</v>
      </c>
    </row>
    <row r="453" spans="1:11">
      <c r="A453" t="s">
        <v>10</v>
      </c>
      <c r="B453" t="s">
        <v>27</v>
      </c>
      <c r="C453" t="s">
        <v>37</v>
      </c>
      <c r="D453" t="s">
        <v>19</v>
      </c>
      <c r="E453" t="str" cm="1">
        <f t="array" ref="E453">_xlfn.LET(_xlpm.c,'RC1_Structure_RE'!C482, _xlpm.b, 'RC1_Structure_RE'!B482, IF(_xlpm.c&lt;&gt;"", _xlpm.c, _xlpm.b))</f>
        <v xml:space="preserve">งานเหล็กเสริม </v>
      </c>
      <c r="F453" s="1205"/>
      <c r="G453" s="1203">
        <f>'RC1_Structure_RE'!F482</f>
        <v>0</v>
      </c>
      <c r="H453" s="1203">
        <f>'RC1_Structure_RE'!E482</f>
        <v>0</v>
      </c>
      <c r="I453" s="1203">
        <f>'RC1_Structure_RE'!I482</f>
        <v>0</v>
      </c>
      <c r="J453" s="1203">
        <f>'RC1_Structure_RE'!L482</f>
        <v>0</v>
      </c>
      <c r="K453" s="1203">
        <f>'RC1_Structure_RE'!M482</f>
        <v>0</v>
      </c>
    </row>
    <row r="454" spans="1:11">
      <c r="A454" t="s">
        <v>10</v>
      </c>
      <c r="B454" t="s">
        <v>27</v>
      </c>
      <c r="C454" t="s">
        <v>37</v>
      </c>
      <c r="D454" t="s">
        <v>19</v>
      </c>
      <c r="E454" t="str" cm="1">
        <f t="array" ref="E454">_xlfn.LET(_xlpm.c,'RC1_Structure_RE'!C483, _xlpm.b, 'RC1_Structure_RE'!B483, IF(_xlpm.c&lt;&gt;"", _xlpm.c, _xlpm.b))</f>
        <v>ขนาดเส้นผ่านศูนย์กลาง 9 ม.ม. SR-24</v>
      </c>
      <c r="F454" s="1205"/>
      <c r="G454" s="1203" t="str">
        <f>'RC1_Structure_RE'!F483</f>
        <v>กก.</v>
      </c>
      <c r="H454" s="1203">
        <f>'RC1_Structure_RE'!E483</f>
        <v>1363</v>
      </c>
      <c r="I454" s="1203">
        <f>'RC1_Structure_RE'!I483</f>
        <v>24975.881493995603</v>
      </c>
      <c r="J454" s="1203">
        <f>'RC1_Structure_RE'!L483</f>
        <v>5606.8305394684003</v>
      </c>
      <c r="K454" s="1203">
        <f>'RC1_Structure_RE'!M483</f>
        <v>30582.712033464002</v>
      </c>
    </row>
    <row r="455" spans="1:11">
      <c r="A455" t="s">
        <v>10</v>
      </c>
      <c r="B455" t="s">
        <v>27</v>
      </c>
      <c r="C455" t="s">
        <v>37</v>
      </c>
      <c r="D455" t="s">
        <v>19</v>
      </c>
      <c r="E455" t="str" cm="1">
        <f t="array" ref="E455">_xlfn.LET(_xlpm.c,'RC1_Structure_RE'!C484, _xlpm.b, 'RC1_Structure_RE'!B484, IF(_xlpm.c&lt;&gt;"", _xlpm.c, _xlpm.b))</f>
        <v>ขนาดเส้นผ่านศูนย์กลาง 12 ม.ม. SD-50</v>
      </c>
      <c r="F455" s="1205"/>
      <c r="G455" s="1203" t="str">
        <f>'RC1_Structure_RE'!F484</f>
        <v>กก.</v>
      </c>
      <c r="H455" s="1203">
        <f>'RC1_Structure_RE'!E484</f>
        <v>558</v>
      </c>
      <c r="I455" s="1203">
        <f>'RC1_Structure_RE'!I484</f>
        <v>10146.6505248957</v>
      </c>
      <c r="J455" s="1203">
        <f>'RC1_Structure_RE'!L484</f>
        <v>1878.0432848136002</v>
      </c>
      <c r="K455" s="1203">
        <f>'RC1_Structure_RE'!M484</f>
        <v>12024.693809709301</v>
      </c>
    </row>
    <row r="456" spans="1:11">
      <c r="A456" t="s">
        <v>10</v>
      </c>
      <c r="B456" t="s">
        <v>27</v>
      </c>
      <c r="C456" t="s">
        <v>37</v>
      </c>
      <c r="D456" t="s">
        <v>19</v>
      </c>
      <c r="E456" t="str" cm="1">
        <f t="array" ref="E456">_xlfn.LET(_xlpm.c,'RC1_Structure_RE'!C485, _xlpm.b, 'RC1_Structure_RE'!B485, IF(_xlpm.c&lt;&gt;"", _xlpm.c, _xlpm.b))</f>
        <v>ขนาดเส้นผ่านศูนย์กลาง 16 ม.ม. SD-50</v>
      </c>
      <c r="F456" s="1205"/>
      <c r="G456" s="1203" t="str">
        <f>'RC1_Structure_RE'!F485</f>
        <v>กก.</v>
      </c>
      <c r="H456" s="1203">
        <f>'RC1_Structure_RE'!E485</f>
        <v>345</v>
      </c>
      <c r="I456" s="1203">
        <f>'RC1_Structure_RE'!I485</f>
        <v>6208.9580671387494</v>
      </c>
      <c r="J456" s="1203">
        <f>'RC1_Structure_RE'!L485</f>
        <v>1161.1557943740002</v>
      </c>
      <c r="K456" s="1203">
        <f>'RC1_Structure_RE'!M485</f>
        <v>7370.1138615127493</v>
      </c>
    </row>
    <row r="457" spans="1:11">
      <c r="A457" t="s">
        <v>10</v>
      </c>
      <c r="B457" t="s">
        <v>27</v>
      </c>
      <c r="C457" t="s">
        <v>37</v>
      </c>
      <c r="D457" t="s">
        <v>19</v>
      </c>
      <c r="E457" t="str" cm="1">
        <f t="array" ref="E457">_xlfn.LET(_xlpm.c,'RC1_Structure_RE'!C486, _xlpm.b, 'RC1_Structure_RE'!B486, IF(_xlpm.c&lt;&gt;"", _xlpm.c, _xlpm.b))</f>
        <v>ขนาดเส้นผ่านศูนย์กลาง 20 ม.ม. SD-50</v>
      </c>
      <c r="F457" s="1205"/>
      <c r="G457" s="1203" t="str">
        <f>'RC1_Structure_RE'!F486</f>
        <v>กก.</v>
      </c>
      <c r="H457" s="1203">
        <f>'RC1_Structure_RE'!E486</f>
        <v>1875</v>
      </c>
      <c r="I457" s="1203">
        <f>'RC1_Structure_RE'!I486</f>
        <v>33744.337321406245</v>
      </c>
      <c r="J457" s="1203">
        <f>'RC1_Structure_RE'!L486</f>
        <v>5434.1530231874995</v>
      </c>
      <c r="K457" s="1203">
        <f>'RC1_Structure_RE'!M486</f>
        <v>39178.490344593745</v>
      </c>
    </row>
    <row r="458" spans="1:11">
      <c r="A458" t="s">
        <v>10</v>
      </c>
      <c r="B458" t="s">
        <v>27</v>
      </c>
      <c r="C458" t="s">
        <v>37</v>
      </c>
      <c r="D458" t="s">
        <v>19</v>
      </c>
      <c r="E458" t="str" cm="1">
        <f t="array" ref="E458">_xlfn.LET(_xlpm.c,'RC1_Structure_RE'!C487, _xlpm.b, 'RC1_Structure_RE'!B487, IF(_xlpm.c&lt;&gt;"", _xlpm.c, _xlpm.b))</f>
        <v>ขนาดเส้นผ่านศูนย์กลาง 25 ม.ม. SD-50</v>
      </c>
      <c r="F458" s="1205"/>
      <c r="G458" s="1203" t="str">
        <f>'RC1_Structure_RE'!F487</f>
        <v>กก.</v>
      </c>
      <c r="H458" s="1203">
        <f>'RC1_Structure_RE'!E487</f>
        <v>6051</v>
      </c>
      <c r="I458" s="1203">
        <f>'RC1_Structure_RE'!I487</f>
        <v>108899.72540364224</v>
      </c>
      <c r="J458" s="1203">
        <f>'RC1_Structure_RE'!L487</f>
        <v>17537.098636430699</v>
      </c>
      <c r="K458" s="1203">
        <f>'RC1_Structure_RE'!M487</f>
        <v>126436.82404007294</v>
      </c>
    </row>
    <row r="459" spans="1:11">
      <c r="A459" t="s">
        <v>10</v>
      </c>
      <c r="B459" t="s">
        <v>27</v>
      </c>
      <c r="C459" t="s">
        <v>37</v>
      </c>
      <c r="D459" t="s">
        <v>19</v>
      </c>
      <c r="E459" t="str" cm="1">
        <f t="array" ref="E459">_xlfn.LET(_xlpm.c,'RC1_Structure_RE'!C488, _xlpm.b, 'RC1_Structure_RE'!B488, IF(_xlpm.c&lt;&gt;"", _xlpm.c, _xlpm.b))</f>
        <v>ขนาดเส้นผ่านศูนย์กลาง 28 ม.ม. SD-50</v>
      </c>
      <c r="F459" s="1205"/>
      <c r="G459" s="1203" t="str">
        <f>'RC1_Structure_RE'!F488</f>
        <v>กก.</v>
      </c>
      <c r="H459" s="1203">
        <f>'RC1_Structure_RE'!E488</f>
        <v>0</v>
      </c>
      <c r="I459" s="1203">
        <f>'RC1_Structure_RE'!I488</f>
        <v>0</v>
      </c>
      <c r="J459" s="1203">
        <f>'RC1_Structure_RE'!L488</f>
        <v>0</v>
      </c>
      <c r="K459" s="1203">
        <f>'RC1_Structure_RE'!M488</f>
        <v>0</v>
      </c>
    </row>
    <row r="460" spans="1:11">
      <c r="A460" t="s">
        <v>10</v>
      </c>
      <c r="B460" t="s">
        <v>27</v>
      </c>
      <c r="C460" t="s">
        <v>37</v>
      </c>
      <c r="D460" t="s">
        <v>19</v>
      </c>
      <c r="E460" t="str" cm="1">
        <f t="array" ref="E460">_xlfn.LET(_xlpm.c,'RC1_Structure_RE'!C489, _xlpm.b, 'RC1_Structure_RE'!B489, IF(_xlpm.c&lt;&gt;"", _xlpm.c, _xlpm.b))</f>
        <v>ขนาดเส้นผ่านศูนย์กลาง 32 ม.ม. SD-50</v>
      </c>
      <c r="F460" s="1205"/>
      <c r="G460" s="1203" t="str">
        <f>'RC1_Structure_RE'!F489</f>
        <v>กก.</v>
      </c>
      <c r="H460" s="1203">
        <f>'RC1_Structure_RE'!E489</f>
        <v>1864</v>
      </c>
      <c r="I460" s="1203">
        <f>'RC1_Structure_RE'!I489</f>
        <v>33546.370542453995</v>
      </c>
      <c r="J460" s="1203">
        <f>'RC1_Structure_RE'!L489</f>
        <v>5402.2726587848001</v>
      </c>
      <c r="K460" s="1203">
        <f>'RC1_Structure_RE'!M489</f>
        <v>38948.643201238796</v>
      </c>
    </row>
    <row r="461" spans="1:11">
      <c r="A461" t="s">
        <v>10</v>
      </c>
      <c r="B461" t="s">
        <v>27</v>
      </c>
      <c r="C461" t="s">
        <v>37</v>
      </c>
      <c r="D461" t="s">
        <v>19</v>
      </c>
      <c r="E461" t="str" cm="1">
        <f t="array" ref="E461">_xlfn.LET(_xlpm.c,'RC1_Structure_RE'!C490, _xlpm.b, 'RC1_Structure_RE'!B490, IF(_xlpm.c&lt;&gt;"", _xlpm.c, _xlpm.b))</f>
        <v>ลวดผูกเหล็ก</v>
      </c>
      <c r="F461" s="1205"/>
      <c r="G461" s="1203" t="str">
        <f>'RC1_Structure_RE'!F490</f>
        <v>กก.</v>
      </c>
      <c r="H461" s="1203">
        <f>'RC1_Structure_RE'!E490</f>
        <v>217</v>
      </c>
      <c r="I461" s="1203">
        <f>'RC1_Structure_RE'!I490</f>
        <v>5497.9137519929</v>
      </c>
      <c r="J461" s="1203">
        <f>'RC1_Structure_RE'!L490</f>
        <v>0</v>
      </c>
      <c r="K461" s="1203">
        <f>'RC1_Structure_RE'!M490</f>
        <v>5497.9137519929</v>
      </c>
    </row>
    <row r="462" spans="1:11">
      <c r="A462" t="s">
        <v>10</v>
      </c>
      <c r="B462" t="s">
        <v>27</v>
      </c>
      <c r="C462" t="s">
        <v>37</v>
      </c>
      <c r="D462" t="s">
        <v>19</v>
      </c>
      <c r="E462" t="str" cm="1">
        <f t="array" ref="E462">_xlfn.LET(_xlpm.c,'RC1_Structure_RE'!C491, _xlpm.b, 'RC1_Structure_RE'!B491, IF(_xlpm.c&lt;&gt;"", _xlpm.c, _xlpm.b))</f>
        <v>งานไม้แบบ</v>
      </c>
      <c r="F462" s="1205"/>
      <c r="G462" s="1203">
        <f>'RC1_Structure_RE'!F491</f>
        <v>0</v>
      </c>
      <c r="H462" s="1203">
        <f>'RC1_Structure_RE'!E491</f>
        <v>0</v>
      </c>
      <c r="I462" s="1203">
        <f>'RC1_Structure_RE'!I491</f>
        <v>0</v>
      </c>
      <c r="J462" s="1203">
        <f>'RC1_Structure_RE'!L491</f>
        <v>0</v>
      </c>
      <c r="K462" s="1203">
        <f>'RC1_Structure_RE'!M491</f>
        <v>0</v>
      </c>
    </row>
    <row r="463" spans="1:11">
      <c r="A463" t="s">
        <v>10</v>
      </c>
      <c r="B463" t="s">
        <v>27</v>
      </c>
      <c r="C463" t="s">
        <v>37</v>
      </c>
      <c r="D463" t="s">
        <v>19</v>
      </c>
      <c r="E463" t="str" cm="1">
        <f t="array" ref="E463">_xlfn.LET(_xlpm.c,'RC1_Structure_RE'!C492, _xlpm.b, 'RC1_Structure_RE'!B492, IF(_xlpm.c&lt;&gt;"", _xlpm.c, _xlpm.b))</f>
        <v>ไม้แบบ ค้ำยัน นั่งร้าน (อาคาร 4 ชั้นขึ้นไป ใช้ 50%)</v>
      </c>
      <c r="F463" s="1205"/>
      <c r="G463" s="1203" t="str">
        <f>'RC1_Structure_RE'!F492</f>
        <v>ตร.ม.</v>
      </c>
      <c r="H463" s="1203">
        <f>'RC1_Structure_RE'!E492</f>
        <v>146</v>
      </c>
      <c r="I463" s="1203">
        <f>'RC1_Structure_RE'!I492</f>
        <v>33468.960156162393</v>
      </c>
      <c r="J463" s="1203">
        <f>'RC1_Structure_RE'!L492</f>
        <v>0</v>
      </c>
      <c r="K463" s="1203">
        <f>'RC1_Structure_RE'!M492</f>
        <v>33468.960156162393</v>
      </c>
    </row>
    <row r="464" spans="1:11">
      <c r="A464" t="s">
        <v>10</v>
      </c>
      <c r="B464" t="s">
        <v>27</v>
      </c>
      <c r="C464" t="s">
        <v>37</v>
      </c>
      <c r="D464" t="s">
        <v>19</v>
      </c>
      <c r="E464" t="str" cm="1">
        <f t="array" ref="E464">_xlfn.LET(_xlpm.c,'RC1_Structure_RE'!C493, _xlpm.b, 'RC1_Structure_RE'!B493, IF(_xlpm.c&lt;&gt;"", _xlpm.c, _xlpm.b))</f>
        <v>ค่าแรงประกอบและติดตั้งไม้แบบหล่อคอนกรีต (ใช้ 100%)</v>
      </c>
      <c r="F464" s="1205"/>
      <c r="G464" s="1203" t="str">
        <f>'RC1_Structure_RE'!F493</f>
        <v>ตร.ม.</v>
      </c>
      <c r="H464" s="1203">
        <f>'RC1_Structure_RE'!E493</f>
        <v>292</v>
      </c>
      <c r="I464" s="1203">
        <f>'RC1_Structure_RE'!I493</f>
        <v>0</v>
      </c>
      <c r="J464" s="1203">
        <f>'RC1_Structure_RE'!L493</f>
        <v>33032.171116603997</v>
      </c>
      <c r="K464" s="1203">
        <f>'RC1_Structure_RE'!M493</f>
        <v>33032.171116603997</v>
      </c>
    </row>
    <row r="465" spans="1:11">
      <c r="A465" t="s">
        <v>10</v>
      </c>
      <c r="B465" t="s">
        <v>27</v>
      </c>
      <c r="C465" t="s">
        <v>37</v>
      </c>
      <c r="D465" t="s">
        <v>19</v>
      </c>
      <c r="E465" t="str" cm="1">
        <f t="array" ref="E465">_xlfn.LET(_xlpm.c,'RC1_Structure_RE'!C494, _xlpm.b, 'RC1_Structure_RE'!B494, IF(_xlpm.c&lt;&gt;"", _xlpm.c, _xlpm.b))</f>
        <v>ไม้เคร่า (ใช้ 30% ของไม้แบบ 1 ตร.ม.)</v>
      </c>
      <c r="F465" s="1205"/>
      <c r="G465" s="1203" t="str">
        <f>'RC1_Structure_RE'!F494</f>
        <v>ลบ.ฟ.</v>
      </c>
      <c r="H465" s="1203">
        <f>'RC1_Structure_RE'!E494</f>
        <v>44</v>
      </c>
      <c r="I465" s="1203">
        <f>'RC1_Structure_RE'!I494</f>
        <v>12728.28690772056</v>
      </c>
      <c r="J465" s="1203">
        <f>'RC1_Structure_RE'!L494</f>
        <v>0</v>
      </c>
      <c r="K465" s="1203">
        <f>'RC1_Structure_RE'!M494</f>
        <v>12728.28690772056</v>
      </c>
    </row>
    <row r="466" spans="1:11">
      <c r="A466" t="s">
        <v>10</v>
      </c>
      <c r="B466" t="s">
        <v>27</v>
      </c>
      <c r="C466" t="s">
        <v>37</v>
      </c>
      <c r="D466" t="s">
        <v>19</v>
      </c>
      <c r="E466" t="str" cm="1">
        <f t="array" ref="E466">_xlfn.LET(_xlpm.c,'RC1_Structure_RE'!C495, _xlpm.b, 'RC1_Structure_RE'!B495, IF(_xlpm.c&lt;&gt;"", _xlpm.c, _xlpm.b))</f>
        <v>ตะปู (ใช้ 25% ของไม้แบบ 1 ตร.ม.)</v>
      </c>
      <c r="F466" s="1205"/>
      <c r="G466" s="1203" t="str">
        <f>'RC1_Structure_RE'!F495</f>
        <v>กก.</v>
      </c>
      <c r="H466" s="1203">
        <f>'RC1_Structure_RE'!E495</f>
        <v>37</v>
      </c>
      <c r="I466" s="1203">
        <f>'RC1_Structure_RE'!I495</f>
        <v>808.05972318303998</v>
      </c>
      <c r="J466" s="1203">
        <f>'RC1_Structure_RE'!L495</f>
        <v>0</v>
      </c>
      <c r="K466" s="1203">
        <f>'RC1_Structure_RE'!M495</f>
        <v>808.05972318303998</v>
      </c>
    </row>
    <row r="467" spans="1:11">
      <c r="A467" t="s">
        <v>10</v>
      </c>
      <c r="B467" t="s">
        <v>27</v>
      </c>
      <c r="C467" t="s">
        <v>37</v>
      </c>
      <c r="D467" t="s">
        <v>19</v>
      </c>
      <c r="E467" t="str" cm="1">
        <f t="array" ref="E467">_xlfn.LET(_xlpm.c,'RC1_Structure_RE'!C496, _xlpm.b, 'RC1_Structure_RE'!B496, IF(_xlpm.c&lt;&gt;"", _xlpm.c, _xlpm.b))</f>
        <v>งานคอนกรีตโครงสร้าง</v>
      </c>
      <c r="F467" s="1205"/>
      <c r="G467" s="1203">
        <f>'RC1_Structure_RE'!F496</f>
        <v>0</v>
      </c>
      <c r="H467" s="1203">
        <f>'RC1_Structure_RE'!E496</f>
        <v>0</v>
      </c>
      <c r="I467" s="1203">
        <f>'RC1_Structure_RE'!I496</f>
        <v>0</v>
      </c>
      <c r="J467" s="1203">
        <f>'RC1_Structure_RE'!L496</f>
        <v>0</v>
      </c>
      <c r="K467" s="1203">
        <f>'RC1_Structure_RE'!M496</f>
        <v>0</v>
      </c>
    </row>
    <row r="468" spans="1:11">
      <c r="A468" t="s">
        <v>10</v>
      </c>
      <c r="B468" t="s">
        <v>27</v>
      </c>
      <c r="C468" t="s">
        <v>37</v>
      </c>
      <c r="D468" t="s">
        <v>19</v>
      </c>
      <c r="E468" t="str" cm="1">
        <f t="array" ref="E468">_xlfn.LET(_xlpm.c,'RC1_Structure_RE'!C497, _xlpm.b, 'RC1_Structure_RE'!B497, IF(_xlpm.c&lt;&gt;"", _xlpm.c, _xlpm.b))</f>
        <v>งานคอนกรีตโครงสร้าง 320 ksc.</v>
      </c>
      <c r="F468" s="1205"/>
      <c r="G468" s="1203" t="str">
        <f>'RC1_Structure_RE'!F497</f>
        <v>ลบ.ม.</v>
      </c>
      <c r="H468" s="1203">
        <f>'RC1_Structure_RE'!E497</f>
        <v>21</v>
      </c>
      <c r="I468" s="1203">
        <f>'RC1_Structure_RE'!I497</f>
        <v>52614.661578261293</v>
      </c>
      <c r="J468" s="1203">
        <f>'RC1_Structure_RE'!L497</f>
        <v>10189.562804252999</v>
      </c>
      <c r="K468" s="1203">
        <f>'RC1_Structure_RE'!M497</f>
        <v>62804.224382514294</v>
      </c>
    </row>
    <row r="469" spans="1:11">
      <c r="A469" t="s">
        <v>10</v>
      </c>
      <c r="B469" t="s">
        <v>27</v>
      </c>
      <c r="C469" t="s">
        <v>37</v>
      </c>
      <c r="D469" t="s">
        <v>19</v>
      </c>
      <c r="E469" t="str" cm="1">
        <f t="array" ref="E469">_xlfn.LET(_xlpm.c,'RC1_Structure_RE'!C498, _xlpm.b, 'RC1_Structure_RE'!B498, IF(_xlpm.c&lt;&gt;"", _xlpm.c, _xlpm.b))</f>
        <v>งานคอนกรีตโครงสร้าง 450 ksc.</v>
      </c>
      <c r="F469" s="1205"/>
      <c r="G469" s="1203" t="str">
        <f>'RC1_Structure_RE'!F498</f>
        <v>ลบ.ม.</v>
      </c>
      <c r="H469" s="1203">
        <f>'RC1_Structure_RE'!E498</f>
        <v>13</v>
      </c>
      <c r="I469" s="1203">
        <f>'RC1_Structure_RE'!I498</f>
        <v>33483.731703304999</v>
      </c>
      <c r="J469" s="1203">
        <f>'RC1_Structure_RE'!L498</f>
        <v>6307.8245931089996</v>
      </c>
      <c r="K469" s="1203">
        <f>'RC1_Structure_RE'!M498</f>
        <v>39791.556296413997</v>
      </c>
    </row>
    <row r="470" spans="1:11">
      <c r="A470" t="s">
        <v>10</v>
      </c>
      <c r="B470" t="s">
        <v>27</v>
      </c>
      <c r="C470" t="s">
        <v>37</v>
      </c>
      <c r="D470" t="s">
        <v>19</v>
      </c>
      <c r="E470" t="str" cm="1">
        <f t="array" ref="E470">_xlfn.LET(_xlpm.c,'RC1_Structure_RE'!C499, _xlpm.b, 'RC1_Structure_RE'!B499, IF(_xlpm.c&lt;&gt;"", _xlpm.c, _xlpm.b))</f>
        <v>งานคอนกรีตโครงสร้าง 550 ksc.</v>
      </c>
      <c r="F470" s="1205"/>
      <c r="G470" s="1203" t="str">
        <f>'RC1_Structure_RE'!F499</f>
        <v>ลบ.ม.</v>
      </c>
      <c r="H470" s="1203">
        <f>'RC1_Structure_RE'!E499</f>
        <v>5</v>
      </c>
      <c r="I470" s="1203">
        <f>'RC1_Structure_RE'!I499</f>
        <v>14140.484210875</v>
      </c>
      <c r="J470" s="1203">
        <f>'RC1_Structure_RE'!L499</f>
        <v>2426.0863819649999</v>
      </c>
      <c r="K470" s="1203">
        <f>'RC1_Structure_RE'!M499</f>
        <v>16566.570592839998</v>
      </c>
    </row>
    <row r="471" spans="1:11">
      <c r="A471" t="s">
        <v>10</v>
      </c>
      <c r="B471" t="s">
        <v>27</v>
      </c>
      <c r="C471" t="s">
        <v>37</v>
      </c>
      <c r="D471" t="s">
        <v>19</v>
      </c>
      <c r="E471" t="str" cm="1">
        <f t="array" ref="E471">_xlfn.LET(_xlpm.c,'RC1_Structure_RE'!C500, _xlpm.b, 'RC1_Structure_RE'!B500, IF(_xlpm.c&lt;&gt;"", _xlpm.c, _xlpm.b))</f>
        <v>เสาเหล็กรูปพรรณ (เสา Composite)</v>
      </c>
      <c r="F471" s="1205"/>
      <c r="G471" s="1203">
        <f>'RC1_Structure_RE'!F500</f>
        <v>0</v>
      </c>
      <c r="H471" s="1203">
        <f>'RC1_Structure_RE'!E500</f>
        <v>0</v>
      </c>
      <c r="I471" s="1203">
        <f>'RC1_Structure_RE'!I500</f>
        <v>0</v>
      </c>
      <c r="J471" s="1203">
        <f>'RC1_Structure_RE'!L500</f>
        <v>0</v>
      </c>
      <c r="K471" s="1203">
        <f>'RC1_Structure_RE'!M500</f>
        <v>0</v>
      </c>
    </row>
    <row r="472" spans="1:11">
      <c r="A472" t="s">
        <v>10</v>
      </c>
      <c r="B472" t="s">
        <v>27</v>
      </c>
      <c r="C472" t="s">
        <v>37</v>
      </c>
      <c r="D472" t="s">
        <v>19</v>
      </c>
      <c r="E472" t="str" cm="1">
        <f t="array" ref="E472">_xlfn.LET(_xlpm.c,'RC1_Structure_RE'!C501, _xlpm.b, 'RC1_Structure_RE'!B501, IF(_xlpm.c&lt;&gt;"", _xlpm.c, _xlpm.b))</f>
        <v>WF300x300x10x15 mm.-94.0 Kg./m.(sm520)</v>
      </c>
      <c r="F472" s="1205"/>
      <c r="G472" s="1203" t="str">
        <f>'RC1_Structure_RE'!F501</f>
        <v>กก.</v>
      </c>
      <c r="H472" s="1203">
        <f>'RC1_Structure_RE'!E501</f>
        <v>589.95000000000005</v>
      </c>
      <c r="I472" s="1203">
        <f>'RC1_Structure_RE'!I501</f>
        <v>20142.569565005782</v>
      </c>
      <c r="J472" s="1203">
        <f>'RC1_Structure_RE'!L501</f>
        <v>7721.6860325870994</v>
      </c>
      <c r="K472" s="1203">
        <f>'RC1_Structure_RE'!M501</f>
        <v>27864.255597592881</v>
      </c>
    </row>
    <row r="473" spans="1:11">
      <c r="A473" t="s">
        <v>10</v>
      </c>
      <c r="B473" t="s">
        <v>27</v>
      </c>
      <c r="C473" t="s">
        <v>37</v>
      </c>
      <c r="D473" t="s">
        <v>31</v>
      </c>
      <c r="E473" t="str" cm="1">
        <f t="array" ref="E473">_xlfn.LET(_xlpm.c,'RC1_Structure_RE'!C502, _xlpm.b, 'RC1_Structure_RE'!B502, IF(_xlpm.c&lt;&gt;"", _xlpm.c, _xlpm.b))</f>
        <v>โครงสร้างผนัง ชั้น 3</v>
      </c>
      <c r="F473" s="1205"/>
      <c r="G473" s="1203">
        <f>'RC1_Structure_RE'!F502</f>
        <v>0</v>
      </c>
      <c r="H473" s="1203">
        <f>'RC1_Structure_RE'!E502</f>
        <v>0</v>
      </c>
      <c r="I473" s="1203">
        <f>'RC1_Structure_RE'!I502</f>
        <v>0</v>
      </c>
      <c r="J473" s="1203">
        <f>'RC1_Structure_RE'!L502</f>
        <v>0</v>
      </c>
      <c r="K473" s="1203">
        <f>'RC1_Structure_RE'!M502</f>
        <v>0</v>
      </c>
    </row>
    <row r="474" spans="1:11">
      <c r="A474" t="s">
        <v>10</v>
      </c>
      <c r="B474" t="s">
        <v>27</v>
      </c>
      <c r="C474" t="s">
        <v>37</v>
      </c>
      <c r="D474" t="s">
        <v>31</v>
      </c>
      <c r="E474" t="str" cm="1">
        <f t="array" ref="E474">_xlfn.LET(_xlpm.c,'RC1_Structure_RE'!C503, _xlpm.b, 'RC1_Structure_RE'!B503, IF(_xlpm.c&lt;&gt;"", _xlpm.c, _xlpm.b))</f>
        <v xml:space="preserve">งานเหล็กเสริม </v>
      </c>
      <c r="F474" s="1205"/>
      <c r="G474" s="1203">
        <f>'RC1_Structure_RE'!F503</f>
        <v>0</v>
      </c>
      <c r="H474" s="1203">
        <f>'RC1_Structure_RE'!E503</f>
        <v>0</v>
      </c>
      <c r="I474" s="1203">
        <f>'RC1_Structure_RE'!I503</f>
        <v>0</v>
      </c>
      <c r="J474" s="1203">
        <f>'RC1_Structure_RE'!L503</f>
        <v>0</v>
      </c>
      <c r="K474" s="1203">
        <f>'RC1_Structure_RE'!M503</f>
        <v>0</v>
      </c>
    </row>
    <row r="475" spans="1:11">
      <c r="A475" t="s">
        <v>10</v>
      </c>
      <c r="B475" t="s">
        <v>27</v>
      </c>
      <c r="C475" t="s">
        <v>37</v>
      </c>
      <c r="D475" t="s">
        <v>31</v>
      </c>
      <c r="E475" t="str" cm="1">
        <f t="array" ref="E475">_xlfn.LET(_xlpm.c,'RC1_Structure_RE'!C504, _xlpm.b, 'RC1_Structure_RE'!B504, IF(_xlpm.c&lt;&gt;"", _xlpm.c, _xlpm.b))</f>
        <v>ขนาดเส้นผ่านศูนย์กลาง 12 ม.ม. SD-50</v>
      </c>
      <c r="F475" s="1205"/>
      <c r="G475" s="1203" t="str">
        <f>'RC1_Structure_RE'!F504</f>
        <v>กก.</v>
      </c>
      <c r="H475" s="1203">
        <f>'RC1_Structure_RE'!E504</f>
        <v>7096</v>
      </c>
      <c r="I475" s="1203">
        <f>'RC1_Structure_RE'!I504</f>
        <v>129033.3909044084</v>
      </c>
      <c r="J475" s="1203">
        <f>'RC1_Structure_RE'!L504</f>
        <v>23882.787005443202</v>
      </c>
      <c r="K475" s="1203">
        <f>'RC1_Structure_RE'!M504</f>
        <v>152916.1779098516</v>
      </c>
    </row>
    <row r="476" spans="1:11">
      <c r="A476" t="s">
        <v>10</v>
      </c>
      <c r="B476" t="s">
        <v>27</v>
      </c>
      <c r="C476" t="s">
        <v>37</v>
      </c>
      <c r="D476" t="s">
        <v>31</v>
      </c>
      <c r="E476" t="str" cm="1">
        <f t="array" ref="E476">_xlfn.LET(_xlpm.c,'RC1_Structure_RE'!C505, _xlpm.b, 'RC1_Structure_RE'!B505, IF(_xlpm.c&lt;&gt;"", _xlpm.c, _xlpm.b))</f>
        <v>ขนาดเส้นผ่านศูนย์กลาง 16 ม.ม. SD-50</v>
      </c>
      <c r="F476" s="1205"/>
      <c r="G476" s="1203" t="str">
        <f>'RC1_Structure_RE'!F505</f>
        <v>กก.</v>
      </c>
      <c r="H476" s="1203">
        <f>'RC1_Structure_RE'!E505</f>
        <v>1268</v>
      </c>
      <c r="I476" s="1203">
        <f>'RC1_Structure_RE'!I505</f>
        <v>22820.170519223</v>
      </c>
      <c r="J476" s="1203">
        <f>'RC1_Structure_RE'!L505</f>
        <v>4267.6682529456002</v>
      </c>
      <c r="K476" s="1203">
        <f>'RC1_Structure_RE'!M505</f>
        <v>27087.838772168601</v>
      </c>
    </row>
    <row r="477" spans="1:11">
      <c r="A477" t="s">
        <v>10</v>
      </c>
      <c r="B477" t="s">
        <v>27</v>
      </c>
      <c r="C477" t="s">
        <v>37</v>
      </c>
      <c r="D477" t="s">
        <v>31</v>
      </c>
      <c r="E477" t="str" cm="1">
        <f t="array" ref="E477">_xlfn.LET(_xlpm.c,'RC1_Structure_RE'!C506, _xlpm.b, 'RC1_Structure_RE'!B506, IF(_xlpm.c&lt;&gt;"", _xlpm.c, _xlpm.b))</f>
        <v>ลวดผูกเหล็ก</v>
      </c>
      <c r="F477" s="1205"/>
      <c r="G477" s="1203" t="str">
        <f>'RC1_Structure_RE'!F506</f>
        <v>กก.</v>
      </c>
      <c r="H477" s="1203">
        <f>'RC1_Structure_RE'!E506</f>
        <v>151</v>
      </c>
      <c r="I477" s="1203">
        <f>'RC1_Structure_RE'!I506</f>
        <v>3825.7372191287</v>
      </c>
      <c r="J477" s="1203">
        <f>'RC1_Structure_RE'!L506</f>
        <v>0</v>
      </c>
      <c r="K477" s="1203">
        <f>'RC1_Structure_RE'!M506</f>
        <v>3825.7372191287</v>
      </c>
    </row>
    <row r="478" spans="1:11">
      <c r="A478" t="s">
        <v>10</v>
      </c>
      <c r="B478" t="s">
        <v>27</v>
      </c>
      <c r="C478" t="s">
        <v>37</v>
      </c>
      <c r="D478" t="s">
        <v>31</v>
      </c>
      <c r="E478" t="str" cm="1">
        <f t="array" ref="E478">_xlfn.LET(_xlpm.c,'RC1_Structure_RE'!C507, _xlpm.b, 'RC1_Structure_RE'!B507, IF(_xlpm.c&lt;&gt;"", _xlpm.c, _xlpm.b))</f>
        <v>งานไม้แบบ</v>
      </c>
      <c r="F478" s="1205"/>
      <c r="G478" s="1203">
        <f>'RC1_Structure_RE'!F507</f>
        <v>0</v>
      </c>
      <c r="H478" s="1203">
        <f>'RC1_Structure_RE'!E507</f>
        <v>0</v>
      </c>
      <c r="I478" s="1203">
        <f>'RC1_Structure_RE'!I507</f>
        <v>0</v>
      </c>
      <c r="J478" s="1203">
        <f>'RC1_Structure_RE'!L507</f>
        <v>0</v>
      </c>
      <c r="K478" s="1203">
        <f>'RC1_Structure_RE'!M507</f>
        <v>0</v>
      </c>
    </row>
    <row r="479" spans="1:11">
      <c r="A479" t="s">
        <v>10</v>
      </c>
      <c r="B479" t="s">
        <v>27</v>
      </c>
      <c r="C479" t="s">
        <v>37</v>
      </c>
      <c r="D479" t="s">
        <v>31</v>
      </c>
      <c r="E479" t="str" cm="1">
        <f t="array" ref="E479">_xlfn.LET(_xlpm.c,'RC1_Structure_RE'!C508, _xlpm.b, 'RC1_Structure_RE'!B508, IF(_xlpm.c&lt;&gt;"", _xlpm.c, _xlpm.b))</f>
        <v>ไม้แบบ ค้ำยัน นั่งร้าน (อาคาร 4 ชั้นขึ้นไป ใช้ 50%)</v>
      </c>
      <c r="F479" s="1205"/>
      <c r="G479" s="1203" t="str">
        <f>'RC1_Structure_RE'!F508</f>
        <v>ตร.ม.</v>
      </c>
      <c r="H479" s="1203">
        <f>'RC1_Structure_RE'!E508</f>
        <v>442</v>
      </c>
      <c r="I479" s="1203">
        <f>'RC1_Structure_RE'!I508</f>
        <v>101323.83828098478</v>
      </c>
      <c r="J479" s="1203">
        <f>'RC1_Structure_RE'!L508</f>
        <v>0</v>
      </c>
      <c r="K479" s="1203">
        <f>'RC1_Structure_RE'!M508</f>
        <v>101323.83828098478</v>
      </c>
    </row>
    <row r="480" spans="1:11">
      <c r="A480" t="s">
        <v>10</v>
      </c>
      <c r="B480" t="s">
        <v>27</v>
      </c>
      <c r="C480" t="s">
        <v>37</v>
      </c>
      <c r="D480" t="s">
        <v>31</v>
      </c>
      <c r="E480" t="str" cm="1">
        <f t="array" ref="E480">_xlfn.LET(_xlpm.c,'RC1_Structure_RE'!C509, _xlpm.b, 'RC1_Structure_RE'!B509, IF(_xlpm.c&lt;&gt;"", _xlpm.c, _xlpm.b))</f>
        <v>ค่าแรงประกอบและติดตั้งไม้แบบหล่อคอนกรีต (ใช้ 100%)</v>
      </c>
      <c r="F480" s="1205"/>
      <c r="G480" s="1203" t="str">
        <f>'RC1_Structure_RE'!F509</f>
        <v>ตร.ม.</v>
      </c>
      <c r="H480" s="1203">
        <f>'RC1_Structure_RE'!E509</f>
        <v>883</v>
      </c>
      <c r="I480" s="1203">
        <f>'RC1_Structure_RE'!I509</f>
        <v>0</v>
      </c>
      <c r="J480" s="1203">
        <f>'RC1_Structure_RE'!L509</f>
        <v>99888.380465620998</v>
      </c>
      <c r="K480" s="1203">
        <f>'RC1_Structure_RE'!M509</f>
        <v>99888.380465620998</v>
      </c>
    </row>
    <row r="481" spans="1:11">
      <c r="A481" t="s">
        <v>10</v>
      </c>
      <c r="B481" t="s">
        <v>27</v>
      </c>
      <c r="C481" t="s">
        <v>37</v>
      </c>
      <c r="D481" t="s">
        <v>31</v>
      </c>
      <c r="E481" t="str" cm="1">
        <f t="array" ref="E481">_xlfn.LET(_xlpm.c,'RC1_Structure_RE'!C510, _xlpm.b, 'RC1_Structure_RE'!B510, IF(_xlpm.c&lt;&gt;"", _xlpm.c, _xlpm.b))</f>
        <v>ไม้เคร่า (ใช้ 30% ของไม้แบบ 1 ตร.ม.)</v>
      </c>
      <c r="F481" s="1205"/>
      <c r="G481" s="1203" t="str">
        <f>'RC1_Structure_RE'!F510</f>
        <v>ลบ.ฟ.</v>
      </c>
      <c r="H481" s="1203">
        <f>'RC1_Structure_RE'!E510</f>
        <v>133</v>
      </c>
      <c r="I481" s="1203">
        <f>'RC1_Structure_RE'!I510</f>
        <v>38474.139971064418</v>
      </c>
      <c r="J481" s="1203">
        <f>'RC1_Structure_RE'!L510</f>
        <v>0</v>
      </c>
      <c r="K481" s="1203">
        <f>'RC1_Structure_RE'!M510</f>
        <v>38474.139971064418</v>
      </c>
    </row>
    <row r="482" spans="1:11">
      <c r="A482" t="s">
        <v>10</v>
      </c>
      <c r="B482" t="s">
        <v>27</v>
      </c>
      <c r="C482" t="s">
        <v>37</v>
      </c>
      <c r="D482" t="s">
        <v>31</v>
      </c>
      <c r="E482" t="str" cm="1">
        <f t="array" ref="E482">_xlfn.LET(_xlpm.c,'RC1_Structure_RE'!C511, _xlpm.b, 'RC1_Structure_RE'!B511, IF(_xlpm.c&lt;&gt;"", _xlpm.c, _xlpm.b))</f>
        <v>ตะปู (ใช้ 25% ของไม้แบบ 1 ตร.ม.)</v>
      </c>
      <c r="F482" s="1205"/>
      <c r="G482" s="1203" t="str">
        <f>'RC1_Structure_RE'!F511</f>
        <v>กก.</v>
      </c>
      <c r="H482" s="1203">
        <f>'RC1_Structure_RE'!E511</f>
        <v>111</v>
      </c>
      <c r="I482" s="1203">
        <f>'RC1_Structure_RE'!I511</f>
        <v>2424.1791695491202</v>
      </c>
      <c r="J482" s="1203">
        <f>'RC1_Structure_RE'!L511</f>
        <v>0</v>
      </c>
      <c r="K482" s="1203">
        <f>'RC1_Structure_RE'!M511</f>
        <v>2424.1791695491202</v>
      </c>
    </row>
    <row r="483" spans="1:11">
      <c r="A483" t="s">
        <v>10</v>
      </c>
      <c r="B483" t="s">
        <v>27</v>
      </c>
      <c r="C483" t="s">
        <v>37</v>
      </c>
      <c r="D483" t="s">
        <v>31</v>
      </c>
      <c r="E483" t="str" cm="1">
        <f t="array" ref="E483">_xlfn.LET(_xlpm.c,'RC1_Structure_RE'!C512, _xlpm.b, 'RC1_Structure_RE'!B512, IF(_xlpm.c&lt;&gt;"", _xlpm.c, _xlpm.b))</f>
        <v>งานคอนกรีตโครงสร้าง</v>
      </c>
      <c r="F483" s="1205"/>
      <c r="G483" s="1203">
        <f>'RC1_Structure_RE'!F512</f>
        <v>0</v>
      </c>
      <c r="H483" s="1203">
        <f>'RC1_Structure_RE'!E512</f>
        <v>0</v>
      </c>
      <c r="I483" s="1203">
        <f>'RC1_Structure_RE'!I512</f>
        <v>0</v>
      </c>
      <c r="J483" s="1203">
        <f>'RC1_Structure_RE'!L512</f>
        <v>0</v>
      </c>
      <c r="K483" s="1203">
        <f>'RC1_Structure_RE'!M512</f>
        <v>0</v>
      </c>
    </row>
    <row r="484" spans="1:11">
      <c r="A484" t="s">
        <v>10</v>
      </c>
      <c r="B484" t="s">
        <v>27</v>
      </c>
      <c r="C484" t="s">
        <v>37</v>
      </c>
      <c r="D484" t="s">
        <v>31</v>
      </c>
      <c r="E484" t="str" cm="1">
        <f t="array" ref="E484">_xlfn.LET(_xlpm.c,'RC1_Structure_RE'!C513, _xlpm.b, 'RC1_Structure_RE'!B513, IF(_xlpm.c&lt;&gt;"", _xlpm.c, _xlpm.b))</f>
        <v>งานคอนกรีตโครงสร้าง 320 ksc.</v>
      </c>
      <c r="F484" s="1205"/>
      <c r="G484" s="1203" t="str">
        <f>'RC1_Structure_RE'!F513</f>
        <v>ลบ.ม.</v>
      </c>
      <c r="H484" s="1203">
        <f>'RC1_Structure_RE'!E513</f>
        <v>88</v>
      </c>
      <c r="I484" s="1203">
        <f>'RC1_Structure_RE'!I513</f>
        <v>220480.48661366638</v>
      </c>
      <c r="J484" s="1203">
        <f>'RC1_Structure_RE'!L513</f>
        <v>42699.120322584</v>
      </c>
      <c r="K484" s="1203">
        <f>'RC1_Structure_RE'!M513</f>
        <v>263179.60693625035</v>
      </c>
    </row>
    <row r="485" spans="1:11">
      <c r="A485" t="s">
        <v>10</v>
      </c>
      <c r="B485" t="s">
        <v>27</v>
      </c>
      <c r="C485" t="s">
        <v>37</v>
      </c>
      <c r="D485" t="s">
        <v>36</v>
      </c>
      <c r="E485" t="str" cm="1">
        <f t="array" ref="E485">_xlfn.LET(_xlpm.c,'RC1_Structure_RE'!C514, _xlpm.b, 'RC1_Structure_RE'!B514, IF(_xlpm.c&lt;&gt;"", _xlpm.c, _xlpm.b))</f>
        <v>Catwalk ชั้นที่ 3 (ref. dwg A430)</v>
      </c>
      <c r="F485" s="1205"/>
      <c r="G485" s="1203">
        <f>'RC1_Structure_RE'!F514</f>
        <v>0</v>
      </c>
      <c r="H485" s="1203">
        <f>'RC1_Structure_RE'!E514</f>
        <v>0</v>
      </c>
      <c r="I485" s="1203">
        <f>'RC1_Structure_RE'!I514</f>
        <v>0</v>
      </c>
      <c r="J485" s="1203">
        <f>'RC1_Structure_RE'!L514</f>
        <v>0</v>
      </c>
      <c r="K485" s="1203">
        <f>'RC1_Structure_RE'!M514</f>
        <v>0</v>
      </c>
    </row>
    <row r="486" spans="1:11">
      <c r="A486" t="s">
        <v>10</v>
      </c>
      <c r="B486" t="s">
        <v>27</v>
      </c>
      <c r="C486" t="s">
        <v>37</v>
      </c>
      <c r="D486" t="s">
        <v>36</v>
      </c>
      <c r="E486" t="str" cm="1">
        <f t="array" ref="E486">_xlfn.LET(_xlpm.c,'RC1_Structure_RE'!C515, _xlpm.b, 'RC1_Structure_RE'!B515, IF(_xlpm.c&lt;&gt;"", _xlpm.c, _xlpm.b))</f>
        <v>เหล็กกล่อง 100x50x3.2 mm. THK</v>
      </c>
      <c r="F486" s="1205"/>
      <c r="G486" s="1203" t="str">
        <f>'RC1_Structure_RE'!F515</f>
        <v>กก.</v>
      </c>
      <c r="H486" s="1203">
        <f>'RC1_Structure_RE'!E515</f>
        <v>211</v>
      </c>
      <c r="I486" s="1203">
        <f>'RC1_Structure_RE'!I515</f>
        <v>5235.4289687171795</v>
      </c>
      <c r="J486" s="1203">
        <f>'RC1_Structure_RE'!L515</f>
        <v>2761.7183708379998</v>
      </c>
      <c r="K486" s="1203">
        <f>'RC1_Structure_RE'!M515</f>
        <v>7997.1473395551793</v>
      </c>
    </row>
    <row r="487" spans="1:11">
      <c r="A487" t="s">
        <v>10</v>
      </c>
      <c r="B487" t="s">
        <v>27</v>
      </c>
      <c r="C487" t="s">
        <v>37</v>
      </c>
      <c r="D487" t="s">
        <v>36</v>
      </c>
      <c r="E487" t="str" cm="1">
        <f t="array" ref="E487">_xlfn.LET(_xlpm.c,'RC1_Structure_RE'!C516, _xlpm.b, 'RC1_Structure_RE'!B516, IF(_xlpm.c&lt;&gt;"", _xlpm.c, _xlpm.b))</f>
        <v>เหล็กกล่อง 75x38x2.3 mm. THK</v>
      </c>
      <c r="F487" s="1205"/>
      <c r="G487" s="1203" t="str">
        <f>'RC1_Structure_RE'!F516</f>
        <v>กก.</v>
      </c>
      <c r="H487" s="1203">
        <f>'RC1_Structure_RE'!E516</f>
        <v>526</v>
      </c>
      <c r="I487" s="1203">
        <f>'RC1_Structure_RE'!I516</f>
        <v>13154.6236753135</v>
      </c>
      <c r="J487" s="1203">
        <f>'RC1_Structure_RE'!L516</f>
        <v>6884.6628581079995</v>
      </c>
      <c r="K487" s="1203">
        <f>'RC1_Structure_RE'!M516</f>
        <v>20039.286533421498</v>
      </c>
    </row>
    <row r="488" spans="1:11">
      <c r="A488" t="s">
        <v>10</v>
      </c>
      <c r="B488" t="s">
        <v>27</v>
      </c>
      <c r="C488" t="s">
        <v>37</v>
      </c>
      <c r="D488" t="s">
        <v>36</v>
      </c>
      <c r="E488" t="str" cm="1">
        <f t="array" ref="E488">_xlfn.LET(_xlpm.c,'RC1_Structure_RE'!C517, _xlpm.b, 'RC1_Structure_RE'!B517, IF(_xlpm.c&lt;&gt;"", _xlpm.c, _xlpm.b))</f>
        <v>เหล็กกล่อง 50x25x2.3 mm. THK</v>
      </c>
      <c r="F488" s="1205"/>
      <c r="G488" s="1203" t="str">
        <f>'RC1_Structure_RE'!F517</f>
        <v>กก.</v>
      </c>
      <c r="H488" s="1203">
        <f>'RC1_Structure_RE'!E517</f>
        <v>425</v>
      </c>
      <c r="I488" s="1203">
        <f>'RC1_Structure_RE'!I517</f>
        <v>10640.6559369305</v>
      </c>
      <c r="J488" s="1203">
        <f>'RC1_Structure_RE'!L517</f>
        <v>5562.702879649999</v>
      </c>
      <c r="K488" s="1203">
        <f>'RC1_Structure_RE'!M517</f>
        <v>16203.358816580498</v>
      </c>
    </row>
    <row r="489" spans="1:11">
      <c r="A489" t="s">
        <v>10</v>
      </c>
      <c r="B489" t="s">
        <v>27</v>
      </c>
      <c r="C489" t="s">
        <v>37</v>
      </c>
      <c r="D489" t="s">
        <v>36</v>
      </c>
      <c r="E489" t="str" cm="1">
        <f t="array" ref="E489">_xlfn.LET(_xlpm.c,'RC1_Structure_RE'!C518, _xlpm.b, 'RC1_Structure_RE'!B518, IF(_xlpm.c&lt;&gt;"", _xlpm.c, _xlpm.b))</f>
        <v>งานสีกันสนิม</v>
      </c>
      <c r="F489" s="1205"/>
      <c r="G489" s="1203" t="str">
        <f>'RC1_Structure_RE'!F518</f>
        <v>ตร.ม.</v>
      </c>
      <c r="H489" s="1203">
        <f>'RC1_Structure_RE'!E518</f>
        <v>63</v>
      </c>
      <c r="I489" s="1203">
        <f>'RC1_Structure_RE'!I518</f>
        <v>1650.3557790472198</v>
      </c>
      <c r="J489" s="1203">
        <f>'RC1_Structure_RE'!L518</f>
        <v>1766.9762088299999</v>
      </c>
      <c r="K489" s="1203">
        <f>'RC1_Structure_RE'!M518</f>
        <v>3417.3319878772199</v>
      </c>
    </row>
    <row r="490" spans="1:11">
      <c r="A490" t="s">
        <v>10</v>
      </c>
      <c r="B490" t="s">
        <v>27</v>
      </c>
      <c r="C490" t="s">
        <v>37</v>
      </c>
      <c r="D490" t="s">
        <v>36</v>
      </c>
      <c r="E490" t="str" cm="1">
        <f t="array" ref="E490">_xlfn.LET(_xlpm.c,'RC1_Structure_RE'!C519, _xlpm.b, 'RC1_Structure_RE'!B519, IF(_xlpm.c&lt;&gt;"", _xlpm.c, _xlpm.b))</f>
        <v>งานสีน้ำมัน</v>
      </c>
      <c r="F490" s="1205"/>
      <c r="G490" s="1203" t="str">
        <f>'RC1_Structure_RE'!F519</f>
        <v>ตร.ม.</v>
      </c>
      <c r="H490" s="1203">
        <f>'RC1_Structure_RE'!E519</f>
        <v>63</v>
      </c>
      <c r="I490" s="1203">
        <f>'RC1_Structure_RE'!I519</f>
        <v>1903.6223689795199</v>
      </c>
      <c r="J490" s="1203">
        <f>'RC1_Structure_RE'!L519</f>
        <v>2061.4722436349998</v>
      </c>
      <c r="K490" s="1203">
        <f>'RC1_Structure_RE'!M519</f>
        <v>3965.09461261452</v>
      </c>
    </row>
    <row r="491" spans="1:11">
      <c r="A491" t="s">
        <v>10</v>
      </c>
      <c r="B491" t="s">
        <v>27</v>
      </c>
      <c r="C491" t="s">
        <v>37</v>
      </c>
      <c r="D491" t="s">
        <v>36</v>
      </c>
      <c r="E491" t="str" cm="1">
        <f t="array" ref="E491">_xlfn.LET(_xlpm.c,'RC1_Structure_RE'!C520, _xlpm.b, 'RC1_Structure_RE'!B520, IF(_xlpm.c&lt;&gt;"", _xlpm.c, _xlpm.b))</f>
        <v>งานทาสีกันไฟ Fireproof Coating  ความหนาไม่น้อยกว่า 500 ไมครอน</v>
      </c>
      <c r="F491" s="1205"/>
      <c r="G491" s="1203" t="str">
        <f>'RC1_Structure_RE'!F520</f>
        <v>ตร.ม.</v>
      </c>
      <c r="H491" s="1203">
        <f>'RC1_Structure_RE'!E520</f>
        <v>63</v>
      </c>
      <c r="I491" s="1203">
        <f>'RC1_Structure_RE'!I520</f>
        <v>7656.8969049299994</v>
      </c>
      <c r="J491" s="1203">
        <f>'RC1_Structure_RE'!L520</f>
        <v>1766.9762088299999</v>
      </c>
      <c r="K491" s="1203">
        <f>'RC1_Structure_RE'!M520</f>
        <v>9423.8731137599989</v>
      </c>
    </row>
    <row r="492" spans="1:11">
      <c r="F492" s="1205"/>
      <c r="G492" s="1203"/>
      <c r="H492" s="1203"/>
      <c r="I492" s="1203"/>
      <c r="J492" s="1203"/>
      <c r="K492" s="1203"/>
    </row>
    <row r="493" spans="1:11">
      <c r="F493" s="1205"/>
      <c r="G493" s="1203"/>
      <c r="H493" s="1203"/>
      <c r="I493" s="1203"/>
      <c r="J493" s="1203"/>
      <c r="K493" s="1203"/>
    </row>
    <row r="494" spans="1:11">
      <c r="F494" s="1205"/>
      <c r="G494" s="1203"/>
      <c r="H494" s="1203"/>
      <c r="I494" s="1203"/>
      <c r="J494" s="1203"/>
      <c r="K494" s="1203"/>
    </row>
    <row r="495" spans="1:11">
      <c r="F495" s="1205"/>
      <c r="G495" s="1203"/>
      <c r="H495" s="1203"/>
      <c r="I495" s="1203"/>
      <c r="J495" s="1203"/>
      <c r="K495" s="1203"/>
    </row>
    <row r="496" spans="1:11">
      <c r="F496" s="1205"/>
      <c r="G496" s="1203"/>
      <c r="H496" s="1203"/>
      <c r="I496" s="1203"/>
      <c r="J496" s="1203"/>
      <c r="K496" s="1203"/>
    </row>
    <row r="497" spans="1:11">
      <c r="F497" s="1205"/>
      <c r="G497" s="1203"/>
      <c r="H497" s="1203"/>
      <c r="I497" s="1203"/>
      <c r="J497" s="1203"/>
      <c r="K497" s="1203"/>
    </row>
    <row r="498" spans="1:11">
      <c r="F498" s="1205"/>
      <c r="G498" s="1203"/>
      <c r="H498" s="1203"/>
      <c r="I498" s="1203"/>
      <c r="J498" s="1203"/>
      <c r="K498" s="1203"/>
    </row>
    <row r="499" spans="1:11">
      <c r="F499" s="1205"/>
      <c r="G499" s="1203"/>
      <c r="H499" s="1203"/>
      <c r="I499" s="1203"/>
      <c r="J499" s="1203"/>
      <c r="K499" s="1203"/>
    </row>
    <row r="500" spans="1:11">
      <c r="F500" s="1205"/>
      <c r="G500" s="1203"/>
      <c r="H500" s="1203"/>
      <c r="I500" s="1203"/>
      <c r="J500" s="1203"/>
      <c r="K500" s="1203"/>
    </row>
    <row r="501" spans="1:11">
      <c r="F501" s="1205"/>
      <c r="G501" s="1203"/>
      <c r="H501" s="1203"/>
      <c r="I501" s="1203"/>
      <c r="J501" s="1203"/>
      <c r="K501" s="1203"/>
    </row>
    <row r="502" spans="1:11">
      <c r="F502" s="1205"/>
      <c r="G502" s="1203"/>
      <c r="H502" s="1203"/>
      <c r="I502" s="1203"/>
      <c r="J502" s="1203"/>
      <c r="K502" s="1203"/>
    </row>
    <row r="503" spans="1:11">
      <c r="F503" s="1205"/>
      <c r="G503" s="1203"/>
      <c r="H503" s="1203"/>
      <c r="I503" s="1203"/>
      <c r="J503" s="1203"/>
      <c r="K503" s="1203"/>
    </row>
    <row r="504" spans="1:11">
      <c r="F504" s="1205"/>
      <c r="G504" s="1203"/>
      <c r="H504" s="1203"/>
      <c r="I504" s="1203"/>
      <c r="J504" s="1203"/>
      <c r="K504" s="1203"/>
    </row>
    <row r="505" spans="1:11">
      <c r="F505" s="1205"/>
      <c r="G505" s="1203"/>
      <c r="H505" s="1203"/>
      <c r="I505" s="1203"/>
      <c r="J505" s="1203"/>
      <c r="K505" s="1203"/>
    </row>
    <row r="506" spans="1:11">
      <c r="F506" s="1205"/>
      <c r="G506" s="1203"/>
      <c r="H506" s="1203"/>
      <c r="I506" s="1203"/>
      <c r="J506" s="1203"/>
      <c r="K506" s="1203"/>
    </row>
    <row r="507" spans="1:11">
      <c r="F507" s="1205"/>
      <c r="G507" s="1203"/>
      <c r="H507" s="1203"/>
      <c r="I507" s="1203"/>
      <c r="J507" s="1203"/>
      <c r="K507" s="1203"/>
    </row>
    <row r="508" spans="1:11">
      <c r="F508" s="1205"/>
      <c r="G508" s="1203"/>
      <c r="H508" s="1203"/>
      <c r="I508" s="1203"/>
      <c r="J508" s="1203"/>
      <c r="K508" s="1203"/>
    </row>
    <row r="509" spans="1:11">
      <c r="F509" s="1205"/>
      <c r="G509" s="1203"/>
      <c r="H509" s="1203"/>
      <c r="I509" s="1203"/>
      <c r="J509" s="1203"/>
      <c r="K509" s="1203"/>
    </row>
    <row r="510" spans="1:11">
      <c r="E510" t="str" cm="1">
        <f t="array" ref="E510">_xlfn.LET(_xlpm.c,'RC1_Structure_RE'!C539, _xlpm.b, 'RC1_Structure_RE'!B539, IF(_xlpm.c&lt;&gt;"", _xlpm.c, _xlpm.b))</f>
        <v>งานโครงสร้าง คาน พื้น เสา ผนังชั้น 3 (ชั้นลอย)</v>
      </c>
      <c r="F510" s="1205"/>
      <c r="G510" s="1203">
        <f>'RC1_Structure_RE'!F539</f>
        <v>0</v>
      </c>
      <c r="H510" s="1203">
        <f>'RC1_Structure_RE'!E539</f>
        <v>0</v>
      </c>
      <c r="I510" s="1203">
        <f>'RC1_Structure_RE'!I539</f>
        <v>0</v>
      </c>
      <c r="J510" s="1203">
        <f>'RC1_Structure_RE'!L539</f>
        <v>0</v>
      </c>
      <c r="K510" s="1203">
        <f>'RC1_Structure_RE'!M539</f>
        <v>0</v>
      </c>
    </row>
    <row r="511" spans="1:11">
      <c r="E511" cm="1">
        <f t="array" ref="E511">_xlfn.LET(_xlpm.c,'RC1_Structure_RE'!C540, _xlpm.b, 'RC1_Structure_RE'!B540, IF(_xlpm.c&lt;&gt;"", _xlpm.c, _xlpm.b))</f>
        <v>0</v>
      </c>
      <c r="F511" s="1205"/>
      <c r="G511" s="1203">
        <f>'RC1_Structure_RE'!F540</f>
        <v>0</v>
      </c>
      <c r="H511" s="1203">
        <f>'RC1_Structure_RE'!E540</f>
        <v>0</v>
      </c>
      <c r="I511" s="1203">
        <f>'RC1_Structure_RE'!I540</f>
        <v>0</v>
      </c>
      <c r="J511" s="1203">
        <f>'RC1_Structure_RE'!L540</f>
        <v>0</v>
      </c>
      <c r="K511" s="1203">
        <f>'RC1_Structure_RE'!M540</f>
        <v>0</v>
      </c>
    </row>
    <row r="512" spans="1:11">
      <c r="A512" t="s">
        <v>10</v>
      </c>
      <c r="B512" t="s">
        <v>27</v>
      </c>
      <c r="C512" t="s">
        <v>38</v>
      </c>
      <c r="D512" t="s">
        <v>17</v>
      </c>
      <c r="E512" t="str" cm="1">
        <f t="array" ref="E512">_xlfn.LET(_xlpm.c,'RC1_Structure_RE'!C541, _xlpm.b, 'RC1_Structure_RE'!B541, IF(_xlpm.c&lt;&gt;"", _xlpm.c, _xlpm.b))</f>
        <v>โครงสร้างคาน ชั้น 3 (ชั้นลอย)</v>
      </c>
      <c r="F512" s="1205"/>
      <c r="G512" s="1203">
        <f>'RC1_Structure_RE'!F541</f>
        <v>0</v>
      </c>
      <c r="H512" s="1203">
        <f>'RC1_Structure_RE'!E541</f>
        <v>0</v>
      </c>
      <c r="I512" s="1203">
        <f>'RC1_Structure_RE'!I541</f>
        <v>0</v>
      </c>
      <c r="J512" s="1203">
        <f>'RC1_Structure_RE'!L541</f>
        <v>0</v>
      </c>
      <c r="K512" s="1203">
        <f>'RC1_Structure_RE'!M541</f>
        <v>0</v>
      </c>
    </row>
    <row r="513" spans="1:11">
      <c r="A513" t="s">
        <v>10</v>
      </c>
      <c r="B513" t="s">
        <v>27</v>
      </c>
      <c r="C513" t="s">
        <v>38</v>
      </c>
      <c r="D513" t="s">
        <v>17</v>
      </c>
      <c r="E513" t="str" cm="1">
        <f t="array" ref="E513">_xlfn.LET(_xlpm.c,'RC1_Structure_RE'!C542, _xlpm.b, 'RC1_Structure_RE'!B542, IF(_xlpm.c&lt;&gt;"", _xlpm.c, _xlpm.b))</f>
        <v xml:space="preserve">งานเหล็กเสริม </v>
      </c>
      <c r="F513" s="1205"/>
      <c r="G513" s="1203">
        <f>'RC1_Structure_RE'!F542</f>
        <v>0</v>
      </c>
      <c r="H513" s="1203">
        <f>'RC1_Structure_RE'!E542</f>
        <v>0</v>
      </c>
      <c r="I513" s="1203">
        <f>'RC1_Structure_RE'!I542</f>
        <v>0</v>
      </c>
      <c r="J513" s="1203">
        <f>'RC1_Structure_RE'!L542</f>
        <v>0</v>
      </c>
      <c r="K513" s="1203">
        <f>'RC1_Structure_RE'!M542</f>
        <v>0</v>
      </c>
    </row>
    <row r="514" spans="1:11">
      <c r="A514" t="s">
        <v>10</v>
      </c>
      <c r="B514" t="s">
        <v>27</v>
      </c>
      <c r="C514" t="s">
        <v>38</v>
      </c>
      <c r="D514" t="s">
        <v>17</v>
      </c>
      <c r="E514" t="str" cm="1">
        <f t="array" ref="E514">_xlfn.LET(_xlpm.c,'RC1_Structure_RE'!C543, _xlpm.b, 'RC1_Structure_RE'!B543, IF(_xlpm.c&lt;&gt;"", _xlpm.c, _xlpm.b))</f>
        <v>ขนาดเส้นผ่านศูนย์กลาง 9 ม.ม. SR-24</v>
      </c>
      <c r="F514" s="1205"/>
      <c r="G514" s="1203" t="str">
        <f>'RC1_Structure_RE'!F543</f>
        <v>กก.</v>
      </c>
      <c r="H514" s="1203">
        <f>'RC1_Structure_RE'!E543</f>
        <v>46</v>
      </c>
      <c r="I514" s="1203">
        <f>'RC1_Structure_RE'!I543</f>
        <v>842.91309517520006</v>
      </c>
      <c r="J514" s="1203">
        <f>'RC1_Structure_RE'!L543</f>
        <v>189.2253887128</v>
      </c>
      <c r="K514" s="1203">
        <f>'RC1_Structure_RE'!M543</f>
        <v>1032.1384838880001</v>
      </c>
    </row>
    <row r="515" spans="1:11">
      <c r="A515" t="s">
        <v>10</v>
      </c>
      <c r="B515" t="s">
        <v>27</v>
      </c>
      <c r="C515" t="s">
        <v>38</v>
      </c>
      <c r="D515" t="s">
        <v>17</v>
      </c>
      <c r="E515" t="str" cm="1">
        <f t="array" ref="E515">_xlfn.LET(_xlpm.c,'RC1_Structure_RE'!C544, _xlpm.b, 'RC1_Structure_RE'!B544, IF(_xlpm.c&lt;&gt;"", _xlpm.c, _xlpm.b))</f>
        <v>ขนาดเส้นผ่านศูนย์กลาง 12 ม.ม. SD-50</v>
      </c>
      <c r="F515" s="1205"/>
      <c r="G515" s="1203" t="str">
        <f>'RC1_Structure_RE'!F544</f>
        <v>กก.</v>
      </c>
      <c r="H515" s="1203">
        <f>'RC1_Structure_RE'!E544</f>
        <v>689</v>
      </c>
      <c r="I515" s="1203">
        <f>'RC1_Structure_RE'!I544</f>
        <v>12528.749483249348</v>
      </c>
      <c r="J515" s="1203">
        <f>'RC1_Structure_RE'!L544</f>
        <v>2318.9459197788001</v>
      </c>
      <c r="K515" s="1203">
        <f>'RC1_Structure_RE'!M544</f>
        <v>14847.695403028149</v>
      </c>
    </row>
    <row r="516" spans="1:11">
      <c r="A516" t="s">
        <v>10</v>
      </c>
      <c r="B516" t="s">
        <v>27</v>
      </c>
      <c r="C516" t="s">
        <v>38</v>
      </c>
      <c r="D516" t="s">
        <v>17</v>
      </c>
      <c r="E516" t="str" cm="1">
        <f t="array" ref="E516">_xlfn.LET(_xlpm.c,'RC1_Structure_RE'!C545, _xlpm.b, 'RC1_Structure_RE'!B545, IF(_xlpm.c&lt;&gt;"", _xlpm.c, _xlpm.b))</f>
        <v>ขนาดเส้นผ่านศูนย์กลาง 16 ม.ม. SD-50</v>
      </c>
      <c r="F516" s="1205"/>
      <c r="G516" s="1203" t="str">
        <f>'RC1_Structure_RE'!F545</f>
        <v>กก.</v>
      </c>
      <c r="H516" s="1203">
        <f>'RC1_Structure_RE'!E545</f>
        <v>142</v>
      </c>
      <c r="I516" s="1203">
        <f>'RC1_Structure_RE'!I545</f>
        <v>2555.5711464745</v>
      </c>
      <c r="J516" s="1203">
        <f>'RC1_Structure_RE'!L545</f>
        <v>477.92499362640001</v>
      </c>
      <c r="K516" s="1203">
        <f>'RC1_Structure_RE'!M545</f>
        <v>3033.4961401009</v>
      </c>
    </row>
    <row r="517" spans="1:11">
      <c r="A517" t="s">
        <v>10</v>
      </c>
      <c r="B517" t="s">
        <v>27</v>
      </c>
      <c r="C517" t="s">
        <v>38</v>
      </c>
      <c r="D517" t="s">
        <v>17</v>
      </c>
      <c r="E517" t="str" cm="1">
        <f t="array" ref="E517">_xlfn.LET(_xlpm.c,'RC1_Structure_RE'!C546, _xlpm.b, 'RC1_Structure_RE'!B546, IF(_xlpm.c&lt;&gt;"", _xlpm.c, _xlpm.b))</f>
        <v>ขนาดเส้นผ่านศูนย์กลาง 20 ม.ม. SD-50</v>
      </c>
      <c r="F517" s="1205"/>
      <c r="G517" s="1203" t="str">
        <f>'RC1_Structure_RE'!F546</f>
        <v>กก.</v>
      </c>
      <c r="H517" s="1203">
        <f>'RC1_Structure_RE'!E546</f>
        <v>1442</v>
      </c>
      <c r="I517" s="1203">
        <f>'RC1_Structure_RE'!I546</f>
        <v>25951.6450226495</v>
      </c>
      <c r="J517" s="1203">
        <f>'RC1_Structure_RE'!L546</f>
        <v>4179.2259516994</v>
      </c>
      <c r="K517" s="1203">
        <f>'RC1_Structure_RE'!M546</f>
        <v>30130.870974348902</v>
      </c>
    </row>
    <row r="518" spans="1:11">
      <c r="A518" t="s">
        <v>10</v>
      </c>
      <c r="B518" t="s">
        <v>27</v>
      </c>
      <c r="C518" t="s">
        <v>38</v>
      </c>
      <c r="D518" t="s">
        <v>17</v>
      </c>
      <c r="E518" t="str" cm="1">
        <f t="array" ref="E518">_xlfn.LET(_xlpm.c,'RC1_Structure_RE'!C547, _xlpm.b, 'RC1_Structure_RE'!B547, IF(_xlpm.c&lt;&gt;"", _xlpm.c, _xlpm.b))</f>
        <v>ขนาดเส้นผ่านศูนย์กลาง 25 ม.ม. SD-50</v>
      </c>
      <c r="F518" s="1205"/>
      <c r="G518" s="1203" t="str">
        <f>'RC1_Structure_RE'!F547</f>
        <v>กก.</v>
      </c>
      <c r="H518" s="1203">
        <f>'RC1_Structure_RE'!E547</f>
        <v>213</v>
      </c>
      <c r="I518" s="1203">
        <f>'RC1_Structure_RE'!I547</f>
        <v>3833.35671971175</v>
      </c>
      <c r="J518" s="1203">
        <f>'RC1_Structure_RE'!L547</f>
        <v>617.31978343410003</v>
      </c>
      <c r="K518" s="1203">
        <f>'RC1_Structure_RE'!M547</f>
        <v>4450.6765031458499</v>
      </c>
    </row>
    <row r="519" spans="1:11">
      <c r="A519" t="s">
        <v>10</v>
      </c>
      <c r="B519" t="s">
        <v>27</v>
      </c>
      <c r="C519" t="s">
        <v>38</v>
      </c>
      <c r="D519" t="s">
        <v>17</v>
      </c>
      <c r="E519" t="str" cm="1">
        <f t="array" ref="E519">_xlfn.LET(_xlpm.c,'RC1_Structure_RE'!C548, _xlpm.b, 'RC1_Structure_RE'!B548, IF(_xlpm.c&lt;&gt;"", _xlpm.c, _xlpm.b))</f>
        <v>ลวดผูกเหล็ก</v>
      </c>
      <c r="F519" s="1205"/>
      <c r="G519" s="1203" t="str">
        <f>'RC1_Structure_RE'!F548</f>
        <v>กก.</v>
      </c>
      <c r="H519" s="1203">
        <f>'RC1_Structure_RE'!E548</f>
        <v>46</v>
      </c>
      <c r="I519" s="1203">
        <f>'RC1_Structure_RE'!I548</f>
        <v>1165.4563713902</v>
      </c>
      <c r="J519" s="1203">
        <f>'RC1_Structure_RE'!L548</f>
        <v>0</v>
      </c>
      <c r="K519" s="1203">
        <f>'RC1_Structure_RE'!M548</f>
        <v>1165.4563713902</v>
      </c>
    </row>
    <row r="520" spans="1:11">
      <c r="A520" t="s">
        <v>10</v>
      </c>
      <c r="B520" t="s">
        <v>27</v>
      </c>
      <c r="C520" t="s">
        <v>38</v>
      </c>
      <c r="D520" t="s">
        <v>17</v>
      </c>
      <c r="E520" t="str" cm="1">
        <f t="array" ref="E520">_xlfn.LET(_xlpm.c,'RC1_Structure_RE'!C549, _xlpm.b, 'RC1_Structure_RE'!B549, IF(_xlpm.c&lt;&gt;"", _xlpm.c, _xlpm.b))</f>
        <v>งานไม้แบบ</v>
      </c>
      <c r="F520" s="1205"/>
      <c r="G520" s="1203">
        <f>'RC1_Structure_RE'!F549</f>
        <v>0</v>
      </c>
      <c r="H520" s="1203">
        <f>'RC1_Structure_RE'!E549</f>
        <v>0</v>
      </c>
      <c r="I520" s="1203">
        <f>'RC1_Structure_RE'!I549</f>
        <v>0</v>
      </c>
      <c r="J520" s="1203">
        <f>'RC1_Structure_RE'!L549</f>
        <v>0</v>
      </c>
      <c r="K520" s="1203">
        <f>'RC1_Structure_RE'!M549</f>
        <v>0</v>
      </c>
    </row>
    <row r="521" spans="1:11">
      <c r="A521" t="s">
        <v>10</v>
      </c>
      <c r="B521" t="s">
        <v>27</v>
      </c>
      <c r="C521" t="s">
        <v>38</v>
      </c>
      <c r="D521" t="s">
        <v>17</v>
      </c>
      <c r="E521" t="str" cm="1">
        <f t="array" ref="E521">_xlfn.LET(_xlpm.c,'RC1_Structure_RE'!C550, _xlpm.b, 'RC1_Structure_RE'!B550, IF(_xlpm.c&lt;&gt;"", _xlpm.c, _xlpm.b))</f>
        <v>ไม้แบบ ค้ำยัน นั่งร้าน (อาคาร 4 ชั้นขึ้นไป ใช้ 50%)</v>
      </c>
      <c r="F521" s="1205"/>
      <c r="G521" s="1203" t="str">
        <f>'RC1_Structure_RE'!F550</f>
        <v>ตร.ม.</v>
      </c>
      <c r="H521" s="1203">
        <f>'RC1_Structure_RE'!E550</f>
        <v>37</v>
      </c>
      <c r="I521" s="1203">
        <f>'RC1_Structure_RE'!I550</f>
        <v>8481.8597656027996</v>
      </c>
      <c r="J521" s="1203">
        <f>'RC1_Structure_RE'!L550</f>
        <v>0</v>
      </c>
      <c r="K521" s="1203">
        <f>'RC1_Structure_RE'!M550</f>
        <v>8481.8597656027996</v>
      </c>
    </row>
    <row r="522" spans="1:11">
      <c r="A522" t="s">
        <v>10</v>
      </c>
      <c r="B522" t="s">
        <v>27</v>
      </c>
      <c r="C522" t="s">
        <v>38</v>
      </c>
      <c r="D522" t="s">
        <v>17</v>
      </c>
      <c r="E522" t="str" cm="1">
        <f t="array" ref="E522">_xlfn.LET(_xlpm.c,'RC1_Structure_RE'!C551, _xlpm.b, 'RC1_Structure_RE'!B551, IF(_xlpm.c&lt;&gt;"", _xlpm.c, _xlpm.b))</f>
        <v>ค่าแรงประกอบและติดตั้งไม้แบบหล่อคอนกรีต (ใช้ 100%)</v>
      </c>
      <c r="F522" s="1205"/>
      <c r="G522" s="1203" t="str">
        <f>'RC1_Structure_RE'!F551</f>
        <v>ตร.ม.</v>
      </c>
      <c r="H522" s="1203">
        <f>'RC1_Structure_RE'!E551</f>
        <v>73</v>
      </c>
      <c r="I522" s="1203">
        <f>'RC1_Structure_RE'!I551</f>
        <v>0</v>
      </c>
      <c r="J522" s="1203">
        <f>'RC1_Structure_RE'!L551</f>
        <v>8258.0427791509992</v>
      </c>
      <c r="K522" s="1203">
        <f>'RC1_Structure_RE'!M551</f>
        <v>8258.0427791509992</v>
      </c>
    </row>
    <row r="523" spans="1:11">
      <c r="A523" t="s">
        <v>10</v>
      </c>
      <c r="B523" t="s">
        <v>27</v>
      </c>
      <c r="C523" t="s">
        <v>38</v>
      </c>
      <c r="D523" t="s">
        <v>17</v>
      </c>
      <c r="E523" t="str" cm="1">
        <f t="array" ref="E523">_xlfn.LET(_xlpm.c,'RC1_Structure_RE'!C552, _xlpm.b, 'RC1_Structure_RE'!B552, IF(_xlpm.c&lt;&gt;"", _xlpm.c, _xlpm.b))</f>
        <v>ไม้เคร่า (ใช้ 30% ของไม้แบบ 1 ตร.ม.)</v>
      </c>
      <c r="F523" s="1205"/>
      <c r="G523" s="1203" t="str">
        <f>'RC1_Structure_RE'!F552</f>
        <v>ลบ.ฟ.</v>
      </c>
      <c r="H523" s="1203">
        <f>'RC1_Structure_RE'!E552</f>
        <v>12</v>
      </c>
      <c r="I523" s="1203">
        <f>'RC1_Structure_RE'!I552</f>
        <v>3471.3509748328797</v>
      </c>
      <c r="J523" s="1203">
        <f>'RC1_Structure_RE'!L552</f>
        <v>0</v>
      </c>
      <c r="K523" s="1203">
        <f>'RC1_Structure_RE'!M552</f>
        <v>3471.3509748328797</v>
      </c>
    </row>
    <row r="524" spans="1:11">
      <c r="A524" t="s">
        <v>10</v>
      </c>
      <c r="B524" t="s">
        <v>27</v>
      </c>
      <c r="C524" t="s">
        <v>38</v>
      </c>
      <c r="D524" t="s">
        <v>17</v>
      </c>
      <c r="E524" t="str" cm="1">
        <f t="array" ref="E524">_xlfn.LET(_xlpm.c,'RC1_Structure_RE'!C553, _xlpm.b, 'RC1_Structure_RE'!B553, IF(_xlpm.c&lt;&gt;"", _xlpm.c, _xlpm.b))</f>
        <v>ตะปู (ใช้ 25% ของไม้แบบ 1 ตร.ม.)</v>
      </c>
      <c r="F524" s="1205"/>
      <c r="G524" s="1203" t="str">
        <f>'RC1_Structure_RE'!F553</f>
        <v>กก.</v>
      </c>
      <c r="H524" s="1203">
        <f>'RC1_Structure_RE'!E553</f>
        <v>9</v>
      </c>
      <c r="I524" s="1203">
        <f>'RC1_Structure_RE'!I553</f>
        <v>196.55506780127999</v>
      </c>
      <c r="J524" s="1203">
        <f>'RC1_Structure_RE'!L553</f>
        <v>0</v>
      </c>
      <c r="K524" s="1203">
        <f>'RC1_Structure_RE'!M553</f>
        <v>196.55506780127999</v>
      </c>
    </row>
    <row r="525" spans="1:11">
      <c r="A525" t="s">
        <v>10</v>
      </c>
      <c r="B525" t="s">
        <v>27</v>
      </c>
      <c r="C525" t="s">
        <v>38</v>
      </c>
      <c r="D525" t="s">
        <v>17</v>
      </c>
      <c r="E525" t="str" cm="1">
        <f t="array" ref="E525">_xlfn.LET(_xlpm.c,'RC1_Structure_RE'!C554, _xlpm.b, 'RC1_Structure_RE'!B554, IF(_xlpm.c&lt;&gt;"", _xlpm.c, _xlpm.b))</f>
        <v>งานคอนกรีตโครงสร้าง</v>
      </c>
      <c r="F525" s="1205"/>
      <c r="G525" s="1203">
        <f>'RC1_Structure_RE'!F554</f>
        <v>0</v>
      </c>
      <c r="H525" s="1203">
        <f>'RC1_Structure_RE'!E554</f>
        <v>0</v>
      </c>
      <c r="I525" s="1203">
        <f>'RC1_Structure_RE'!I554</f>
        <v>0</v>
      </c>
      <c r="J525" s="1203">
        <f>'RC1_Structure_RE'!L554</f>
        <v>0</v>
      </c>
      <c r="K525" s="1203">
        <f>'RC1_Structure_RE'!M554</f>
        <v>0</v>
      </c>
    </row>
    <row r="526" spans="1:11">
      <c r="A526" t="s">
        <v>10</v>
      </c>
      <c r="B526" t="s">
        <v>27</v>
      </c>
      <c r="C526" t="s">
        <v>38</v>
      </c>
      <c r="D526" t="s">
        <v>17</v>
      </c>
      <c r="E526" t="str" cm="1">
        <f t="array" ref="E526">_xlfn.LET(_xlpm.c,'RC1_Structure_RE'!C555, _xlpm.b, 'RC1_Structure_RE'!B555, IF(_xlpm.c&lt;&gt;"", _xlpm.c, _xlpm.b))</f>
        <v>งานคอนกรีตโครงสร้าง 320 ksc.</v>
      </c>
      <c r="F526" s="1205"/>
      <c r="G526" s="1203" t="str">
        <f>'RC1_Structure_RE'!F555</f>
        <v>ลบ.ม.</v>
      </c>
      <c r="H526" s="1203">
        <f>'RC1_Structure_RE'!E555</f>
        <v>10</v>
      </c>
      <c r="I526" s="1203">
        <f>'RC1_Structure_RE'!I555</f>
        <v>25054.600751553</v>
      </c>
      <c r="J526" s="1203">
        <f>'RC1_Structure_RE'!L555</f>
        <v>4852.1727639299997</v>
      </c>
      <c r="K526" s="1203">
        <f>'RC1_Structure_RE'!M555</f>
        <v>29906.773515483001</v>
      </c>
    </row>
    <row r="527" spans="1:11">
      <c r="A527" t="s">
        <v>10</v>
      </c>
      <c r="B527" t="s">
        <v>27</v>
      </c>
      <c r="C527" t="s">
        <v>38</v>
      </c>
      <c r="D527" t="s">
        <v>18</v>
      </c>
      <c r="E527" t="str" cm="1">
        <f t="array" ref="E527">_xlfn.LET(_xlpm.c,'RC1_Structure_RE'!C556, _xlpm.b, 'RC1_Structure_RE'!B556, IF(_xlpm.c&lt;&gt;"", _xlpm.c, _xlpm.b))</f>
        <v>โครงสร้างพื้น ชั้น 3 (ชั้นลอย)</v>
      </c>
      <c r="F527" s="1205"/>
      <c r="G527" s="1203">
        <f>'RC1_Structure_RE'!F556</f>
        <v>0</v>
      </c>
      <c r="H527" s="1203">
        <f>'RC1_Structure_RE'!E556</f>
        <v>0</v>
      </c>
      <c r="I527" s="1203">
        <f>'RC1_Structure_RE'!I556</f>
        <v>0</v>
      </c>
      <c r="J527" s="1203">
        <f>'RC1_Structure_RE'!L556</f>
        <v>0</v>
      </c>
      <c r="K527" s="1203">
        <f>'RC1_Structure_RE'!M556</f>
        <v>0</v>
      </c>
    </row>
    <row r="528" spans="1:11">
      <c r="A528" t="s">
        <v>10</v>
      </c>
      <c r="B528" t="s">
        <v>27</v>
      </c>
      <c r="C528" t="s">
        <v>38</v>
      </c>
      <c r="D528" t="s">
        <v>18</v>
      </c>
      <c r="E528" t="str" cm="1">
        <f t="array" ref="E528">_xlfn.LET(_xlpm.c,'RC1_Structure_RE'!C557, _xlpm.b, 'RC1_Structure_RE'!B557, IF(_xlpm.c&lt;&gt;"", _xlpm.c, _xlpm.b))</f>
        <v xml:space="preserve">งานเหล็กเสริม </v>
      </c>
      <c r="F528" s="1205"/>
      <c r="G528" s="1203">
        <f>'RC1_Structure_RE'!F557</f>
        <v>0</v>
      </c>
      <c r="H528" s="1203">
        <f>'RC1_Structure_RE'!E557</f>
        <v>0</v>
      </c>
      <c r="I528" s="1203">
        <f>'RC1_Structure_RE'!I557</f>
        <v>0</v>
      </c>
      <c r="J528" s="1203">
        <f>'RC1_Structure_RE'!L557</f>
        <v>0</v>
      </c>
      <c r="K528" s="1203">
        <f>'RC1_Structure_RE'!M557</f>
        <v>0</v>
      </c>
    </row>
    <row r="529" spans="1:11">
      <c r="A529" t="s">
        <v>10</v>
      </c>
      <c r="B529" t="s">
        <v>27</v>
      </c>
      <c r="C529" t="s">
        <v>38</v>
      </c>
      <c r="D529" t="s">
        <v>18</v>
      </c>
      <c r="E529" t="str" cm="1">
        <f t="array" ref="E529">_xlfn.LET(_xlpm.c,'RC1_Structure_RE'!C558, _xlpm.b, 'RC1_Structure_RE'!B558, IF(_xlpm.c&lt;&gt;"", _xlpm.c, _xlpm.b))</f>
        <v>ขนาดเส้นผ่านศูนย์กลาง 12 ม.ม. SD-50</v>
      </c>
      <c r="F529" s="1205"/>
      <c r="G529" s="1203" t="str">
        <f>'RC1_Structure_RE'!F558</f>
        <v>กก.</v>
      </c>
      <c r="H529" s="1203">
        <f>'RC1_Structure_RE'!E558</f>
        <v>13706</v>
      </c>
      <c r="I529" s="1203">
        <f>'RC1_Structure_RE'!I558</f>
        <v>249229.3765129399</v>
      </c>
      <c r="J529" s="1203">
        <f>'RC1_Structure_RE'!L558</f>
        <v>46129.858891855205</v>
      </c>
      <c r="K529" s="1203">
        <f>'RC1_Structure_RE'!M558</f>
        <v>295359.23540479509</v>
      </c>
    </row>
    <row r="530" spans="1:11">
      <c r="A530" t="s">
        <v>10</v>
      </c>
      <c r="B530" t="s">
        <v>27</v>
      </c>
      <c r="C530" t="s">
        <v>38</v>
      </c>
      <c r="D530" t="s">
        <v>18</v>
      </c>
      <c r="E530" t="str" cm="1">
        <f t="array" ref="E530">_xlfn.LET(_xlpm.c,'RC1_Structure_RE'!C559, _xlpm.b, 'RC1_Structure_RE'!B559, IF(_xlpm.c&lt;&gt;"", _xlpm.c, _xlpm.b))</f>
        <v>ขนาดเส้นผ่านศูนย์กลาง 16 ม.ม. SD-50</v>
      </c>
      <c r="F530" s="1205"/>
      <c r="G530" s="1203" t="str">
        <f>'RC1_Structure_RE'!F559</f>
        <v>กก.</v>
      </c>
      <c r="H530" s="1203">
        <f>'RC1_Structure_RE'!E559</f>
        <v>2181</v>
      </c>
      <c r="I530" s="1203">
        <f>'RC1_Structure_RE'!I559</f>
        <v>39251.413172259745</v>
      </c>
      <c r="J530" s="1203">
        <f>'RC1_Structure_RE'!L559</f>
        <v>7340.5240218252002</v>
      </c>
      <c r="K530" s="1203">
        <f>'RC1_Structure_RE'!M559</f>
        <v>46591.937194084945</v>
      </c>
    </row>
    <row r="531" spans="1:11">
      <c r="A531" t="s">
        <v>10</v>
      </c>
      <c r="B531" t="s">
        <v>27</v>
      </c>
      <c r="C531" t="s">
        <v>38</v>
      </c>
      <c r="D531" t="s">
        <v>18</v>
      </c>
      <c r="E531" t="str" cm="1">
        <f t="array" ref="E531">_xlfn.LET(_xlpm.c,'RC1_Structure_RE'!C560, _xlpm.b, 'RC1_Structure_RE'!B560, IF(_xlpm.c&lt;&gt;"", _xlpm.c, _xlpm.b))</f>
        <v>ขนาดเส้นผ่านศูนย์กลาง 25 ม.ม. SD-50</v>
      </c>
      <c r="F531" s="1205"/>
      <c r="G531" s="1203" t="str">
        <f>'RC1_Structure_RE'!F560</f>
        <v>กก.</v>
      </c>
      <c r="H531" s="1203">
        <f>'RC1_Structure_RE'!E560</f>
        <v>3932</v>
      </c>
      <c r="I531" s="1203">
        <f>'RC1_Structure_RE'!I560</f>
        <v>70764.124985476999</v>
      </c>
      <c r="J531" s="1203">
        <f>'RC1_Structure_RE'!L560</f>
        <v>11395.781166492399</v>
      </c>
      <c r="K531" s="1203">
        <f>'RC1_Structure_RE'!M560</f>
        <v>82159.906151969393</v>
      </c>
    </row>
    <row r="532" spans="1:11">
      <c r="A532" t="s">
        <v>10</v>
      </c>
      <c r="B532" t="s">
        <v>27</v>
      </c>
      <c r="C532" t="s">
        <v>38</v>
      </c>
      <c r="D532" t="s">
        <v>18</v>
      </c>
      <c r="E532" t="str" cm="1">
        <f t="array" ref="E532">_xlfn.LET(_xlpm.c,'RC1_Structure_RE'!C561, _xlpm.b, 'RC1_Structure_RE'!B561, IF(_xlpm.c&lt;&gt;"", _xlpm.c, _xlpm.b))</f>
        <v>ลวดผูกเหล็ก</v>
      </c>
      <c r="F532" s="1205"/>
      <c r="G532" s="1203" t="str">
        <f>'RC1_Structure_RE'!F561</f>
        <v>กก.</v>
      </c>
      <c r="H532" s="1203">
        <f>'RC1_Structure_RE'!E561</f>
        <v>357</v>
      </c>
      <c r="I532" s="1203">
        <f>'RC1_Structure_RE'!I561</f>
        <v>9044.9548823108998</v>
      </c>
      <c r="J532" s="1203">
        <f>'RC1_Structure_RE'!L561</f>
        <v>0</v>
      </c>
      <c r="K532" s="1203">
        <f>'RC1_Structure_RE'!M561</f>
        <v>9044.9548823108998</v>
      </c>
    </row>
    <row r="533" spans="1:11">
      <c r="A533" t="s">
        <v>10</v>
      </c>
      <c r="B533" t="s">
        <v>27</v>
      </c>
      <c r="C533" t="s">
        <v>38</v>
      </c>
      <c r="D533" t="s">
        <v>18</v>
      </c>
      <c r="E533" t="str" cm="1">
        <f t="array" ref="E533">_xlfn.LET(_xlpm.c,'RC1_Structure_RE'!C562, _xlpm.b, 'RC1_Structure_RE'!B562, IF(_xlpm.c&lt;&gt;"", _xlpm.c, _xlpm.b))</f>
        <v>งานไม้แบบ</v>
      </c>
      <c r="F533" s="1205"/>
      <c r="G533" s="1203">
        <f>'RC1_Structure_RE'!F562</f>
        <v>0</v>
      </c>
      <c r="H533" s="1203">
        <f>'RC1_Structure_RE'!E562</f>
        <v>0</v>
      </c>
      <c r="I533" s="1203">
        <f>'RC1_Structure_RE'!I562</f>
        <v>0</v>
      </c>
      <c r="J533" s="1203">
        <f>'RC1_Structure_RE'!L562</f>
        <v>0</v>
      </c>
      <c r="K533" s="1203">
        <f>'RC1_Structure_RE'!M562</f>
        <v>0</v>
      </c>
    </row>
    <row r="534" spans="1:11">
      <c r="A534" t="s">
        <v>10</v>
      </c>
      <c r="B534" t="s">
        <v>27</v>
      </c>
      <c r="C534" t="s">
        <v>38</v>
      </c>
      <c r="D534" t="s">
        <v>18</v>
      </c>
      <c r="E534" t="str" cm="1">
        <f t="array" ref="E534">_xlfn.LET(_xlpm.c,'RC1_Structure_RE'!C563, _xlpm.b, 'RC1_Structure_RE'!B563, IF(_xlpm.c&lt;&gt;"", _xlpm.c, _xlpm.b))</f>
        <v>ไม้แบบ ค้ำยัน นั่งร้าน (อาคาร 4 ชั้นขึ้นไป ใช้ 50%)</v>
      </c>
      <c r="F534" s="1205"/>
      <c r="G534" s="1203" t="str">
        <f>'RC1_Structure_RE'!F563</f>
        <v>ตร.ม.</v>
      </c>
      <c r="H534" s="1203">
        <f>'RC1_Structure_RE'!E563</f>
        <v>552</v>
      </c>
      <c r="I534" s="1203">
        <f>'RC1_Structure_RE'!I563</f>
        <v>126540.17812466879</v>
      </c>
      <c r="J534" s="1203">
        <f>'RC1_Structure_RE'!L563</f>
        <v>0</v>
      </c>
      <c r="K534" s="1203">
        <f>'RC1_Structure_RE'!M563</f>
        <v>126540.17812466879</v>
      </c>
    </row>
    <row r="535" spans="1:11">
      <c r="A535" t="s">
        <v>10</v>
      </c>
      <c r="B535" t="s">
        <v>27</v>
      </c>
      <c r="C535" t="s">
        <v>38</v>
      </c>
      <c r="D535" t="s">
        <v>18</v>
      </c>
      <c r="E535" t="str" cm="1">
        <f t="array" ref="E535">_xlfn.LET(_xlpm.c,'RC1_Structure_RE'!C564, _xlpm.b, 'RC1_Structure_RE'!B564, IF(_xlpm.c&lt;&gt;"", _xlpm.c, _xlpm.b))</f>
        <v>ค่าแรงประกอบและติดตั้งไม้แบบหล่อคอนกรีต (ใช้ 100%)</v>
      </c>
      <c r="F535" s="1205"/>
      <c r="G535" s="1203" t="str">
        <f>'RC1_Structure_RE'!F564</f>
        <v>ตร.ม.</v>
      </c>
      <c r="H535" s="1203">
        <f>'RC1_Structure_RE'!E564</f>
        <v>1103</v>
      </c>
      <c r="I535" s="1203">
        <f>'RC1_Structure_RE'!I564</f>
        <v>0</v>
      </c>
      <c r="J535" s="1203">
        <f>'RC1_Structure_RE'!L564</f>
        <v>124775.632676761</v>
      </c>
      <c r="K535" s="1203">
        <f>'RC1_Structure_RE'!M564</f>
        <v>124775.632676761</v>
      </c>
    </row>
    <row r="536" spans="1:11">
      <c r="A536" t="s">
        <v>10</v>
      </c>
      <c r="B536" t="s">
        <v>27</v>
      </c>
      <c r="C536" t="s">
        <v>38</v>
      </c>
      <c r="D536" t="s">
        <v>18</v>
      </c>
      <c r="E536" t="str" cm="1">
        <f t="array" ref="E536">_xlfn.LET(_xlpm.c,'RC1_Structure_RE'!C565, _xlpm.b, 'RC1_Structure_RE'!B565, IF(_xlpm.c&lt;&gt;"", _xlpm.c, _xlpm.b))</f>
        <v>ไม้เคร่า (ใช้ 30% ของไม้แบบ 1 ตร.ม.)</v>
      </c>
      <c r="F536" s="1205"/>
      <c r="G536" s="1203" t="str">
        <f>'RC1_Structure_RE'!F565</f>
        <v>ลบ.ฟ.</v>
      </c>
      <c r="H536" s="1203">
        <f>'RC1_Structure_RE'!E565</f>
        <v>166</v>
      </c>
      <c r="I536" s="1203">
        <f>'RC1_Structure_RE'!I565</f>
        <v>48020.355151854841</v>
      </c>
      <c r="J536" s="1203">
        <f>'RC1_Structure_RE'!L565</f>
        <v>0</v>
      </c>
      <c r="K536" s="1203">
        <f>'RC1_Structure_RE'!M565</f>
        <v>48020.355151854841</v>
      </c>
    </row>
    <row r="537" spans="1:11">
      <c r="A537" t="s">
        <v>10</v>
      </c>
      <c r="B537" t="s">
        <v>27</v>
      </c>
      <c r="C537" t="s">
        <v>38</v>
      </c>
      <c r="D537" t="s">
        <v>18</v>
      </c>
      <c r="E537" t="str" cm="1">
        <f t="array" ref="E537">_xlfn.LET(_xlpm.c,'RC1_Structure_RE'!C566, _xlpm.b, 'RC1_Structure_RE'!B566, IF(_xlpm.c&lt;&gt;"", _xlpm.c, _xlpm.b))</f>
        <v>ตะปู (ใช้ 25% ของไม้แบบ 1 ตร.ม.)</v>
      </c>
      <c r="F537" s="1205"/>
      <c r="G537" s="1203" t="str">
        <f>'RC1_Structure_RE'!F566</f>
        <v>กก.</v>
      </c>
      <c r="H537" s="1203">
        <f>'RC1_Structure_RE'!E566</f>
        <v>138</v>
      </c>
      <c r="I537" s="1203">
        <f>'RC1_Structure_RE'!I566</f>
        <v>3013.8443729529599</v>
      </c>
      <c r="J537" s="1203">
        <f>'RC1_Structure_RE'!L566</f>
        <v>0</v>
      </c>
      <c r="K537" s="1203">
        <f>'RC1_Structure_RE'!M566</f>
        <v>3013.8443729529599</v>
      </c>
    </row>
    <row r="538" spans="1:11">
      <c r="A538" t="s">
        <v>10</v>
      </c>
      <c r="B538" t="s">
        <v>27</v>
      </c>
      <c r="C538" t="s">
        <v>38</v>
      </c>
      <c r="D538" t="s">
        <v>18</v>
      </c>
      <c r="E538" t="str" cm="1">
        <f t="array" ref="E538">_xlfn.LET(_xlpm.c,'RC1_Structure_RE'!C567, _xlpm.b, 'RC1_Structure_RE'!B567, IF(_xlpm.c&lt;&gt;"", _xlpm.c, _xlpm.b))</f>
        <v>งานคอนกรีตโครงสร้าง</v>
      </c>
      <c r="F538" s="1205"/>
      <c r="G538" s="1203">
        <f>'RC1_Structure_RE'!F567</f>
        <v>0</v>
      </c>
      <c r="H538" s="1203">
        <f>'RC1_Structure_RE'!E567</f>
        <v>0</v>
      </c>
      <c r="I538" s="1203">
        <f>'RC1_Structure_RE'!I567</f>
        <v>0</v>
      </c>
      <c r="J538" s="1203">
        <f>'RC1_Structure_RE'!L567</f>
        <v>0</v>
      </c>
      <c r="K538" s="1203">
        <f>'RC1_Structure_RE'!M567</f>
        <v>0</v>
      </c>
    </row>
    <row r="539" spans="1:11">
      <c r="A539" t="s">
        <v>10</v>
      </c>
      <c r="B539" t="s">
        <v>27</v>
      </c>
      <c r="C539" t="s">
        <v>38</v>
      </c>
      <c r="D539" t="s">
        <v>18</v>
      </c>
      <c r="E539" t="str" cm="1">
        <f t="array" ref="E539">_xlfn.LET(_xlpm.c,'RC1_Structure_RE'!C568, _xlpm.b, 'RC1_Structure_RE'!B568, IF(_xlpm.c&lt;&gt;"", _xlpm.c, _xlpm.b))</f>
        <v>งานคอนกรีตโครงสร้าง 320 ksc.</v>
      </c>
      <c r="F539" s="1205"/>
      <c r="G539" s="1203" t="str">
        <f>'RC1_Structure_RE'!F568</f>
        <v>ลบ.ม.</v>
      </c>
      <c r="H539" s="1203">
        <f>'RC1_Structure_RE'!E568</f>
        <v>221</v>
      </c>
      <c r="I539" s="1203">
        <f>'RC1_Structure_RE'!I568</f>
        <v>553706.67660932126</v>
      </c>
      <c r="J539" s="1203">
        <f>'RC1_Structure_RE'!L568</f>
        <v>107233.01808285298</v>
      </c>
      <c r="K539" s="1203">
        <f>'RC1_Structure_RE'!M568</f>
        <v>660939.69469217421</v>
      </c>
    </row>
    <row r="540" spans="1:11">
      <c r="A540" t="s">
        <v>10</v>
      </c>
      <c r="B540" t="s">
        <v>27</v>
      </c>
      <c r="C540" t="s">
        <v>38</v>
      </c>
      <c r="D540" t="s">
        <v>39</v>
      </c>
      <c r="E540" t="str" cm="1">
        <f t="array" ref="E540">_xlfn.LET(_xlpm.c,'RC1_Structure_RE'!C569, _xlpm.b, 'RC1_Structure_RE'!B569, IF(_xlpm.c&lt;&gt;"", _xlpm.c, _xlpm.b))</f>
        <v>งานระบบพื้นอัดแรง (Post tension 0.23m. Thk.)</v>
      </c>
      <c r="F540" s="1205"/>
      <c r="G540" s="1203" t="str">
        <f>'RC1_Structure_RE'!F569</f>
        <v>ตร.ม.</v>
      </c>
      <c r="H540" s="1203">
        <f>'RC1_Structure_RE'!E569</f>
        <v>1016</v>
      </c>
      <c r="I540" s="1203">
        <f>'RC1_Structure_RE'!I569</f>
        <v>427439.95908840001</v>
      </c>
      <c r="J540" s="1203">
        <f>'RC1_Structure_RE'!L569</f>
        <v>0</v>
      </c>
      <c r="K540" s="1203">
        <f>'RC1_Structure_RE'!M569</f>
        <v>427439.95908840001</v>
      </c>
    </row>
    <row r="541" spans="1:11">
      <c r="E541" cm="1">
        <f t="array" ref="E541">_xlfn.LET(_xlpm.c,'RC1_Structure_RE'!C570, _xlpm.b, 'RC1_Structure_RE'!B570, IF(_xlpm.c&lt;&gt;"", _xlpm.c, _xlpm.b))</f>
        <v>0</v>
      </c>
      <c r="F541" s="1205"/>
      <c r="G541" s="1203">
        <f>'RC1_Structure_RE'!F570</f>
        <v>0</v>
      </c>
      <c r="H541" s="1203">
        <f>'RC1_Structure_RE'!E570</f>
        <v>0</v>
      </c>
      <c r="I541" s="1203">
        <f>'RC1_Structure_RE'!I570</f>
        <v>0</v>
      </c>
      <c r="J541" s="1203">
        <f>'RC1_Structure_RE'!L570</f>
        <v>0</v>
      </c>
      <c r="K541" s="1203">
        <f>'RC1_Structure_RE'!M570</f>
        <v>0</v>
      </c>
    </row>
    <row r="542" spans="1:11">
      <c r="E542" cm="1">
        <f t="array" ref="E542">_xlfn.LET(_xlpm.c,'RC1_Structure_RE'!C571, _xlpm.b, 'RC1_Structure_RE'!B571, IF(_xlpm.c&lt;&gt;"", _xlpm.c, _xlpm.b))</f>
        <v>0</v>
      </c>
      <c r="F542" s="1205"/>
      <c r="G542" s="1203">
        <f>'RC1_Structure_RE'!F571</f>
        <v>0</v>
      </c>
      <c r="H542" s="1203">
        <f>'RC1_Structure_RE'!E571</f>
        <v>0</v>
      </c>
      <c r="I542" s="1203">
        <f>'RC1_Structure_RE'!I571</f>
        <v>0</v>
      </c>
      <c r="J542" s="1203">
        <f>'RC1_Structure_RE'!L571</f>
        <v>0</v>
      </c>
      <c r="K542" s="1203">
        <f>'RC1_Structure_RE'!M571</f>
        <v>0</v>
      </c>
    </row>
    <row r="543" spans="1:11">
      <c r="A543" t="s">
        <v>10</v>
      </c>
      <c r="B543" t="s">
        <v>27</v>
      </c>
      <c r="C543" t="s">
        <v>38</v>
      </c>
      <c r="D543" t="s">
        <v>19</v>
      </c>
      <c r="E543" t="str" cm="1">
        <f t="array" ref="E543">_xlfn.LET(_xlpm.c,'RC1_Structure_RE'!C572, _xlpm.b, 'RC1_Structure_RE'!B572, IF(_xlpm.c&lt;&gt;"", _xlpm.c, _xlpm.b))</f>
        <v>โครงสร้างเสา ชั้น 3 (ชั้นลอย)</v>
      </c>
      <c r="F543" s="1205"/>
      <c r="G543" s="1203">
        <f>'RC1_Structure_RE'!F572</f>
        <v>0</v>
      </c>
      <c r="H543" s="1203">
        <f>'RC1_Structure_RE'!E572</f>
        <v>0</v>
      </c>
      <c r="I543" s="1203">
        <f>'RC1_Structure_RE'!I572</f>
        <v>0</v>
      </c>
      <c r="J543" s="1203">
        <f>'RC1_Structure_RE'!L572</f>
        <v>0</v>
      </c>
      <c r="K543" s="1203">
        <f>'RC1_Structure_RE'!M572</f>
        <v>0</v>
      </c>
    </row>
    <row r="544" spans="1:11">
      <c r="A544" t="s">
        <v>10</v>
      </c>
      <c r="B544" t="s">
        <v>27</v>
      </c>
      <c r="C544" t="s">
        <v>38</v>
      </c>
      <c r="D544" t="s">
        <v>19</v>
      </c>
      <c r="E544" t="str" cm="1">
        <f t="array" ref="E544">_xlfn.LET(_xlpm.c,'RC1_Structure_RE'!C573, _xlpm.b, 'RC1_Structure_RE'!B573, IF(_xlpm.c&lt;&gt;"", _xlpm.c, _xlpm.b))</f>
        <v xml:space="preserve">งานเหล็กเสริม </v>
      </c>
      <c r="F544" s="1205"/>
      <c r="G544" s="1203">
        <f>'RC1_Structure_RE'!F573</f>
        <v>0</v>
      </c>
      <c r="H544" s="1203">
        <f>'RC1_Structure_RE'!E573</f>
        <v>0</v>
      </c>
      <c r="I544" s="1203">
        <f>'RC1_Structure_RE'!I573</f>
        <v>0</v>
      </c>
      <c r="J544" s="1203">
        <f>'RC1_Structure_RE'!L573</f>
        <v>0</v>
      </c>
      <c r="K544" s="1203">
        <f>'RC1_Structure_RE'!M573</f>
        <v>0</v>
      </c>
    </row>
    <row r="545" spans="1:11">
      <c r="A545" t="s">
        <v>10</v>
      </c>
      <c r="B545" t="s">
        <v>27</v>
      </c>
      <c r="C545" t="s">
        <v>38</v>
      </c>
      <c r="D545" t="s">
        <v>19</v>
      </c>
      <c r="E545" t="str" cm="1">
        <f t="array" ref="E545">_xlfn.LET(_xlpm.c,'RC1_Structure_RE'!C574, _xlpm.b, 'RC1_Structure_RE'!B574, IF(_xlpm.c&lt;&gt;"", _xlpm.c, _xlpm.b))</f>
        <v>ขนาดเส้นผ่านศูนย์กลาง 9 ม.ม. SR-24</v>
      </c>
      <c r="F545" s="1205"/>
      <c r="G545" s="1203" t="str">
        <f>'RC1_Structure_RE'!F574</f>
        <v>กก.</v>
      </c>
      <c r="H545" s="1203">
        <f>'RC1_Structure_RE'!E574</f>
        <v>1107</v>
      </c>
      <c r="I545" s="1203">
        <f>'RC1_Structure_RE'!I574</f>
        <v>20284.886877368401</v>
      </c>
      <c r="J545" s="1203">
        <f>'RC1_Structure_RE'!L574</f>
        <v>4553.7501153275998</v>
      </c>
      <c r="K545" s="1203">
        <f>'RC1_Structure_RE'!M574</f>
        <v>24838.636992696</v>
      </c>
    </row>
    <row r="546" spans="1:11">
      <c r="A546" t="s">
        <v>10</v>
      </c>
      <c r="B546" t="s">
        <v>27</v>
      </c>
      <c r="C546" t="s">
        <v>38</v>
      </c>
      <c r="D546" t="s">
        <v>19</v>
      </c>
      <c r="E546" t="str" cm="1">
        <f t="array" ref="E546">_xlfn.LET(_xlpm.c,'RC1_Structure_RE'!C575, _xlpm.b, 'RC1_Structure_RE'!B575, IF(_xlpm.c&lt;&gt;"", _xlpm.c, _xlpm.b))</f>
        <v>ขนาดเส้นผ่านศูนย์กลาง 12 ม.ม. SD-50</v>
      </c>
      <c r="F546" s="1205"/>
      <c r="G546" s="1203" t="str">
        <f>'RC1_Structure_RE'!F575</f>
        <v>กก.</v>
      </c>
      <c r="H546" s="1203">
        <f>'RC1_Structure_RE'!E575</f>
        <v>464</v>
      </c>
      <c r="I546" s="1203">
        <f>'RC1_Structure_RE'!I575</f>
        <v>8437.3581425655993</v>
      </c>
      <c r="J546" s="1203">
        <f>'RC1_Structure_RE'!L575</f>
        <v>1561.6704017088</v>
      </c>
      <c r="K546" s="1203">
        <f>'RC1_Structure_RE'!M575</f>
        <v>9999.0285442743989</v>
      </c>
    </row>
    <row r="547" spans="1:11">
      <c r="A547" t="s">
        <v>10</v>
      </c>
      <c r="B547" t="s">
        <v>27</v>
      </c>
      <c r="C547" t="s">
        <v>38</v>
      </c>
      <c r="D547" t="s">
        <v>19</v>
      </c>
      <c r="E547" t="str" cm="1">
        <f t="array" ref="E547">_xlfn.LET(_xlpm.c,'RC1_Structure_RE'!C576, _xlpm.b, 'RC1_Structure_RE'!B576, IF(_xlpm.c&lt;&gt;"", _xlpm.c, _xlpm.b))</f>
        <v>ขนาดเส้นผ่านศูนย์กลาง 16 ม.ม. SD-50</v>
      </c>
      <c r="F547" s="1205"/>
      <c r="G547" s="1203" t="str">
        <f>'RC1_Structure_RE'!F576</f>
        <v>กก.</v>
      </c>
      <c r="H547" s="1203">
        <f>'RC1_Structure_RE'!E576</f>
        <v>195</v>
      </c>
      <c r="I547" s="1203">
        <f>'RC1_Structure_RE'!I576</f>
        <v>3509.4110814262499</v>
      </c>
      <c r="J547" s="1203">
        <f>'RC1_Structure_RE'!L576</f>
        <v>656.30544899400002</v>
      </c>
      <c r="K547" s="1203">
        <f>'RC1_Structure_RE'!M576</f>
        <v>4165.7165304202499</v>
      </c>
    </row>
    <row r="548" spans="1:11">
      <c r="A548" t="s">
        <v>10</v>
      </c>
      <c r="B548" t="s">
        <v>27</v>
      </c>
      <c r="C548" t="s">
        <v>38</v>
      </c>
      <c r="D548" t="s">
        <v>19</v>
      </c>
      <c r="E548" t="str" cm="1">
        <f t="array" ref="E548">_xlfn.LET(_xlpm.c,'RC1_Structure_RE'!C577, _xlpm.b, 'RC1_Structure_RE'!B577, IF(_xlpm.c&lt;&gt;"", _xlpm.c, _xlpm.b))</f>
        <v>ขนาดเส้นผ่านศูนย์กลาง 20 ม.ม. SD-50</v>
      </c>
      <c r="F548" s="1205"/>
      <c r="G548" s="1203" t="str">
        <f>'RC1_Structure_RE'!F577</f>
        <v>กก.</v>
      </c>
      <c r="H548" s="1203">
        <f>'RC1_Structure_RE'!E577</f>
        <v>4222</v>
      </c>
      <c r="I548" s="1203">
        <f>'RC1_Structure_RE'!I577</f>
        <v>75983.249157854501</v>
      </c>
      <c r="J548" s="1203">
        <f>'RC1_Structure_RE'!L577</f>
        <v>12236.263500745399</v>
      </c>
      <c r="K548" s="1203">
        <f>'RC1_Structure_RE'!M577</f>
        <v>88219.512658599895</v>
      </c>
    </row>
    <row r="549" spans="1:11">
      <c r="A549" t="s">
        <v>10</v>
      </c>
      <c r="B549" t="s">
        <v>27</v>
      </c>
      <c r="C549" t="s">
        <v>38</v>
      </c>
      <c r="D549" t="s">
        <v>19</v>
      </c>
      <c r="E549" t="str" cm="1">
        <f t="array" ref="E549">_xlfn.LET(_xlpm.c,'RC1_Structure_RE'!C578, _xlpm.b, 'RC1_Structure_RE'!B578, IF(_xlpm.c&lt;&gt;"", _xlpm.c, _xlpm.b))</f>
        <v>ขนาดเส้นผ่านศูนย์กลาง 25 ม.ม. SD-50</v>
      </c>
      <c r="F549" s="1205"/>
      <c r="G549" s="1203" t="str">
        <f>'RC1_Structure_RE'!F578</f>
        <v>กก.</v>
      </c>
      <c r="H549" s="1203">
        <f>'RC1_Structure_RE'!E578</f>
        <v>1643</v>
      </c>
      <c r="I549" s="1203">
        <f>'RC1_Structure_RE'!I578</f>
        <v>29569.037983504248</v>
      </c>
      <c r="J549" s="1203">
        <f>'RC1_Structure_RE'!L578</f>
        <v>4761.7671557850999</v>
      </c>
      <c r="K549" s="1203">
        <f>'RC1_Structure_RE'!M578</f>
        <v>34330.805139289347</v>
      </c>
    </row>
    <row r="550" spans="1:11">
      <c r="A550" t="s">
        <v>10</v>
      </c>
      <c r="B550" t="s">
        <v>27</v>
      </c>
      <c r="C550" t="s">
        <v>38</v>
      </c>
      <c r="D550" t="s">
        <v>19</v>
      </c>
      <c r="E550" t="str" cm="1">
        <f t="array" ref="E550">_xlfn.LET(_xlpm.c,'RC1_Structure_RE'!C579, _xlpm.b, 'RC1_Structure_RE'!B579, IF(_xlpm.c&lt;&gt;"", _xlpm.c, _xlpm.b))</f>
        <v>ขนาดเส้นผ่านศูนย์กลาง 32 ม.ม. SD-50</v>
      </c>
      <c r="F550" s="1205"/>
      <c r="G550" s="1203" t="str">
        <f>'RC1_Structure_RE'!F579</f>
        <v>กก.</v>
      </c>
      <c r="H550" s="1203">
        <f>'RC1_Structure_RE'!E579</f>
        <v>344</v>
      </c>
      <c r="I550" s="1203">
        <f>'RC1_Structure_RE'!I579</f>
        <v>6190.9610872339999</v>
      </c>
      <c r="J550" s="1203">
        <f>'RC1_Structure_RE'!L579</f>
        <v>996.98594132079995</v>
      </c>
      <c r="K550" s="1203">
        <f>'RC1_Structure_RE'!M579</f>
        <v>7187.9470285547995</v>
      </c>
    </row>
    <row r="551" spans="1:11">
      <c r="A551" t="s">
        <v>10</v>
      </c>
      <c r="B551" t="s">
        <v>27</v>
      </c>
      <c r="C551" t="s">
        <v>38</v>
      </c>
      <c r="D551" t="s">
        <v>19</v>
      </c>
      <c r="E551" t="str" cm="1">
        <f t="array" ref="E551">_xlfn.LET(_xlpm.c,'RC1_Structure_RE'!C580, _xlpm.b, 'RC1_Structure_RE'!B580, IF(_xlpm.c&lt;&gt;"", _xlpm.c, _xlpm.b))</f>
        <v>ลวดผูกเหล็ก</v>
      </c>
      <c r="F551" s="1205"/>
      <c r="G551" s="1203" t="str">
        <f>'RC1_Structure_RE'!F580</f>
        <v>กก.</v>
      </c>
      <c r="H551" s="1203">
        <f>'RC1_Structure_RE'!E580</f>
        <v>144</v>
      </c>
      <c r="I551" s="1203">
        <f>'RC1_Structure_RE'!I580</f>
        <v>3648.3851626127998</v>
      </c>
      <c r="J551" s="1203">
        <f>'RC1_Structure_RE'!L580</f>
        <v>0</v>
      </c>
      <c r="K551" s="1203">
        <f>'RC1_Structure_RE'!M580</f>
        <v>3648.3851626127998</v>
      </c>
    </row>
    <row r="552" spans="1:11">
      <c r="A552" t="s">
        <v>10</v>
      </c>
      <c r="B552" t="s">
        <v>27</v>
      </c>
      <c r="C552" t="s">
        <v>38</v>
      </c>
      <c r="D552" t="s">
        <v>19</v>
      </c>
      <c r="E552" t="str" cm="1">
        <f t="array" ref="E552">_xlfn.LET(_xlpm.c,'RC1_Structure_RE'!C581, _xlpm.b, 'RC1_Structure_RE'!B581, IF(_xlpm.c&lt;&gt;"", _xlpm.c, _xlpm.b))</f>
        <v>งานไม้แบบ</v>
      </c>
      <c r="F552" s="1205"/>
      <c r="G552" s="1203">
        <f>'RC1_Structure_RE'!F581</f>
        <v>0</v>
      </c>
      <c r="H552" s="1203">
        <f>'RC1_Structure_RE'!E581</f>
        <v>0</v>
      </c>
      <c r="I552" s="1203">
        <f>'RC1_Structure_RE'!I581</f>
        <v>0</v>
      </c>
      <c r="J552" s="1203">
        <f>'RC1_Structure_RE'!L581</f>
        <v>0</v>
      </c>
      <c r="K552" s="1203">
        <f>'RC1_Structure_RE'!M581</f>
        <v>0</v>
      </c>
    </row>
    <row r="553" spans="1:11">
      <c r="A553" t="s">
        <v>10</v>
      </c>
      <c r="B553" t="s">
        <v>27</v>
      </c>
      <c r="C553" t="s">
        <v>38</v>
      </c>
      <c r="D553" t="s">
        <v>19</v>
      </c>
      <c r="E553" t="str" cm="1">
        <f t="array" ref="E553">_xlfn.LET(_xlpm.c,'RC1_Structure_RE'!C582, _xlpm.b, 'RC1_Structure_RE'!B582, IF(_xlpm.c&lt;&gt;"", _xlpm.c, _xlpm.b))</f>
        <v>ไม้แบบ ค้ำยัน นั่งร้าน (อาคาร 4 ชั้นขึ้นไป ใช้ 50%)</v>
      </c>
      <c r="F553" s="1205"/>
      <c r="G553" s="1203" t="str">
        <f>'RC1_Structure_RE'!F582</f>
        <v>ตร.ม.</v>
      </c>
      <c r="H553" s="1203">
        <f>'RC1_Structure_RE'!E582</f>
        <v>120</v>
      </c>
      <c r="I553" s="1203">
        <f>'RC1_Structure_RE'!I582</f>
        <v>27508.734374927997</v>
      </c>
      <c r="J553" s="1203">
        <f>'RC1_Structure_RE'!L582</f>
        <v>0</v>
      </c>
      <c r="K553" s="1203">
        <f>'RC1_Structure_RE'!M582</f>
        <v>27508.734374927997</v>
      </c>
    </row>
    <row r="554" spans="1:11">
      <c r="A554" t="s">
        <v>10</v>
      </c>
      <c r="B554" t="s">
        <v>27</v>
      </c>
      <c r="C554" t="s">
        <v>38</v>
      </c>
      <c r="D554" t="s">
        <v>19</v>
      </c>
      <c r="E554" t="str" cm="1">
        <f t="array" ref="E554">_xlfn.LET(_xlpm.c,'RC1_Structure_RE'!C583, _xlpm.b, 'RC1_Structure_RE'!B583, IF(_xlpm.c&lt;&gt;"", _xlpm.c, _xlpm.b))</f>
        <v>ค่าแรงประกอบและติดตั้งไม้แบบหล่อคอนกรีต (ใช้ 100%)</v>
      </c>
      <c r="F554" s="1205"/>
      <c r="G554" s="1203" t="str">
        <f>'RC1_Structure_RE'!F583</f>
        <v>ตร.ม.</v>
      </c>
      <c r="H554" s="1203">
        <f>'RC1_Structure_RE'!E583</f>
        <v>239</v>
      </c>
      <c r="I554" s="1203">
        <f>'RC1_Structure_RE'!I583</f>
        <v>0</v>
      </c>
      <c r="J554" s="1203">
        <f>'RC1_Structure_RE'!L583</f>
        <v>27036.605811193</v>
      </c>
      <c r="K554" s="1203">
        <f>'RC1_Structure_RE'!M583</f>
        <v>27036.605811193</v>
      </c>
    </row>
    <row r="555" spans="1:11">
      <c r="A555" t="s">
        <v>10</v>
      </c>
      <c r="B555" t="s">
        <v>27</v>
      </c>
      <c r="C555" t="s">
        <v>38</v>
      </c>
      <c r="D555" t="s">
        <v>19</v>
      </c>
      <c r="E555" t="str" cm="1">
        <f t="array" ref="E555">_xlfn.LET(_xlpm.c,'RC1_Structure_RE'!C584, _xlpm.b, 'RC1_Structure_RE'!B584, IF(_xlpm.c&lt;&gt;"", _xlpm.c, _xlpm.b))</f>
        <v>ไม้เคร่า (ใช้ 30% ของไม้แบบ 1 ตร.ม.)</v>
      </c>
      <c r="F555" s="1205"/>
      <c r="G555" s="1203" t="str">
        <f>'RC1_Structure_RE'!F584</f>
        <v>ลบ.ฟ.</v>
      </c>
      <c r="H555" s="1203">
        <f>'RC1_Structure_RE'!E584</f>
        <v>36</v>
      </c>
      <c r="I555" s="1203">
        <f>'RC1_Structure_RE'!I584</f>
        <v>10414.052924498639</v>
      </c>
      <c r="J555" s="1203">
        <f>'RC1_Structure_RE'!L584</f>
        <v>0</v>
      </c>
      <c r="K555" s="1203">
        <f>'RC1_Structure_RE'!M584</f>
        <v>10414.052924498639</v>
      </c>
    </row>
    <row r="556" spans="1:11">
      <c r="A556" t="s">
        <v>10</v>
      </c>
      <c r="B556" t="s">
        <v>27</v>
      </c>
      <c r="C556" t="s">
        <v>38</v>
      </c>
      <c r="D556" t="s">
        <v>19</v>
      </c>
      <c r="E556" t="str" cm="1">
        <f t="array" ref="E556">_xlfn.LET(_xlpm.c,'RC1_Structure_RE'!C585, _xlpm.b, 'RC1_Structure_RE'!B585, IF(_xlpm.c&lt;&gt;"", _xlpm.c, _xlpm.b))</f>
        <v>ตะปู (ใช้ 25% ของไม้แบบ 1 ตร.ม.)</v>
      </c>
      <c r="F556" s="1205"/>
      <c r="G556" s="1203" t="str">
        <f>'RC1_Structure_RE'!F585</f>
        <v>กก.</v>
      </c>
      <c r="H556" s="1203">
        <f>'RC1_Structure_RE'!E585</f>
        <v>30</v>
      </c>
      <c r="I556" s="1203">
        <f>'RC1_Structure_RE'!I585</f>
        <v>655.18355933759995</v>
      </c>
      <c r="J556" s="1203">
        <f>'RC1_Structure_RE'!L585</f>
        <v>0</v>
      </c>
      <c r="K556" s="1203">
        <f>'RC1_Structure_RE'!M585</f>
        <v>655.18355933759995</v>
      </c>
    </row>
    <row r="557" spans="1:11">
      <c r="A557" t="s">
        <v>10</v>
      </c>
      <c r="B557" t="s">
        <v>27</v>
      </c>
      <c r="C557" t="s">
        <v>38</v>
      </c>
      <c r="D557" t="s">
        <v>19</v>
      </c>
      <c r="E557" t="str" cm="1">
        <f t="array" ref="E557">_xlfn.LET(_xlpm.c,'RC1_Structure_RE'!C586, _xlpm.b, 'RC1_Structure_RE'!B586, IF(_xlpm.c&lt;&gt;"", _xlpm.c, _xlpm.b))</f>
        <v>งานคอนกรีตโครงสร้าง</v>
      </c>
      <c r="F557" s="1205"/>
      <c r="G557" s="1203">
        <f>'RC1_Structure_RE'!F586</f>
        <v>0</v>
      </c>
      <c r="H557" s="1203">
        <f>'RC1_Structure_RE'!E586</f>
        <v>0</v>
      </c>
      <c r="I557" s="1203">
        <f>'RC1_Structure_RE'!I586</f>
        <v>0</v>
      </c>
      <c r="J557" s="1203">
        <f>'RC1_Structure_RE'!L586</f>
        <v>0</v>
      </c>
      <c r="K557" s="1203">
        <f>'RC1_Structure_RE'!M586</f>
        <v>0</v>
      </c>
    </row>
    <row r="558" spans="1:11">
      <c r="A558" t="s">
        <v>10</v>
      </c>
      <c r="B558" t="s">
        <v>27</v>
      </c>
      <c r="C558" t="s">
        <v>38</v>
      </c>
      <c r="D558" t="s">
        <v>19</v>
      </c>
      <c r="E558" t="str" cm="1">
        <f t="array" ref="E558">_xlfn.LET(_xlpm.c,'RC1_Structure_RE'!C587, _xlpm.b, 'RC1_Structure_RE'!B587, IF(_xlpm.c&lt;&gt;"", _xlpm.c, _xlpm.b))</f>
        <v>งานคอนกรีตโครงสร้าง 320 ksc.</v>
      </c>
      <c r="F558" s="1205"/>
      <c r="G558" s="1203" t="str">
        <f>'RC1_Structure_RE'!F587</f>
        <v>ลบ.ม.</v>
      </c>
      <c r="H558" s="1203">
        <f>'RC1_Structure_RE'!E587</f>
        <v>17</v>
      </c>
      <c r="I558" s="1203">
        <f>'RC1_Structure_RE'!I587</f>
        <v>42592.821277640098</v>
      </c>
      <c r="J558" s="1203">
        <f>'RC1_Structure_RE'!L587</f>
        <v>8248.6936986809997</v>
      </c>
      <c r="K558" s="1203">
        <f>'RC1_Structure_RE'!M587</f>
        <v>50841.514976321094</v>
      </c>
    </row>
    <row r="559" spans="1:11">
      <c r="A559" t="s">
        <v>10</v>
      </c>
      <c r="B559" t="s">
        <v>27</v>
      </c>
      <c r="C559" t="s">
        <v>38</v>
      </c>
      <c r="D559" t="s">
        <v>19</v>
      </c>
      <c r="E559" t="str" cm="1">
        <f t="array" ref="E559">_xlfn.LET(_xlpm.c,'RC1_Structure_RE'!C588, _xlpm.b, 'RC1_Structure_RE'!B588, IF(_xlpm.c&lt;&gt;"", _xlpm.c, _xlpm.b))</f>
        <v>งานคอนกรีตโครงสร้าง 450 ksc.</v>
      </c>
      <c r="F559" s="1205"/>
      <c r="G559" s="1203" t="str">
        <f>'RC1_Structure_RE'!F588</f>
        <v>ลบ.ม.</v>
      </c>
      <c r="H559" s="1203">
        <f>'RC1_Structure_RE'!E588</f>
        <v>11</v>
      </c>
      <c r="I559" s="1203">
        <f>'RC1_Structure_RE'!I588</f>
        <v>28332.388364334998</v>
      </c>
      <c r="J559" s="1203">
        <f>'RC1_Structure_RE'!L588</f>
        <v>5337.390040323</v>
      </c>
      <c r="K559" s="1203">
        <f>'RC1_Structure_RE'!M588</f>
        <v>33669.778404657998</v>
      </c>
    </row>
    <row r="560" spans="1:11">
      <c r="A560" t="s">
        <v>10</v>
      </c>
      <c r="B560" t="s">
        <v>27</v>
      </c>
      <c r="C560" t="s">
        <v>38</v>
      </c>
      <c r="D560" t="s">
        <v>19</v>
      </c>
      <c r="E560" t="str" cm="1">
        <f t="array" ref="E560">_xlfn.LET(_xlpm.c,'RC1_Structure_RE'!C589, _xlpm.b, 'RC1_Structure_RE'!B589, IF(_xlpm.c&lt;&gt;"", _xlpm.c, _xlpm.b))</f>
        <v>งานคอนกรีตโครงสร้าง 550 ksc.</v>
      </c>
      <c r="F560" s="1205"/>
      <c r="G560" s="1203" t="str">
        <f>'RC1_Structure_RE'!F589</f>
        <v>ลบ.ม.</v>
      </c>
      <c r="H560" s="1203">
        <f>'RC1_Structure_RE'!E589</f>
        <v>4</v>
      </c>
      <c r="I560" s="1203">
        <f>'RC1_Structure_RE'!I589</f>
        <v>11312.3873687</v>
      </c>
      <c r="J560" s="1203">
        <f>'RC1_Structure_RE'!L589</f>
        <v>1940.8691055719999</v>
      </c>
      <c r="K560" s="1203">
        <f>'RC1_Structure_RE'!M589</f>
        <v>13253.256474271999</v>
      </c>
    </row>
    <row r="561" spans="1:11">
      <c r="A561" t="s">
        <v>10</v>
      </c>
      <c r="B561" t="s">
        <v>27</v>
      </c>
      <c r="C561" t="s">
        <v>38</v>
      </c>
      <c r="D561" t="s">
        <v>19</v>
      </c>
      <c r="E561" t="str" cm="1">
        <f t="array" ref="E561">_xlfn.LET(_xlpm.c,'RC1_Structure_RE'!C590, _xlpm.b, 'RC1_Structure_RE'!B590, IF(_xlpm.c&lt;&gt;"", _xlpm.c, _xlpm.b))</f>
        <v>เสาเหล็กรูปพรรณ (เสา Composite)</v>
      </c>
      <c r="F561" s="1205"/>
      <c r="G561" s="1203">
        <f>'RC1_Structure_RE'!F590</f>
        <v>0</v>
      </c>
      <c r="H561" s="1203">
        <f>'RC1_Structure_RE'!E590</f>
        <v>0</v>
      </c>
      <c r="I561" s="1203">
        <f>'RC1_Structure_RE'!I590</f>
        <v>0</v>
      </c>
      <c r="J561" s="1203">
        <f>'RC1_Structure_RE'!L590</f>
        <v>0</v>
      </c>
      <c r="K561" s="1203">
        <f>'RC1_Structure_RE'!M590</f>
        <v>0</v>
      </c>
    </row>
    <row r="562" spans="1:11">
      <c r="A562" t="s">
        <v>10</v>
      </c>
      <c r="B562" t="s">
        <v>27</v>
      </c>
      <c r="C562" t="s">
        <v>38</v>
      </c>
      <c r="D562" t="s">
        <v>19</v>
      </c>
      <c r="E562" t="str" cm="1">
        <f t="array" ref="E562">_xlfn.LET(_xlpm.c,'RC1_Structure_RE'!C591, _xlpm.b, 'RC1_Structure_RE'!B591, IF(_xlpm.c&lt;&gt;"", _xlpm.c, _xlpm.b))</f>
        <v>WF300x300x10x15 mm.-94.0 Kg./m.(sm520)</v>
      </c>
      <c r="F562" s="1205"/>
      <c r="G562" s="1203" t="str">
        <f>'RC1_Structure_RE'!F591</f>
        <v>กก.</v>
      </c>
      <c r="H562" s="1203">
        <f>'RC1_Structure_RE'!E591</f>
        <v>553.85</v>
      </c>
      <c r="I562" s="1203">
        <f>'RC1_Structure_RE'!I591</f>
        <v>18910.012973266297</v>
      </c>
      <c r="J562" s="1203">
        <f>'RC1_Structure_RE'!L591</f>
        <v>7249.1835056332993</v>
      </c>
      <c r="K562" s="1203">
        <f>'RC1_Structure_RE'!M591</f>
        <v>26159.196478899597</v>
      </c>
    </row>
    <row r="563" spans="1:11">
      <c r="A563" t="s">
        <v>10</v>
      </c>
      <c r="B563" t="s">
        <v>27</v>
      </c>
      <c r="C563" t="s">
        <v>38</v>
      </c>
      <c r="D563" t="s">
        <v>31</v>
      </c>
      <c r="E563" t="str" cm="1">
        <f t="array" ref="E563">_xlfn.LET(_xlpm.c,'RC1_Structure_RE'!C592, _xlpm.b, 'RC1_Structure_RE'!B592, IF(_xlpm.c&lt;&gt;"", _xlpm.c, _xlpm.b))</f>
        <v>โครงสร้างผนัง ชั้น 3 (ชั้นลอย)</v>
      </c>
      <c r="F563" s="1205"/>
      <c r="G563" s="1203">
        <f>'RC1_Structure_RE'!F592</f>
        <v>0</v>
      </c>
      <c r="H563" s="1203">
        <f>'RC1_Structure_RE'!E592</f>
        <v>0</v>
      </c>
      <c r="I563" s="1203">
        <f>'RC1_Structure_RE'!I592</f>
        <v>0</v>
      </c>
      <c r="J563" s="1203">
        <f>'RC1_Structure_RE'!L592</f>
        <v>0</v>
      </c>
      <c r="K563" s="1203">
        <f>'RC1_Structure_RE'!M592</f>
        <v>0</v>
      </c>
    </row>
    <row r="564" spans="1:11">
      <c r="A564" t="s">
        <v>10</v>
      </c>
      <c r="B564" t="s">
        <v>27</v>
      </c>
      <c r="C564" t="s">
        <v>38</v>
      </c>
      <c r="D564" t="s">
        <v>31</v>
      </c>
      <c r="E564" t="str" cm="1">
        <f t="array" ref="E564">_xlfn.LET(_xlpm.c,'RC1_Structure_RE'!C593, _xlpm.b, 'RC1_Structure_RE'!B593, IF(_xlpm.c&lt;&gt;"", _xlpm.c, _xlpm.b))</f>
        <v xml:space="preserve">งานเหล็กเสริม </v>
      </c>
      <c r="F564" s="1205"/>
      <c r="G564" s="1203">
        <f>'RC1_Structure_RE'!F593</f>
        <v>0</v>
      </c>
      <c r="H564" s="1203">
        <f>'RC1_Structure_RE'!E593</f>
        <v>0</v>
      </c>
      <c r="I564" s="1203">
        <f>'RC1_Structure_RE'!I593</f>
        <v>0</v>
      </c>
      <c r="J564" s="1203">
        <f>'RC1_Structure_RE'!L593</f>
        <v>0</v>
      </c>
      <c r="K564" s="1203">
        <f>'RC1_Structure_RE'!M593</f>
        <v>0</v>
      </c>
    </row>
    <row r="565" spans="1:11">
      <c r="A565" t="s">
        <v>10</v>
      </c>
      <c r="B565" t="s">
        <v>27</v>
      </c>
      <c r="C565" t="s">
        <v>38</v>
      </c>
      <c r="D565" t="s">
        <v>31</v>
      </c>
      <c r="E565" t="str" cm="1">
        <f t="array" ref="E565">_xlfn.LET(_xlpm.c,'RC1_Structure_RE'!C594, _xlpm.b, 'RC1_Structure_RE'!B594, IF(_xlpm.c&lt;&gt;"", _xlpm.c, _xlpm.b))</f>
        <v>ขนาดเส้นผ่านศูนย์กลาง 12 ม.ม. SD-50</v>
      </c>
      <c r="F565" s="1205"/>
      <c r="G565" s="1203" t="str">
        <f>'RC1_Structure_RE'!F594</f>
        <v>กก.</v>
      </c>
      <c r="H565" s="1203">
        <f>'RC1_Structure_RE'!E594</f>
        <v>6097</v>
      </c>
      <c r="I565" s="1203">
        <f>'RC1_Structure_RE'!I594</f>
        <v>110867.61335177254</v>
      </c>
      <c r="J565" s="1203">
        <f>'RC1_Structure_RE'!L594</f>
        <v>20520.483705212402</v>
      </c>
      <c r="K565" s="1203">
        <f>'RC1_Structure_RE'!M594</f>
        <v>131388.09705698493</v>
      </c>
    </row>
    <row r="566" spans="1:11">
      <c r="A566" t="s">
        <v>10</v>
      </c>
      <c r="B566" t="s">
        <v>27</v>
      </c>
      <c r="C566" t="s">
        <v>38</v>
      </c>
      <c r="D566" t="s">
        <v>31</v>
      </c>
      <c r="E566" t="str" cm="1">
        <f t="array" ref="E566">_xlfn.LET(_xlpm.c,'RC1_Structure_RE'!C595, _xlpm.b, 'RC1_Structure_RE'!B595, IF(_xlpm.c&lt;&gt;"", _xlpm.c, _xlpm.b))</f>
        <v>ขนาดเส้นผ่านศูนย์กลาง 16 ม.ม. SD-50</v>
      </c>
      <c r="F566" s="1205"/>
      <c r="G566" s="1203" t="str">
        <f>'RC1_Structure_RE'!F595</f>
        <v>กก.</v>
      </c>
      <c r="H566" s="1203">
        <f>'RC1_Structure_RE'!E595</f>
        <v>1183</v>
      </c>
      <c r="I566" s="1203">
        <f>'RC1_Structure_RE'!I595</f>
        <v>21290.427227319247</v>
      </c>
      <c r="J566" s="1203">
        <f>'RC1_Structure_RE'!L595</f>
        <v>3981.5863905636002</v>
      </c>
      <c r="K566" s="1203">
        <f>'RC1_Structure_RE'!M595</f>
        <v>25272.013617882847</v>
      </c>
    </row>
    <row r="567" spans="1:11">
      <c r="A567" t="s">
        <v>10</v>
      </c>
      <c r="B567" t="s">
        <v>27</v>
      </c>
      <c r="C567" t="s">
        <v>38</v>
      </c>
      <c r="D567" t="s">
        <v>31</v>
      </c>
      <c r="E567" t="str" cm="1">
        <f t="array" ref="E567">_xlfn.LET(_xlpm.c,'RC1_Structure_RE'!C596, _xlpm.b, 'RC1_Structure_RE'!B596, IF(_xlpm.c&lt;&gt;"", _xlpm.c, _xlpm.b))</f>
        <v>ลวดผูกเหล็ก</v>
      </c>
      <c r="F567" s="1205"/>
      <c r="G567" s="1203" t="str">
        <f>'RC1_Structure_RE'!F596</f>
        <v>กก.</v>
      </c>
      <c r="H567" s="1203">
        <f>'RC1_Structure_RE'!E596</f>
        <v>131</v>
      </c>
      <c r="I567" s="1203">
        <f>'RC1_Structure_RE'!I596</f>
        <v>3319.0170576547002</v>
      </c>
      <c r="J567" s="1203">
        <f>'RC1_Structure_RE'!L596</f>
        <v>0</v>
      </c>
      <c r="K567" s="1203">
        <f>'RC1_Structure_RE'!M596</f>
        <v>3319.0170576547002</v>
      </c>
    </row>
    <row r="568" spans="1:11">
      <c r="A568" t="s">
        <v>10</v>
      </c>
      <c r="B568" t="s">
        <v>27</v>
      </c>
      <c r="C568" t="s">
        <v>38</v>
      </c>
      <c r="D568" t="s">
        <v>31</v>
      </c>
      <c r="E568" t="str" cm="1">
        <f t="array" ref="E568">_xlfn.LET(_xlpm.c,'RC1_Structure_RE'!C597, _xlpm.b, 'RC1_Structure_RE'!B597, IF(_xlpm.c&lt;&gt;"", _xlpm.c, _xlpm.b))</f>
        <v>งานไม้แบบ</v>
      </c>
      <c r="F568" s="1205"/>
      <c r="G568" s="1203">
        <f>'RC1_Structure_RE'!F597</f>
        <v>0</v>
      </c>
      <c r="H568" s="1203">
        <f>'RC1_Structure_RE'!E597</f>
        <v>0</v>
      </c>
      <c r="I568" s="1203">
        <f>'RC1_Structure_RE'!I597</f>
        <v>0</v>
      </c>
      <c r="J568" s="1203">
        <f>'RC1_Structure_RE'!L597</f>
        <v>0</v>
      </c>
      <c r="K568" s="1203">
        <f>'RC1_Structure_RE'!M597</f>
        <v>0</v>
      </c>
    </row>
    <row r="569" spans="1:11">
      <c r="A569" t="s">
        <v>10</v>
      </c>
      <c r="B569" t="s">
        <v>27</v>
      </c>
      <c r="C569" t="s">
        <v>38</v>
      </c>
      <c r="D569" t="s">
        <v>31</v>
      </c>
      <c r="E569" t="str" cm="1">
        <f t="array" ref="E569">_xlfn.LET(_xlpm.c,'RC1_Structure_RE'!C598, _xlpm.b, 'RC1_Structure_RE'!B598, IF(_xlpm.c&lt;&gt;"", _xlpm.c, _xlpm.b))</f>
        <v>ไม้แบบ ค้ำยัน นั่งร้าน (อาคาร 4 ชั้นขึ้นไป ใช้ 50%)</v>
      </c>
      <c r="F569" s="1205"/>
      <c r="G569" s="1203" t="str">
        <f>'RC1_Structure_RE'!F598</f>
        <v>ตร.ม.</v>
      </c>
      <c r="H569" s="1203">
        <f>'RC1_Structure_RE'!E598</f>
        <v>379</v>
      </c>
      <c r="I569" s="1203">
        <f>'RC1_Structure_RE'!I598</f>
        <v>86881.752734147594</v>
      </c>
      <c r="J569" s="1203">
        <f>'RC1_Structure_RE'!L598</f>
        <v>0</v>
      </c>
      <c r="K569" s="1203">
        <f>'RC1_Structure_RE'!M598</f>
        <v>86881.752734147594</v>
      </c>
    </row>
    <row r="570" spans="1:11">
      <c r="A570" t="s">
        <v>10</v>
      </c>
      <c r="B570" t="s">
        <v>27</v>
      </c>
      <c r="C570" t="s">
        <v>38</v>
      </c>
      <c r="D570" t="s">
        <v>31</v>
      </c>
      <c r="E570" t="str" cm="1">
        <f t="array" ref="E570">_xlfn.LET(_xlpm.c,'RC1_Structure_RE'!C599, _xlpm.b, 'RC1_Structure_RE'!B599, IF(_xlpm.c&lt;&gt;"", _xlpm.c, _xlpm.b))</f>
        <v>ค่าแรงประกอบและติดตั้งไม้แบบหล่อคอนกรีต (ใช้ 100%)</v>
      </c>
      <c r="F570" s="1205"/>
      <c r="G570" s="1203" t="str">
        <f>'RC1_Structure_RE'!F599</f>
        <v>ตร.ม.</v>
      </c>
      <c r="H570" s="1203">
        <f>'RC1_Structure_RE'!E599</f>
        <v>758</v>
      </c>
      <c r="I570" s="1203">
        <f>'RC1_Structure_RE'!I599</f>
        <v>0</v>
      </c>
      <c r="J570" s="1203">
        <f>'RC1_Structure_RE'!L599</f>
        <v>85747.896254745996</v>
      </c>
      <c r="K570" s="1203">
        <f>'RC1_Structure_RE'!M599</f>
        <v>85747.896254745996</v>
      </c>
    </row>
    <row r="571" spans="1:11">
      <c r="A571" t="s">
        <v>10</v>
      </c>
      <c r="B571" t="s">
        <v>27</v>
      </c>
      <c r="C571" t="s">
        <v>38</v>
      </c>
      <c r="D571" t="s">
        <v>31</v>
      </c>
      <c r="E571" t="str" cm="1">
        <f t="array" ref="E571">_xlfn.LET(_xlpm.c,'RC1_Structure_RE'!C600, _xlpm.b, 'RC1_Structure_RE'!B600, IF(_xlpm.c&lt;&gt;"", _xlpm.c, _xlpm.b))</f>
        <v>ไม้เคร่า (ใช้ 30% ของไม้แบบ 1 ตร.ม.)</v>
      </c>
      <c r="F571" s="1205"/>
      <c r="G571" s="1203" t="str">
        <f>'RC1_Structure_RE'!F600</f>
        <v>ลบ.ฟ.</v>
      </c>
      <c r="H571" s="1203">
        <f>'RC1_Structure_RE'!E600</f>
        <v>114</v>
      </c>
      <c r="I571" s="1203">
        <f>'RC1_Structure_RE'!I600</f>
        <v>32977.834260912357</v>
      </c>
      <c r="J571" s="1203">
        <f>'RC1_Structure_RE'!L600</f>
        <v>0</v>
      </c>
      <c r="K571" s="1203">
        <f>'RC1_Structure_RE'!M600</f>
        <v>32977.834260912357</v>
      </c>
    </row>
    <row r="572" spans="1:11">
      <c r="A572" t="s">
        <v>10</v>
      </c>
      <c r="B572" t="s">
        <v>27</v>
      </c>
      <c r="C572" t="s">
        <v>38</v>
      </c>
      <c r="D572" t="s">
        <v>31</v>
      </c>
      <c r="E572" t="str" cm="1">
        <f t="array" ref="E572">_xlfn.LET(_xlpm.c,'RC1_Structure_RE'!C601, _xlpm.b, 'RC1_Structure_RE'!B601, IF(_xlpm.c&lt;&gt;"", _xlpm.c, _xlpm.b))</f>
        <v>ตะปู (ใช้ 25% ของไม้แบบ 1 ตร.ม.)</v>
      </c>
      <c r="F572" s="1205"/>
      <c r="G572" s="1203" t="str">
        <f>'RC1_Structure_RE'!F601</f>
        <v>กก.</v>
      </c>
      <c r="H572" s="1203">
        <f>'RC1_Structure_RE'!E601</f>
        <v>95</v>
      </c>
      <c r="I572" s="1203">
        <f>'RC1_Structure_RE'!I601</f>
        <v>2074.7479379023998</v>
      </c>
      <c r="J572" s="1203">
        <f>'RC1_Structure_RE'!L601</f>
        <v>0</v>
      </c>
      <c r="K572" s="1203">
        <f>'RC1_Structure_RE'!M601</f>
        <v>2074.7479379023998</v>
      </c>
    </row>
    <row r="573" spans="1:11">
      <c r="A573" t="s">
        <v>10</v>
      </c>
      <c r="B573" t="s">
        <v>27</v>
      </c>
      <c r="C573" t="s">
        <v>38</v>
      </c>
      <c r="D573" t="s">
        <v>31</v>
      </c>
      <c r="E573" t="str" cm="1">
        <f t="array" ref="E573">_xlfn.LET(_xlpm.c,'RC1_Structure_RE'!C602, _xlpm.b, 'RC1_Structure_RE'!B602, IF(_xlpm.c&lt;&gt;"", _xlpm.c, _xlpm.b))</f>
        <v>งานคอนกรีตโครงสร้าง</v>
      </c>
      <c r="F573" s="1205"/>
      <c r="G573" s="1203">
        <f>'RC1_Structure_RE'!F602</f>
        <v>0</v>
      </c>
      <c r="H573" s="1203">
        <f>'RC1_Structure_RE'!E602</f>
        <v>0</v>
      </c>
      <c r="I573" s="1203">
        <f>'RC1_Structure_RE'!I602</f>
        <v>0</v>
      </c>
      <c r="J573" s="1203">
        <f>'RC1_Structure_RE'!L602</f>
        <v>0</v>
      </c>
      <c r="K573" s="1203">
        <f>'RC1_Structure_RE'!M602</f>
        <v>0</v>
      </c>
    </row>
    <row r="574" spans="1:11">
      <c r="A574" t="s">
        <v>10</v>
      </c>
      <c r="B574" t="s">
        <v>27</v>
      </c>
      <c r="C574" t="s">
        <v>38</v>
      </c>
      <c r="D574" t="s">
        <v>31</v>
      </c>
      <c r="E574" t="str" cm="1">
        <f t="array" ref="E574">_xlfn.LET(_xlpm.c,'RC1_Structure_RE'!C603, _xlpm.b, 'RC1_Structure_RE'!B603, IF(_xlpm.c&lt;&gt;"", _xlpm.c, _xlpm.b))</f>
        <v>งานคอนกรีตโครงสร้าง 320 ksc.</v>
      </c>
      <c r="F574" s="1205"/>
      <c r="G574" s="1203" t="str">
        <f>'RC1_Structure_RE'!F603</f>
        <v>ลบ.ม.</v>
      </c>
      <c r="H574" s="1203">
        <f>'RC1_Structure_RE'!E603</f>
        <v>76</v>
      </c>
      <c r="I574" s="1203">
        <f>'RC1_Structure_RE'!I603</f>
        <v>190414.9657118028</v>
      </c>
      <c r="J574" s="1203">
        <f>'RC1_Structure_RE'!L603</f>
        <v>36876.513005868001</v>
      </c>
      <c r="K574" s="1203">
        <f>'RC1_Structure_RE'!M603</f>
        <v>227291.47871767081</v>
      </c>
    </row>
    <row r="575" spans="1:11">
      <c r="F575" s="1205"/>
      <c r="G575" s="1203"/>
      <c r="H575" s="1203"/>
      <c r="I575" s="1203"/>
      <c r="J575" s="1203"/>
      <c r="K575" s="1203"/>
    </row>
    <row r="576" spans="1:11">
      <c r="F576" s="1205"/>
      <c r="G576" s="1203"/>
      <c r="H576" s="1203"/>
      <c r="I576" s="1203"/>
      <c r="J576" s="1203"/>
      <c r="K576" s="1203"/>
    </row>
    <row r="577" spans="1:11">
      <c r="E577" t="str" cm="1">
        <f t="array" ref="E577">_xlfn.LET(_xlpm.c,'RC1_Structure_RE'!C606, _xlpm.b, 'RC1_Structure_RE'!B606, IF(_xlpm.c&lt;&gt;"", _xlpm.c, _xlpm.b))</f>
        <v>งานโครงสร้าง คาน พื้น ผนัง ชั้นดาดฟ้า</v>
      </c>
      <c r="F577" s="1205"/>
      <c r="G577" s="1203">
        <f>'RC1_Structure_RE'!F606</f>
        <v>0</v>
      </c>
      <c r="H577" s="1203">
        <f>'RC1_Structure_RE'!E606</f>
        <v>0</v>
      </c>
      <c r="I577" s="1203">
        <f>'RC1_Structure_RE'!I606</f>
        <v>0</v>
      </c>
      <c r="J577" s="1203">
        <f>'RC1_Structure_RE'!L606</f>
        <v>0</v>
      </c>
      <c r="K577" s="1203">
        <f>'RC1_Structure_RE'!M606</f>
        <v>0</v>
      </c>
    </row>
    <row r="578" spans="1:11">
      <c r="A578" t="s">
        <v>10</v>
      </c>
      <c r="B578" t="s">
        <v>27</v>
      </c>
      <c r="C578" t="s">
        <v>40</v>
      </c>
      <c r="D578" t="s">
        <v>17</v>
      </c>
      <c r="E578" t="str" cm="1">
        <f t="array" ref="E578">_xlfn.LET(_xlpm.c,'RC1_Structure_RE'!C607, _xlpm.b, 'RC1_Structure_RE'!B607, IF(_xlpm.c&lt;&gt;"", _xlpm.c, _xlpm.b))</f>
        <v>โครงสร้างคาน ชั้นดาดฟ้า</v>
      </c>
      <c r="F578" s="1205"/>
      <c r="G578" s="1203">
        <f>'RC1_Structure_RE'!F607</f>
        <v>0</v>
      </c>
      <c r="H578" s="1203">
        <f>'RC1_Structure_RE'!E607</f>
        <v>0</v>
      </c>
      <c r="I578" s="1203">
        <f>'RC1_Structure_RE'!I607</f>
        <v>0</v>
      </c>
      <c r="J578" s="1203">
        <f>'RC1_Structure_RE'!L607</f>
        <v>0</v>
      </c>
      <c r="K578" s="1203">
        <f>'RC1_Structure_RE'!M607</f>
        <v>0</v>
      </c>
    </row>
    <row r="579" spans="1:11">
      <c r="A579" t="s">
        <v>10</v>
      </c>
      <c r="B579" t="s">
        <v>27</v>
      </c>
      <c r="C579" t="s">
        <v>40</v>
      </c>
      <c r="D579" t="s">
        <v>17</v>
      </c>
      <c r="E579" t="str" cm="1">
        <f t="array" ref="E579">_xlfn.LET(_xlpm.c,'RC1_Structure_RE'!C608, _xlpm.b, 'RC1_Structure_RE'!B608, IF(_xlpm.c&lt;&gt;"", _xlpm.c, _xlpm.b))</f>
        <v xml:space="preserve">งานเหล็กเสริม </v>
      </c>
      <c r="F579" s="1205"/>
      <c r="G579" s="1203">
        <f>'RC1_Structure_RE'!F608</f>
        <v>0</v>
      </c>
      <c r="H579" s="1203">
        <f>'RC1_Structure_RE'!E608</f>
        <v>0</v>
      </c>
      <c r="I579" s="1203">
        <f>'RC1_Structure_RE'!I608</f>
        <v>0</v>
      </c>
      <c r="J579" s="1203">
        <f>'RC1_Structure_RE'!L608</f>
        <v>0</v>
      </c>
      <c r="K579" s="1203">
        <f>'RC1_Structure_RE'!M608</f>
        <v>0</v>
      </c>
    </row>
    <row r="580" spans="1:11">
      <c r="A580" t="s">
        <v>10</v>
      </c>
      <c r="B580" t="s">
        <v>27</v>
      </c>
      <c r="C580" t="s">
        <v>40</v>
      </c>
      <c r="D580" t="s">
        <v>17</v>
      </c>
      <c r="E580" t="str" cm="1">
        <f t="array" ref="E580">_xlfn.LET(_xlpm.c,'RC1_Structure_RE'!C609, _xlpm.b, 'RC1_Structure_RE'!B609, IF(_xlpm.c&lt;&gt;"", _xlpm.c, _xlpm.b))</f>
        <v>ขนาดเส้นผ่านศูนย์กลาง 12 ม.ม. SD-50</v>
      </c>
      <c r="F580" s="1205"/>
      <c r="G580" s="1203" t="str">
        <f>'RC1_Structure_RE'!F609</f>
        <v>กก.</v>
      </c>
      <c r="H580" s="1203">
        <f>'RC1_Structure_RE'!E609</f>
        <v>744</v>
      </c>
      <c r="I580" s="1203">
        <f>'RC1_Structure_RE'!I609</f>
        <v>13528.8673665276</v>
      </c>
      <c r="J580" s="1203">
        <f>'RC1_Structure_RE'!L609</f>
        <v>2504.0577130848001</v>
      </c>
      <c r="K580" s="1203">
        <f>'RC1_Structure_RE'!M609</f>
        <v>16032.9250796124</v>
      </c>
    </row>
    <row r="581" spans="1:11">
      <c r="A581" t="s">
        <v>10</v>
      </c>
      <c r="B581" t="s">
        <v>27</v>
      </c>
      <c r="C581" t="s">
        <v>40</v>
      </c>
      <c r="D581" t="s">
        <v>17</v>
      </c>
      <c r="E581" t="str" cm="1">
        <f t="array" ref="E581">_xlfn.LET(_xlpm.c,'RC1_Structure_RE'!C610, _xlpm.b, 'RC1_Structure_RE'!B610, IF(_xlpm.c&lt;&gt;"", _xlpm.c, _xlpm.b))</f>
        <v>ขนาดเส้นผ่านศูนย์กลาง 16 ม.ม. SD-50</v>
      </c>
      <c r="F581" s="1205"/>
      <c r="G581" s="1203" t="str">
        <f>'RC1_Structure_RE'!F610</f>
        <v>กก.</v>
      </c>
      <c r="H581" s="1203">
        <f>'RC1_Structure_RE'!E610</f>
        <v>889</v>
      </c>
      <c r="I581" s="1203">
        <f>'RC1_Structure_RE'!I610</f>
        <v>15999.315135322749</v>
      </c>
      <c r="J581" s="1203">
        <f>'RC1_Structure_RE'!L610</f>
        <v>2992.0797136188003</v>
      </c>
      <c r="K581" s="1203">
        <f>'RC1_Structure_RE'!M610</f>
        <v>18991.394848941549</v>
      </c>
    </row>
    <row r="582" spans="1:11">
      <c r="A582" t="s">
        <v>10</v>
      </c>
      <c r="B582" t="s">
        <v>27</v>
      </c>
      <c r="C582" t="s">
        <v>40</v>
      </c>
      <c r="D582" t="s">
        <v>17</v>
      </c>
      <c r="E582" t="str" cm="1">
        <f t="array" ref="E582">_xlfn.LET(_xlpm.c,'RC1_Structure_RE'!C611, _xlpm.b, 'RC1_Structure_RE'!B611, IF(_xlpm.c&lt;&gt;"", _xlpm.c, _xlpm.b))</f>
        <v>ลวดผูกเหล็ก</v>
      </c>
      <c r="F582" s="1205"/>
      <c r="G582" s="1203" t="str">
        <f>'RC1_Structure_RE'!F611</f>
        <v>กก.</v>
      </c>
      <c r="H582" s="1203">
        <f>'RC1_Structure_RE'!E611</f>
        <v>29</v>
      </c>
      <c r="I582" s="1203">
        <f>'RC1_Structure_RE'!I611</f>
        <v>734.74423413730005</v>
      </c>
      <c r="J582" s="1203">
        <f>'RC1_Structure_RE'!L611</f>
        <v>0</v>
      </c>
      <c r="K582" s="1203">
        <f>'RC1_Structure_RE'!M611</f>
        <v>734.74423413730005</v>
      </c>
    </row>
    <row r="583" spans="1:11">
      <c r="A583" t="s">
        <v>10</v>
      </c>
      <c r="B583" t="s">
        <v>27</v>
      </c>
      <c r="C583" t="s">
        <v>40</v>
      </c>
      <c r="D583" t="s">
        <v>17</v>
      </c>
      <c r="E583" t="str" cm="1">
        <f t="array" ref="E583">_xlfn.LET(_xlpm.c,'RC1_Structure_RE'!C612, _xlpm.b, 'RC1_Structure_RE'!B612, IF(_xlpm.c&lt;&gt;"", _xlpm.c, _xlpm.b))</f>
        <v>งานไม้แบบ</v>
      </c>
      <c r="F583" s="1205"/>
      <c r="G583" s="1203">
        <f>'RC1_Structure_RE'!F612</f>
        <v>0</v>
      </c>
      <c r="H583" s="1203">
        <f>'RC1_Structure_RE'!E612</f>
        <v>0</v>
      </c>
      <c r="I583" s="1203">
        <f>'RC1_Structure_RE'!I612</f>
        <v>0</v>
      </c>
      <c r="J583" s="1203">
        <f>'RC1_Structure_RE'!L612</f>
        <v>0</v>
      </c>
      <c r="K583" s="1203">
        <f>'RC1_Structure_RE'!M612</f>
        <v>0</v>
      </c>
    </row>
    <row r="584" spans="1:11">
      <c r="A584" t="s">
        <v>10</v>
      </c>
      <c r="B584" t="s">
        <v>27</v>
      </c>
      <c r="C584" t="s">
        <v>40</v>
      </c>
      <c r="D584" t="s">
        <v>17</v>
      </c>
      <c r="E584" t="str" cm="1">
        <f t="array" ref="E584">_xlfn.LET(_xlpm.c,'RC1_Structure_RE'!C613, _xlpm.b, 'RC1_Structure_RE'!B613, IF(_xlpm.c&lt;&gt;"", _xlpm.c, _xlpm.b))</f>
        <v>ไม้แบบ ค้ำยัน นั่งร้าน (อาคาร 4 ชั้นขึ้นไป ใช้ 50%)</v>
      </c>
      <c r="F584" s="1205"/>
      <c r="G584" s="1203" t="str">
        <f>'RC1_Structure_RE'!F613</f>
        <v>ตร.ม.</v>
      </c>
      <c r="H584" s="1203">
        <f>'RC1_Structure_RE'!E613</f>
        <v>34</v>
      </c>
      <c r="I584" s="1203">
        <f>'RC1_Structure_RE'!I613</f>
        <v>7794.1414062295989</v>
      </c>
      <c r="J584" s="1203">
        <f>'RC1_Structure_RE'!L613</f>
        <v>0</v>
      </c>
      <c r="K584" s="1203">
        <f>'RC1_Structure_RE'!M613</f>
        <v>7794.1414062295989</v>
      </c>
    </row>
    <row r="585" spans="1:11">
      <c r="A585" t="s">
        <v>10</v>
      </c>
      <c r="B585" t="s">
        <v>27</v>
      </c>
      <c r="C585" t="s">
        <v>40</v>
      </c>
      <c r="D585" t="s">
        <v>17</v>
      </c>
      <c r="E585" t="str" cm="1">
        <f t="array" ref="E585">_xlfn.LET(_xlpm.c,'RC1_Structure_RE'!C614, _xlpm.b, 'RC1_Structure_RE'!B614, IF(_xlpm.c&lt;&gt;"", _xlpm.c, _xlpm.b))</f>
        <v>ค่าแรงประกอบและติดตั้งไม้แบบหล่อคอนกรีต (ใช้ 100%)</v>
      </c>
      <c r="F585" s="1205"/>
      <c r="G585" s="1203" t="str">
        <f>'RC1_Structure_RE'!F614</f>
        <v>ตร.ม.</v>
      </c>
      <c r="H585" s="1203">
        <f>'RC1_Structure_RE'!E614</f>
        <v>68</v>
      </c>
      <c r="I585" s="1203">
        <f>'RC1_Structure_RE'!I614</f>
        <v>0</v>
      </c>
      <c r="J585" s="1203">
        <f>'RC1_Structure_RE'!L614</f>
        <v>7692.423410716</v>
      </c>
      <c r="K585" s="1203">
        <f>'RC1_Structure_RE'!M614</f>
        <v>7692.423410716</v>
      </c>
    </row>
    <row r="586" spans="1:11">
      <c r="A586" t="s">
        <v>10</v>
      </c>
      <c r="B586" t="s">
        <v>27</v>
      </c>
      <c r="C586" t="s">
        <v>40</v>
      </c>
      <c r="D586" t="s">
        <v>17</v>
      </c>
      <c r="E586" t="str" cm="1">
        <f t="array" ref="E586">_xlfn.LET(_xlpm.c,'RC1_Structure_RE'!C615, _xlpm.b, 'RC1_Structure_RE'!B615, IF(_xlpm.c&lt;&gt;"", _xlpm.c, _xlpm.b))</f>
        <v>ไม้เคร่า (ใช้ 30% ของไม้แบบ 1 ตร.ม.)</v>
      </c>
      <c r="F586" s="1205"/>
      <c r="G586" s="1203" t="str">
        <f>'RC1_Structure_RE'!F615</f>
        <v>ลบ.ฟ.</v>
      </c>
      <c r="H586" s="1203">
        <f>'RC1_Structure_RE'!E615</f>
        <v>11</v>
      </c>
      <c r="I586" s="1203">
        <f>'RC1_Structure_RE'!I615</f>
        <v>3182.0717269301399</v>
      </c>
      <c r="J586" s="1203">
        <f>'RC1_Structure_RE'!L615</f>
        <v>0</v>
      </c>
      <c r="K586" s="1203">
        <f>'RC1_Structure_RE'!M615</f>
        <v>3182.0717269301399</v>
      </c>
    </row>
    <row r="587" spans="1:11">
      <c r="A587" t="s">
        <v>10</v>
      </c>
      <c r="B587" t="s">
        <v>27</v>
      </c>
      <c r="C587" t="s">
        <v>40</v>
      </c>
      <c r="D587" t="s">
        <v>17</v>
      </c>
      <c r="E587" t="str" cm="1">
        <f t="array" ref="E587">_xlfn.LET(_xlpm.c,'RC1_Structure_RE'!C616, _xlpm.b, 'RC1_Structure_RE'!B616, IF(_xlpm.c&lt;&gt;"", _xlpm.c, _xlpm.b))</f>
        <v>ตะปู (ใช้ 25% ของไม้แบบ 1 ตร.ม.)</v>
      </c>
      <c r="F587" s="1205"/>
      <c r="G587" s="1203" t="str">
        <f>'RC1_Structure_RE'!F616</f>
        <v>กก.</v>
      </c>
      <c r="H587" s="1203">
        <f>'RC1_Structure_RE'!E616</f>
        <v>9</v>
      </c>
      <c r="I587" s="1203">
        <f>'RC1_Structure_RE'!I616</f>
        <v>196.55506780127999</v>
      </c>
      <c r="J587" s="1203">
        <f>'RC1_Structure_RE'!L616</f>
        <v>0</v>
      </c>
      <c r="K587" s="1203">
        <f>'RC1_Structure_RE'!M616</f>
        <v>196.55506780127999</v>
      </c>
    </row>
    <row r="588" spans="1:11">
      <c r="A588" t="s">
        <v>10</v>
      </c>
      <c r="B588" t="s">
        <v>27</v>
      </c>
      <c r="C588" t="s">
        <v>40</v>
      </c>
      <c r="D588" t="s">
        <v>17</v>
      </c>
      <c r="E588" t="str" cm="1">
        <f t="array" ref="E588">_xlfn.LET(_xlpm.c,'RC1_Structure_RE'!C617, _xlpm.b, 'RC1_Structure_RE'!B617, IF(_xlpm.c&lt;&gt;"", _xlpm.c, _xlpm.b))</f>
        <v>งานคอนกรีตโครงสร้าง</v>
      </c>
      <c r="F588" s="1205"/>
      <c r="G588" s="1203">
        <f>'RC1_Structure_RE'!F617</f>
        <v>0</v>
      </c>
      <c r="H588" s="1203">
        <f>'RC1_Structure_RE'!E617</f>
        <v>0</v>
      </c>
      <c r="I588" s="1203">
        <f>'RC1_Structure_RE'!I617</f>
        <v>0</v>
      </c>
      <c r="J588" s="1203">
        <f>'RC1_Structure_RE'!L617</f>
        <v>0</v>
      </c>
      <c r="K588" s="1203">
        <f>'RC1_Structure_RE'!M617</f>
        <v>0</v>
      </c>
    </row>
    <row r="589" spans="1:11">
      <c r="A589" t="s">
        <v>10</v>
      </c>
      <c r="B589" t="s">
        <v>27</v>
      </c>
      <c r="C589" t="s">
        <v>40</v>
      </c>
      <c r="D589" t="s">
        <v>17</v>
      </c>
      <c r="E589" t="str" cm="1">
        <f t="array" ref="E589">_xlfn.LET(_xlpm.c,'RC1_Structure_RE'!C618, _xlpm.b, 'RC1_Structure_RE'!B618, IF(_xlpm.c&lt;&gt;"", _xlpm.c, _xlpm.b))</f>
        <v>งานคอนกรีตโครงสร้าง 320 ksc.ผสมน้ำยากันซึม</v>
      </c>
      <c r="F589" s="1205"/>
      <c r="G589" s="1203" t="str">
        <f>'RC1_Structure_RE'!F618</f>
        <v>ลบ.ม.</v>
      </c>
      <c r="H589" s="1203">
        <f>'RC1_Structure_RE'!E618</f>
        <v>9</v>
      </c>
      <c r="I589" s="1203">
        <f>'RC1_Structure_RE'!I618</f>
        <v>19016.02967598</v>
      </c>
      <c r="J589" s="1203">
        <f>'RC1_Structure_RE'!L618</f>
        <v>4366.9554875369995</v>
      </c>
      <c r="K589" s="1203">
        <f>'RC1_Structure_RE'!M618</f>
        <v>23382.985163516998</v>
      </c>
    </row>
    <row r="590" spans="1:11">
      <c r="A590" t="s">
        <v>10</v>
      </c>
      <c r="B590" t="s">
        <v>27</v>
      </c>
      <c r="C590" t="s">
        <v>40</v>
      </c>
      <c r="D590" t="s">
        <v>29</v>
      </c>
      <c r="E590" t="str" cm="1">
        <f t="array" ref="E590">_xlfn.LET(_xlpm.c,'RC1_Structure_RE'!C619, _xlpm.b, 'RC1_Structure_RE'!B619, IF(_xlpm.c&lt;&gt;"", _xlpm.c, _xlpm.b))</f>
        <v>โครงสร้างพื้น ชั้นดาดฟ้า</v>
      </c>
      <c r="F590" s="1205"/>
      <c r="G590" s="1203">
        <f>'RC1_Structure_RE'!F619</f>
        <v>0</v>
      </c>
      <c r="H590" s="1203">
        <f>'RC1_Structure_RE'!E619</f>
        <v>0</v>
      </c>
      <c r="I590" s="1203">
        <f>'RC1_Structure_RE'!I619</f>
        <v>0</v>
      </c>
      <c r="J590" s="1203">
        <f>'RC1_Structure_RE'!L619</f>
        <v>0</v>
      </c>
      <c r="K590" s="1203">
        <f>'RC1_Structure_RE'!M619</f>
        <v>0</v>
      </c>
    </row>
    <row r="591" spans="1:11">
      <c r="A591" t="s">
        <v>10</v>
      </c>
      <c r="B591" t="s">
        <v>27</v>
      </c>
      <c r="C591" t="s">
        <v>40</v>
      </c>
      <c r="D591" t="s">
        <v>29</v>
      </c>
      <c r="E591" t="str" cm="1">
        <f t="array" ref="E591">_xlfn.LET(_xlpm.c,'RC1_Structure_RE'!C620, _xlpm.b, 'RC1_Structure_RE'!B620, IF(_xlpm.c&lt;&gt;"", _xlpm.c, _xlpm.b))</f>
        <v xml:space="preserve">งานเหล็กเสริม </v>
      </c>
      <c r="F591" s="1205"/>
      <c r="G591" s="1203">
        <f>'RC1_Structure_RE'!F620</f>
        <v>0</v>
      </c>
      <c r="H591" s="1203">
        <f>'RC1_Structure_RE'!E620</f>
        <v>0</v>
      </c>
      <c r="I591" s="1203">
        <f>'RC1_Structure_RE'!I620</f>
        <v>0</v>
      </c>
      <c r="J591" s="1203">
        <f>'RC1_Structure_RE'!L620</f>
        <v>0</v>
      </c>
      <c r="K591" s="1203">
        <f>'RC1_Structure_RE'!M620</f>
        <v>0</v>
      </c>
    </row>
    <row r="592" spans="1:11">
      <c r="A592" t="s">
        <v>10</v>
      </c>
      <c r="B592" t="s">
        <v>27</v>
      </c>
      <c r="C592" t="s">
        <v>40</v>
      </c>
      <c r="D592" t="s">
        <v>29</v>
      </c>
      <c r="E592" t="str" cm="1">
        <f t="array" ref="E592">_xlfn.LET(_xlpm.c,'RC1_Structure_RE'!C621, _xlpm.b, 'RC1_Structure_RE'!B621, IF(_xlpm.c&lt;&gt;"", _xlpm.c, _xlpm.b))</f>
        <v>ขนาดเส้นผ่านศูนย์กลาง 12 ม.ม. SD-50</v>
      </c>
      <c r="F592" s="1205"/>
      <c r="G592" s="1203" t="str">
        <f>'RC1_Structure_RE'!F621</f>
        <v>กก.</v>
      </c>
      <c r="H592" s="1203">
        <f>'RC1_Structure_RE'!E621</f>
        <v>11776</v>
      </c>
      <c r="I592" s="1203">
        <f>'RC1_Structure_RE'!I621</f>
        <v>214134.3307906304</v>
      </c>
      <c r="J592" s="1203">
        <f>'RC1_Structure_RE'!L621</f>
        <v>39634.117781299203</v>
      </c>
      <c r="K592" s="1203">
        <f>'RC1_Structure_RE'!M621</f>
        <v>253768.44857192959</v>
      </c>
    </row>
    <row r="593" spans="1:11">
      <c r="A593" t="s">
        <v>10</v>
      </c>
      <c r="B593" t="s">
        <v>27</v>
      </c>
      <c r="C593" t="s">
        <v>40</v>
      </c>
      <c r="D593" t="s">
        <v>29</v>
      </c>
      <c r="E593" t="str" cm="1">
        <f t="array" ref="E593">_xlfn.LET(_xlpm.c,'RC1_Structure_RE'!C622, _xlpm.b, 'RC1_Structure_RE'!B622, IF(_xlpm.c&lt;&gt;"", _xlpm.c, _xlpm.b))</f>
        <v>ขนาดเส้นผ่านศูนย์กลาง 16 ม.ม. SD-50</v>
      </c>
      <c r="F593" s="1205"/>
      <c r="G593" s="1203" t="str">
        <f>'RC1_Structure_RE'!F622</f>
        <v>กก.</v>
      </c>
      <c r="H593" s="1203">
        <f>'RC1_Structure_RE'!E622</f>
        <v>6897</v>
      </c>
      <c r="I593" s="1203">
        <f>'RC1_Structure_RE'!I622</f>
        <v>124125.17040306074</v>
      </c>
      <c r="J593" s="1203">
        <f>'RC1_Structure_RE'!L622</f>
        <v>23213.018880572399</v>
      </c>
      <c r="K593" s="1203">
        <f>'RC1_Structure_RE'!M622</f>
        <v>147338.18928363314</v>
      </c>
    </row>
    <row r="594" spans="1:11">
      <c r="A594" t="s">
        <v>10</v>
      </c>
      <c r="B594" t="s">
        <v>27</v>
      </c>
      <c r="C594" t="s">
        <v>40</v>
      </c>
      <c r="D594" t="s">
        <v>29</v>
      </c>
      <c r="E594" t="str" cm="1">
        <f t="array" ref="E594">_xlfn.LET(_xlpm.c,'RC1_Structure_RE'!C623, _xlpm.b, 'RC1_Structure_RE'!B623, IF(_xlpm.c&lt;&gt;"", _xlpm.c, _xlpm.b))</f>
        <v>ขนาดเส้นผ่านศูนย์กลาง 20 ม.ม. SD-50</v>
      </c>
      <c r="F594" s="1205"/>
      <c r="G594" s="1203" t="str">
        <f>'RC1_Structure_RE'!F623</f>
        <v>กก.</v>
      </c>
      <c r="H594" s="1203">
        <f>'RC1_Structure_RE'!E623</f>
        <v>3956</v>
      </c>
      <c r="I594" s="1203">
        <f>'RC1_Structure_RE'!I623</f>
        <v>71196.052503190993</v>
      </c>
      <c r="J594" s="1203">
        <f>'RC1_Structure_RE'!L623</f>
        <v>11465.338325189199</v>
      </c>
      <c r="K594" s="1203">
        <f>'RC1_Structure_RE'!M623</f>
        <v>82661.390828380187</v>
      </c>
    </row>
    <row r="595" spans="1:11">
      <c r="A595" t="s">
        <v>10</v>
      </c>
      <c r="B595" t="s">
        <v>27</v>
      </c>
      <c r="C595" t="s">
        <v>40</v>
      </c>
      <c r="D595" t="s">
        <v>29</v>
      </c>
      <c r="E595" t="str" cm="1">
        <f t="array" ref="E595">_xlfn.LET(_xlpm.c,'RC1_Structure_RE'!C624, _xlpm.b, 'RC1_Structure_RE'!B624, IF(_xlpm.c&lt;&gt;"", _xlpm.c, _xlpm.b))</f>
        <v>ลวดผูกเหล็ก</v>
      </c>
      <c r="F595" s="1205"/>
      <c r="G595" s="1203" t="str">
        <f>'RC1_Structure_RE'!F624</f>
        <v>กก.</v>
      </c>
      <c r="H595" s="1203">
        <f>'RC1_Structure_RE'!E624</f>
        <v>407</v>
      </c>
      <c r="I595" s="1203">
        <f>'RC1_Structure_RE'!I624</f>
        <v>10311.7552859959</v>
      </c>
      <c r="J595" s="1203">
        <f>'RC1_Structure_RE'!L624</f>
        <v>0</v>
      </c>
      <c r="K595" s="1203">
        <f>'RC1_Structure_RE'!M624</f>
        <v>10311.7552859959</v>
      </c>
    </row>
    <row r="596" spans="1:11">
      <c r="A596" t="s">
        <v>10</v>
      </c>
      <c r="B596" t="s">
        <v>27</v>
      </c>
      <c r="C596" t="s">
        <v>40</v>
      </c>
      <c r="D596" t="s">
        <v>29</v>
      </c>
      <c r="E596" t="str" cm="1">
        <f t="array" ref="E596">_xlfn.LET(_xlpm.c,'RC1_Structure_RE'!C625, _xlpm.b, 'RC1_Structure_RE'!B625, IF(_xlpm.c&lt;&gt;"", _xlpm.c, _xlpm.b))</f>
        <v>งานไม้แบบ</v>
      </c>
      <c r="F596" s="1205"/>
      <c r="G596" s="1203">
        <f>'RC1_Structure_RE'!F625</f>
        <v>0</v>
      </c>
      <c r="H596" s="1203">
        <f>'RC1_Structure_RE'!E625</f>
        <v>0</v>
      </c>
      <c r="I596" s="1203">
        <f>'RC1_Structure_RE'!I625</f>
        <v>0</v>
      </c>
      <c r="J596" s="1203">
        <f>'RC1_Structure_RE'!L625</f>
        <v>0</v>
      </c>
      <c r="K596" s="1203">
        <f>'RC1_Structure_RE'!M625</f>
        <v>0</v>
      </c>
    </row>
    <row r="597" spans="1:11">
      <c r="A597" t="s">
        <v>10</v>
      </c>
      <c r="B597" t="s">
        <v>27</v>
      </c>
      <c r="C597" t="s">
        <v>40</v>
      </c>
      <c r="D597" t="s">
        <v>29</v>
      </c>
      <c r="E597" t="str" cm="1">
        <f t="array" ref="E597">_xlfn.LET(_xlpm.c,'RC1_Structure_RE'!C626, _xlpm.b, 'RC1_Structure_RE'!B626, IF(_xlpm.c&lt;&gt;"", _xlpm.c, _xlpm.b))</f>
        <v>ไม้แบบ ค้ำยัน นั่งร้าน (อาคาร 4 ชั้นขึ้นไป ใช้ 50%)</v>
      </c>
      <c r="F597" s="1205"/>
      <c r="G597" s="1203" t="str">
        <f>'RC1_Structure_RE'!F626</f>
        <v>ตร.ม.</v>
      </c>
      <c r="H597" s="1203">
        <f>'RC1_Structure_RE'!E626</f>
        <v>550</v>
      </c>
      <c r="I597" s="1203">
        <f>'RC1_Structure_RE'!I626</f>
        <v>126081.69921841999</v>
      </c>
      <c r="J597" s="1203">
        <f>'RC1_Structure_RE'!L626</f>
        <v>0</v>
      </c>
      <c r="K597" s="1203">
        <f>'RC1_Structure_RE'!M626</f>
        <v>126081.69921841999</v>
      </c>
    </row>
    <row r="598" spans="1:11">
      <c r="A598" t="s">
        <v>10</v>
      </c>
      <c r="B598" t="s">
        <v>27</v>
      </c>
      <c r="C598" t="s">
        <v>40</v>
      </c>
      <c r="D598" t="s">
        <v>29</v>
      </c>
      <c r="E598" t="str" cm="1">
        <f t="array" ref="E598">_xlfn.LET(_xlpm.c,'RC1_Structure_RE'!C627, _xlpm.b, 'RC1_Structure_RE'!B627, IF(_xlpm.c&lt;&gt;"", _xlpm.c, _xlpm.b))</f>
        <v>ค่าแรงประกอบและติดตั้งไม้แบบหล่อคอนกรีต (ใช้ 100%)</v>
      </c>
      <c r="F598" s="1205"/>
      <c r="G598" s="1203" t="str">
        <f>'RC1_Structure_RE'!F627</f>
        <v>ตร.ม.</v>
      </c>
      <c r="H598" s="1203">
        <f>'RC1_Structure_RE'!E627</f>
        <v>1099</v>
      </c>
      <c r="I598" s="1203">
        <f>'RC1_Structure_RE'!I627</f>
        <v>0</v>
      </c>
      <c r="J598" s="1203">
        <f>'RC1_Structure_RE'!L627</f>
        <v>124323.137182013</v>
      </c>
      <c r="K598" s="1203">
        <f>'RC1_Structure_RE'!M627</f>
        <v>124323.137182013</v>
      </c>
    </row>
    <row r="599" spans="1:11">
      <c r="A599" t="s">
        <v>10</v>
      </c>
      <c r="B599" t="s">
        <v>27</v>
      </c>
      <c r="C599" t="s">
        <v>40</v>
      </c>
      <c r="D599" t="s">
        <v>29</v>
      </c>
      <c r="E599" t="str" cm="1">
        <f t="array" ref="E599">_xlfn.LET(_xlpm.c,'RC1_Structure_RE'!C628, _xlpm.b, 'RC1_Structure_RE'!B628, IF(_xlpm.c&lt;&gt;"", _xlpm.c, _xlpm.b))</f>
        <v>ไม้เคร่า (ใช้ 30% ของไม้แบบ 1 ตร.ม.)</v>
      </c>
      <c r="F599" s="1205"/>
      <c r="G599" s="1203" t="str">
        <f>'RC1_Structure_RE'!F628</f>
        <v>ลบ.ฟ.</v>
      </c>
      <c r="H599" s="1203">
        <f>'RC1_Structure_RE'!E628</f>
        <v>165</v>
      </c>
      <c r="I599" s="1203">
        <f>'RC1_Structure_RE'!I628</f>
        <v>47731.0759039521</v>
      </c>
      <c r="J599" s="1203">
        <f>'RC1_Structure_RE'!L628</f>
        <v>0</v>
      </c>
      <c r="K599" s="1203">
        <f>'RC1_Structure_RE'!M628</f>
        <v>47731.0759039521</v>
      </c>
    </row>
    <row r="600" spans="1:11">
      <c r="A600" t="s">
        <v>10</v>
      </c>
      <c r="B600" t="s">
        <v>27</v>
      </c>
      <c r="C600" t="s">
        <v>40</v>
      </c>
      <c r="D600" t="s">
        <v>29</v>
      </c>
      <c r="E600" t="str" cm="1">
        <f t="array" ref="E600">_xlfn.LET(_xlpm.c,'RC1_Structure_RE'!C629, _xlpm.b, 'RC1_Structure_RE'!B629, IF(_xlpm.c&lt;&gt;"", _xlpm.c, _xlpm.b))</f>
        <v>ตะปู (ใช้ 25% ของไม้แบบ 1 ตร.ม.)</v>
      </c>
      <c r="F600" s="1205"/>
      <c r="G600" s="1203" t="str">
        <f>'RC1_Structure_RE'!F629</f>
        <v>กก.</v>
      </c>
      <c r="H600" s="1203">
        <f>'RC1_Structure_RE'!E629</f>
        <v>138</v>
      </c>
      <c r="I600" s="1203">
        <f>'RC1_Structure_RE'!I629</f>
        <v>3013.8443729529599</v>
      </c>
      <c r="J600" s="1203">
        <f>'RC1_Structure_RE'!L629</f>
        <v>0</v>
      </c>
      <c r="K600" s="1203">
        <f>'RC1_Structure_RE'!M629</f>
        <v>3013.8443729529599</v>
      </c>
    </row>
    <row r="601" spans="1:11">
      <c r="A601" t="s">
        <v>10</v>
      </c>
      <c r="B601" t="s">
        <v>27</v>
      </c>
      <c r="C601" t="s">
        <v>40</v>
      </c>
      <c r="D601" t="s">
        <v>29</v>
      </c>
      <c r="E601" t="str" cm="1">
        <f t="array" ref="E601">_xlfn.LET(_xlpm.c,'RC1_Structure_RE'!C630, _xlpm.b, 'RC1_Structure_RE'!B630, IF(_xlpm.c&lt;&gt;"", _xlpm.c, _xlpm.b))</f>
        <v>งานคอนกรีตโครงสร้าง</v>
      </c>
      <c r="F601" s="1205"/>
      <c r="G601" s="1203">
        <f>'RC1_Structure_RE'!F630</f>
        <v>0</v>
      </c>
      <c r="H601" s="1203">
        <f>'RC1_Structure_RE'!E630</f>
        <v>0</v>
      </c>
      <c r="I601" s="1203">
        <f>'RC1_Structure_RE'!I630</f>
        <v>0</v>
      </c>
      <c r="J601" s="1203">
        <f>'RC1_Structure_RE'!L630</f>
        <v>0</v>
      </c>
      <c r="K601" s="1203">
        <f>'RC1_Structure_RE'!M630</f>
        <v>0</v>
      </c>
    </row>
    <row r="602" spans="1:11">
      <c r="A602" t="s">
        <v>10</v>
      </c>
      <c r="B602" t="s">
        <v>27</v>
      </c>
      <c r="C602" t="s">
        <v>40</v>
      </c>
      <c r="D602" t="s">
        <v>29</v>
      </c>
      <c r="E602" t="str" cm="1">
        <f t="array" ref="E602">_xlfn.LET(_xlpm.c,'RC1_Structure_RE'!C631, _xlpm.b, 'RC1_Structure_RE'!B631, IF(_xlpm.c&lt;&gt;"", _xlpm.c, _xlpm.b))</f>
        <v>งานคอนกรีตโครงสร้าง 320 ksc.ผสมน้ำยากันซึม</v>
      </c>
      <c r="F602" s="1205"/>
      <c r="G602" s="1203" t="str">
        <f>'RC1_Structure_RE'!F631</f>
        <v>ลบ.ม.</v>
      </c>
      <c r="H602" s="1203">
        <f>'RC1_Structure_RE'!E631</f>
        <v>266</v>
      </c>
      <c r="I602" s="1203">
        <f>'RC1_Structure_RE'!I631</f>
        <v>562029.32153452002</v>
      </c>
      <c r="J602" s="1203">
        <f>'RC1_Structure_RE'!L631</f>
        <v>129067.79552053798</v>
      </c>
      <c r="K602" s="1203">
        <f>'RC1_Structure_RE'!M631</f>
        <v>691097.11705505801</v>
      </c>
    </row>
    <row r="603" spans="1:11">
      <c r="A603" t="s">
        <v>10</v>
      </c>
      <c r="B603" t="s">
        <v>27</v>
      </c>
      <c r="C603" t="s">
        <v>40</v>
      </c>
      <c r="D603" t="s">
        <v>29</v>
      </c>
      <c r="E603" cm="1">
        <f t="array" ref="E603">_xlfn.LET(_xlpm.c,'RC1_Structure_RE'!C632, _xlpm.b, 'RC1_Structure_RE'!B632, IF(_xlpm.c&lt;&gt;"", _xlpm.c, _xlpm.b))</f>
        <v>0</v>
      </c>
      <c r="F603" s="1205"/>
      <c r="G603" s="1203">
        <f>'RC1_Structure_RE'!F632</f>
        <v>0</v>
      </c>
      <c r="H603" s="1203">
        <f>'RC1_Structure_RE'!E632</f>
        <v>0</v>
      </c>
      <c r="I603" s="1203">
        <f>'RC1_Structure_RE'!I632</f>
        <v>0</v>
      </c>
      <c r="J603" s="1203">
        <f>'RC1_Structure_RE'!L632</f>
        <v>0</v>
      </c>
      <c r="K603" s="1203">
        <f>'RC1_Structure_RE'!M632</f>
        <v>0</v>
      </c>
    </row>
    <row r="604" spans="1:11">
      <c r="A604" t="s">
        <v>10</v>
      </c>
      <c r="B604" t="s">
        <v>27</v>
      </c>
      <c r="C604" t="s">
        <v>40</v>
      </c>
      <c r="D604" t="s">
        <v>29</v>
      </c>
      <c r="E604" cm="1">
        <f t="array" ref="E604">_xlfn.LET(_xlpm.c,'RC1_Structure_RE'!C633, _xlpm.b, 'RC1_Structure_RE'!B633, IF(_xlpm.c&lt;&gt;"", _xlpm.c, _xlpm.b))</f>
        <v>0</v>
      </c>
      <c r="F604" s="1205"/>
      <c r="G604" s="1203">
        <f>'RC1_Structure_RE'!F633</f>
        <v>0</v>
      </c>
      <c r="H604" s="1203">
        <f>'RC1_Structure_RE'!E633</f>
        <v>0</v>
      </c>
      <c r="I604" s="1203">
        <f>'RC1_Structure_RE'!I633</f>
        <v>0</v>
      </c>
      <c r="J604" s="1203">
        <f>'RC1_Structure_RE'!L633</f>
        <v>0</v>
      </c>
      <c r="K604" s="1203">
        <f>'RC1_Structure_RE'!M633</f>
        <v>0</v>
      </c>
    </row>
    <row r="605" spans="1:11">
      <c r="A605" t="s">
        <v>10</v>
      </c>
      <c r="B605" t="s">
        <v>27</v>
      </c>
      <c r="C605" t="s">
        <v>40</v>
      </c>
      <c r="D605" t="s">
        <v>31</v>
      </c>
      <c r="E605" t="str" cm="1">
        <f t="array" ref="E605">_xlfn.LET(_xlpm.c,'RC1_Structure_RE'!C634, _xlpm.b, 'RC1_Structure_RE'!B634, IF(_xlpm.c&lt;&gt;"", _xlpm.c, _xlpm.b))</f>
        <v>โครงสร้างผนัง ชั้นดาดฟ้า</v>
      </c>
      <c r="F605" s="1205"/>
      <c r="G605" s="1203">
        <f>'RC1_Structure_RE'!F634</f>
        <v>0</v>
      </c>
      <c r="H605" s="1203">
        <f>'RC1_Structure_RE'!E634</f>
        <v>0</v>
      </c>
      <c r="I605" s="1203">
        <f>'RC1_Structure_RE'!I634</f>
        <v>0</v>
      </c>
      <c r="J605" s="1203">
        <f>'RC1_Structure_RE'!L634</f>
        <v>0</v>
      </c>
      <c r="K605" s="1203">
        <f>'RC1_Structure_RE'!M634</f>
        <v>0</v>
      </c>
    </row>
    <row r="606" spans="1:11">
      <c r="A606" t="s">
        <v>10</v>
      </c>
      <c r="B606" t="s">
        <v>27</v>
      </c>
      <c r="C606" t="s">
        <v>40</v>
      </c>
      <c r="D606" t="s">
        <v>31</v>
      </c>
      <c r="E606" t="str" cm="1">
        <f t="array" ref="E606">_xlfn.LET(_xlpm.c,'RC1_Structure_RE'!C635, _xlpm.b, 'RC1_Structure_RE'!B635, IF(_xlpm.c&lt;&gt;"", _xlpm.c, _xlpm.b))</f>
        <v xml:space="preserve">งานเหล็กเสริม </v>
      </c>
      <c r="F606" s="1205"/>
      <c r="G606" s="1203">
        <f>'RC1_Structure_RE'!F635</f>
        <v>0</v>
      </c>
      <c r="H606" s="1203">
        <f>'RC1_Structure_RE'!E635</f>
        <v>0</v>
      </c>
      <c r="I606" s="1203">
        <f>'RC1_Structure_RE'!I635</f>
        <v>0</v>
      </c>
      <c r="J606" s="1203">
        <f>'RC1_Structure_RE'!L635</f>
        <v>0</v>
      </c>
      <c r="K606" s="1203">
        <f>'RC1_Structure_RE'!M635</f>
        <v>0</v>
      </c>
    </row>
    <row r="607" spans="1:11">
      <c r="A607" t="s">
        <v>10</v>
      </c>
      <c r="B607" t="s">
        <v>27</v>
      </c>
      <c r="C607" t="s">
        <v>40</v>
      </c>
      <c r="D607" t="s">
        <v>31</v>
      </c>
      <c r="E607" t="str" cm="1">
        <f t="array" ref="E607">_xlfn.LET(_xlpm.c,'RC1_Structure_RE'!C636, _xlpm.b, 'RC1_Structure_RE'!B636, IF(_xlpm.c&lt;&gt;"", _xlpm.c, _xlpm.b))</f>
        <v>ขนาดเส้นผ่านศูนย์กลาง 9 ม.ม. SR-24</v>
      </c>
      <c r="F607" s="1205"/>
      <c r="G607" s="1203" t="str">
        <f>'RC1_Structure_RE'!F636</f>
        <v>กก.</v>
      </c>
      <c r="H607" s="1203">
        <f>'RC1_Structure_RE'!E636</f>
        <v>345</v>
      </c>
      <c r="I607" s="1203">
        <f>'RC1_Structure_RE'!I636</f>
        <v>6321.8482138140007</v>
      </c>
      <c r="J607" s="1203">
        <f>'RC1_Structure_RE'!L636</f>
        <v>1419.190415346</v>
      </c>
      <c r="K607" s="1203">
        <f>'RC1_Structure_RE'!M636</f>
        <v>7741.0386291600007</v>
      </c>
    </row>
    <row r="608" spans="1:11">
      <c r="A608" t="s">
        <v>10</v>
      </c>
      <c r="B608" t="s">
        <v>27</v>
      </c>
      <c r="C608" t="s">
        <v>40</v>
      </c>
      <c r="D608" t="s">
        <v>31</v>
      </c>
      <c r="E608" t="str" cm="1">
        <f t="array" ref="E608">_xlfn.LET(_xlpm.c,'RC1_Structure_RE'!C637, _xlpm.b, 'RC1_Structure_RE'!B637, IF(_xlpm.c&lt;&gt;"", _xlpm.c, _xlpm.b))</f>
        <v>ขนาดเส้นผ่านศูนย์กลาง 12 ม.ม. SD-50</v>
      </c>
      <c r="F608" s="1205"/>
      <c r="G608" s="1203" t="str">
        <f>'RC1_Structure_RE'!F637</f>
        <v>กก.</v>
      </c>
      <c r="H608" s="1203">
        <f>'RC1_Structure_RE'!E637</f>
        <v>1140</v>
      </c>
      <c r="I608" s="1203">
        <f>'RC1_Structure_RE'!I637</f>
        <v>20729.716126130999</v>
      </c>
      <c r="J608" s="1203">
        <f>'RC1_Structure_RE'!L637</f>
        <v>3836.862624888</v>
      </c>
      <c r="K608" s="1203">
        <f>'RC1_Structure_RE'!M637</f>
        <v>24566.578751018998</v>
      </c>
    </row>
    <row r="609" spans="1:11">
      <c r="A609" t="s">
        <v>10</v>
      </c>
      <c r="B609" t="s">
        <v>27</v>
      </c>
      <c r="C609" t="s">
        <v>40</v>
      </c>
      <c r="D609" t="s">
        <v>31</v>
      </c>
      <c r="E609" t="str" cm="1">
        <f t="array" ref="E609">_xlfn.LET(_xlpm.c,'RC1_Structure_RE'!C638, _xlpm.b, 'RC1_Structure_RE'!B638, IF(_xlpm.c&lt;&gt;"", _xlpm.c, _xlpm.b))</f>
        <v>ขนาดเส้นผ่านศูนย์กลาง 16 ม.ม. SD-50</v>
      </c>
      <c r="F609" s="1205"/>
      <c r="G609" s="1203" t="str">
        <f>'RC1_Structure_RE'!F638</f>
        <v>กก.</v>
      </c>
      <c r="H609" s="1203">
        <f>'RC1_Structure_RE'!E638</f>
        <v>76</v>
      </c>
      <c r="I609" s="1203">
        <f>'RC1_Structure_RE'!I638</f>
        <v>1367.7704727609998</v>
      </c>
      <c r="J609" s="1203">
        <f>'RC1_Structure_RE'!L638</f>
        <v>255.7908416592</v>
      </c>
      <c r="K609" s="1203">
        <f>'RC1_Structure_RE'!M638</f>
        <v>1623.5613144201998</v>
      </c>
    </row>
    <row r="610" spans="1:11">
      <c r="A610" t="s">
        <v>10</v>
      </c>
      <c r="B610" t="s">
        <v>27</v>
      </c>
      <c r="C610" t="s">
        <v>40</v>
      </c>
      <c r="D610" t="s">
        <v>31</v>
      </c>
      <c r="E610" t="str" cm="1">
        <f t="array" ref="E610">_xlfn.LET(_xlpm.c,'RC1_Structure_RE'!C639, _xlpm.b, 'RC1_Structure_RE'!B639, IF(_xlpm.c&lt;&gt;"", _xlpm.c, _xlpm.b))</f>
        <v>ลวดผูกเหล็ก</v>
      </c>
      <c r="F610" s="1205"/>
      <c r="G610" s="1203" t="str">
        <f>'RC1_Structure_RE'!F639</f>
        <v>กก.</v>
      </c>
      <c r="H610" s="1203">
        <f>'RC1_Structure_RE'!E639</f>
        <v>28</v>
      </c>
      <c r="I610" s="1203">
        <f>'RC1_Structure_RE'!I639</f>
        <v>709.40822606360007</v>
      </c>
      <c r="J610" s="1203">
        <f>'RC1_Structure_RE'!L639</f>
        <v>0</v>
      </c>
      <c r="K610" s="1203">
        <f>'RC1_Structure_RE'!M639</f>
        <v>709.40822606360007</v>
      </c>
    </row>
    <row r="611" spans="1:11">
      <c r="A611" t="s">
        <v>10</v>
      </c>
      <c r="B611" t="s">
        <v>27</v>
      </c>
      <c r="C611" t="s">
        <v>40</v>
      </c>
      <c r="D611" t="s">
        <v>31</v>
      </c>
      <c r="E611" t="str" cm="1">
        <f t="array" ref="E611">_xlfn.LET(_xlpm.c,'RC1_Structure_RE'!C640, _xlpm.b, 'RC1_Structure_RE'!B640, IF(_xlpm.c&lt;&gt;"", _xlpm.c, _xlpm.b))</f>
        <v>งานไม้แบบ</v>
      </c>
      <c r="F611" s="1205"/>
      <c r="G611" s="1203">
        <f>'RC1_Structure_RE'!F640</f>
        <v>0</v>
      </c>
      <c r="H611" s="1203">
        <f>'RC1_Structure_RE'!E640</f>
        <v>0</v>
      </c>
      <c r="I611" s="1203">
        <f>'RC1_Structure_RE'!I640</f>
        <v>0</v>
      </c>
      <c r="J611" s="1203">
        <f>'RC1_Structure_RE'!L640</f>
        <v>0</v>
      </c>
      <c r="K611" s="1203">
        <f>'RC1_Structure_RE'!M640</f>
        <v>0</v>
      </c>
    </row>
    <row r="612" spans="1:11">
      <c r="A612" t="s">
        <v>10</v>
      </c>
      <c r="B612" t="s">
        <v>27</v>
      </c>
      <c r="C612" t="s">
        <v>40</v>
      </c>
      <c r="D612" t="s">
        <v>31</v>
      </c>
      <c r="E612" t="str" cm="1">
        <f t="array" ref="E612">_xlfn.LET(_xlpm.c,'RC1_Structure_RE'!C641, _xlpm.b, 'RC1_Structure_RE'!B641, IF(_xlpm.c&lt;&gt;"", _xlpm.c, _xlpm.b))</f>
        <v>ไม้แบบ ค้ำยัน นั่งร้าน (อาคาร 4 ชั้นขึ้นไป ใช้ 50%)</v>
      </c>
      <c r="F612" s="1205"/>
      <c r="G612" s="1203" t="str">
        <f>'RC1_Structure_RE'!F641</f>
        <v>ตร.ม.</v>
      </c>
      <c r="H612" s="1203">
        <f>'RC1_Structure_RE'!E641</f>
        <v>87</v>
      </c>
      <c r="I612" s="1203">
        <f>'RC1_Structure_RE'!I641</f>
        <v>19943.832421822797</v>
      </c>
      <c r="J612" s="1203">
        <f>'RC1_Structure_RE'!L641</f>
        <v>0</v>
      </c>
      <c r="K612" s="1203">
        <f>'RC1_Structure_RE'!M641</f>
        <v>19943.832421822797</v>
      </c>
    </row>
    <row r="613" spans="1:11">
      <c r="A613" t="s">
        <v>10</v>
      </c>
      <c r="B613" t="s">
        <v>27</v>
      </c>
      <c r="C613" t="s">
        <v>40</v>
      </c>
      <c r="D613" t="s">
        <v>31</v>
      </c>
      <c r="E613" t="str" cm="1">
        <f t="array" ref="E613">_xlfn.LET(_xlpm.c,'RC1_Structure_RE'!C642, _xlpm.b, 'RC1_Structure_RE'!B642, IF(_xlpm.c&lt;&gt;"", _xlpm.c, _xlpm.b))</f>
        <v>ค่าแรงประกอบและติดตั้งไม้แบบหล่อคอนกรีต (ใช้ 100%)</v>
      </c>
      <c r="F613" s="1205"/>
      <c r="G613" s="1203" t="str">
        <f>'RC1_Structure_RE'!F642</f>
        <v>ตร.ม.</v>
      </c>
      <c r="H613" s="1203">
        <f>'RC1_Structure_RE'!E642</f>
        <v>174</v>
      </c>
      <c r="I613" s="1203">
        <f>'RC1_Structure_RE'!I642</f>
        <v>0</v>
      </c>
      <c r="J613" s="1203">
        <f>'RC1_Structure_RE'!L642</f>
        <v>19683.554021537999</v>
      </c>
      <c r="K613" s="1203">
        <f>'RC1_Structure_RE'!M642</f>
        <v>19683.554021537999</v>
      </c>
    </row>
    <row r="614" spans="1:11">
      <c r="A614" t="s">
        <v>10</v>
      </c>
      <c r="B614" t="s">
        <v>27</v>
      </c>
      <c r="C614" t="s">
        <v>40</v>
      </c>
      <c r="D614" t="s">
        <v>31</v>
      </c>
      <c r="E614" t="str" cm="1">
        <f t="array" ref="E614">_xlfn.LET(_xlpm.c,'RC1_Structure_RE'!C643, _xlpm.b, 'RC1_Structure_RE'!B643, IF(_xlpm.c&lt;&gt;"", _xlpm.c, _xlpm.b))</f>
        <v>ไม้เคร่า (ใช้ 30% ของไม้แบบ 1 ตร.ม.)</v>
      </c>
      <c r="F614" s="1205"/>
      <c r="G614" s="1203" t="str">
        <f>'RC1_Structure_RE'!F643</f>
        <v>ลบ.ฟ.</v>
      </c>
      <c r="H614" s="1203">
        <f>'RC1_Structure_RE'!E643</f>
        <v>27</v>
      </c>
      <c r="I614" s="1203">
        <f>'RC1_Structure_RE'!I643</f>
        <v>7810.5396933739803</v>
      </c>
      <c r="J614" s="1203">
        <f>'RC1_Structure_RE'!L643</f>
        <v>0</v>
      </c>
      <c r="K614" s="1203">
        <f>'RC1_Structure_RE'!M643</f>
        <v>7810.5396933739803</v>
      </c>
    </row>
    <row r="615" spans="1:11">
      <c r="A615" t="s">
        <v>10</v>
      </c>
      <c r="B615" t="s">
        <v>27</v>
      </c>
      <c r="C615" t="s">
        <v>40</v>
      </c>
      <c r="D615" t="s">
        <v>31</v>
      </c>
      <c r="E615" t="str" cm="1">
        <f t="array" ref="E615">_xlfn.LET(_xlpm.c,'RC1_Structure_RE'!C644, _xlpm.b, 'RC1_Structure_RE'!B644, IF(_xlpm.c&lt;&gt;"", _xlpm.c, _xlpm.b))</f>
        <v>ตะปู (ใช้ 25% ของไม้แบบ 1 ตร.ม.)</v>
      </c>
      <c r="F615" s="1205"/>
      <c r="G615" s="1203" t="str">
        <f>'RC1_Structure_RE'!F644</f>
        <v>กก.</v>
      </c>
      <c r="H615" s="1203">
        <f>'RC1_Structure_RE'!E644</f>
        <v>22</v>
      </c>
      <c r="I615" s="1203">
        <f>'RC1_Structure_RE'!I644</f>
        <v>480.46794351424001</v>
      </c>
      <c r="J615" s="1203">
        <f>'RC1_Structure_RE'!L644</f>
        <v>0</v>
      </c>
      <c r="K615" s="1203">
        <f>'RC1_Structure_RE'!M644</f>
        <v>480.46794351424001</v>
      </c>
    </row>
    <row r="616" spans="1:11">
      <c r="A616" t="s">
        <v>10</v>
      </c>
      <c r="B616" t="s">
        <v>27</v>
      </c>
      <c r="C616" t="s">
        <v>40</v>
      </c>
      <c r="D616" t="s">
        <v>31</v>
      </c>
      <c r="E616" t="str" cm="1">
        <f t="array" ref="E616">_xlfn.LET(_xlpm.c,'RC1_Structure_RE'!C645, _xlpm.b, 'RC1_Structure_RE'!B645, IF(_xlpm.c&lt;&gt;"", _xlpm.c, _xlpm.b))</f>
        <v>งานคอนกรีตโครงสร้าง</v>
      </c>
      <c r="F616" s="1205"/>
      <c r="G616" s="1203">
        <f>'RC1_Structure_RE'!F645</f>
        <v>0</v>
      </c>
      <c r="H616" s="1203">
        <f>'RC1_Structure_RE'!E645</f>
        <v>0</v>
      </c>
      <c r="I616" s="1203">
        <f>'RC1_Structure_RE'!I645</f>
        <v>0</v>
      </c>
      <c r="J616" s="1203">
        <f>'RC1_Structure_RE'!L645</f>
        <v>0</v>
      </c>
      <c r="K616" s="1203">
        <f>'RC1_Structure_RE'!M645</f>
        <v>0</v>
      </c>
    </row>
    <row r="617" spans="1:11">
      <c r="A617" t="s">
        <v>10</v>
      </c>
      <c r="B617" t="s">
        <v>27</v>
      </c>
      <c r="C617" t="s">
        <v>40</v>
      </c>
      <c r="D617" t="s">
        <v>31</v>
      </c>
      <c r="E617" t="str" cm="1">
        <f t="array" ref="E617">_xlfn.LET(_xlpm.c,'RC1_Structure_RE'!C646, _xlpm.b, 'RC1_Structure_RE'!B646, IF(_xlpm.c&lt;&gt;"", _xlpm.c, _xlpm.b))</f>
        <v>งานคอนกรีตโครงสร้าง 320 ksc.</v>
      </c>
      <c r="F617" s="1205"/>
      <c r="G617" s="1203" t="str">
        <f>'RC1_Structure_RE'!F646</f>
        <v>ลบ.ม.</v>
      </c>
      <c r="H617" s="1203">
        <f>'RC1_Structure_RE'!E646</f>
        <v>14</v>
      </c>
      <c r="I617" s="1203">
        <f>'RC1_Structure_RE'!I646</f>
        <v>35076.441052174196</v>
      </c>
      <c r="J617" s="1203">
        <f>'RC1_Structure_RE'!L646</f>
        <v>6793.0418695019998</v>
      </c>
      <c r="K617" s="1203">
        <f>'RC1_Structure_RE'!M646</f>
        <v>41869.482921676194</v>
      </c>
    </row>
    <row r="618" spans="1:11">
      <c r="F618" s="1205"/>
      <c r="G618" s="1203"/>
      <c r="H618" s="1203"/>
      <c r="I618" s="1203"/>
      <c r="J618" s="1203"/>
      <c r="K618" s="1203"/>
    </row>
    <row r="619" spans="1:11">
      <c r="F619" s="1205"/>
      <c r="G619" s="1203"/>
      <c r="H619" s="1203"/>
      <c r="I619" s="1203"/>
      <c r="J619" s="1203"/>
      <c r="K619" s="1203"/>
    </row>
    <row r="620" spans="1:11">
      <c r="F620" s="1205"/>
      <c r="G620" s="1203"/>
      <c r="H620" s="1203"/>
      <c r="I620" s="1203"/>
      <c r="J620" s="1203"/>
      <c r="K620" s="1203"/>
    </row>
    <row r="621" spans="1:11">
      <c r="E621" t="str" cm="1">
        <f t="array" ref="E621">_xlfn.LET(_xlpm.c,'RC1_Structure_RE'!C650, _xlpm.b, 'RC1_Structure_RE'!B650, IF(_xlpm.c&lt;&gt;"", _xlpm.c, _xlpm.b))</f>
        <v>งานโครงสร้างเหล็กโครงหลังคา</v>
      </c>
      <c r="F621" s="1205"/>
      <c r="G621" s="1203">
        <f>'RC1_Structure_RE'!F650</f>
        <v>0</v>
      </c>
      <c r="H621" s="1203">
        <f>'RC1_Structure_RE'!E650</f>
        <v>0</v>
      </c>
      <c r="I621" s="1203">
        <f>'RC1_Structure_RE'!I650</f>
        <v>0</v>
      </c>
      <c r="J621" s="1203">
        <f>'RC1_Structure_RE'!L650</f>
        <v>0</v>
      </c>
      <c r="K621" s="1203">
        <f>'RC1_Structure_RE'!M650</f>
        <v>0</v>
      </c>
    </row>
    <row r="622" spans="1:11">
      <c r="A622" t="s">
        <v>10</v>
      </c>
      <c r="B622" t="s">
        <v>27</v>
      </c>
      <c r="C622" t="s">
        <v>41</v>
      </c>
      <c r="D622" t="s">
        <v>40</v>
      </c>
      <c r="E622" t="str" cm="1">
        <f t="array" ref="E622">_xlfn.LET(_xlpm.c,'RC1_Structure_RE'!C651, _xlpm.b, 'RC1_Structure_RE'!B651, IF(_xlpm.c&lt;&gt;"", _xlpm.c, _xlpm.b))</f>
        <v>โครงสร้างเหล็ก รับกระจกทางเข้า (ref. dwg S1-801)</v>
      </c>
      <c r="F622" s="1205"/>
      <c r="G622" s="1203">
        <f>'RC1_Structure_RE'!F651</f>
        <v>0</v>
      </c>
      <c r="H622" s="1203">
        <f>'RC1_Structure_RE'!E651</f>
        <v>0</v>
      </c>
      <c r="I622" s="1203">
        <f>'RC1_Structure_RE'!I651</f>
        <v>0</v>
      </c>
      <c r="J622" s="1203">
        <f>'RC1_Structure_RE'!L651</f>
        <v>0</v>
      </c>
      <c r="K622" s="1203">
        <f>'RC1_Structure_RE'!M651</f>
        <v>0</v>
      </c>
    </row>
    <row r="623" spans="1:11">
      <c r="A623" t="s">
        <v>10</v>
      </c>
      <c r="B623" t="s">
        <v>27</v>
      </c>
      <c r="C623" t="s">
        <v>41</v>
      </c>
      <c r="D623" t="s">
        <v>40</v>
      </c>
      <c r="E623" t="str" cm="1">
        <f t="array" ref="E623">_xlfn.LET(_xlpm.c,'RC1_Structure_RE'!C652, _xlpm.b, 'RC1_Structure_RE'!B652, IF(_xlpm.c&lt;&gt;"", _xlpm.c, _xlpm.b))</f>
        <v>WF400x200x8x13 mm.-66.0 Kg./m.</v>
      </c>
      <c r="F623" s="1205"/>
      <c r="G623" s="1203" t="str">
        <f>'RC1_Structure_RE'!F652</f>
        <v>กก.</v>
      </c>
      <c r="H623" s="1203">
        <f>'RC1_Structure_RE'!E652</f>
        <v>1584</v>
      </c>
      <c r="I623" s="1203">
        <f>'RC1_Structure_RE'!I652</f>
        <v>46426.037761144798</v>
      </c>
      <c r="J623" s="1203">
        <f>'RC1_Structure_RE'!L652</f>
        <v>20732.520850271998</v>
      </c>
      <c r="K623" s="1203">
        <f>'RC1_Structure_RE'!M652</f>
        <v>67158.558611416796</v>
      </c>
    </row>
    <row r="624" spans="1:11">
      <c r="A624" t="s">
        <v>10</v>
      </c>
      <c r="B624" t="s">
        <v>27</v>
      </c>
      <c r="C624" t="s">
        <v>41</v>
      </c>
      <c r="D624" t="s">
        <v>40</v>
      </c>
      <c r="E624" t="str" cm="1">
        <f t="array" ref="E624">_xlfn.LET(_xlpm.c,'RC1_Structure_RE'!C653, _xlpm.b, 'RC1_Structure_RE'!B653, IF(_xlpm.c&lt;&gt;"", _xlpm.c, _xlpm.b))</f>
        <v>WF500x200x11x19 mm.-103.0 Kg./m.</v>
      </c>
      <c r="F624" s="1205"/>
      <c r="G624" s="1203" t="str">
        <f>'RC1_Structure_RE'!F653</f>
        <v>กก.</v>
      </c>
      <c r="H624" s="1203">
        <f>'RC1_Structure_RE'!E653</f>
        <v>9270</v>
      </c>
      <c r="I624" s="1203">
        <f>'RC1_Structure_RE'!I653</f>
        <v>278804.44465334731</v>
      </c>
      <c r="J624" s="1203">
        <f>'RC1_Structure_RE'!L653</f>
        <v>121332.36633965999</v>
      </c>
      <c r="K624" s="1203">
        <f>'RC1_Structure_RE'!M653</f>
        <v>400136.81099300727</v>
      </c>
    </row>
    <row r="625" spans="1:11">
      <c r="A625" t="s">
        <v>10</v>
      </c>
      <c r="B625" t="s">
        <v>27</v>
      </c>
      <c r="C625" t="s">
        <v>41</v>
      </c>
      <c r="D625" t="s">
        <v>40</v>
      </c>
      <c r="E625" t="str" cm="1">
        <f t="array" ref="E625">_xlfn.LET(_xlpm.c,'RC1_Structure_RE'!C654, _xlpm.b, 'RC1_Structure_RE'!B654, IF(_xlpm.c&lt;&gt;"", _xlpm.c, _xlpm.b))</f>
        <v>Build-Up เหล็กกล่อง-600x400x15 mm. -228.44 Kg./m.</v>
      </c>
      <c r="F625" s="1205"/>
      <c r="G625" s="1203" t="str">
        <f>'RC1_Structure_RE'!F654</f>
        <v>กก.</v>
      </c>
      <c r="H625" s="1203">
        <f>'RC1_Structure_RE'!E654</f>
        <v>6854</v>
      </c>
      <c r="I625" s="1203">
        <f>'RC1_Structure_RE'!I654</f>
        <v>210113.72133818499</v>
      </c>
      <c r="J625" s="1203">
        <f>'RC1_Structure_RE'!L654</f>
        <v>89710.036557931991</v>
      </c>
      <c r="K625" s="1203">
        <f>'RC1_Structure_RE'!M654</f>
        <v>299823.75789611699</v>
      </c>
    </row>
    <row r="626" spans="1:11">
      <c r="A626" t="s">
        <v>10</v>
      </c>
      <c r="B626" t="s">
        <v>27</v>
      </c>
      <c r="C626" t="s">
        <v>41</v>
      </c>
      <c r="D626" t="s">
        <v>40</v>
      </c>
      <c r="E626" t="str" cm="1">
        <f t="array" ref="E626">_xlfn.LET(_xlpm.c,'RC1_Structure_RE'!C655, _xlpm.b, 'RC1_Structure_RE'!B655, IF(_xlpm.c&lt;&gt;"", _xlpm.c, _xlpm.b))</f>
        <v>Build-Up เหล็กกล่อง-400x400x15 mm. -181.34 Kg./m.</v>
      </c>
      <c r="F626" s="1205"/>
      <c r="G626" s="1203" t="str">
        <f>'RC1_Structure_RE'!F655</f>
        <v>กก.</v>
      </c>
      <c r="H626" s="1203">
        <f>'RC1_Structure_RE'!E655</f>
        <v>2176</v>
      </c>
      <c r="I626" s="1203">
        <f>'RC1_Structure_RE'!I655</f>
        <v>66706.661457818875</v>
      </c>
      <c r="J626" s="1203">
        <f>'RC1_Structure_RE'!L655</f>
        <v>28481.038743807996</v>
      </c>
      <c r="K626" s="1203">
        <f>'RC1_Structure_RE'!M655</f>
        <v>95187.700201626867</v>
      </c>
    </row>
    <row r="627" spans="1:11">
      <c r="A627" t="s">
        <v>10</v>
      </c>
      <c r="B627" t="s">
        <v>27</v>
      </c>
      <c r="C627" t="s">
        <v>41</v>
      </c>
      <c r="D627" t="s">
        <v>40</v>
      </c>
      <c r="E627" t="str" cm="1">
        <f t="array" ref="E627">_xlfn.LET(_xlpm.c,'RC1_Structure_RE'!C656, _xlpm.b, 'RC1_Structure_RE'!B656, IF(_xlpm.c&lt;&gt;"", _xlpm.c, _xlpm.b))</f>
        <v>เหล็กกล่อง 25x25x2.8 mm. THK</v>
      </c>
      <c r="F627" s="1205"/>
      <c r="G627" s="1203" t="str">
        <f>'RC1_Structure_RE'!F656</f>
        <v>กก.</v>
      </c>
      <c r="H627" s="1203">
        <f>'RC1_Structure_RE'!E656</f>
        <v>320</v>
      </c>
      <c r="I627" s="1203">
        <f>'RC1_Structure_RE'!I656</f>
        <v>8152.3981698399994</v>
      </c>
      <c r="J627" s="1203">
        <f>'RC1_Structure_RE'!L656</f>
        <v>4188.3880505599991</v>
      </c>
      <c r="K627" s="1203">
        <f>'RC1_Structure_RE'!M656</f>
        <v>12340.786220399998</v>
      </c>
    </row>
    <row r="628" spans="1:11">
      <c r="A628" t="s">
        <v>10</v>
      </c>
      <c r="B628" t="s">
        <v>27</v>
      </c>
      <c r="C628" t="s">
        <v>41</v>
      </c>
      <c r="D628" t="s">
        <v>40</v>
      </c>
      <c r="E628" t="str" cm="1">
        <f t="array" ref="E628">_xlfn.LET(_xlpm.c,'RC1_Structure_RE'!C657, _xlpm.b, 'RC1_Structure_RE'!B657, IF(_xlpm.c&lt;&gt;"", _xlpm.c, _xlpm.b))</f>
        <v>เหล็กกล่อง 50x50x3.2 mm. THK</v>
      </c>
      <c r="F628" s="1205"/>
      <c r="G628" s="1203" t="str">
        <f>'RC1_Structure_RE'!F657</f>
        <v>กก.</v>
      </c>
      <c r="H628" s="1203">
        <f>'RC1_Structure_RE'!E657</f>
        <v>1228</v>
      </c>
      <c r="I628" s="1203">
        <f>'RC1_Structure_RE'!I657</f>
        <v>30687.833094268681</v>
      </c>
      <c r="J628" s="1203">
        <f>'RC1_Structure_RE'!L657</f>
        <v>16072.939144023998</v>
      </c>
      <c r="K628" s="1203">
        <f>'RC1_Structure_RE'!M657</f>
        <v>46760.77223829268</v>
      </c>
    </row>
    <row r="629" spans="1:11">
      <c r="A629" t="s">
        <v>10</v>
      </c>
      <c r="B629" t="s">
        <v>27</v>
      </c>
      <c r="C629" t="s">
        <v>41</v>
      </c>
      <c r="D629" t="s">
        <v>40</v>
      </c>
      <c r="E629" t="str" cm="1">
        <f t="array" ref="E629">_xlfn.LET(_xlpm.c,'RC1_Structure_RE'!C658, _xlpm.b, 'RC1_Structure_RE'!B658, IF(_xlpm.c&lt;&gt;"", _xlpm.c, _xlpm.b))</f>
        <v>เหล็กกล่อง 100x100x3.2 mm. THK</v>
      </c>
      <c r="F629" s="1205"/>
      <c r="G629" s="1203" t="str">
        <f>'RC1_Structure_RE'!F658</f>
        <v>กก.</v>
      </c>
      <c r="H629" s="1203">
        <f>'RC1_Structure_RE'!E658</f>
        <v>670</v>
      </c>
      <c r="I629" s="1203">
        <f>'RC1_Structure_RE'!I658</f>
        <v>16749.625588442599</v>
      </c>
      <c r="J629" s="1203">
        <f>'RC1_Structure_RE'!L658</f>
        <v>8769.4374808599987</v>
      </c>
      <c r="K629" s="1203">
        <f>'RC1_Structure_RE'!M658</f>
        <v>25519.063069302596</v>
      </c>
    </row>
    <row r="630" spans="1:11">
      <c r="A630" t="s">
        <v>10</v>
      </c>
      <c r="B630" t="s">
        <v>27</v>
      </c>
      <c r="C630" t="s">
        <v>41</v>
      </c>
      <c r="D630" t="s">
        <v>40</v>
      </c>
      <c r="E630" t="str" cm="1">
        <f t="array" ref="E630">_xlfn.LET(_xlpm.c,'RC1_Structure_RE'!C659, _xlpm.b, 'RC1_Structure_RE'!B659, IF(_xlpm.c&lt;&gt;"", _xlpm.c, _xlpm.b))</f>
        <v>เหล็กกล่อง 125x125x3.2 mm. THK</v>
      </c>
      <c r="F630" s="1205"/>
      <c r="G630" s="1203" t="str">
        <f>'RC1_Structure_RE'!F659</f>
        <v>กก.</v>
      </c>
      <c r="H630" s="1203">
        <f>'RC1_Structure_RE'!E659</f>
        <v>555</v>
      </c>
      <c r="I630" s="1203">
        <f>'RC1_Structure_RE'!I659</f>
        <v>14087.428179207749</v>
      </c>
      <c r="J630" s="1203">
        <f>'RC1_Structure_RE'!L659</f>
        <v>7264.235525189999</v>
      </c>
      <c r="K630" s="1203">
        <f>'RC1_Structure_RE'!M659</f>
        <v>21351.663704397746</v>
      </c>
    </row>
    <row r="631" spans="1:11">
      <c r="A631" t="s">
        <v>10</v>
      </c>
      <c r="B631" t="s">
        <v>27</v>
      </c>
      <c r="C631" t="s">
        <v>41</v>
      </c>
      <c r="D631" t="s">
        <v>40</v>
      </c>
      <c r="E631" t="str" cm="1">
        <f t="array" ref="E631">_xlfn.LET(_xlpm.c,'RC1_Structure_RE'!C660, _xlpm.b, 'RC1_Structure_RE'!B660, IF(_xlpm.c&lt;&gt;"", _xlpm.c, _xlpm.b))</f>
        <v>เหล็กฉาก 25x25x3.0 mm. THK</v>
      </c>
      <c r="F631" s="1205"/>
      <c r="G631" s="1203" t="str">
        <f>'RC1_Structure_RE'!F660</f>
        <v>กก.</v>
      </c>
      <c r="H631" s="1203">
        <f>'RC1_Structure_RE'!E660</f>
        <v>77</v>
      </c>
      <c r="I631" s="1203">
        <f>'RC1_Structure_RE'!I660</f>
        <v>2019.9810245091398</v>
      </c>
      <c r="J631" s="1203">
        <f>'RC1_Structure_RE'!L660</f>
        <v>1007.8308746659999</v>
      </c>
      <c r="K631" s="1203">
        <f>'RC1_Structure_RE'!M660</f>
        <v>3027.8118991751398</v>
      </c>
    </row>
    <row r="632" spans="1:11">
      <c r="A632" t="s">
        <v>10</v>
      </c>
      <c r="B632" t="s">
        <v>27</v>
      </c>
      <c r="C632" t="s">
        <v>41</v>
      </c>
      <c r="D632" t="s">
        <v>40</v>
      </c>
      <c r="E632" t="str" cm="1">
        <f t="array" ref="E632">_xlfn.LET(_xlpm.c,'RC1_Structure_RE'!C661, _xlpm.b, 'RC1_Structure_RE'!B661, IF(_xlpm.c&lt;&gt;"", _xlpm.c, _xlpm.b))</f>
        <v>Steel Plate 3.2 mm. THK</v>
      </c>
      <c r="F632" s="1205"/>
      <c r="G632" s="1203" t="str">
        <f>'RC1_Structure_RE'!F661</f>
        <v>กก.</v>
      </c>
      <c r="H632" s="1203">
        <f>'RC1_Structure_RE'!E661</f>
        <v>3454</v>
      </c>
      <c r="I632" s="1203">
        <f>'RC1_Structure_RE'!I661</f>
        <v>83377.231221807146</v>
      </c>
      <c r="J632" s="1203">
        <f>'RC1_Structure_RE'!L661</f>
        <v>45208.413520731992</v>
      </c>
      <c r="K632" s="1203">
        <f>'RC1_Structure_RE'!M661</f>
        <v>128585.64474253914</v>
      </c>
    </row>
    <row r="633" spans="1:11">
      <c r="A633" t="s">
        <v>10</v>
      </c>
      <c r="B633" t="s">
        <v>27</v>
      </c>
      <c r="C633" t="s">
        <v>41</v>
      </c>
      <c r="D633" t="s">
        <v>40</v>
      </c>
      <c r="E633" t="str" cm="1">
        <f t="array" ref="E633">_xlfn.LET(_xlpm.c,'RC1_Structure_RE'!C662, _xlpm.b, 'RC1_Structure_RE'!B662, IF(_xlpm.c&lt;&gt;"", _xlpm.c, _xlpm.b))</f>
        <v>Steel Plate Support</v>
      </c>
      <c r="F633" s="1205"/>
      <c r="G633" s="1203" t="str">
        <f>'RC1_Structure_RE'!F662</f>
        <v>กก.</v>
      </c>
      <c r="H633" s="1203">
        <f>'RC1_Structure_RE'!E662</f>
        <v>971</v>
      </c>
      <c r="I633" s="1203">
        <f>'RC1_Structure_RE'!I662</f>
        <v>23439.285326107336</v>
      </c>
      <c r="J633" s="1203">
        <f>'RC1_Structure_RE'!L662</f>
        <v>12709.139990917998</v>
      </c>
      <c r="K633" s="1203">
        <f>'RC1_Structure_RE'!M662</f>
        <v>36148.425317025336</v>
      </c>
    </row>
    <row r="634" spans="1:11">
      <c r="A634" t="s">
        <v>10</v>
      </c>
      <c r="B634" t="s">
        <v>27</v>
      </c>
      <c r="C634" t="s">
        <v>41</v>
      </c>
      <c r="D634" t="s">
        <v>40</v>
      </c>
      <c r="E634" t="str" cm="1">
        <f t="array" ref="E634">_xlfn.LET(_xlpm.c,'RC1_Structure_RE'!C663, _xlpm.b, 'RC1_Structure_RE'!B663, IF(_xlpm.c&lt;&gt;"", _xlpm.c, _xlpm.b))</f>
        <v>J-Bolt-M20-600L (A325)</v>
      </c>
      <c r="F634" s="1205"/>
      <c r="G634" s="1203" t="str">
        <f>'RC1_Structure_RE'!F663</f>
        <v>ชุด</v>
      </c>
      <c r="H634" s="1203">
        <f>'RC1_Structure_RE'!E663</f>
        <v>48</v>
      </c>
      <c r="I634" s="1203">
        <f>'RC1_Structure_RE'!I663</f>
        <v>7853.2275947999997</v>
      </c>
      <c r="J634" s="1203">
        <f>'RC1_Structure_RE'!L663</f>
        <v>2355.9682784399997</v>
      </c>
      <c r="K634" s="1203">
        <f>'RC1_Structure_RE'!M663</f>
        <v>10209.19587324</v>
      </c>
    </row>
    <row r="635" spans="1:11">
      <c r="A635" t="s">
        <v>10</v>
      </c>
      <c r="B635" t="s">
        <v>27</v>
      </c>
      <c r="C635" t="s">
        <v>41</v>
      </c>
      <c r="D635" t="s">
        <v>40</v>
      </c>
      <c r="E635" t="str" cm="1">
        <f t="array" ref="E635">_xlfn.LET(_xlpm.c,'RC1_Structure_RE'!C664, _xlpm.b, 'RC1_Structure_RE'!B664, IF(_xlpm.c&lt;&gt;"", _xlpm.c, _xlpm.b))</f>
        <v>งานสีกันสนิม</v>
      </c>
      <c r="F635" s="1205"/>
      <c r="G635" s="1203" t="str">
        <f>'RC1_Structure_RE'!F664</f>
        <v>ตร.ม.</v>
      </c>
      <c r="H635" s="1203">
        <f>'RC1_Structure_RE'!E664</f>
        <v>272</v>
      </c>
      <c r="I635" s="1203">
        <f>'RC1_Structure_RE'!I664</f>
        <v>7125.3455857276795</v>
      </c>
      <c r="J635" s="1203">
        <f>'RC1_Structure_RE'!L664</f>
        <v>7628.849663519999</v>
      </c>
      <c r="K635" s="1203">
        <f>'RC1_Structure_RE'!M664</f>
        <v>14754.195249247678</v>
      </c>
    </row>
    <row r="636" spans="1:11">
      <c r="A636" t="s">
        <v>10</v>
      </c>
      <c r="B636" t="s">
        <v>27</v>
      </c>
      <c r="C636" t="s">
        <v>41</v>
      </c>
      <c r="D636" t="s">
        <v>40</v>
      </c>
      <c r="E636" t="str" cm="1">
        <f t="array" ref="E636">_xlfn.LET(_xlpm.c,'RC1_Structure_RE'!C665, _xlpm.b, 'RC1_Structure_RE'!B665, IF(_xlpm.c&lt;&gt;"", _xlpm.c, _xlpm.b))</f>
        <v xml:space="preserve">งานซีเมนต์พ่นกันไฟ หนาไม่น้อยกว่า 25 มม. </v>
      </c>
      <c r="F636" s="1205"/>
      <c r="G636" s="1203" t="str">
        <f>'RC1_Structure_RE'!F665</f>
        <v>ตร.ม.</v>
      </c>
      <c r="H636" s="1203">
        <f>'RC1_Structure_RE'!E665</f>
        <v>272</v>
      </c>
      <c r="I636" s="1203">
        <f>'RC1_Structure_RE'!I665</f>
        <v>127147.49439200001</v>
      </c>
      <c r="J636" s="1203">
        <f>'RC1_Structure_RE'!L665</f>
        <v>50858.997756799996</v>
      </c>
      <c r="K636" s="1203">
        <f>'RC1_Structure_RE'!M665</f>
        <v>178006.4921488</v>
      </c>
    </row>
    <row r="637" spans="1:11">
      <c r="E637" t="str" cm="1">
        <f t="array" ref="E637">_xlfn.LET(_xlpm.c,'RC1_Structure_RE'!C666, _xlpm.b, 'RC1_Structure_RE'!B666, IF(_xlpm.c&lt;&gt;"", _xlpm.c, _xlpm.b))</f>
        <v>โครงสร้างเหล็ก เสารับผนังกระจก (ref. dwg S1-803)</v>
      </c>
      <c r="F637" s="1205"/>
      <c r="G637" s="1203">
        <f>'RC1_Structure_RE'!F666</f>
        <v>0</v>
      </c>
      <c r="H637" s="1203">
        <f>'RC1_Structure_RE'!E666</f>
        <v>0</v>
      </c>
      <c r="I637" s="1203">
        <f>'RC1_Structure_RE'!I666</f>
        <v>0</v>
      </c>
      <c r="J637" s="1203">
        <f>'RC1_Structure_RE'!L666</f>
        <v>0</v>
      </c>
      <c r="K637" s="1203">
        <f>'RC1_Structure_RE'!M666</f>
        <v>0</v>
      </c>
    </row>
    <row r="638" spans="1:11">
      <c r="A638" t="s">
        <v>10</v>
      </c>
      <c r="B638" t="s">
        <v>27</v>
      </c>
      <c r="C638" t="s">
        <v>41</v>
      </c>
      <c r="D638" t="s">
        <v>42</v>
      </c>
      <c r="E638" t="str" cm="1">
        <f t="array" ref="E638">_xlfn.LET(_xlpm.c,'RC1_Structure_RE'!C667, _xlpm.b, 'RC1_Structure_RE'!B667, IF(_xlpm.c&lt;&gt;"", _xlpm.c, _xlpm.b))</f>
        <v>เหล็กกล่อง 125x125x4.5 mm. THK</v>
      </c>
      <c r="F638" s="1205"/>
      <c r="G638" s="1203" t="str">
        <f>'RC1_Structure_RE'!F667</f>
        <v>กก.</v>
      </c>
      <c r="H638" s="1203">
        <f>'RC1_Structure_RE'!E667</f>
        <v>399</v>
      </c>
      <c r="I638" s="1203">
        <f>'RC1_Structure_RE'!I667</f>
        <v>10202.324299094549</v>
      </c>
      <c r="J638" s="1203">
        <f>'RC1_Structure_RE'!L667</f>
        <v>5222.3963505419997</v>
      </c>
      <c r="K638" s="1203">
        <f>'RC1_Structure_RE'!M667</f>
        <v>15424.720649636549</v>
      </c>
    </row>
    <row r="639" spans="1:11">
      <c r="A639" t="s">
        <v>10</v>
      </c>
      <c r="B639" t="s">
        <v>27</v>
      </c>
      <c r="C639" t="s">
        <v>41</v>
      </c>
      <c r="D639" t="s">
        <v>42</v>
      </c>
      <c r="E639" t="str" cm="1">
        <f t="array" ref="E639">_xlfn.LET(_xlpm.c,'RC1_Structure_RE'!C668, _xlpm.b, 'RC1_Structure_RE'!B668, IF(_xlpm.c&lt;&gt;"", _xlpm.c, _xlpm.b))</f>
        <v>Steel Plate Support</v>
      </c>
      <c r="F639" s="1205"/>
      <c r="G639" s="1203" t="str">
        <f>'RC1_Structure_RE'!F668</f>
        <v>กก.</v>
      </c>
      <c r="H639" s="1203">
        <f>'RC1_Structure_RE'!E668</f>
        <v>2287</v>
      </c>
      <c r="I639" s="1203">
        <f>'RC1_Structure_RE'!I668</f>
        <v>58691.79761077305</v>
      </c>
      <c r="J639" s="1203">
        <f>'RC1_Structure_RE'!L668</f>
        <v>29933.885848845995</v>
      </c>
      <c r="K639" s="1203">
        <f>'RC1_Structure_RE'!M668</f>
        <v>88625.683459619046</v>
      </c>
    </row>
    <row r="640" spans="1:11">
      <c r="A640" t="s">
        <v>10</v>
      </c>
      <c r="B640" t="s">
        <v>27</v>
      </c>
      <c r="C640" t="s">
        <v>41</v>
      </c>
      <c r="D640" t="s">
        <v>42</v>
      </c>
      <c r="E640" t="str" cm="1">
        <f t="array" ref="E640">_xlfn.LET(_xlpm.c,'RC1_Structure_RE'!C669, _xlpm.b, 'RC1_Structure_RE'!B669, IF(_xlpm.c&lt;&gt;"", _xlpm.c, _xlpm.b))</f>
        <v>DB16-Dowel Support</v>
      </c>
      <c r="F640" s="1205"/>
      <c r="G640" s="1203" t="str">
        <f>'RC1_Structure_RE'!F669</f>
        <v>กก.</v>
      </c>
      <c r="H640" s="1203">
        <f>'RC1_Structure_RE'!E669</f>
        <v>6.83</v>
      </c>
      <c r="I640" s="1203">
        <f>'RC1_Structure_RE'!I669</f>
        <v>130.90115020070499</v>
      </c>
      <c r="J640" s="1203">
        <f>'RC1_Structure_RE'!L669</f>
        <v>22.987519059636</v>
      </c>
      <c r="K640" s="1203">
        <f>'RC1_Structure_RE'!M669</f>
        <v>153.88866926034098</v>
      </c>
    </row>
    <row r="641" spans="1:11">
      <c r="A641" t="s">
        <v>10</v>
      </c>
      <c r="B641" t="s">
        <v>27</v>
      </c>
      <c r="C641" t="s">
        <v>41</v>
      </c>
      <c r="D641" t="s">
        <v>42</v>
      </c>
      <c r="E641" t="str" cm="1">
        <f t="array" ref="E641">_xlfn.LET(_xlpm.c,'RC1_Structure_RE'!C670, _xlpm.b, 'RC1_Structure_RE'!B670, IF(_xlpm.c&lt;&gt;"", _xlpm.c, _xlpm.b))</f>
        <v>งานสีกันสนิม</v>
      </c>
      <c r="F641" s="1205"/>
      <c r="G641" s="1203" t="str">
        <f>'RC1_Structure_RE'!F670</f>
        <v>ตร.ม.</v>
      </c>
      <c r="H641" s="1203">
        <f>'RC1_Structure_RE'!E670</f>
        <v>106</v>
      </c>
      <c r="I641" s="1203">
        <f>'RC1_Structure_RE'!I670</f>
        <v>2776.7890885556399</v>
      </c>
      <c r="J641" s="1203">
        <f>'RC1_Structure_RE'!L670</f>
        <v>2973.00758946</v>
      </c>
      <c r="K641" s="1203">
        <f>'RC1_Structure_RE'!M670</f>
        <v>5749.7966780156403</v>
      </c>
    </row>
    <row r="642" spans="1:11">
      <c r="A642" t="s">
        <v>10</v>
      </c>
      <c r="B642" t="s">
        <v>27</v>
      </c>
      <c r="C642" t="s">
        <v>41</v>
      </c>
      <c r="D642" t="s">
        <v>42</v>
      </c>
      <c r="E642" t="str" cm="1">
        <f t="array" ref="E642">_xlfn.LET(_xlpm.c,'RC1_Structure_RE'!C671, _xlpm.b, 'RC1_Structure_RE'!B671, IF(_xlpm.c&lt;&gt;"", _xlpm.c, _xlpm.b))</f>
        <v>งานสีน้ำมัน</v>
      </c>
      <c r="F642" s="1205"/>
      <c r="G642" s="1203" t="str">
        <f>'RC1_Structure_RE'!F671</f>
        <v>ตร.ม.</v>
      </c>
      <c r="H642" s="1203">
        <f>'RC1_Structure_RE'!E671</f>
        <v>106</v>
      </c>
      <c r="I642" s="1203">
        <f>'RC1_Structure_RE'!I671</f>
        <v>3202.9201763782398</v>
      </c>
      <c r="J642" s="1203">
        <f>'RC1_Structure_RE'!L671</f>
        <v>3468.5088543699999</v>
      </c>
      <c r="K642" s="1203">
        <f>'RC1_Structure_RE'!M671</f>
        <v>6671.4290307482397</v>
      </c>
    </row>
    <row r="643" spans="1:11">
      <c r="A643" t="s">
        <v>10</v>
      </c>
      <c r="B643" t="s">
        <v>27</v>
      </c>
      <c r="C643" t="s">
        <v>41</v>
      </c>
      <c r="D643" t="s">
        <v>42</v>
      </c>
      <c r="E643" t="str" cm="1">
        <f t="array" ref="E643">_xlfn.LET(_xlpm.c,'RC1_Structure_RE'!C672, _xlpm.b, 'RC1_Structure_RE'!B672, IF(_xlpm.c&lt;&gt;"", _xlpm.c, _xlpm.b))</f>
        <v xml:space="preserve">งานซีเมนต์พ่นกันไฟ หนาไม่น้อยกว่า 25 มม. </v>
      </c>
      <c r="F643" s="1205"/>
      <c r="G643" s="1203" t="str">
        <f>'RC1_Structure_RE'!F672</f>
        <v>ตร.ม.</v>
      </c>
      <c r="H643" s="1203">
        <f>'RC1_Structure_RE'!E672</f>
        <v>106</v>
      </c>
      <c r="I643" s="1203">
        <f>'RC1_Structure_RE'!I672</f>
        <v>49550.126491000003</v>
      </c>
      <c r="J643" s="1203">
        <f>'RC1_Structure_RE'!L672</f>
        <v>19820.0505964</v>
      </c>
      <c r="K643" s="1203">
        <f>'RC1_Structure_RE'!M672</f>
        <v>69370.177087400007</v>
      </c>
    </row>
    <row r="644" spans="1:11">
      <c r="E644" t="str" cm="1">
        <f t="array" ref="E644">_xlfn.LET(_xlpm.c,'RC1_Structure_RE'!C673, _xlpm.b, 'RC1_Structure_RE'!B673, IF(_xlpm.c&lt;&gt;"", _xlpm.c, _xlpm.b))</f>
        <v>โครงสร้างเหล็ก Canopy  (ref. dwg S1-802)</v>
      </c>
      <c r="F644" s="1205"/>
      <c r="G644" s="1203">
        <f>'RC1_Structure_RE'!F673</f>
        <v>0</v>
      </c>
      <c r="H644" s="1203">
        <f>'RC1_Structure_RE'!E673</f>
        <v>0</v>
      </c>
      <c r="I644" s="1203">
        <f>'RC1_Structure_RE'!I673</f>
        <v>0</v>
      </c>
      <c r="J644" s="1203">
        <f>'RC1_Structure_RE'!L673</f>
        <v>0</v>
      </c>
      <c r="K644" s="1203">
        <f>'RC1_Structure_RE'!M673</f>
        <v>0</v>
      </c>
    </row>
    <row r="645" spans="1:11">
      <c r="A645" t="s">
        <v>10</v>
      </c>
      <c r="B645" t="s">
        <v>27</v>
      </c>
      <c r="C645" t="s">
        <v>41</v>
      </c>
      <c r="D645" t="s">
        <v>43</v>
      </c>
      <c r="E645" t="str" cm="1">
        <f t="array" ref="E645">_xlfn.LET(_xlpm.c,'RC1_Structure_RE'!C674, _xlpm.b, 'RC1_Structure_RE'!B674, IF(_xlpm.c&lt;&gt;"", _xlpm.c, _xlpm.b))</f>
        <v>WF-250x125x6x9 mm. -29.6 kg/m</v>
      </c>
      <c r="F645" s="1205"/>
      <c r="G645" s="1203" t="str">
        <f>'RC1_Structure_RE'!F674</f>
        <v>กก.</v>
      </c>
      <c r="H645" s="1203">
        <f>'RC1_Structure_RE'!E674</f>
        <v>1421</v>
      </c>
      <c r="I645" s="1203">
        <f>'RC1_Structure_RE'!I674</f>
        <v>42512.138713184002</v>
      </c>
      <c r="J645" s="1203">
        <f>'RC1_Structure_RE'!L674</f>
        <v>18599.060687017998</v>
      </c>
      <c r="K645" s="1203">
        <f>'RC1_Structure_RE'!M674</f>
        <v>61111.199400202</v>
      </c>
    </row>
    <row r="646" spans="1:11">
      <c r="A646" t="s">
        <v>10</v>
      </c>
      <c r="B646" t="s">
        <v>27</v>
      </c>
      <c r="C646" t="s">
        <v>41</v>
      </c>
      <c r="D646" t="s">
        <v>43</v>
      </c>
      <c r="E646" t="str" cm="1">
        <f t="array" ref="E646">_xlfn.LET(_xlpm.c,'RC1_Structure_RE'!C675, _xlpm.b, 'RC1_Structure_RE'!B675, IF(_xlpm.c&lt;&gt;"", _xlpm.c, _xlpm.b))</f>
        <v>WF-150x75x5x7 mm. -14.0 kg/m</v>
      </c>
      <c r="F646" s="1205"/>
      <c r="G646" s="1203" t="str">
        <f>'RC1_Structure_RE'!F675</f>
        <v>กก.</v>
      </c>
      <c r="H646" s="1203">
        <f>'RC1_Structure_RE'!E675</f>
        <v>1428</v>
      </c>
      <c r="I646" s="1203">
        <f>'RC1_Structure_RE'!I675</f>
        <v>41733.622084286158</v>
      </c>
      <c r="J646" s="1203">
        <f>'RC1_Structure_RE'!L675</f>
        <v>18690.681675623997</v>
      </c>
      <c r="K646" s="1203">
        <f>'RC1_Structure_RE'!M675</f>
        <v>60424.303759910152</v>
      </c>
    </row>
    <row r="647" spans="1:11">
      <c r="A647" t="s">
        <v>10</v>
      </c>
      <c r="B647" t="s">
        <v>27</v>
      </c>
      <c r="C647" t="s">
        <v>41</v>
      </c>
      <c r="D647" t="s">
        <v>43</v>
      </c>
      <c r="E647" t="str" cm="1">
        <f t="array" ref="E647">_xlfn.LET(_xlpm.c,'RC1_Structure_RE'!C676, _xlpm.b, 'RC1_Structure_RE'!B676, IF(_xlpm.c&lt;&gt;"", _xlpm.c, _xlpm.b))</f>
        <v>Steel Plate Support</v>
      </c>
      <c r="F647" s="1205"/>
      <c r="G647" s="1203" t="str">
        <f>'RC1_Structure_RE'!F676</f>
        <v>กก.</v>
      </c>
      <c r="H647" s="1203">
        <f>'RC1_Structure_RE'!E676</f>
        <v>253</v>
      </c>
      <c r="I647" s="1203">
        <f>'RC1_Structure_RE'!I676</f>
        <v>6459.6817071832102</v>
      </c>
      <c r="J647" s="1203">
        <f>'RC1_Structure_RE'!L676</f>
        <v>3311.4443024739999</v>
      </c>
      <c r="K647" s="1203">
        <f>'RC1_Structure_RE'!M676</f>
        <v>9771.1260096572096</v>
      </c>
    </row>
    <row r="648" spans="1:11">
      <c r="A648" t="s">
        <v>10</v>
      </c>
      <c r="B648" t="s">
        <v>27</v>
      </c>
      <c r="C648" t="s">
        <v>41</v>
      </c>
      <c r="D648" t="s">
        <v>43</v>
      </c>
      <c r="E648" t="str" cm="1">
        <f t="array" ref="E648">_xlfn.LET(_xlpm.c,'RC1_Structure_RE'!C677, _xlpm.b, 'RC1_Structure_RE'!B677, IF(_xlpm.c&lt;&gt;"", _xlpm.c, _xlpm.b))</f>
        <v>J-Bolt-M20-550L (A325)</v>
      </c>
      <c r="F648" s="1205"/>
      <c r="G648" s="1203" t="str">
        <f>'RC1_Structure_RE'!F677</f>
        <v>ชุด</v>
      </c>
      <c r="H648" s="1203">
        <f>'RC1_Structure_RE'!E677</f>
        <v>80</v>
      </c>
      <c r="I648" s="1203">
        <f>'RC1_Structure_RE'!I677</f>
        <v>10058.8626592824</v>
      </c>
      <c r="J648" s="1203">
        <f>'RC1_Structure_RE'!L677</f>
        <v>3017.8831757159996</v>
      </c>
      <c r="K648" s="1203">
        <f>'RC1_Structure_RE'!M677</f>
        <v>13076.745834998401</v>
      </c>
    </row>
    <row r="649" spans="1:11">
      <c r="A649" t="s">
        <v>10</v>
      </c>
      <c r="B649" t="s">
        <v>27</v>
      </c>
      <c r="C649" t="s">
        <v>41</v>
      </c>
      <c r="D649" t="s">
        <v>43</v>
      </c>
      <c r="E649" t="str" cm="1">
        <f t="array" ref="E649">_xlfn.LET(_xlpm.c,'RC1_Structure_RE'!C678, _xlpm.b, 'RC1_Structure_RE'!B678, IF(_xlpm.c&lt;&gt;"", _xlpm.c, _xlpm.b))</f>
        <v>งานสีกันสนิม</v>
      </c>
      <c r="F649" s="1205"/>
      <c r="G649" s="1203" t="str">
        <f>'RC1_Structure_RE'!F678</f>
        <v>ตร.ม.</v>
      </c>
      <c r="H649" s="1203">
        <f>'RC1_Structure_RE'!E678</f>
        <v>111</v>
      </c>
      <c r="I649" s="1203">
        <f>'RC1_Structure_RE'!I678</f>
        <v>2907.7697059403399</v>
      </c>
      <c r="J649" s="1203">
        <f>'RC1_Structure_RE'!L678</f>
        <v>3113.2437965099998</v>
      </c>
      <c r="K649" s="1203">
        <f>'RC1_Structure_RE'!M678</f>
        <v>6021.0135024503397</v>
      </c>
    </row>
    <row r="650" spans="1:11">
      <c r="A650" t="s">
        <v>10</v>
      </c>
      <c r="B650" t="s">
        <v>27</v>
      </c>
      <c r="C650" t="s">
        <v>41</v>
      </c>
      <c r="D650" t="s">
        <v>43</v>
      </c>
      <c r="E650" t="str" cm="1">
        <f t="array" ref="E650">_xlfn.LET(_xlpm.c,'RC1_Structure_RE'!C679, _xlpm.b, 'RC1_Structure_RE'!B679, IF(_xlpm.c&lt;&gt;"", _xlpm.c, _xlpm.b))</f>
        <v>งานสีน้ำมัน</v>
      </c>
      <c r="F650" s="1205"/>
      <c r="G650" s="1203" t="str">
        <f>'RC1_Structure_RE'!F679</f>
        <v>ตร.ม.</v>
      </c>
      <c r="H650" s="1203">
        <f>'RC1_Structure_RE'!E679</f>
        <v>111</v>
      </c>
      <c r="I650" s="1203">
        <f>'RC1_Structure_RE'!I679</f>
        <v>3354.0013167734401</v>
      </c>
      <c r="J650" s="1203">
        <f>'RC1_Structure_RE'!L679</f>
        <v>3632.1177625949999</v>
      </c>
      <c r="K650" s="1203">
        <f>'RC1_Structure_RE'!M679</f>
        <v>6986.11907936844</v>
      </c>
    </row>
    <row r="651" spans="1:11">
      <c r="A651" t="s">
        <v>10</v>
      </c>
      <c r="B651" t="s">
        <v>27</v>
      </c>
      <c r="C651" t="s">
        <v>41</v>
      </c>
      <c r="D651" t="s">
        <v>44</v>
      </c>
      <c r="E651" t="str" cm="1">
        <f t="array" ref="E651">_xlfn.LET(_xlpm.c,'RC1_Structure_RE'!C680, _xlpm.b, 'RC1_Structure_RE'!B680, IF(_xlpm.c&lt;&gt;"", _xlpm.c, _xlpm.b))</f>
        <v>โครงสร้างเหล็กรับพื้นกระจกวงกลม ชั้น 3 urban void (ref. dwg A830 ,S1-205B)</v>
      </c>
      <c r="F651" s="1205"/>
      <c r="G651" s="1203">
        <f>'RC1_Structure_RE'!F680</f>
        <v>0</v>
      </c>
      <c r="H651" s="1203">
        <f>'RC1_Structure_RE'!E680</f>
        <v>0</v>
      </c>
      <c r="I651" s="1203">
        <f>'RC1_Structure_RE'!I680</f>
        <v>0</v>
      </c>
      <c r="J651" s="1203">
        <f>'RC1_Structure_RE'!L680</f>
        <v>0</v>
      </c>
      <c r="K651" s="1203">
        <f>'RC1_Structure_RE'!M680</f>
        <v>0</v>
      </c>
    </row>
    <row r="652" spans="1:11">
      <c r="A652" t="s">
        <v>10</v>
      </c>
      <c r="B652" t="s">
        <v>27</v>
      </c>
      <c r="C652" t="s">
        <v>41</v>
      </c>
      <c r="D652" t="s">
        <v>44</v>
      </c>
      <c r="E652" t="str" cm="1">
        <f t="array" ref="E652">_xlfn.LET(_xlpm.c,'RC1_Structure_RE'!C681, _xlpm.b, 'RC1_Structure_RE'!B681, IF(_xlpm.c&lt;&gt;"", _xlpm.c, _xlpm.b))</f>
        <v>WF350x175x6x9 mm.-41.4 Kg/m</v>
      </c>
      <c r="F652" s="1205"/>
      <c r="G652" s="1203" t="str">
        <f>'RC1_Structure_RE'!F681</f>
        <v>กก.</v>
      </c>
      <c r="H652" s="1203">
        <f>'RC1_Structure_RE'!E681</f>
        <v>1988</v>
      </c>
      <c r="I652" s="1203">
        <f>'RC1_Structure_RE'!I681</f>
        <v>59475.110317952</v>
      </c>
      <c r="J652" s="1203">
        <f>'RC1_Structure_RE'!L681</f>
        <v>26020.360764103996</v>
      </c>
      <c r="K652" s="1203">
        <f>'RC1_Structure_RE'!M681</f>
        <v>85495.471082055999</v>
      </c>
    </row>
    <row r="653" spans="1:11">
      <c r="A653" t="s">
        <v>10</v>
      </c>
      <c r="B653" t="s">
        <v>27</v>
      </c>
      <c r="C653" t="s">
        <v>41</v>
      </c>
      <c r="D653" t="s">
        <v>44</v>
      </c>
      <c r="E653" t="str" cm="1">
        <f t="array" ref="E653">_xlfn.LET(_xlpm.c,'RC1_Structure_RE'!C682, _xlpm.b, 'RC1_Structure_RE'!B682, IF(_xlpm.c&lt;&gt;"", _xlpm.c, _xlpm.b))</f>
        <v>เหล็กกล่อง 200x100x4.5 mm. THK</v>
      </c>
      <c r="F653" s="1205"/>
      <c r="G653" s="1203" t="str">
        <f>'RC1_Structure_RE'!F682</f>
        <v>กก.</v>
      </c>
      <c r="H653" s="1203">
        <f>'RC1_Structure_RE'!E682</f>
        <v>362</v>
      </c>
      <c r="I653" s="1203">
        <f>'RC1_Structure_RE'!I682</f>
        <v>9506.6872685632588</v>
      </c>
      <c r="J653" s="1203">
        <f>'RC1_Structure_RE'!L682</f>
        <v>4738.1139821959996</v>
      </c>
      <c r="K653" s="1203">
        <f>'RC1_Structure_RE'!M682</f>
        <v>14244.801250759258</v>
      </c>
    </row>
    <row r="654" spans="1:11">
      <c r="A654" t="s">
        <v>10</v>
      </c>
      <c r="B654" t="s">
        <v>27</v>
      </c>
      <c r="C654" t="s">
        <v>41</v>
      </c>
      <c r="D654" t="s">
        <v>44</v>
      </c>
      <c r="E654" t="str" cm="1">
        <f t="array" ref="E654">_xlfn.LET(_xlpm.c,'RC1_Structure_RE'!C683, _xlpm.b, 'RC1_Structure_RE'!B683, IF(_xlpm.c&lt;&gt;"", _xlpm.c, _xlpm.b))</f>
        <v>งานสีกันสนิม</v>
      </c>
      <c r="F654" s="1205"/>
      <c r="G654" s="1203" t="str">
        <f>'RC1_Structure_RE'!F683</f>
        <v>ตร.ม.</v>
      </c>
      <c r="H654" s="1203">
        <f>'RC1_Structure_RE'!E683</f>
        <v>74</v>
      </c>
      <c r="I654" s="1203">
        <f>'RC1_Structure_RE'!I683</f>
        <v>1938.5131372935598</v>
      </c>
      <c r="J654" s="1203">
        <f>'RC1_Structure_RE'!L683</f>
        <v>2075.49586434</v>
      </c>
      <c r="K654" s="1203">
        <f>'RC1_Structure_RE'!M683</f>
        <v>4014.0090016335598</v>
      </c>
    </row>
    <row r="655" spans="1:11">
      <c r="A655" t="s">
        <v>10</v>
      </c>
      <c r="B655" t="s">
        <v>27</v>
      </c>
      <c r="C655" t="s">
        <v>41</v>
      </c>
      <c r="D655" t="s">
        <v>44</v>
      </c>
      <c r="E655" t="str" cm="1">
        <f t="array" ref="E655">_xlfn.LET(_xlpm.c,'RC1_Structure_RE'!C684, _xlpm.b, 'RC1_Structure_RE'!B684, IF(_xlpm.c&lt;&gt;"", _xlpm.c, _xlpm.b))</f>
        <v>งานสีน้ำมัน</v>
      </c>
      <c r="F655" s="1205"/>
      <c r="G655" s="1203" t="str">
        <f>'RC1_Structure_RE'!F684</f>
        <v>ตร.ม.</v>
      </c>
      <c r="H655" s="1203">
        <f>'RC1_Structure_RE'!E684</f>
        <v>74</v>
      </c>
      <c r="I655" s="1203">
        <f>'RC1_Structure_RE'!I684</f>
        <v>2236.00087784896</v>
      </c>
      <c r="J655" s="1203">
        <f>'RC1_Structure_RE'!L684</f>
        <v>2421.4118417300001</v>
      </c>
      <c r="K655" s="1203">
        <f>'RC1_Structure_RE'!M684</f>
        <v>4657.4127195789606</v>
      </c>
    </row>
    <row r="656" spans="1:11">
      <c r="A656" t="s">
        <v>10</v>
      </c>
      <c r="B656" t="s">
        <v>27</v>
      </c>
      <c r="C656" t="s">
        <v>41</v>
      </c>
      <c r="D656" t="s">
        <v>44</v>
      </c>
      <c r="E656" t="str" cm="1">
        <f t="array" ref="E656">_xlfn.LET(_xlpm.c,'RC1_Structure_RE'!C685, _xlpm.b, 'RC1_Structure_RE'!B685, IF(_xlpm.c&lt;&gt;"", _xlpm.c, _xlpm.b))</f>
        <v>งานทาสีกันไฟ ความหนาไม่น้อยกว่า 500 ไมครอน</v>
      </c>
      <c r="F656" s="1205"/>
      <c r="G656" s="1203" t="str">
        <f>'RC1_Structure_RE'!F685</f>
        <v>ตร.ม.</v>
      </c>
      <c r="H656" s="1203">
        <f>'RC1_Structure_RE'!E685</f>
        <v>74</v>
      </c>
      <c r="I656" s="1203">
        <f>'RC1_Structure_RE'!I685</f>
        <v>8993.8154121400003</v>
      </c>
      <c r="J656" s="1203">
        <f>'RC1_Structure_RE'!L685</f>
        <v>2075.49586434</v>
      </c>
      <c r="K656" s="1203">
        <f>'RC1_Structure_RE'!M685</f>
        <v>11069.311276480001</v>
      </c>
    </row>
    <row r="657" spans="1:11">
      <c r="E657" t="str" cm="1">
        <f t="array" ref="E657">_xlfn.LET(_xlpm.c,'RC1_Structure_RE'!C686, _xlpm.b, 'RC1_Structure_RE'!B686, IF(_xlpm.c&lt;&gt;"", _xlpm.c, _xlpm.b))</f>
        <v>โครงสร้างเหล็ก ผนังบังแอร์ (ref. dwg A911)</v>
      </c>
      <c r="F657" s="1205"/>
      <c r="G657" s="1203">
        <f>'RC1_Structure_RE'!F686</f>
        <v>0</v>
      </c>
      <c r="H657" s="1203">
        <f>'RC1_Structure_RE'!E686</f>
        <v>0</v>
      </c>
      <c r="I657" s="1203">
        <f>'RC1_Structure_RE'!I686</f>
        <v>0</v>
      </c>
      <c r="J657" s="1203">
        <f>'RC1_Structure_RE'!L686</f>
        <v>0</v>
      </c>
      <c r="K657" s="1203">
        <f>'RC1_Structure_RE'!M686</f>
        <v>0</v>
      </c>
    </row>
    <row r="658" spans="1:11">
      <c r="A658" t="s">
        <v>10</v>
      </c>
      <c r="B658" t="s">
        <v>27</v>
      </c>
      <c r="C658" t="s">
        <v>41</v>
      </c>
      <c r="D658" t="s">
        <v>45</v>
      </c>
      <c r="E658" t="str" cm="1">
        <f t="array" ref="E658">_xlfn.LET(_xlpm.c,'RC1_Structure_RE'!C687, _xlpm.b, 'RC1_Structure_RE'!B687, IF(_xlpm.c&lt;&gt;"", _xlpm.c, _xlpm.b))</f>
        <v>เหล็กกล่อง 100x50x3.2 mm. THK</v>
      </c>
      <c r="F658" s="1205"/>
      <c r="G658" s="1203" t="str">
        <f>'RC1_Structure_RE'!F687</f>
        <v>กก.</v>
      </c>
      <c r="H658" s="1203">
        <f>'RC1_Structure_RE'!E687</f>
        <v>2314</v>
      </c>
      <c r="I658" s="1203">
        <f>'RC1_Structure_RE'!I687</f>
        <v>57416.031438917322</v>
      </c>
      <c r="J658" s="1203">
        <f>'RC1_Structure_RE'!L687</f>
        <v>30287.281090611996</v>
      </c>
      <c r="K658" s="1203">
        <f>'RC1_Structure_RE'!M687</f>
        <v>87703.312529529314</v>
      </c>
    </row>
    <row r="659" spans="1:11">
      <c r="A659" t="s">
        <v>10</v>
      </c>
      <c r="B659" t="s">
        <v>27</v>
      </c>
      <c r="C659" t="s">
        <v>41</v>
      </c>
      <c r="D659" t="s">
        <v>45</v>
      </c>
      <c r="E659" t="str" cm="1">
        <f t="array" ref="E659">_xlfn.LET(_xlpm.c,'RC1_Structure_RE'!C688, _xlpm.b, 'RC1_Structure_RE'!B688, IF(_xlpm.c&lt;&gt;"", _xlpm.c, _xlpm.b))</f>
        <v>เหล็กฉาก 100x100x7 mm. THK</v>
      </c>
      <c r="F659" s="1205"/>
      <c r="G659" s="1203" t="str">
        <f>'RC1_Structure_RE'!F688</f>
        <v>กก.</v>
      </c>
      <c r="H659" s="1203">
        <f>'RC1_Structure_RE'!E688</f>
        <v>129</v>
      </c>
      <c r="I659" s="1203">
        <f>'RC1_Structure_RE'!I688</f>
        <v>2947.5406942597197</v>
      </c>
      <c r="J659" s="1203">
        <f>'RC1_Structure_RE'!L688</f>
        <v>1688.4439328819999</v>
      </c>
      <c r="K659" s="1203">
        <f>'RC1_Structure_RE'!M688</f>
        <v>4635.9846271417191</v>
      </c>
    </row>
    <row r="660" spans="1:11">
      <c r="A660" t="s">
        <v>10</v>
      </c>
      <c r="B660" t="s">
        <v>27</v>
      </c>
      <c r="C660" t="s">
        <v>41</v>
      </c>
      <c r="D660" t="s">
        <v>45</v>
      </c>
      <c r="E660" t="str" cm="1">
        <f t="array" ref="E660">_xlfn.LET(_xlpm.c,'RC1_Structure_RE'!C689, _xlpm.b, 'RC1_Structure_RE'!B689, IF(_xlpm.c&lt;&gt;"", _xlpm.c, _xlpm.b))</f>
        <v>Steel Plate Support + Bolt/Dowel</v>
      </c>
      <c r="F660" s="1205"/>
      <c r="G660" s="1203" t="str">
        <f>'RC1_Structure_RE'!F689</f>
        <v>ชุด</v>
      </c>
      <c r="H660" s="1203">
        <f>'RC1_Structure_RE'!E689</f>
        <v>23</v>
      </c>
      <c r="I660" s="1203">
        <f>'RC1_Structure_RE'!I689</f>
        <v>494.56635686299995</v>
      </c>
      <c r="J660" s="1203">
        <f>'RC1_Structure_RE'!L689</f>
        <v>301.04039113399995</v>
      </c>
      <c r="K660" s="1203">
        <f>'RC1_Structure_RE'!M689</f>
        <v>795.60674799699996</v>
      </c>
    </row>
    <row r="661" spans="1:11">
      <c r="A661" t="s">
        <v>10</v>
      </c>
      <c r="B661" t="s">
        <v>27</v>
      </c>
      <c r="C661" t="s">
        <v>41</v>
      </c>
      <c r="D661" t="s">
        <v>45</v>
      </c>
      <c r="E661" t="str" cm="1">
        <f t="array" ref="E661">_xlfn.LET(_xlpm.c,'RC1_Structure_RE'!C690, _xlpm.b, 'RC1_Structure_RE'!B690, IF(_xlpm.c&lt;&gt;"", _xlpm.c, _xlpm.b))</f>
        <v>งานสีกันสนิม</v>
      </c>
      <c r="F661" s="1205"/>
      <c r="G661" s="1203" t="str">
        <f>'RC1_Structure_RE'!F690</f>
        <v>ตร.ม.</v>
      </c>
      <c r="H661" s="1203">
        <f>'RC1_Structure_RE'!E690</f>
        <v>105</v>
      </c>
      <c r="I661" s="1203">
        <f>'RC1_Structure_RE'!I690</f>
        <v>2750.5929650786998</v>
      </c>
      <c r="J661" s="1203">
        <f>'RC1_Structure_RE'!L690</f>
        <v>2944.96034805</v>
      </c>
      <c r="K661" s="1203">
        <f>'RC1_Structure_RE'!M690</f>
        <v>5695.5533131286993</v>
      </c>
    </row>
    <row r="662" spans="1:11">
      <c r="A662" t="s">
        <v>10</v>
      </c>
      <c r="B662" t="s">
        <v>27</v>
      </c>
      <c r="C662" t="s">
        <v>41</v>
      </c>
      <c r="D662" t="s">
        <v>45</v>
      </c>
      <c r="E662" t="str" cm="1">
        <f t="array" ref="E662">_xlfn.LET(_xlpm.c,'RC1_Structure_RE'!C691, _xlpm.b, 'RC1_Structure_RE'!B691, IF(_xlpm.c&lt;&gt;"", _xlpm.c, _xlpm.b))</f>
        <v>งานสีน้ำมัน</v>
      </c>
      <c r="F662" s="1205"/>
      <c r="G662" s="1203" t="str">
        <f>'RC1_Structure_RE'!F691</f>
        <v>ตร.ม.</v>
      </c>
      <c r="H662" s="1203">
        <f>'RC1_Structure_RE'!E691</f>
        <v>105</v>
      </c>
      <c r="I662" s="1203">
        <f>'RC1_Structure_RE'!I691</f>
        <v>3172.7039482992</v>
      </c>
      <c r="J662" s="1203">
        <f>'RC1_Structure_RE'!L691</f>
        <v>3435.7870727250001</v>
      </c>
      <c r="K662" s="1203">
        <f>'RC1_Structure_RE'!M691</f>
        <v>6608.4910210241997</v>
      </c>
    </row>
    <row r="663" spans="1:11">
      <c r="E663" t="str" cm="1">
        <f t="array" ref="E663">_xlfn.LET(_xlpm.c,'RC1_Structure_RE'!C692, _xlpm.b, 'RC1_Structure_RE'!B692, IF(_xlpm.c&lt;&gt;"", _xlpm.c, _xlpm.b))</f>
        <v>งานเหล็กโครงหลังคา  (ref. dwg S1-802, 803)</v>
      </c>
      <c r="F663" s="1205"/>
      <c r="G663" s="1203">
        <f>'RC1_Structure_RE'!F692</f>
        <v>0</v>
      </c>
      <c r="H663" s="1203">
        <f>'RC1_Structure_RE'!E692</f>
        <v>0</v>
      </c>
      <c r="I663" s="1203">
        <f>'RC1_Structure_RE'!I692</f>
        <v>0</v>
      </c>
      <c r="J663" s="1203">
        <f>'RC1_Structure_RE'!L692</f>
        <v>0</v>
      </c>
      <c r="K663" s="1203">
        <f>'RC1_Structure_RE'!M692</f>
        <v>0</v>
      </c>
    </row>
    <row r="664" spans="1:11">
      <c r="A664" t="s">
        <v>10</v>
      </c>
      <c r="B664" t="s">
        <v>27</v>
      </c>
      <c r="C664" t="s">
        <v>41</v>
      </c>
      <c r="D664" t="s">
        <v>46</v>
      </c>
      <c r="E664" t="str" cm="1">
        <f t="array" ref="E664">_xlfn.LET(_xlpm.c,'RC1_Structure_RE'!C693, _xlpm.b, 'RC1_Structure_RE'!B693, IF(_xlpm.c&lt;&gt;"", _xlpm.c, _xlpm.b))</f>
        <v>WF200x100x5.5x8 mm.-21.3 Kg/m</v>
      </c>
      <c r="F664" s="1205"/>
      <c r="G664" s="1203" t="str">
        <f>'RC1_Structure_RE'!F693</f>
        <v>กก</v>
      </c>
      <c r="H664" s="1203">
        <f>'RC1_Structure_RE'!E693</f>
        <v>6263</v>
      </c>
      <c r="I664" s="1203">
        <f>'RC1_Structure_RE'!I693</f>
        <v>195333.77872132295</v>
      </c>
      <c r="J664" s="1203">
        <f>'RC1_Structure_RE'!L693</f>
        <v>81974.607377053995</v>
      </c>
      <c r="K664" s="1203">
        <f>'RC1_Structure_RE'!M693</f>
        <v>277308.38609837694</v>
      </c>
    </row>
    <row r="665" spans="1:11">
      <c r="A665" t="s">
        <v>10</v>
      </c>
      <c r="B665" t="s">
        <v>27</v>
      </c>
      <c r="C665" t="s">
        <v>41</v>
      </c>
      <c r="D665" t="s">
        <v>46</v>
      </c>
      <c r="E665" t="str" cm="1">
        <f t="array" ref="E665">_xlfn.LET(_xlpm.c,'RC1_Structure_RE'!C694, _xlpm.b, 'RC1_Structure_RE'!B694, IF(_xlpm.c&lt;&gt;"", _xlpm.c, _xlpm.b))</f>
        <v>WF200x200x8x12 mm.-49.9 Kg/m</v>
      </c>
      <c r="F665" s="1205"/>
      <c r="G665" s="1203" t="str">
        <f>'RC1_Structure_RE'!F694</f>
        <v>กก</v>
      </c>
      <c r="H665" s="1203">
        <f>'RC1_Structure_RE'!E694</f>
        <v>5689</v>
      </c>
      <c r="I665" s="1203">
        <f>'RC1_Structure_RE'!I694</f>
        <v>168389.78490126578</v>
      </c>
      <c r="J665" s="1203">
        <f>'RC1_Structure_RE'!L694</f>
        <v>74461.686311361991</v>
      </c>
      <c r="K665" s="1203">
        <f>'RC1_Structure_RE'!M694</f>
        <v>242851.47121262777</v>
      </c>
    </row>
    <row r="666" spans="1:11">
      <c r="A666" t="s">
        <v>10</v>
      </c>
      <c r="B666" t="s">
        <v>27</v>
      </c>
      <c r="C666" t="s">
        <v>41</v>
      </c>
      <c r="D666" t="s">
        <v>46</v>
      </c>
      <c r="E666" t="str" cm="1">
        <f t="array" ref="E666">_xlfn.LET(_xlpm.c,'RC1_Structure_RE'!C695, _xlpm.b, 'RC1_Structure_RE'!B695, IF(_xlpm.c&lt;&gt;"", _xlpm.c, _xlpm.b))</f>
        <v>WF125x125x6.5x9 mm.-23.8 Kg/m</v>
      </c>
      <c r="F666" s="1205"/>
      <c r="G666" s="1203" t="str">
        <f>'RC1_Structure_RE'!F695</f>
        <v>กก</v>
      </c>
      <c r="H666" s="1203">
        <f>'RC1_Structure_RE'!E695</f>
        <v>1143</v>
      </c>
      <c r="I666" s="1203">
        <f>'RC1_Structure_RE'!I695</f>
        <v>33831.872761846862</v>
      </c>
      <c r="J666" s="1203">
        <f>'RC1_Structure_RE'!L695</f>
        <v>14960.398568093999</v>
      </c>
      <c r="K666" s="1203">
        <f>'RC1_Structure_RE'!M695</f>
        <v>48792.271329940864</v>
      </c>
    </row>
    <row r="667" spans="1:11">
      <c r="A667" t="s">
        <v>10</v>
      </c>
      <c r="B667" t="s">
        <v>27</v>
      </c>
      <c r="C667" t="s">
        <v>41</v>
      </c>
      <c r="D667" t="s">
        <v>46</v>
      </c>
      <c r="E667" t="str" cm="1">
        <f t="array" ref="E667">_xlfn.LET(_xlpm.c,'RC1_Structure_RE'!C696, _xlpm.b, 'RC1_Structure_RE'!B696, IF(_xlpm.c&lt;&gt;"", _xlpm.c, _xlpm.b))</f>
        <v>เหล็กกล่อง 100x50x2.3 mm. THK</v>
      </c>
      <c r="F667" s="1205"/>
      <c r="G667" s="1203" t="str">
        <f>'RC1_Structure_RE'!F696</f>
        <v>กก</v>
      </c>
      <c r="H667" s="1203">
        <f>'RC1_Structure_RE'!E696</f>
        <v>120</v>
      </c>
      <c r="I667" s="1203">
        <f>'RC1_Structure_RE'!I696</f>
        <v>3001.0548308699999</v>
      </c>
      <c r="J667" s="1203">
        <f>'RC1_Structure_RE'!L696</f>
        <v>1570.6455189599999</v>
      </c>
      <c r="K667" s="1203">
        <f>'RC1_Structure_RE'!M696</f>
        <v>4571.7003498300001</v>
      </c>
    </row>
    <row r="668" spans="1:11">
      <c r="A668" t="s">
        <v>10</v>
      </c>
      <c r="B668" t="s">
        <v>27</v>
      </c>
      <c r="C668" t="s">
        <v>41</v>
      </c>
      <c r="D668" t="s">
        <v>46</v>
      </c>
      <c r="E668" t="str" cm="1">
        <f t="array" ref="E668">_xlfn.LET(_xlpm.c,'RC1_Structure_RE'!C697, _xlpm.b, 'RC1_Structure_RE'!B697, IF(_xlpm.c&lt;&gt;"", _xlpm.c, _xlpm.b))</f>
        <v>เหล็กกล่อง 100x100x6.0 mm. THK</v>
      </c>
      <c r="F668" s="1205"/>
      <c r="G668" s="1203" t="str">
        <f>'RC1_Structure_RE'!F697</f>
        <v>กก</v>
      </c>
      <c r="H668" s="1203">
        <f>'RC1_Structure_RE'!E697</f>
        <v>94050</v>
      </c>
      <c r="I668" s="1203">
        <f>'RC1_Structure_RE'!I697</f>
        <v>2433849.8583872877</v>
      </c>
      <c r="J668" s="1203">
        <f>'RC1_Structure_RE'!L697</f>
        <v>1230993.4254848999</v>
      </c>
      <c r="K668" s="1203">
        <f>'RC1_Structure_RE'!M697</f>
        <v>3664843.2838721876</v>
      </c>
    </row>
    <row r="669" spans="1:11">
      <c r="A669" t="s">
        <v>10</v>
      </c>
      <c r="B669" t="s">
        <v>27</v>
      </c>
      <c r="C669" t="s">
        <v>41</v>
      </c>
      <c r="D669" t="s">
        <v>46</v>
      </c>
      <c r="E669" t="str" cm="1">
        <f t="array" ref="E669">_xlfn.LET(_xlpm.c,'RC1_Structure_RE'!C698, _xlpm.b, 'RC1_Structure_RE'!B698, IF(_xlpm.c&lt;&gt;"", _xlpm.c, _xlpm.b))</f>
        <v>เหล็กกล่อง 200x100x3.2 mm. THK</v>
      </c>
      <c r="F669" s="1205"/>
      <c r="G669" s="1203" t="str">
        <f>'RC1_Structure_RE'!F698</f>
        <v>กก</v>
      </c>
      <c r="H669" s="1203">
        <f>'RC1_Structure_RE'!E698</f>
        <v>2390</v>
      </c>
      <c r="I669" s="1203">
        <f>'RC1_Structure_RE'!I698</f>
        <v>61849.0288308944</v>
      </c>
      <c r="J669" s="1203">
        <f>'RC1_Structure_RE'!L698</f>
        <v>31282.023252619998</v>
      </c>
      <c r="K669" s="1203">
        <f>'RC1_Structure_RE'!M698</f>
        <v>93131.052083514398</v>
      </c>
    </row>
    <row r="670" spans="1:11">
      <c r="A670" t="s">
        <v>10</v>
      </c>
      <c r="B670" t="s">
        <v>27</v>
      </c>
      <c r="C670" t="s">
        <v>41</v>
      </c>
      <c r="D670" t="s">
        <v>46</v>
      </c>
      <c r="E670" t="str" cm="1">
        <f t="array" ref="E670">_xlfn.LET(_xlpm.c,'RC1_Structure_RE'!C699, _xlpm.b, 'RC1_Structure_RE'!B699, IF(_xlpm.c&lt;&gt;"", _xlpm.c, _xlpm.b))</f>
        <v>เหล็กกล่อง 75x75x3.2 mm. THK</v>
      </c>
      <c r="F670" s="1205"/>
      <c r="G670" s="1203" t="str">
        <f>'RC1_Structure_RE'!F699</f>
        <v>กก</v>
      </c>
      <c r="H670" s="1203">
        <f>'RC1_Structure_RE'!E699</f>
        <v>11988</v>
      </c>
      <c r="I670" s="1203">
        <f>'RC1_Structure_RE'!I699</f>
        <v>298684.60983716941</v>
      </c>
      <c r="J670" s="1203">
        <f>'RC1_Structure_RE'!L699</f>
        <v>156907.48734410398</v>
      </c>
      <c r="K670" s="1203">
        <f>'RC1_Structure_RE'!M699</f>
        <v>455592.09718127339</v>
      </c>
    </row>
    <row r="671" spans="1:11">
      <c r="A671" t="s">
        <v>10</v>
      </c>
      <c r="B671" t="s">
        <v>27</v>
      </c>
      <c r="C671" t="s">
        <v>41</v>
      </c>
      <c r="D671" t="s">
        <v>46</v>
      </c>
      <c r="E671" t="str" cm="1">
        <f t="array" ref="E671">_xlfn.LET(_xlpm.c,'RC1_Structure_RE'!C700, _xlpm.b, 'RC1_Structure_RE'!B700, IF(_xlpm.c&lt;&gt;"", _xlpm.c, _xlpm.b))</f>
        <v>เหล็กกล่อง 50x50x2.3 mm. THK</v>
      </c>
      <c r="F671" s="1205"/>
      <c r="G671" s="1203" t="str">
        <f>'RC1_Structure_RE'!F700</f>
        <v>กก</v>
      </c>
      <c r="H671" s="1203">
        <f>'RC1_Structure_RE'!E700</f>
        <v>2866</v>
      </c>
      <c r="I671" s="1203">
        <f>'RC1_Structure_RE'!I700</f>
        <v>71112.509120111077</v>
      </c>
      <c r="J671" s="1203">
        <f>'RC1_Structure_RE'!L700</f>
        <v>37512.250477827998</v>
      </c>
      <c r="K671" s="1203">
        <f>'RC1_Structure_RE'!M700</f>
        <v>108624.75959793908</v>
      </c>
    </row>
    <row r="672" spans="1:11">
      <c r="A672" t="s">
        <v>10</v>
      </c>
      <c r="B672" t="s">
        <v>27</v>
      </c>
      <c r="C672" t="s">
        <v>41</v>
      </c>
      <c r="D672" t="s">
        <v>46</v>
      </c>
      <c r="E672" t="str" cm="1">
        <f t="array" ref="E672">_xlfn.LET(_xlpm.c,'RC1_Structure_RE'!C701, _xlpm.b, 'RC1_Structure_RE'!B701, IF(_xlpm.c&lt;&gt;"", _xlpm.c, _xlpm.b))</f>
        <v>Built-up เหล็กกล่อง 300x200x15 mm. THK</v>
      </c>
      <c r="F672" s="1205"/>
      <c r="G672" s="1203" t="str">
        <f>'RC1_Structure_RE'!F701</f>
        <v>กก</v>
      </c>
      <c r="H672" s="1203">
        <f>'RC1_Structure_RE'!E701</f>
        <v>51139</v>
      </c>
      <c r="I672" s="1203">
        <f>'RC1_Structure_RE'!I701</f>
        <v>1567698.5111633269</v>
      </c>
      <c r="J672" s="1203">
        <f>'RC1_Structure_RE'!L701</f>
        <v>669343.67661746196</v>
      </c>
      <c r="K672" s="1203">
        <f>'RC1_Structure_RE'!M701</f>
        <v>2237042.1877807891</v>
      </c>
    </row>
    <row r="673" spans="1:11">
      <c r="A673" t="s">
        <v>10</v>
      </c>
      <c r="B673" t="s">
        <v>27</v>
      </c>
      <c r="C673" t="s">
        <v>41</v>
      </c>
      <c r="D673" t="s">
        <v>46</v>
      </c>
      <c r="E673" t="str" cm="1">
        <f t="array" ref="E673">_xlfn.LET(_xlpm.c,'RC1_Structure_RE'!C702, _xlpm.b, 'RC1_Structure_RE'!B702, IF(_xlpm.c&lt;&gt;"", _xlpm.c, _xlpm.b))</f>
        <v>Pipe 50x3.2 mm. -4.53 kg/m</v>
      </c>
      <c r="F673" s="1205"/>
      <c r="G673" s="1203" t="str">
        <f>'RC1_Structure_RE'!F702</f>
        <v>กก</v>
      </c>
      <c r="H673" s="1203">
        <f>'RC1_Structure_RE'!E702</f>
        <v>13862</v>
      </c>
      <c r="I673" s="1203">
        <f>'RC1_Structure_RE'!I702</f>
        <v>302479.28941097675</v>
      </c>
      <c r="J673" s="1203">
        <f>'RC1_Structure_RE'!L702</f>
        <v>181435.73486519599</v>
      </c>
      <c r="K673" s="1203">
        <f>'RC1_Structure_RE'!M702</f>
        <v>483915.02427617274</v>
      </c>
    </row>
    <row r="674" spans="1:11">
      <c r="A674" t="s">
        <v>10</v>
      </c>
      <c r="B674" t="s">
        <v>27</v>
      </c>
      <c r="C674" t="s">
        <v>41</v>
      </c>
      <c r="D674" t="s">
        <v>46</v>
      </c>
      <c r="E674" t="str" cm="1">
        <f t="array" ref="E674">_xlfn.LET(_xlpm.c,'RC1_Structure_RE'!C703, _xlpm.b, 'RC1_Structure_RE'!B703, IF(_xlpm.c&lt;&gt;"", _xlpm.c, _xlpm.b))</f>
        <v xml:space="preserve">เหล็กกล่อง 50x50x2.5 mm. THK (แปเหล็ก) </v>
      </c>
      <c r="F674" s="1205"/>
      <c r="G674" s="1203" t="str">
        <f>'RC1_Structure_RE'!F703</f>
        <v>กก</v>
      </c>
      <c r="H674" s="1203">
        <f>'RC1_Structure_RE'!E703</f>
        <v>9580</v>
      </c>
      <c r="I674" s="1203">
        <f>'RC1_Structure_RE'!I703</f>
        <v>239405.08228264982</v>
      </c>
      <c r="J674" s="1203">
        <f>'RC1_Structure_RE'!L703</f>
        <v>125389.86726363999</v>
      </c>
      <c r="K674" s="1203">
        <f>'RC1_Structure_RE'!M703</f>
        <v>364794.9495462898</v>
      </c>
    </row>
    <row r="675" spans="1:11">
      <c r="A675" t="s">
        <v>10</v>
      </c>
      <c r="B675" t="s">
        <v>27</v>
      </c>
      <c r="C675" t="s">
        <v>41</v>
      </c>
      <c r="D675" t="s">
        <v>46</v>
      </c>
      <c r="E675" t="str" cm="1">
        <f t="array" ref="E675">_xlfn.LET(_xlpm.c,'RC1_Structure_RE'!C704, _xlpm.b, 'RC1_Structure_RE'!B704, IF(_xlpm.c&lt;&gt;"", _xlpm.c, _xlpm.b))</f>
        <v xml:space="preserve">เหล็กฉาก 75x75x6xmm. THK </v>
      </c>
      <c r="F675" s="1205"/>
      <c r="G675" s="1203" t="str">
        <f>'RC1_Structure_RE'!F704</f>
        <v>กก</v>
      </c>
      <c r="H675" s="1203">
        <f>'RC1_Structure_RE'!E704</f>
        <v>288</v>
      </c>
      <c r="I675" s="1203">
        <f>'RC1_Structure_RE'!I704</f>
        <v>6152.4428756976004</v>
      </c>
      <c r="J675" s="1203">
        <f>'RC1_Structure_RE'!L704</f>
        <v>3769.5492455039994</v>
      </c>
      <c r="K675" s="1203">
        <f>'RC1_Structure_RE'!M704</f>
        <v>9921.9921212015997</v>
      </c>
    </row>
    <row r="676" spans="1:11">
      <c r="A676" t="s">
        <v>10</v>
      </c>
      <c r="B676" t="s">
        <v>27</v>
      </c>
      <c r="C676" t="s">
        <v>41</v>
      </c>
      <c r="D676" t="s">
        <v>46</v>
      </c>
      <c r="E676" t="str" cm="1">
        <f t="array" ref="E676">_xlfn.LET(_xlpm.c,'RC1_Structure_RE'!C705, _xlpm.b, 'RC1_Structure_RE'!B705, IF(_xlpm.c&lt;&gt;"", _xlpm.c, _xlpm.b))</f>
        <v>Steel Plate Support</v>
      </c>
      <c r="F676" s="1205"/>
      <c r="G676" s="1203" t="str">
        <f>'RC1_Structure_RE'!F705</f>
        <v>กก</v>
      </c>
      <c r="H676" s="1203">
        <f>'RC1_Structure_RE'!E705</f>
        <v>7845</v>
      </c>
      <c r="I676" s="1203">
        <f>'RC1_Structure_RE'!I705</f>
        <v>199494.41870104798</v>
      </c>
      <c r="J676" s="1203">
        <f>'RC1_Structure_RE'!L705</f>
        <v>102680.95080200999</v>
      </c>
      <c r="K676" s="1203">
        <f>'RC1_Structure_RE'!M705</f>
        <v>302175.36950305797</v>
      </c>
    </row>
    <row r="677" spans="1:11">
      <c r="A677" t="s">
        <v>10</v>
      </c>
      <c r="B677" t="s">
        <v>27</v>
      </c>
      <c r="C677" t="s">
        <v>41</v>
      </c>
      <c r="D677" t="s">
        <v>46</v>
      </c>
      <c r="E677" t="str" cm="1">
        <f t="array" ref="E677">_xlfn.LET(_xlpm.c,'RC1_Structure_RE'!C706, _xlpm.b, 'RC1_Structure_RE'!B706, IF(_xlpm.c&lt;&gt;"", _xlpm.c, _xlpm.b))</f>
        <v>J-Bolt-M20-500L (A325)</v>
      </c>
      <c r="F677" s="1205"/>
      <c r="G677" s="1203" t="str">
        <f>'RC1_Structure_RE'!F706</f>
        <v>ชุด</v>
      </c>
      <c r="H677" s="1203">
        <f>'RC1_Structure_RE'!E706</f>
        <v>1368</v>
      </c>
      <c r="I677" s="1203">
        <f>'RC1_Structure_RE'!I706</f>
        <v>172006.55147372905</v>
      </c>
      <c r="J677" s="1203">
        <f>'RC1_Structure_RE'!L706</f>
        <v>51605.802304743593</v>
      </c>
      <c r="K677" s="1203">
        <f>'RC1_Structure_RE'!M706</f>
        <v>223612.35377847264</v>
      </c>
    </row>
    <row r="678" spans="1:11">
      <c r="A678" t="s">
        <v>10</v>
      </c>
      <c r="B678" t="s">
        <v>27</v>
      </c>
      <c r="C678" t="s">
        <v>41</v>
      </c>
      <c r="D678" t="s">
        <v>46</v>
      </c>
      <c r="E678" t="str" cm="1">
        <f t="array" ref="E678">_xlfn.LET(_xlpm.c,'RC1_Structure_RE'!C707, _xlpm.b, 'RC1_Structure_RE'!B707, IF(_xlpm.c&lt;&gt;"", _xlpm.c, _xlpm.b))</f>
        <v>J-Bolt-M20-600L (A325)</v>
      </c>
      <c r="F678" s="1205"/>
      <c r="G678" s="1203" t="str">
        <f>'RC1_Structure_RE'!F707</f>
        <v>ชุด</v>
      </c>
      <c r="H678" s="1203">
        <f>'RC1_Structure_RE'!E707</f>
        <v>640</v>
      </c>
      <c r="I678" s="1203">
        <f>'RC1_Structure_RE'!I707</f>
        <v>104709.701264</v>
      </c>
      <c r="J678" s="1203">
        <f>'RC1_Structure_RE'!L707</f>
        <v>31412.910379199999</v>
      </c>
      <c r="K678" s="1203">
        <f>'RC1_Structure_RE'!M707</f>
        <v>136122.61164320001</v>
      </c>
    </row>
    <row r="679" spans="1:11">
      <c r="A679" t="s">
        <v>10</v>
      </c>
      <c r="B679" t="s">
        <v>27</v>
      </c>
      <c r="C679" t="s">
        <v>41</v>
      </c>
      <c r="D679" t="s">
        <v>46</v>
      </c>
      <c r="E679" t="str" cm="1">
        <f t="array" ref="E679">_xlfn.LET(_xlpm.c,'RC1_Structure_RE'!C708, _xlpm.b, 'RC1_Structure_RE'!B708, IF(_xlpm.c&lt;&gt;"", _xlpm.c, _xlpm.b))</f>
        <v>J-Bolt-M25-500L (A325)</v>
      </c>
      <c r="F679" s="1205"/>
      <c r="G679" s="1203" t="str">
        <f>'RC1_Structure_RE'!F708</f>
        <v>ชุด</v>
      </c>
      <c r="H679" s="1203">
        <f>'RC1_Structure_RE'!E708</f>
        <v>270</v>
      </c>
      <c r="I679" s="1203">
        <f>'RC1_Structure_RE'!I708</f>
        <v>57300.514200629994</v>
      </c>
      <c r="J679" s="1203">
        <f>'RC1_Structure_RE'!L708</f>
        <v>17190.154260188996</v>
      </c>
      <c r="K679" s="1203">
        <f>'RC1_Structure_RE'!M708</f>
        <v>74490.668460818997</v>
      </c>
    </row>
    <row r="680" spans="1:11">
      <c r="A680" t="s">
        <v>10</v>
      </c>
      <c r="B680" t="s">
        <v>27</v>
      </c>
      <c r="C680" t="s">
        <v>41</v>
      </c>
      <c r="D680" t="s">
        <v>46</v>
      </c>
      <c r="E680" t="str" cm="1">
        <f t="array" ref="E680">_xlfn.LET(_xlpm.c,'RC1_Structure_RE'!C709, _xlpm.b, 'RC1_Structure_RE'!B709, IF(_xlpm.c&lt;&gt;"", _xlpm.c, _xlpm.b))</f>
        <v>DB12-Dowel Support</v>
      </c>
      <c r="F680" s="1205"/>
      <c r="G680" s="1203" t="str">
        <f>'RC1_Structure_RE'!F709</f>
        <v>กก</v>
      </c>
      <c r="H680" s="1203">
        <f>'RC1_Structure_RE'!E709</f>
        <v>168.11</v>
      </c>
      <c r="I680" s="1203">
        <f>'RC1_Structure_RE'!I709</f>
        <v>3253.3650098702187</v>
      </c>
      <c r="J680" s="1203">
        <f>'RC1_Structure_RE'!L709</f>
        <v>565.80261041221206</v>
      </c>
      <c r="K680" s="1203">
        <f>'RC1_Structure_RE'!M709</f>
        <v>3819.167620282431</v>
      </c>
    </row>
    <row r="681" spans="1:11">
      <c r="A681" t="s">
        <v>10</v>
      </c>
      <c r="B681" t="s">
        <v>27</v>
      </c>
      <c r="C681" t="s">
        <v>41</v>
      </c>
      <c r="D681" t="s">
        <v>46</v>
      </c>
      <c r="E681" t="str" cm="1">
        <f t="array" ref="E681">_xlfn.LET(_xlpm.c,'RC1_Structure_RE'!C710, _xlpm.b, 'RC1_Structure_RE'!B710, IF(_xlpm.c&lt;&gt;"", _xlpm.c, _xlpm.b))</f>
        <v>งานสีกันสนิม</v>
      </c>
      <c r="F681" s="1205"/>
      <c r="G681" s="1203" t="str">
        <f>'RC1_Structure_RE'!F710</f>
        <v>ตร.ม.</v>
      </c>
      <c r="H681" s="1203">
        <f>'RC1_Structure_RE'!E710</f>
        <v>4974</v>
      </c>
      <c r="I681" s="1203">
        <f>'RC1_Structure_RE'!I710</f>
        <v>130299.51817429955</v>
      </c>
      <c r="J681" s="1203">
        <f>'RC1_Structure_RE'!L710</f>
        <v>139506.97877334</v>
      </c>
      <c r="K681" s="1203">
        <f>'RC1_Structure_RE'!M710</f>
        <v>269806.49694763956</v>
      </c>
    </row>
    <row r="682" spans="1:11">
      <c r="A682" t="s">
        <v>10</v>
      </c>
      <c r="B682" t="s">
        <v>27</v>
      </c>
      <c r="C682" t="s">
        <v>41</v>
      </c>
      <c r="D682" t="s">
        <v>46</v>
      </c>
      <c r="E682" t="str" cm="1">
        <f t="array" ref="E682">_xlfn.LET(_xlpm.c,'RC1_Structure_RE'!C711, _xlpm.b, 'RC1_Structure_RE'!B711, IF(_xlpm.c&lt;&gt;"", _xlpm.c, _xlpm.b))</f>
        <v>งานสีน้ำมัน</v>
      </c>
      <c r="F682" s="1205"/>
      <c r="G682" s="1203" t="str">
        <f>'RC1_Structure_RE'!F711</f>
        <v>ตร.ม.</v>
      </c>
      <c r="H682" s="1203">
        <f>'RC1_Structure_RE'!E711</f>
        <v>4974</v>
      </c>
      <c r="I682" s="1203">
        <f>'RC1_Structure_RE'!I711</f>
        <v>150295.51846514497</v>
      </c>
      <c r="J682" s="1203">
        <f>'RC1_Structure_RE'!L711</f>
        <v>162758.14190223001</v>
      </c>
      <c r="K682" s="1203">
        <f>'RC1_Structure_RE'!M711</f>
        <v>313053.66036737501</v>
      </c>
    </row>
    <row r="683" spans="1:11">
      <c r="A683" t="s">
        <v>10</v>
      </c>
      <c r="B683" t="s">
        <v>27</v>
      </c>
      <c r="C683" t="s">
        <v>41</v>
      </c>
      <c r="D683" t="s">
        <v>46</v>
      </c>
      <c r="E683" t="str" cm="1">
        <f t="array" ref="E683">_xlfn.LET(_xlpm.c,'RC1_Structure_RE'!C712, _xlpm.b, 'RC1_Structure_RE'!B712, IF(_xlpm.c&lt;&gt;"", _xlpm.c, _xlpm.b))</f>
        <v>งานทาสีกันไฟ ความหนาไม่น้อยกว่า 500 ไมครอน</v>
      </c>
      <c r="F683" s="1205"/>
      <c r="G683" s="1203" t="str">
        <f>'RC1_Structure_RE'!F712</f>
        <v>ตร.ม.</v>
      </c>
      <c r="H683" s="1203">
        <f>'RC1_Structure_RE'!E712</f>
        <v>1497</v>
      </c>
      <c r="I683" s="1203">
        <f>'RC1_Structure_RE'!I712</f>
        <v>181942.45502666998</v>
      </c>
      <c r="J683" s="1203">
        <f>'RC1_Structure_RE'!L712</f>
        <v>41986.720390769995</v>
      </c>
      <c r="K683" s="1203">
        <f>'RC1_Structure_RE'!M712</f>
        <v>223929.17541743998</v>
      </c>
    </row>
    <row r="684" spans="1:11">
      <c r="A684" t="s">
        <v>10</v>
      </c>
      <c r="B684" t="s">
        <v>27</v>
      </c>
      <c r="C684" t="s">
        <v>41</v>
      </c>
      <c r="D684" t="s">
        <v>46</v>
      </c>
      <c r="E684" t="str" cm="1">
        <f t="array" ref="E684">_xlfn.LET(_xlpm.c,'RC1_Structure_RE'!C713, _xlpm.b, 'RC1_Structure_RE'!B713, IF(_xlpm.c&lt;&gt;"", _xlpm.c, _xlpm.b))</f>
        <v xml:space="preserve">งานซีเมนต์พ่นกันไฟ หนาไม่น้อยกว่า 25 มม. </v>
      </c>
      <c r="F684" s="1205"/>
      <c r="G684" s="1203" t="str">
        <f>'RC1_Structure_RE'!F713</f>
        <v>ตร.ม.</v>
      </c>
      <c r="H684" s="1203">
        <f>'RC1_Structure_RE'!E713</f>
        <v>3477</v>
      </c>
      <c r="I684" s="1203">
        <f>'RC1_Structure_RE'!I713</f>
        <v>1625337.6397095001</v>
      </c>
      <c r="J684" s="1203">
        <f>'RC1_Structure_RE'!L713</f>
        <v>650135.05588380003</v>
      </c>
      <c r="K684" s="1203">
        <f>'RC1_Structure_RE'!M713</f>
        <v>2275472.6955933003</v>
      </c>
    </row>
    <row r="685" spans="1:11">
      <c r="F685" s="1205"/>
      <c r="G685" s="1203"/>
      <c r="H685" s="1203"/>
      <c r="I685" s="1203"/>
      <c r="J685" s="1203"/>
      <c r="K685" s="1203"/>
    </row>
    <row r="686" spans="1:11">
      <c r="F686" s="1205"/>
      <c r="G686" s="1203"/>
      <c r="H686" s="1203"/>
      <c r="I686" s="1203"/>
      <c r="J686" s="1203"/>
      <c r="K686" s="1203"/>
    </row>
    <row r="687" spans="1:11">
      <c r="E687" t="str" cm="1">
        <f t="array" ref="E687">_xlfn.LET(_xlpm.c,'RC1_Structure_RE'!C716, _xlpm.b, 'RC1_Structure_RE'!B716, IF(_xlpm.c&lt;&gt;"", _xlpm.c, _xlpm.b))</f>
        <v>งานบันไดคอนกรีตเสริมเหล็ก</v>
      </c>
      <c r="F687" s="1205"/>
      <c r="G687" s="1203">
        <f>'RC1_Structure_RE'!F716</f>
        <v>0</v>
      </c>
      <c r="H687" s="1203">
        <f>'RC1_Structure_RE'!E716</f>
        <v>0</v>
      </c>
      <c r="I687" s="1203">
        <f>'RC1_Structure_RE'!I716</f>
        <v>0</v>
      </c>
      <c r="J687" s="1203">
        <f>'RC1_Structure_RE'!L716</f>
        <v>0</v>
      </c>
      <c r="K687" s="1203">
        <f>'RC1_Structure_RE'!M716</f>
        <v>0</v>
      </c>
    </row>
    <row r="688" spans="1:11">
      <c r="A688" t="s">
        <v>10</v>
      </c>
      <c r="B688" t="s">
        <v>27</v>
      </c>
      <c r="C688" t="s">
        <v>47</v>
      </c>
      <c r="D688" t="s">
        <v>48</v>
      </c>
      <c r="E688" t="str" cm="1">
        <f t="array" ref="E688">_xlfn.LET(_xlpm.c,'RC1_Structure_RE'!C717, _xlpm.b, 'RC1_Structure_RE'!B717, IF(_xlpm.c&lt;&gt;"", _xlpm.c, _xlpm.b))</f>
        <v>บันได คสล. ST01 (ref. dwg A401 ,S1-702)</v>
      </c>
      <c r="F688" s="1205"/>
      <c r="G688" s="1203">
        <f>'RC1_Structure_RE'!F717</f>
        <v>0</v>
      </c>
      <c r="H688" s="1203">
        <f>'RC1_Structure_RE'!E717</f>
        <v>0</v>
      </c>
      <c r="I688" s="1203">
        <f>'RC1_Structure_RE'!I717</f>
        <v>0</v>
      </c>
      <c r="J688" s="1203">
        <f>'RC1_Structure_RE'!L717</f>
        <v>0</v>
      </c>
      <c r="K688" s="1203">
        <f>'RC1_Structure_RE'!M717</f>
        <v>0</v>
      </c>
    </row>
    <row r="689" spans="1:11">
      <c r="A689" t="s">
        <v>10</v>
      </c>
      <c r="B689" t="s">
        <v>27</v>
      </c>
      <c r="C689" t="s">
        <v>47</v>
      </c>
      <c r="D689" t="s">
        <v>48</v>
      </c>
      <c r="E689" t="str" cm="1">
        <f t="array" ref="E689">_xlfn.LET(_xlpm.c,'RC1_Structure_RE'!C718, _xlpm.b, 'RC1_Structure_RE'!B718, IF(_xlpm.c&lt;&gt;"", _xlpm.c, _xlpm.b))</f>
        <v xml:space="preserve">งานเหล็กเสริม </v>
      </c>
      <c r="F689" s="1205"/>
      <c r="G689" s="1203">
        <f>'RC1_Structure_RE'!F718</f>
        <v>0</v>
      </c>
      <c r="H689" s="1203">
        <f>'RC1_Structure_RE'!E718</f>
        <v>0</v>
      </c>
      <c r="I689" s="1203">
        <f>'RC1_Structure_RE'!I718</f>
        <v>0</v>
      </c>
      <c r="J689" s="1203">
        <f>'RC1_Structure_RE'!L718</f>
        <v>0</v>
      </c>
      <c r="K689" s="1203">
        <f>'RC1_Structure_RE'!M718</f>
        <v>0</v>
      </c>
    </row>
    <row r="690" spans="1:11">
      <c r="A690" t="s">
        <v>10</v>
      </c>
      <c r="B690" t="s">
        <v>27</v>
      </c>
      <c r="C690" t="s">
        <v>47</v>
      </c>
      <c r="D690" t="s">
        <v>48</v>
      </c>
      <c r="E690" t="str" cm="1">
        <f t="array" ref="E690">_xlfn.LET(_xlpm.c,'RC1_Structure_RE'!C719, _xlpm.b, 'RC1_Structure_RE'!B719, IF(_xlpm.c&lt;&gt;"", _xlpm.c, _xlpm.b))</f>
        <v>ขนาดเส้นผ่านศูนย์กลาง 9 ม.ม. SR-24</v>
      </c>
      <c r="F690" s="1205"/>
      <c r="G690" s="1203" t="str">
        <f>'RC1_Structure_RE'!F719</f>
        <v>กก.</v>
      </c>
      <c r="H690" s="1203">
        <f>'RC1_Structure_RE'!E719</f>
        <v>514</v>
      </c>
      <c r="I690" s="1203">
        <f>'RC1_Structure_RE'!I719</f>
        <v>9418.6376286968007</v>
      </c>
      <c r="J690" s="1203">
        <f>'RC1_Structure_RE'!L719</f>
        <v>2114.3880390951999</v>
      </c>
      <c r="K690" s="1203">
        <f>'RC1_Structure_RE'!M719</f>
        <v>11533.025667792001</v>
      </c>
    </row>
    <row r="691" spans="1:11">
      <c r="A691" t="s">
        <v>10</v>
      </c>
      <c r="B691" t="s">
        <v>27</v>
      </c>
      <c r="C691" t="s">
        <v>47</v>
      </c>
      <c r="D691" t="s">
        <v>48</v>
      </c>
      <c r="E691" t="str" cm="1">
        <f t="array" ref="E691">_xlfn.LET(_xlpm.c,'RC1_Structure_RE'!C720, _xlpm.b, 'RC1_Structure_RE'!B720, IF(_xlpm.c&lt;&gt;"", _xlpm.c, _xlpm.b))</f>
        <v>ขนาดเส้นผ่านศูนย์กลาง 12 ม.ม. SD-50</v>
      </c>
      <c r="F691" s="1205"/>
      <c r="G691" s="1203" t="str">
        <f>'RC1_Structure_RE'!F720</f>
        <v>กก.</v>
      </c>
      <c r="H691" s="1203">
        <f>'RC1_Structure_RE'!E720</f>
        <v>867</v>
      </c>
      <c r="I691" s="1203">
        <f>'RC1_Structure_RE'!I720</f>
        <v>15765.49463276805</v>
      </c>
      <c r="J691" s="1203">
        <f>'RC1_Structure_RE'!L720</f>
        <v>2918.0349962964001</v>
      </c>
      <c r="K691" s="1203">
        <f>'RC1_Structure_RE'!M720</f>
        <v>18683.529629064451</v>
      </c>
    </row>
    <row r="692" spans="1:11">
      <c r="A692" t="s">
        <v>10</v>
      </c>
      <c r="B692" t="s">
        <v>27</v>
      </c>
      <c r="C692" t="s">
        <v>47</v>
      </c>
      <c r="D692" t="s">
        <v>48</v>
      </c>
      <c r="E692" t="str" cm="1">
        <f t="array" ref="E692">_xlfn.LET(_xlpm.c,'RC1_Structure_RE'!C721, _xlpm.b, 'RC1_Structure_RE'!B721, IF(_xlpm.c&lt;&gt;"", _xlpm.c, _xlpm.b))</f>
        <v>ขนาดเส้นผ่านศูนย์กลาง 16 ม.ม. SD-50</v>
      </c>
      <c r="F692" s="1205"/>
      <c r="G692" s="1203" t="str">
        <f>'RC1_Structure_RE'!F721</f>
        <v>กก.</v>
      </c>
      <c r="H692" s="1203">
        <f>'RC1_Structure_RE'!E721</f>
        <v>3534</v>
      </c>
      <c r="I692" s="1203">
        <f>'RC1_Structure_RE'!I721</f>
        <v>63601.326983386498</v>
      </c>
      <c r="J692" s="1203">
        <f>'RC1_Structure_RE'!L721</f>
        <v>11894.274137152801</v>
      </c>
      <c r="K692" s="1203">
        <f>'RC1_Structure_RE'!M721</f>
        <v>75495.601120539301</v>
      </c>
    </row>
    <row r="693" spans="1:11">
      <c r="A693" t="s">
        <v>10</v>
      </c>
      <c r="B693" t="s">
        <v>27</v>
      </c>
      <c r="C693" t="s">
        <v>47</v>
      </c>
      <c r="D693" t="s">
        <v>48</v>
      </c>
      <c r="E693" t="str" cm="1">
        <f t="array" ref="E693">_xlfn.LET(_xlpm.c,'RC1_Structure_RE'!C722, _xlpm.b, 'RC1_Structure_RE'!B722, IF(_xlpm.c&lt;&gt;"", _xlpm.c, _xlpm.b))</f>
        <v>ลวดผูกเหล็ก</v>
      </c>
      <c r="F693" s="1205"/>
      <c r="G693" s="1203" t="str">
        <f>'RC1_Structure_RE'!F722</f>
        <v>กก.</v>
      </c>
      <c r="H693" s="1203">
        <f>'RC1_Structure_RE'!E722</f>
        <v>88.47</v>
      </c>
      <c r="I693" s="1203">
        <f>'RC1_Structure_RE'!I722</f>
        <v>2241.4766342802391</v>
      </c>
      <c r="J693" s="1203">
        <f>'RC1_Structure_RE'!L722</f>
        <v>0</v>
      </c>
      <c r="K693" s="1203">
        <f>'RC1_Structure_RE'!M722</f>
        <v>2241.4766342802391</v>
      </c>
    </row>
    <row r="694" spans="1:11">
      <c r="A694" t="s">
        <v>10</v>
      </c>
      <c r="B694" t="s">
        <v>27</v>
      </c>
      <c r="C694" t="s">
        <v>47</v>
      </c>
      <c r="D694" t="s">
        <v>48</v>
      </c>
      <c r="E694" t="str" cm="1">
        <f t="array" ref="E694">_xlfn.LET(_xlpm.c,'RC1_Structure_RE'!C723, _xlpm.b, 'RC1_Structure_RE'!B723, IF(_xlpm.c&lt;&gt;"", _xlpm.c, _xlpm.b))</f>
        <v>งานไม้แบบ</v>
      </c>
      <c r="F694" s="1205"/>
      <c r="G694" s="1203">
        <f>'RC1_Structure_RE'!F723</f>
        <v>0</v>
      </c>
      <c r="H694" s="1203">
        <f>'RC1_Structure_RE'!E723</f>
        <v>0</v>
      </c>
      <c r="I694" s="1203">
        <f>'RC1_Structure_RE'!I723</f>
        <v>0</v>
      </c>
      <c r="J694" s="1203">
        <f>'RC1_Structure_RE'!L723</f>
        <v>0</v>
      </c>
      <c r="K694" s="1203">
        <f>'RC1_Structure_RE'!M723</f>
        <v>0</v>
      </c>
    </row>
    <row r="695" spans="1:11">
      <c r="A695" t="s">
        <v>10</v>
      </c>
      <c r="B695" t="s">
        <v>27</v>
      </c>
      <c r="C695" t="s">
        <v>47</v>
      </c>
      <c r="D695" t="s">
        <v>48</v>
      </c>
      <c r="E695" t="str" cm="1">
        <f t="array" ref="E695">_xlfn.LET(_xlpm.c,'RC1_Structure_RE'!C724, _xlpm.b, 'RC1_Structure_RE'!B724, IF(_xlpm.c&lt;&gt;"", _xlpm.c, _xlpm.b))</f>
        <v>ไม้แบบ ค้ำยัน นั่งร้าน (อาคาร 4 ชั้นขึ้นไป ใช้ 50%)</v>
      </c>
      <c r="F695" s="1205"/>
      <c r="G695" s="1203" t="str">
        <f>'RC1_Structure_RE'!F724</f>
        <v>ตร.ม.</v>
      </c>
      <c r="H695" s="1203">
        <f>'RC1_Structure_RE'!E724</f>
        <v>72</v>
      </c>
      <c r="I695" s="1203">
        <f>'RC1_Structure_RE'!I724</f>
        <v>16505.240624956798</v>
      </c>
      <c r="J695" s="1203">
        <f>'RC1_Structure_RE'!L724</f>
        <v>0</v>
      </c>
      <c r="K695" s="1203">
        <f>'RC1_Structure_RE'!M724</f>
        <v>16505.240624956798</v>
      </c>
    </row>
    <row r="696" spans="1:11">
      <c r="A696" t="s">
        <v>10</v>
      </c>
      <c r="B696" t="s">
        <v>27</v>
      </c>
      <c r="C696" t="s">
        <v>47</v>
      </c>
      <c r="D696" t="s">
        <v>48</v>
      </c>
      <c r="E696" t="str" cm="1">
        <f t="array" ref="E696">_xlfn.LET(_xlpm.c,'RC1_Structure_RE'!C725, _xlpm.b, 'RC1_Structure_RE'!B725, IF(_xlpm.c&lt;&gt;"", _xlpm.c, _xlpm.b))</f>
        <v>ค่าแรงประกอบและติดตั้งไม้แบบหล่อคอนกรีต (ใช้ 100%)</v>
      </c>
      <c r="F696" s="1205"/>
      <c r="G696" s="1203" t="str">
        <f>'RC1_Structure_RE'!F725</f>
        <v>ตร.ม.</v>
      </c>
      <c r="H696" s="1203">
        <f>'RC1_Structure_RE'!E725</f>
        <v>144</v>
      </c>
      <c r="I696" s="1203">
        <f>'RC1_Structure_RE'!I725</f>
        <v>0</v>
      </c>
      <c r="J696" s="1203">
        <f>'RC1_Structure_RE'!L725</f>
        <v>16289.837810928</v>
      </c>
      <c r="K696" s="1203">
        <f>'RC1_Structure_RE'!M725</f>
        <v>16289.837810928</v>
      </c>
    </row>
    <row r="697" spans="1:11">
      <c r="A697" t="s">
        <v>10</v>
      </c>
      <c r="B697" t="s">
        <v>27</v>
      </c>
      <c r="C697" t="s">
        <v>47</v>
      </c>
      <c r="D697" t="s">
        <v>48</v>
      </c>
      <c r="E697" t="str" cm="1">
        <f t="array" ref="E697">_xlfn.LET(_xlpm.c,'RC1_Structure_RE'!C726, _xlpm.b, 'RC1_Structure_RE'!B726, IF(_xlpm.c&lt;&gt;"", _xlpm.c, _xlpm.b))</f>
        <v>ไม้เคร่า (ใช้ 30% ของไม้แบบ 1 ตร.ม.)</v>
      </c>
      <c r="F697" s="1205"/>
      <c r="G697" s="1203" t="str">
        <f>'RC1_Structure_RE'!F726</f>
        <v>ลบ.ฟ.</v>
      </c>
      <c r="H697" s="1203">
        <f>'RC1_Structure_RE'!E726</f>
        <v>22</v>
      </c>
      <c r="I697" s="1203">
        <f>'RC1_Structure_RE'!I726</f>
        <v>6364.1434538602798</v>
      </c>
      <c r="J697" s="1203">
        <f>'RC1_Structure_RE'!L726</f>
        <v>0</v>
      </c>
      <c r="K697" s="1203">
        <f>'RC1_Structure_RE'!M726</f>
        <v>6364.1434538602798</v>
      </c>
    </row>
    <row r="698" spans="1:11">
      <c r="A698" t="s">
        <v>10</v>
      </c>
      <c r="B698" t="s">
        <v>27</v>
      </c>
      <c r="C698" t="s">
        <v>47</v>
      </c>
      <c r="D698" t="s">
        <v>48</v>
      </c>
      <c r="E698" t="str" cm="1">
        <f t="array" ref="E698">_xlfn.LET(_xlpm.c,'RC1_Structure_RE'!C727, _xlpm.b, 'RC1_Structure_RE'!B727, IF(_xlpm.c&lt;&gt;"", _xlpm.c, _xlpm.b))</f>
        <v>ตะปู (ใช้ 25% ของไม้แบบ 1 ตร.ม.)</v>
      </c>
      <c r="F698" s="1205"/>
      <c r="G698" s="1203" t="str">
        <f>'RC1_Structure_RE'!F727</f>
        <v>กก.</v>
      </c>
      <c r="H698" s="1203">
        <f>'RC1_Structure_RE'!E727</f>
        <v>18</v>
      </c>
      <c r="I698" s="1203">
        <f>'RC1_Structure_RE'!I727</f>
        <v>393.11013560255998</v>
      </c>
      <c r="J698" s="1203">
        <f>'RC1_Structure_RE'!L727</f>
        <v>0</v>
      </c>
      <c r="K698" s="1203">
        <f>'RC1_Structure_RE'!M727</f>
        <v>393.11013560255998</v>
      </c>
    </row>
    <row r="699" spans="1:11">
      <c r="A699" t="s">
        <v>10</v>
      </c>
      <c r="B699" t="s">
        <v>27</v>
      </c>
      <c r="C699" t="s">
        <v>47</v>
      </c>
      <c r="D699" t="s">
        <v>48</v>
      </c>
      <c r="E699" t="str" cm="1">
        <f t="array" ref="E699">_xlfn.LET(_xlpm.c,'RC1_Structure_RE'!C728, _xlpm.b, 'RC1_Structure_RE'!B728, IF(_xlpm.c&lt;&gt;"", _xlpm.c, _xlpm.b))</f>
        <v>งานคอนกรีตโครงสร้าง</v>
      </c>
      <c r="F699" s="1205"/>
      <c r="G699" s="1203">
        <f>'RC1_Structure_RE'!F728</f>
        <v>0</v>
      </c>
      <c r="H699" s="1203">
        <f>'RC1_Structure_RE'!E728</f>
        <v>0</v>
      </c>
      <c r="I699" s="1203">
        <f>'RC1_Structure_RE'!I728</f>
        <v>0</v>
      </c>
      <c r="J699" s="1203">
        <f>'RC1_Structure_RE'!L728</f>
        <v>0</v>
      </c>
      <c r="K699" s="1203">
        <f>'RC1_Structure_RE'!M728</f>
        <v>0</v>
      </c>
    </row>
    <row r="700" spans="1:11">
      <c r="A700" t="s">
        <v>10</v>
      </c>
      <c r="B700" t="s">
        <v>27</v>
      </c>
      <c r="C700" t="s">
        <v>47</v>
      </c>
      <c r="D700" t="s">
        <v>48</v>
      </c>
      <c r="E700" t="str" cm="1">
        <f t="array" ref="E700">_xlfn.LET(_xlpm.c,'RC1_Structure_RE'!C729, _xlpm.b, 'RC1_Structure_RE'!B729, IF(_xlpm.c&lt;&gt;"", _xlpm.c, _xlpm.b))</f>
        <v>งานคอนกรีตโครงสร้าง 320 ksc.</v>
      </c>
      <c r="F700" s="1205"/>
      <c r="G700" s="1203" t="str">
        <f>'RC1_Structure_RE'!F729</f>
        <v>ลบ.ม.</v>
      </c>
      <c r="H700" s="1203">
        <f>'RC1_Structure_RE'!E729</f>
        <v>28</v>
      </c>
      <c r="I700" s="1203">
        <f>'RC1_Structure_RE'!I729</f>
        <v>70152.882104348391</v>
      </c>
      <c r="J700" s="1203">
        <f>'RC1_Structure_RE'!L729</f>
        <v>13586.083739004</v>
      </c>
      <c r="K700" s="1203">
        <f>'RC1_Structure_RE'!M729</f>
        <v>83738.965843352387</v>
      </c>
    </row>
    <row r="701" spans="1:11">
      <c r="A701" t="s">
        <v>10</v>
      </c>
      <c r="B701" t="s">
        <v>27</v>
      </c>
      <c r="C701" t="s">
        <v>47</v>
      </c>
      <c r="D701" t="s">
        <v>49</v>
      </c>
      <c r="E701" t="str" cm="1">
        <f t="array" ref="E701">_xlfn.LET(_xlpm.c,'RC1_Structure_RE'!C730, _xlpm.b, 'RC1_Structure_RE'!B730, IF(_xlpm.c&lt;&gt;"", _xlpm.c, _xlpm.b))</f>
        <v>บันได คสล. ST1.1 (ref. dwg A401 ,S1-702)</v>
      </c>
      <c r="F701" s="1205"/>
      <c r="G701" s="1203">
        <f>'RC1_Structure_RE'!F730</f>
        <v>0</v>
      </c>
      <c r="H701" s="1203">
        <f>'RC1_Structure_RE'!E730</f>
        <v>0</v>
      </c>
      <c r="I701" s="1203">
        <f>'RC1_Structure_RE'!I730</f>
        <v>0</v>
      </c>
      <c r="J701" s="1203">
        <f>'RC1_Structure_RE'!L730</f>
        <v>0</v>
      </c>
      <c r="K701" s="1203">
        <f>'RC1_Structure_RE'!M730</f>
        <v>0</v>
      </c>
    </row>
    <row r="702" spans="1:11">
      <c r="A702" t="s">
        <v>10</v>
      </c>
      <c r="B702" t="s">
        <v>27</v>
      </c>
      <c r="C702" t="s">
        <v>47</v>
      </c>
      <c r="D702" t="s">
        <v>49</v>
      </c>
      <c r="E702" t="str" cm="1">
        <f t="array" ref="E702">_xlfn.LET(_xlpm.c,'RC1_Structure_RE'!C731, _xlpm.b, 'RC1_Structure_RE'!B731, IF(_xlpm.c&lt;&gt;"", _xlpm.c, _xlpm.b))</f>
        <v xml:space="preserve">งานเหล็กเสริม </v>
      </c>
      <c r="F702" s="1205"/>
      <c r="G702" s="1203">
        <f>'RC1_Structure_RE'!F731</f>
        <v>0</v>
      </c>
      <c r="H702" s="1203">
        <f>'RC1_Structure_RE'!E731</f>
        <v>0</v>
      </c>
      <c r="I702" s="1203">
        <f>'RC1_Structure_RE'!I731</f>
        <v>0</v>
      </c>
      <c r="J702" s="1203">
        <f>'RC1_Structure_RE'!L731</f>
        <v>0</v>
      </c>
      <c r="K702" s="1203">
        <f>'RC1_Structure_RE'!M731</f>
        <v>0</v>
      </c>
    </row>
    <row r="703" spans="1:11">
      <c r="A703" t="s">
        <v>10</v>
      </c>
      <c r="B703" t="s">
        <v>27</v>
      </c>
      <c r="C703" t="s">
        <v>47</v>
      </c>
      <c r="D703" t="s">
        <v>49</v>
      </c>
      <c r="E703" t="str" cm="1">
        <f t="array" ref="E703">_xlfn.LET(_xlpm.c,'RC1_Structure_RE'!C732, _xlpm.b, 'RC1_Structure_RE'!B732, IF(_xlpm.c&lt;&gt;"", _xlpm.c, _xlpm.b))</f>
        <v>ขนาดเส้นผ่านศูนย์กลาง 9 ม.ม. SR-24</v>
      </c>
      <c r="F703" s="1205"/>
      <c r="G703" s="1203" t="str">
        <f>'RC1_Structure_RE'!F732</f>
        <v>กก.</v>
      </c>
      <c r="H703" s="1203">
        <f>'RC1_Structure_RE'!E732</f>
        <v>178</v>
      </c>
      <c r="I703" s="1203">
        <f>'RC1_Structure_RE'!I732</f>
        <v>3261.7071943736</v>
      </c>
      <c r="J703" s="1203">
        <f>'RC1_Structure_RE'!L732</f>
        <v>732.21998241040001</v>
      </c>
      <c r="K703" s="1203">
        <f>'RC1_Structure_RE'!M732</f>
        <v>3993.927176784</v>
      </c>
    </row>
    <row r="704" spans="1:11">
      <c r="A704" t="s">
        <v>10</v>
      </c>
      <c r="B704" t="s">
        <v>27</v>
      </c>
      <c r="C704" t="s">
        <v>47</v>
      </c>
      <c r="D704" t="s">
        <v>49</v>
      </c>
      <c r="E704" t="str" cm="1">
        <f t="array" ref="E704">_xlfn.LET(_xlpm.c,'RC1_Structure_RE'!C733, _xlpm.b, 'RC1_Structure_RE'!B733, IF(_xlpm.c&lt;&gt;"", _xlpm.c, _xlpm.b))</f>
        <v>ขนาดเส้นผ่านศูนย์กลาง 12 ม.ม. SD-50</v>
      </c>
      <c r="F704" s="1205"/>
      <c r="G704" s="1203" t="str">
        <f>'RC1_Structure_RE'!F733</f>
        <v>กก.</v>
      </c>
      <c r="H704" s="1203">
        <f>'RC1_Structure_RE'!E733</f>
        <v>171</v>
      </c>
      <c r="I704" s="1203">
        <f>'RC1_Structure_RE'!I733</f>
        <v>3109.4574189196496</v>
      </c>
      <c r="J704" s="1203">
        <f>'RC1_Structure_RE'!L733</f>
        <v>575.52939373319998</v>
      </c>
      <c r="K704" s="1203">
        <f>'RC1_Structure_RE'!M733</f>
        <v>3684.9868126528495</v>
      </c>
    </row>
    <row r="705" spans="1:11">
      <c r="A705" t="s">
        <v>10</v>
      </c>
      <c r="B705" t="s">
        <v>27</v>
      </c>
      <c r="C705" t="s">
        <v>47</v>
      </c>
      <c r="D705" t="s">
        <v>49</v>
      </c>
      <c r="E705" t="str" cm="1">
        <f t="array" ref="E705">_xlfn.LET(_xlpm.c,'RC1_Structure_RE'!C734, _xlpm.b, 'RC1_Structure_RE'!B734, IF(_xlpm.c&lt;&gt;"", _xlpm.c, _xlpm.b))</f>
        <v>ขนาดเส้นผ่านศูนย์กลาง 16 ม.ม. SD-50</v>
      </c>
      <c r="F705" s="1205"/>
      <c r="G705" s="1203" t="str">
        <f>'RC1_Structure_RE'!F734</f>
        <v>กก.</v>
      </c>
      <c r="H705" s="1203">
        <f>'RC1_Structure_RE'!E734</f>
        <v>590</v>
      </c>
      <c r="I705" s="1203">
        <f>'RC1_Structure_RE'!I734</f>
        <v>10618.2181438025</v>
      </c>
      <c r="J705" s="1203">
        <f>'RC1_Structure_RE'!L734</f>
        <v>1985.744691828</v>
      </c>
      <c r="K705" s="1203">
        <f>'RC1_Structure_RE'!M734</f>
        <v>12603.9628356305</v>
      </c>
    </row>
    <row r="706" spans="1:11">
      <c r="A706" t="s">
        <v>10</v>
      </c>
      <c r="B706" t="s">
        <v>27</v>
      </c>
      <c r="C706" t="s">
        <v>47</v>
      </c>
      <c r="D706" t="s">
        <v>49</v>
      </c>
      <c r="E706" t="str" cm="1">
        <f t="array" ref="E706">_xlfn.LET(_xlpm.c,'RC1_Structure_RE'!C735, _xlpm.b, 'RC1_Structure_RE'!B735, IF(_xlpm.c&lt;&gt;"", _xlpm.c, _xlpm.b))</f>
        <v>ลวดผูกเหล็ก</v>
      </c>
      <c r="F706" s="1205"/>
      <c r="G706" s="1203" t="str">
        <f>'RC1_Structure_RE'!F735</f>
        <v>กก.</v>
      </c>
      <c r="H706" s="1203">
        <f>'RC1_Structure_RE'!E735</f>
        <v>16.899999999999999</v>
      </c>
      <c r="I706" s="1203">
        <f>'RC1_Structure_RE'!I735</f>
        <v>428.17853644552997</v>
      </c>
      <c r="J706" s="1203">
        <f>'RC1_Structure_RE'!L735</f>
        <v>0</v>
      </c>
      <c r="K706" s="1203">
        <f>'RC1_Structure_RE'!M735</f>
        <v>428.17853644552997</v>
      </c>
    </row>
    <row r="707" spans="1:11">
      <c r="A707" t="s">
        <v>10</v>
      </c>
      <c r="B707" t="s">
        <v>27</v>
      </c>
      <c r="C707" t="s">
        <v>47</v>
      </c>
      <c r="D707" t="s">
        <v>49</v>
      </c>
      <c r="E707" t="str" cm="1">
        <f t="array" ref="E707">_xlfn.LET(_xlpm.c,'RC1_Structure_RE'!C736, _xlpm.b, 'RC1_Structure_RE'!B736, IF(_xlpm.c&lt;&gt;"", _xlpm.c, _xlpm.b))</f>
        <v>งานไม้แบบ</v>
      </c>
      <c r="F707" s="1205"/>
      <c r="G707" s="1203">
        <f>'RC1_Structure_RE'!F736</f>
        <v>0</v>
      </c>
      <c r="H707" s="1203">
        <f>'RC1_Structure_RE'!E736</f>
        <v>0</v>
      </c>
      <c r="I707" s="1203">
        <f>'RC1_Structure_RE'!I736</f>
        <v>0</v>
      </c>
      <c r="J707" s="1203">
        <f>'RC1_Structure_RE'!L736</f>
        <v>0</v>
      </c>
      <c r="K707" s="1203">
        <f>'RC1_Structure_RE'!M736</f>
        <v>0</v>
      </c>
    </row>
    <row r="708" spans="1:11">
      <c r="A708" t="s">
        <v>10</v>
      </c>
      <c r="B708" t="s">
        <v>27</v>
      </c>
      <c r="C708" t="s">
        <v>47</v>
      </c>
      <c r="D708" t="s">
        <v>49</v>
      </c>
      <c r="E708" t="str" cm="1">
        <f t="array" ref="E708">_xlfn.LET(_xlpm.c,'RC1_Structure_RE'!C737, _xlpm.b, 'RC1_Structure_RE'!B737, IF(_xlpm.c&lt;&gt;"", _xlpm.c, _xlpm.b))</f>
        <v>ไม้แบบ ค้ำยัน นั่งร้าน (อาคาร 4 ชั้นขึ้นไป ใช้ 50%)</v>
      </c>
      <c r="F708" s="1205"/>
      <c r="G708" s="1203" t="str">
        <f>'RC1_Structure_RE'!F737</f>
        <v>ตร.ม.</v>
      </c>
      <c r="H708" s="1203">
        <f>'RC1_Structure_RE'!E737</f>
        <v>18</v>
      </c>
      <c r="I708" s="1203">
        <f>'RC1_Structure_RE'!I737</f>
        <v>4126.3101562391994</v>
      </c>
      <c r="J708" s="1203">
        <f>'RC1_Structure_RE'!L737</f>
        <v>0</v>
      </c>
      <c r="K708" s="1203">
        <f>'RC1_Structure_RE'!M737</f>
        <v>4126.3101562391994</v>
      </c>
    </row>
    <row r="709" spans="1:11">
      <c r="A709" t="s">
        <v>10</v>
      </c>
      <c r="B709" t="s">
        <v>27</v>
      </c>
      <c r="C709" t="s">
        <v>47</v>
      </c>
      <c r="D709" t="s">
        <v>49</v>
      </c>
      <c r="E709" t="str" cm="1">
        <f t="array" ref="E709">_xlfn.LET(_xlpm.c,'RC1_Structure_RE'!C738, _xlpm.b, 'RC1_Structure_RE'!B738, IF(_xlpm.c&lt;&gt;"", _xlpm.c, _xlpm.b))</f>
        <v>ค่าแรงประกอบและติดตั้งไม้แบบหล่อคอนกรีต (ใช้ 100%)</v>
      </c>
      <c r="F709" s="1205"/>
      <c r="G709" s="1203" t="str">
        <f>'RC1_Structure_RE'!F738</f>
        <v>ตร.ม.</v>
      </c>
      <c r="H709" s="1203">
        <f>'RC1_Structure_RE'!E738</f>
        <v>35</v>
      </c>
      <c r="I709" s="1203">
        <f>'RC1_Structure_RE'!I738</f>
        <v>0</v>
      </c>
      <c r="J709" s="1203">
        <f>'RC1_Structure_RE'!L738</f>
        <v>3959.335579045</v>
      </c>
      <c r="K709" s="1203">
        <f>'RC1_Structure_RE'!M738</f>
        <v>3959.335579045</v>
      </c>
    </row>
    <row r="710" spans="1:11">
      <c r="A710" t="s">
        <v>10</v>
      </c>
      <c r="B710" t="s">
        <v>27</v>
      </c>
      <c r="C710" t="s">
        <v>47</v>
      </c>
      <c r="D710" t="s">
        <v>49</v>
      </c>
      <c r="E710" t="str" cm="1">
        <f t="array" ref="E710">_xlfn.LET(_xlpm.c,'RC1_Structure_RE'!C739, _xlpm.b, 'RC1_Structure_RE'!B739, IF(_xlpm.c&lt;&gt;"", _xlpm.c, _xlpm.b))</f>
        <v>ไม้เคร่า (ใช้ 30% ของไม้แบบ 1 ตร.ม.)</v>
      </c>
      <c r="F710" s="1205"/>
      <c r="G710" s="1203" t="str">
        <f>'RC1_Structure_RE'!F739</f>
        <v>ลบ.ฟ.</v>
      </c>
      <c r="H710" s="1203">
        <f>'RC1_Structure_RE'!E739</f>
        <v>6</v>
      </c>
      <c r="I710" s="1203">
        <f>'RC1_Structure_RE'!I739</f>
        <v>1735.6754874164399</v>
      </c>
      <c r="J710" s="1203">
        <f>'RC1_Structure_RE'!L739</f>
        <v>0</v>
      </c>
      <c r="K710" s="1203">
        <f>'RC1_Structure_RE'!M739</f>
        <v>1735.6754874164399</v>
      </c>
    </row>
    <row r="711" spans="1:11">
      <c r="A711" t="s">
        <v>10</v>
      </c>
      <c r="B711" t="s">
        <v>27</v>
      </c>
      <c r="C711" t="s">
        <v>47</v>
      </c>
      <c r="D711" t="s">
        <v>49</v>
      </c>
      <c r="E711" t="str" cm="1">
        <f t="array" ref="E711">_xlfn.LET(_xlpm.c,'RC1_Structure_RE'!C740, _xlpm.b, 'RC1_Structure_RE'!B740, IF(_xlpm.c&lt;&gt;"", _xlpm.c, _xlpm.b))</f>
        <v>ตะปู (ใช้ 25% ของไม้แบบ 1 ตร.ม.)</v>
      </c>
      <c r="F711" s="1205"/>
      <c r="G711" s="1203" t="str">
        <f>'RC1_Structure_RE'!F740</f>
        <v>กก.</v>
      </c>
      <c r="H711" s="1203">
        <f>'RC1_Structure_RE'!E740</f>
        <v>5</v>
      </c>
      <c r="I711" s="1203">
        <f>'RC1_Structure_RE'!I740</f>
        <v>109.19725988959999</v>
      </c>
      <c r="J711" s="1203">
        <f>'RC1_Structure_RE'!L740</f>
        <v>0</v>
      </c>
      <c r="K711" s="1203">
        <f>'RC1_Structure_RE'!M740</f>
        <v>109.19725988959999</v>
      </c>
    </row>
    <row r="712" spans="1:11">
      <c r="A712" t="s">
        <v>10</v>
      </c>
      <c r="B712" t="s">
        <v>27</v>
      </c>
      <c r="C712" t="s">
        <v>47</v>
      </c>
      <c r="D712" t="s">
        <v>49</v>
      </c>
      <c r="E712" t="str" cm="1">
        <f t="array" ref="E712">_xlfn.LET(_xlpm.c,'RC1_Structure_RE'!C741, _xlpm.b, 'RC1_Structure_RE'!B741, IF(_xlpm.c&lt;&gt;"", _xlpm.c, _xlpm.b))</f>
        <v>งานคอนกรีตโครงสร้าง</v>
      </c>
      <c r="F712" s="1205"/>
      <c r="G712" s="1203">
        <f>'RC1_Structure_RE'!F741</f>
        <v>0</v>
      </c>
      <c r="H712" s="1203">
        <f>'RC1_Structure_RE'!E741</f>
        <v>0</v>
      </c>
      <c r="I712" s="1203">
        <f>'RC1_Structure_RE'!I741</f>
        <v>0</v>
      </c>
      <c r="J712" s="1203">
        <f>'RC1_Structure_RE'!L741</f>
        <v>0</v>
      </c>
      <c r="K712" s="1203">
        <f>'RC1_Structure_RE'!M741</f>
        <v>0</v>
      </c>
    </row>
    <row r="713" spans="1:11">
      <c r="A713" t="s">
        <v>10</v>
      </c>
      <c r="B713" t="s">
        <v>27</v>
      </c>
      <c r="C713" t="s">
        <v>47</v>
      </c>
      <c r="D713" t="s">
        <v>49</v>
      </c>
      <c r="E713" t="str" cm="1">
        <f t="array" ref="E713">_xlfn.LET(_xlpm.c,'RC1_Structure_RE'!C742, _xlpm.b, 'RC1_Structure_RE'!B742, IF(_xlpm.c&lt;&gt;"", _xlpm.c, _xlpm.b))</f>
        <v>งานคอนกรีตโครงสร้าง 320 ksc.</v>
      </c>
      <c r="F713" s="1205"/>
      <c r="G713" s="1203" t="str">
        <f>'RC1_Structure_RE'!F742</f>
        <v>ลบ.ม.</v>
      </c>
      <c r="H713" s="1203">
        <f>'RC1_Structure_RE'!E742</f>
        <v>7</v>
      </c>
      <c r="I713" s="1203">
        <f>'RC1_Structure_RE'!I742</f>
        <v>17538.220526087098</v>
      </c>
      <c r="J713" s="1203">
        <f>'RC1_Structure_RE'!L742</f>
        <v>3396.5209347509999</v>
      </c>
      <c r="K713" s="1203">
        <f>'RC1_Structure_RE'!M742</f>
        <v>20934.741460838097</v>
      </c>
    </row>
    <row r="714" spans="1:11">
      <c r="A714" t="s">
        <v>10</v>
      </c>
      <c r="B714" t="s">
        <v>27</v>
      </c>
      <c r="C714" t="s">
        <v>47</v>
      </c>
      <c r="D714" t="s">
        <v>50</v>
      </c>
      <c r="E714" t="str" cm="1">
        <f t="array" ref="E714">_xlfn.LET(_xlpm.c,'RC1_Structure_RE'!C743, _xlpm.b, 'RC1_Structure_RE'!B743, IF(_xlpm.c&lt;&gt;"", _xlpm.c, _xlpm.b))</f>
        <v>บันได คสล. ST02 (ref. dwg A406 ,S1-702)</v>
      </c>
      <c r="F714" s="1205"/>
      <c r="G714" s="1203">
        <f>'RC1_Structure_RE'!F743</f>
        <v>0</v>
      </c>
      <c r="H714" s="1203">
        <f>'RC1_Structure_RE'!E743</f>
        <v>0</v>
      </c>
      <c r="I714" s="1203">
        <f>'RC1_Structure_RE'!I743</f>
        <v>0</v>
      </c>
      <c r="J714" s="1203">
        <f>'RC1_Structure_RE'!L743</f>
        <v>0</v>
      </c>
      <c r="K714" s="1203">
        <f>'RC1_Structure_RE'!M743</f>
        <v>0</v>
      </c>
    </row>
    <row r="715" spans="1:11">
      <c r="A715" t="s">
        <v>10</v>
      </c>
      <c r="B715" t="s">
        <v>27</v>
      </c>
      <c r="C715" t="s">
        <v>47</v>
      </c>
      <c r="D715" t="s">
        <v>50</v>
      </c>
      <c r="E715" t="str" cm="1">
        <f t="array" ref="E715">_xlfn.LET(_xlpm.c,'RC1_Structure_RE'!C744, _xlpm.b, 'RC1_Structure_RE'!B744, IF(_xlpm.c&lt;&gt;"", _xlpm.c, _xlpm.b))</f>
        <v xml:space="preserve">งานเหล็กเสริม </v>
      </c>
      <c r="F715" s="1205"/>
      <c r="G715" s="1203">
        <f>'RC1_Structure_RE'!F744</f>
        <v>0</v>
      </c>
      <c r="H715" s="1203">
        <f>'RC1_Structure_RE'!E744</f>
        <v>0</v>
      </c>
      <c r="I715" s="1203">
        <f>'RC1_Structure_RE'!I744</f>
        <v>0</v>
      </c>
      <c r="J715" s="1203">
        <f>'RC1_Structure_RE'!L744</f>
        <v>0</v>
      </c>
      <c r="K715" s="1203">
        <f>'RC1_Structure_RE'!M744</f>
        <v>0</v>
      </c>
    </row>
    <row r="716" spans="1:11">
      <c r="A716" t="s">
        <v>10</v>
      </c>
      <c r="B716" t="s">
        <v>27</v>
      </c>
      <c r="C716" t="s">
        <v>47</v>
      </c>
      <c r="D716" t="s">
        <v>50</v>
      </c>
      <c r="E716" t="str" cm="1">
        <f t="array" ref="E716">_xlfn.LET(_xlpm.c,'RC1_Structure_RE'!C745, _xlpm.b, 'RC1_Structure_RE'!B745, IF(_xlpm.c&lt;&gt;"", _xlpm.c, _xlpm.b))</f>
        <v>ขนาดเส้นผ่านศูนย์กลาง 9 ม.ม. SR-24</v>
      </c>
      <c r="F716" s="1205"/>
      <c r="G716" s="1203" t="str">
        <f>'RC1_Structure_RE'!F745</f>
        <v>กก.</v>
      </c>
      <c r="H716" s="1203">
        <f>'RC1_Structure_RE'!E745</f>
        <v>274</v>
      </c>
      <c r="I716" s="1203">
        <f>'RC1_Structure_RE'!I745</f>
        <v>5020.8301756088003</v>
      </c>
      <c r="J716" s="1203">
        <f>'RC1_Structure_RE'!L745</f>
        <v>1127.1251414632</v>
      </c>
      <c r="K716" s="1203">
        <f>'RC1_Structure_RE'!M745</f>
        <v>6147.9553170720001</v>
      </c>
    </row>
    <row r="717" spans="1:11">
      <c r="A717" t="s">
        <v>10</v>
      </c>
      <c r="B717" t="s">
        <v>27</v>
      </c>
      <c r="C717" t="s">
        <v>47</v>
      </c>
      <c r="D717" t="s">
        <v>50</v>
      </c>
      <c r="E717" t="str" cm="1">
        <f t="array" ref="E717">_xlfn.LET(_xlpm.c,'RC1_Structure_RE'!C746, _xlpm.b, 'RC1_Structure_RE'!B746, IF(_xlpm.c&lt;&gt;"", _xlpm.c, _xlpm.b))</f>
        <v>ขนาดเส้นผ่านศูนย์กลาง 12 ม.ม. SD-50</v>
      </c>
      <c r="F717" s="1205"/>
      <c r="G717" s="1203" t="str">
        <f>'RC1_Structure_RE'!F746</f>
        <v>กก.</v>
      </c>
      <c r="H717" s="1203">
        <f>'RC1_Structure_RE'!E746</f>
        <v>517</v>
      </c>
      <c r="I717" s="1203">
        <f>'RC1_Structure_RE'!I746</f>
        <v>9401.1081028155495</v>
      </c>
      <c r="J717" s="1203">
        <f>'RC1_Structure_RE'!L746</f>
        <v>1740.0508570764</v>
      </c>
      <c r="K717" s="1203">
        <f>'RC1_Structure_RE'!M746</f>
        <v>11141.158959891949</v>
      </c>
    </row>
    <row r="718" spans="1:11">
      <c r="A718" t="s">
        <v>10</v>
      </c>
      <c r="B718" t="s">
        <v>27</v>
      </c>
      <c r="C718" t="s">
        <v>47</v>
      </c>
      <c r="D718" t="s">
        <v>50</v>
      </c>
      <c r="E718" t="str" cm="1">
        <f t="array" ref="E718">_xlfn.LET(_xlpm.c,'RC1_Structure_RE'!C747, _xlpm.b, 'RC1_Structure_RE'!B747, IF(_xlpm.c&lt;&gt;"", _xlpm.c, _xlpm.b))</f>
        <v>ขนาดเส้นผ่านศูนย์กลาง 20 ม.ม. SD-50</v>
      </c>
      <c r="F718" s="1205"/>
      <c r="G718" s="1203" t="str">
        <f>'RC1_Structure_RE'!F747</f>
        <v>กก.</v>
      </c>
      <c r="H718" s="1203">
        <f>'RC1_Structure_RE'!E747</f>
        <v>2679</v>
      </c>
      <c r="I718" s="1203">
        <f>'RC1_Structure_RE'!I747</f>
        <v>48213.909164825251</v>
      </c>
      <c r="J718" s="1203">
        <f>'RC1_Structure_RE'!L747</f>
        <v>9016.6271684868007</v>
      </c>
      <c r="K718" s="1203">
        <f>'RC1_Structure_RE'!M747</f>
        <v>57230.536333312048</v>
      </c>
    </row>
    <row r="719" spans="1:11">
      <c r="A719" t="s">
        <v>10</v>
      </c>
      <c r="B719" t="s">
        <v>27</v>
      </c>
      <c r="C719" t="s">
        <v>47</v>
      </c>
      <c r="D719" t="s">
        <v>50</v>
      </c>
      <c r="E719" t="str" cm="1">
        <f t="array" ref="E719">_xlfn.LET(_xlpm.c,'RC1_Structure_RE'!C748, _xlpm.b, 'RC1_Structure_RE'!B748, IF(_xlpm.c&lt;&gt;"", _xlpm.c, _xlpm.b))</f>
        <v>ลวดผูกเหล็ก</v>
      </c>
      <c r="F719" s="1205"/>
      <c r="G719" s="1203" t="str">
        <f>'RC1_Structure_RE'!F748</f>
        <v>กก.</v>
      </c>
      <c r="H719" s="1203">
        <f>'RC1_Structure_RE'!E748</f>
        <v>62.46</v>
      </c>
      <c r="I719" s="1203">
        <f>'RC1_Structure_RE'!I748</f>
        <v>1582.4870642833021</v>
      </c>
      <c r="J719" s="1203">
        <f>'RC1_Structure_RE'!L748</f>
        <v>0</v>
      </c>
      <c r="K719" s="1203">
        <f>'RC1_Structure_RE'!M748</f>
        <v>1582.4870642833021</v>
      </c>
    </row>
    <row r="720" spans="1:11">
      <c r="A720" t="s">
        <v>10</v>
      </c>
      <c r="B720" t="s">
        <v>27</v>
      </c>
      <c r="C720" t="s">
        <v>47</v>
      </c>
      <c r="D720" t="s">
        <v>50</v>
      </c>
      <c r="E720" t="str" cm="1">
        <f t="array" ref="E720">_xlfn.LET(_xlpm.c,'RC1_Structure_RE'!C749, _xlpm.b, 'RC1_Structure_RE'!B749, IF(_xlpm.c&lt;&gt;"", _xlpm.c, _xlpm.b))</f>
        <v>งานไม้แบบ</v>
      </c>
      <c r="F720" s="1205"/>
      <c r="G720" s="1203">
        <f>'RC1_Structure_RE'!F749</f>
        <v>0</v>
      </c>
      <c r="H720" s="1203">
        <f>'RC1_Structure_RE'!E749</f>
        <v>0</v>
      </c>
      <c r="I720" s="1203">
        <f>'RC1_Structure_RE'!I749</f>
        <v>0</v>
      </c>
      <c r="J720" s="1203">
        <f>'RC1_Structure_RE'!L749</f>
        <v>0</v>
      </c>
      <c r="K720" s="1203">
        <f>'RC1_Structure_RE'!M749</f>
        <v>0</v>
      </c>
    </row>
    <row r="721" spans="1:11">
      <c r="A721" t="s">
        <v>10</v>
      </c>
      <c r="B721" t="s">
        <v>27</v>
      </c>
      <c r="C721" t="s">
        <v>47</v>
      </c>
      <c r="D721" t="s">
        <v>50</v>
      </c>
      <c r="E721" t="str" cm="1">
        <f t="array" ref="E721">_xlfn.LET(_xlpm.c,'RC1_Structure_RE'!C750, _xlpm.b, 'RC1_Structure_RE'!B750, IF(_xlpm.c&lt;&gt;"", _xlpm.c, _xlpm.b))</f>
        <v>ไม้แบบ ค้ำยัน นั่งร้าน (อาคาร 4 ชั้นขึ้นไป ใช้ 50%)</v>
      </c>
      <c r="F721" s="1205"/>
      <c r="G721" s="1203" t="str">
        <f>'RC1_Structure_RE'!F750</f>
        <v>ตร.ม.</v>
      </c>
      <c r="H721" s="1203">
        <f>'RC1_Structure_RE'!E750</f>
        <v>42</v>
      </c>
      <c r="I721" s="1203">
        <f>'RC1_Structure_RE'!I750</f>
        <v>9628.0570312247983</v>
      </c>
      <c r="J721" s="1203">
        <f>'RC1_Structure_RE'!L750</f>
        <v>0</v>
      </c>
      <c r="K721" s="1203">
        <f>'RC1_Structure_RE'!M750</f>
        <v>9628.0570312247983</v>
      </c>
    </row>
    <row r="722" spans="1:11">
      <c r="A722" t="s">
        <v>10</v>
      </c>
      <c r="B722" t="s">
        <v>27</v>
      </c>
      <c r="C722" t="s">
        <v>47</v>
      </c>
      <c r="D722" t="s">
        <v>50</v>
      </c>
      <c r="E722" t="str" cm="1">
        <f t="array" ref="E722">_xlfn.LET(_xlpm.c,'RC1_Structure_RE'!C751, _xlpm.b, 'RC1_Structure_RE'!B751, IF(_xlpm.c&lt;&gt;"", _xlpm.c, _xlpm.b))</f>
        <v>ค่าแรงประกอบและติดตั้งไม้แบบหล่อคอนกรีต (ใช้ 100%)</v>
      </c>
      <c r="F722" s="1205"/>
      <c r="G722" s="1203" t="str">
        <f>'RC1_Structure_RE'!F751</f>
        <v>ตร.ม.</v>
      </c>
      <c r="H722" s="1203">
        <f>'RC1_Structure_RE'!E751</f>
        <v>83</v>
      </c>
      <c r="I722" s="1203">
        <f>'RC1_Structure_RE'!I751</f>
        <v>0</v>
      </c>
      <c r="J722" s="1203">
        <f>'RC1_Structure_RE'!L751</f>
        <v>9389.2815160209993</v>
      </c>
      <c r="K722" s="1203">
        <f>'RC1_Structure_RE'!M751</f>
        <v>9389.2815160209993</v>
      </c>
    </row>
    <row r="723" spans="1:11">
      <c r="A723" t="s">
        <v>10</v>
      </c>
      <c r="B723" t="s">
        <v>27</v>
      </c>
      <c r="C723" t="s">
        <v>47</v>
      </c>
      <c r="D723" t="s">
        <v>50</v>
      </c>
      <c r="E723" t="str" cm="1">
        <f t="array" ref="E723">_xlfn.LET(_xlpm.c,'RC1_Structure_RE'!C752, _xlpm.b, 'RC1_Structure_RE'!B752, IF(_xlpm.c&lt;&gt;"", _xlpm.c, _xlpm.b))</f>
        <v>ไม้เคร่า (ใช้ 30% ของไม้แบบ 1 ตร.ม.)</v>
      </c>
      <c r="F723" s="1205"/>
      <c r="G723" s="1203" t="str">
        <f>'RC1_Structure_RE'!F752</f>
        <v>ลบ.ฟ.</v>
      </c>
      <c r="H723" s="1203">
        <f>'RC1_Structure_RE'!E752</f>
        <v>13</v>
      </c>
      <c r="I723" s="1203">
        <f>'RC1_Structure_RE'!I752</f>
        <v>3760.63022273562</v>
      </c>
      <c r="J723" s="1203">
        <f>'RC1_Structure_RE'!L752</f>
        <v>0</v>
      </c>
      <c r="K723" s="1203">
        <f>'RC1_Structure_RE'!M752</f>
        <v>3760.63022273562</v>
      </c>
    </row>
    <row r="724" spans="1:11">
      <c r="A724" t="s">
        <v>10</v>
      </c>
      <c r="B724" t="s">
        <v>27</v>
      </c>
      <c r="C724" t="s">
        <v>47</v>
      </c>
      <c r="D724" t="s">
        <v>50</v>
      </c>
      <c r="E724" t="str" cm="1">
        <f t="array" ref="E724">_xlfn.LET(_xlpm.c,'RC1_Structure_RE'!C753, _xlpm.b, 'RC1_Structure_RE'!B753, IF(_xlpm.c&lt;&gt;"", _xlpm.c, _xlpm.b))</f>
        <v>ตะปู (ใช้ 25% ของไม้แบบ 1 ตร.ม.)</v>
      </c>
      <c r="F724" s="1205"/>
      <c r="G724" s="1203" t="str">
        <f>'RC1_Structure_RE'!F753</f>
        <v>กก.</v>
      </c>
      <c r="H724" s="1203">
        <f>'RC1_Structure_RE'!E753</f>
        <v>11</v>
      </c>
      <c r="I724" s="1203">
        <f>'RC1_Structure_RE'!I753</f>
        <v>240.23397175712</v>
      </c>
      <c r="J724" s="1203">
        <f>'RC1_Structure_RE'!L753</f>
        <v>0</v>
      </c>
      <c r="K724" s="1203">
        <f>'RC1_Structure_RE'!M753</f>
        <v>240.23397175712</v>
      </c>
    </row>
    <row r="725" spans="1:11">
      <c r="A725" t="s">
        <v>10</v>
      </c>
      <c r="B725" t="s">
        <v>27</v>
      </c>
      <c r="C725" t="s">
        <v>47</v>
      </c>
      <c r="D725" t="s">
        <v>50</v>
      </c>
      <c r="E725" t="str" cm="1">
        <f t="array" ref="E725">_xlfn.LET(_xlpm.c,'RC1_Structure_RE'!C754, _xlpm.b, 'RC1_Structure_RE'!B754, IF(_xlpm.c&lt;&gt;"", _xlpm.c, _xlpm.b))</f>
        <v>งานคอนกรีตโครงสร้าง</v>
      </c>
      <c r="F725" s="1205"/>
      <c r="G725" s="1203">
        <f>'RC1_Structure_RE'!F754</f>
        <v>0</v>
      </c>
      <c r="H725" s="1203">
        <f>'RC1_Structure_RE'!E754</f>
        <v>0</v>
      </c>
      <c r="I725" s="1203">
        <f>'RC1_Structure_RE'!I754</f>
        <v>0</v>
      </c>
      <c r="J725" s="1203">
        <f>'RC1_Structure_RE'!L754</f>
        <v>0</v>
      </c>
      <c r="K725" s="1203">
        <f>'RC1_Structure_RE'!M754</f>
        <v>0</v>
      </c>
    </row>
    <row r="726" spans="1:11">
      <c r="A726" t="s">
        <v>10</v>
      </c>
      <c r="B726" t="s">
        <v>27</v>
      </c>
      <c r="C726" t="s">
        <v>47</v>
      </c>
      <c r="D726" t="s">
        <v>50</v>
      </c>
      <c r="E726" t="str" cm="1">
        <f t="array" ref="E726">_xlfn.LET(_xlpm.c,'RC1_Structure_RE'!C755, _xlpm.b, 'RC1_Structure_RE'!B755, IF(_xlpm.c&lt;&gt;"", _xlpm.c, _xlpm.b))</f>
        <v>งานคอนกรีตโครงสร้าง 320 ksc.</v>
      </c>
      <c r="F726" s="1205"/>
      <c r="G726" s="1203" t="str">
        <f>'RC1_Structure_RE'!F755</f>
        <v>ลบ.ม.</v>
      </c>
      <c r="H726" s="1203">
        <f>'RC1_Structure_RE'!E755</f>
        <v>15</v>
      </c>
      <c r="I726" s="1203">
        <f>'RC1_Structure_RE'!I755</f>
        <v>37581.901127329496</v>
      </c>
      <c r="J726" s="1203">
        <f>'RC1_Structure_RE'!L755</f>
        <v>7278.2591458949992</v>
      </c>
      <c r="K726" s="1203">
        <f>'RC1_Structure_RE'!M755</f>
        <v>44860.160273224494</v>
      </c>
    </row>
    <row r="727" spans="1:11">
      <c r="A727" t="s">
        <v>10</v>
      </c>
      <c r="B727" t="s">
        <v>27</v>
      </c>
      <c r="C727" t="s">
        <v>47</v>
      </c>
      <c r="D727" t="s">
        <v>51</v>
      </c>
      <c r="E727" t="str" cm="1">
        <f t="array" ref="E727">_xlfn.LET(_xlpm.c,'RC1_Structure_RE'!C756, _xlpm.b, 'RC1_Structure_RE'!B756, IF(_xlpm.c&lt;&gt;"", _xlpm.c, _xlpm.b))</f>
        <v>บันได คสล. ST03  (ref. dwg A409 ,S1-702)</v>
      </c>
      <c r="F727" s="1205"/>
      <c r="G727" s="1203">
        <f>'RC1_Structure_RE'!F756</f>
        <v>0</v>
      </c>
      <c r="H727" s="1203">
        <f>'RC1_Structure_RE'!E756</f>
        <v>0</v>
      </c>
      <c r="I727" s="1203">
        <f>'RC1_Structure_RE'!I756</f>
        <v>0</v>
      </c>
      <c r="J727" s="1203">
        <f>'RC1_Structure_RE'!L756</f>
        <v>0</v>
      </c>
      <c r="K727" s="1203">
        <f>'RC1_Structure_RE'!M756</f>
        <v>0</v>
      </c>
    </row>
    <row r="728" spans="1:11">
      <c r="A728" t="s">
        <v>10</v>
      </c>
      <c r="B728" t="s">
        <v>27</v>
      </c>
      <c r="C728" t="s">
        <v>47</v>
      </c>
      <c r="D728" t="s">
        <v>51</v>
      </c>
      <c r="E728" t="str" cm="1">
        <f t="array" ref="E728">_xlfn.LET(_xlpm.c,'RC1_Structure_RE'!C757, _xlpm.b, 'RC1_Structure_RE'!B757, IF(_xlpm.c&lt;&gt;"", _xlpm.c, _xlpm.b))</f>
        <v xml:space="preserve">งานเหล็กเสริม </v>
      </c>
      <c r="F728" s="1205"/>
      <c r="G728" s="1203">
        <f>'RC1_Structure_RE'!F757</f>
        <v>0</v>
      </c>
      <c r="H728" s="1203">
        <f>'RC1_Structure_RE'!E757</f>
        <v>0</v>
      </c>
      <c r="I728" s="1203">
        <f>'RC1_Structure_RE'!I757</f>
        <v>0</v>
      </c>
      <c r="J728" s="1203">
        <f>'RC1_Structure_RE'!L757</f>
        <v>0</v>
      </c>
      <c r="K728" s="1203">
        <f>'RC1_Structure_RE'!M757</f>
        <v>0</v>
      </c>
    </row>
    <row r="729" spans="1:11">
      <c r="A729" t="s">
        <v>10</v>
      </c>
      <c r="B729" t="s">
        <v>27</v>
      </c>
      <c r="C729" t="s">
        <v>47</v>
      </c>
      <c r="D729" t="s">
        <v>51</v>
      </c>
      <c r="E729" t="str" cm="1">
        <f t="array" ref="E729">_xlfn.LET(_xlpm.c,'RC1_Structure_RE'!C758, _xlpm.b, 'RC1_Structure_RE'!B758, IF(_xlpm.c&lt;&gt;"", _xlpm.c, _xlpm.b))</f>
        <v>ขนาดเส้นผ่านศูนย์กลาง 9 ม.ม. SR-24</v>
      </c>
      <c r="F729" s="1205"/>
      <c r="G729" s="1203" t="str">
        <f>'RC1_Structure_RE'!F758</f>
        <v>กก.</v>
      </c>
      <c r="H729" s="1203">
        <f>'RC1_Structure_RE'!E758</f>
        <v>524</v>
      </c>
      <c r="I729" s="1203">
        <f>'RC1_Structure_RE'!I758</f>
        <v>9601.8796059087999</v>
      </c>
      <c r="J729" s="1203">
        <f>'RC1_Structure_RE'!L758</f>
        <v>2155.5239931632</v>
      </c>
      <c r="K729" s="1203">
        <f>'RC1_Structure_RE'!M758</f>
        <v>11757.403599072</v>
      </c>
    </row>
    <row r="730" spans="1:11">
      <c r="A730" t="s">
        <v>10</v>
      </c>
      <c r="B730" t="s">
        <v>27</v>
      </c>
      <c r="C730" t="s">
        <v>47</v>
      </c>
      <c r="D730" t="s">
        <v>51</v>
      </c>
      <c r="E730" t="str" cm="1">
        <f t="array" ref="E730">_xlfn.LET(_xlpm.c,'RC1_Structure_RE'!C759, _xlpm.b, 'RC1_Structure_RE'!B759, IF(_xlpm.c&lt;&gt;"", _xlpm.c, _xlpm.b))</f>
        <v>ขนาดเส้นผ่านศูนย์กลาง 12 ม.ม. SD-50</v>
      </c>
      <c r="F730" s="1205"/>
      <c r="G730" s="1203" t="str">
        <f>'RC1_Structure_RE'!F759</f>
        <v>กก.</v>
      </c>
      <c r="H730" s="1203">
        <f>'RC1_Structure_RE'!E759</f>
        <v>1290</v>
      </c>
      <c r="I730" s="1203">
        <f>'RC1_Structure_RE'!I759</f>
        <v>23457.310353253499</v>
      </c>
      <c r="J730" s="1203">
        <f>'RC1_Structure_RE'!L759</f>
        <v>4341.7129702680004</v>
      </c>
      <c r="K730" s="1203">
        <f>'RC1_Structure_RE'!M759</f>
        <v>27799.023323521498</v>
      </c>
    </row>
    <row r="731" spans="1:11">
      <c r="A731" t="s">
        <v>10</v>
      </c>
      <c r="B731" t="s">
        <v>27</v>
      </c>
      <c r="C731" t="s">
        <v>47</v>
      </c>
      <c r="D731" t="s">
        <v>51</v>
      </c>
      <c r="E731" t="str" cm="1">
        <f t="array" ref="E731">_xlfn.LET(_xlpm.c,'RC1_Structure_RE'!C760, _xlpm.b, 'RC1_Structure_RE'!B760, IF(_xlpm.c&lt;&gt;"", _xlpm.c, _xlpm.b))</f>
        <v>ขนาดเส้นผ่านศูนย์กลาง 16 ม.ม. SD-50</v>
      </c>
      <c r="F731" s="1205"/>
      <c r="G731" s="1203" t="str">
        <f>'RC1_Structure_RE'!F760</f>
        <v>กก.</v>
      </c>
      <c r="H731" s="1203">
        <f>'RC1_Structure_RE'!E760</f>
        <v>2120</v>
      </c>
      <c r="I731" s="1203">
        <f>'RC1_Structure_RE'!I760</f>
        <v>38153.59739807</v>
      </c>
      <c r="J731" s="1203">
        <f>'RC1_Structure_RE'!L760</f>
        <v>7135.2182147040003</v>
      </c>
      <c r="K731" s="1203">
        <f>'RC1_Structure_RE'!M760</f>
        <v>45288.815612774</v>
      </c>
    </row>
    <row r="732" spans="1:11">
      <c r="A732" t="s">
        <v>10</v>
      </c>
      <c r="B732" t="s">
        <v>27</v>
      </c>
      <c r="C732" t="s">
        <v>47</v>
      </c>
      <c r="D732" t="s">
        <v>51</v>
      </c>
      <c r="E732" t="str" cm="1">
        <f t="array" ref="E732">_xlfn.LET(_xlpm.c,'RC1_Structure_RE'!C761, _xlpm.b, 'RC1_Structure_RE'!B761, IF(_xlpm.c&lt;&gt;"", _xlpm.c, _xlpm.b))</f>
        <v>ลวดผูกเหล็ก</v>
      </c>
      <c r="F732" s="1205"/>
      <c r="G732" s="1203" t="str">
        <f>'RC1_Structure_RE'!F761</f>
        <v>กก.</v>
      </c>
      <c r="H732" s="1203">
        <f>'RC1_Structure_RE'!E761</f>
        <v>70.81</v>
      </c>
      <c r="I732" s="1203">
        <f>'RC1_Structure_RE'!I761</f>
        <v>1794.042731698697</v>
      </c>
      <c r="J732" s="1203">
        <f>'RC1_Structure_RE'!L761</f>
        <v>0</v>
      </c>
      <c r="K732" s="1203">
        <f>'RC1_Structure_RE'!M761</f>
        <v>1794.042731698697</v>
      </c>
    </row>
    <row r="733" spans="1:11">
      <c r="A733" t="s">
        <v>10</v>
      </c>
      <c r="B733" t="s">
        <v>27</v>
      </c>
      <c r="C733" t="s">
        <v>47</v>
      </c>
      <c r="D733" t="s">
        <v>51</v>
      </c>
      <c r="E733" t="str" cm="1">
        <f t="array" ref="E733">_xlfn.LET(_xlpm.c,'RC1_Structure_RE'!C762, _xlpm.b, 'RC1_Structure_RE'!B762, IF(_xlpm.c&lt;&gt;"", _xlpm.c, _xlpm.b))</f>
        <v>งานไม้แบบ</v>
      </c>
      <c r="F733" s="1205"/>
      <c r="G733" s="1203">
        <f>'RC1_Structure_RE'!F762</f>
        <v>0</v>
      </c>
      <c r="H733" s="1203">
        <f>'RC1_Structure_RE'!E762</f>
        <v>0</v>
      </c>
      <c r="I733" s="1203">
        <f>'RC1_Structure_RE'!I762</f>
        <v>0</v>
      </c>
      <c r="J733" s="1203">
        <f>'RC1_Structure_RE'!L762</f>
        <v>0</v>
      </c>
      <c r="K733" s="1203">
        <f>'RC1_Structure_RE'!M762</f>
        <v>0</v>
      </c>
    </row>
    <row r="734" spans="1:11">
      <c r="A734" t="s">
        <v>10</v>
      </c>
      <c r="B734" t="s">
        <v>27</v>
      </c>
      <c r="C734" t="s">
        <v>47</v>
      </c>
      <c r="D734" t="s">
        <v>51</v>
      </c>
      <c r="E734" t="str" cm="1">
        <f t="array" ref="E734">_xlfn.LET(_xlpm.c,'RC1_Structure_RE'!C763, _xlpm.b, 'RC1_Structure_RE'!B763, IF(_xlpm.c&lt;&gt;"", _xlpm.c, _xlpm.b))</f>
        <v>ไม้แบบ ค้ำยัน นั่งร้าน (อาคาร 4 ชั้นขึ้นไป ใช้ 50%)</v>
      </c>
      <c r="F734" s="1205"/>
      <c r="G734" s="1203" t="str">
        <f>'RC1_Structure_RE'!F763</f>
        <v>ตร.ม.</v>
      </c>
      <c r="H734" s="1203">
        <f>'RC1_Structure_RE'!E763</f>
        <v>71</v>
      </c>
      <c r="I734" s="1203">
        <f>'RC1_Structure_RE'!I763</f>
        <v>16276.001171832399</v>
      </c>
      <c r="J734" s="1203">
        <f>'RC1_Structure_RE'!L763</f>
        <v>0</v>
      </c>
      <c r="K734" s="1203">
        <f>'RC1_Structure_RE'!M763</f>
        <v>16276.001171832399</v>
      </c>
    </row>
    <row r="735" spans="1:11">
      <c r="A735" t="s">
        <v>10</v>
      </c>
      <c r="B735" t="s">
        <v>27</v>
      </c>
      <c r="C735" t="s">
        <v>47</v>
      </c>
      <c r="D735" t="s">
        <v>51</v>
      </c>
      <c r="E735" t="str" cm="1">
        <f t="array" ref="E735">_xlfn.LET(_xlpm.c,'RC1_Structure_RE'!C764, _xlpm.b, 'RC1_Structure_RE'!B764, IF(_xlpm.c&lt;&gt;"", _xlpm.c, _xlpm.b))</f>
        <v>ค่าแรงประกอบและติดตั้งไม้แบบหล่อคอนกรีต (ใช้ 100%)</v>
      </c>
      <c r="F735" s="1205"/>
      <c r="G735" s="1203" t="str">
        <f>'RC1_Structure_RE'!F764</f>
        <v>ตร.ม.</v>
      </c>
      <c r="H735" s="1203">
        <f>'RC1_Structure_RE'!E764</f>
        <v>142</v>
      </c>
      <c r="I735" s="1203">
        <f>'RC1_Structure_RE'!I764</f>
        <v>0</v>
      </c>
      <c r="J735" s="1203">
        <f>'RC1_Structure_RE'!L764</f>
        <v>16063.590063554</v>
      </c>
      <c r="K735" s="1203">
        <f>'RC1_Structure_RE'!M764</f>
        <v>16063.590063554</v>
      </c>
    </row>
    <row r="736" spans="1:11">
      <c r="A736" t="s">
        <v>10</v>
      </c>
      <c r="B736" t="s">
        <v>27</v>
      </c>
      <c r="C736" t="s">
        <v>47</v>
      </c>
      <c r="D736" t="s">
        <v>51</v>
      </c>
      <c r="E736" t="str" cm="1">
        <f t="array" ref="E736">_xlfn.LET(_xlpm.c,'RC1_Structure_RE'!C765, _xlpm.b, 'RC1_Structure_RE'!B765, IF(_xlpm.c&lt;&gt;"", _xlpm.c, _xlpm.b))</f>
        <v>ไม้เคร่า (ใช้ 30% ของไม้แบบ 1 ตร.ม.)</v>
      </c>
      <c r="F736" s="1205"/>
      <c r="G736" s="1203" t="str">
        <f>'RC1_Structure_RE'!F765</f>
        <v>ลบ.ฟ.</v>
      </c>
      <c r="H736" s="1203">
        <f>'RC1_Structure_RE'!E765</f>
        <v>22</v>
      </c>
      <c r="I736" s="1203">
        <f>'RC1_Structure_RE'!I765</f>
        <v>6364.1434538602798</v>
      </c>
      <c r="J736" s="1203">
        <f>'RC1_Structure_RE'!L765</f>
        <v>0</v>
      </c>
      <c r="K736" s="1203">
        <f>'RC1_Structure_RE'!M765</f>
        <v>6364.1434538602798</v>
      </c>
    </row>
    <row r="737" spans="1:11">
      <c r="A737" t="s">
        <v>10</v>
      </c>
      <c r="B737" t="s">
        <v>27</v>
      </c>
      <c r="C737" t="s">
        <v>47</v>
      </c>
      <c r="D737" t="s">
        <v>51</v>
      </c>
      <c r="E737" t="str" cm="1">
        <f t="array" ref="E737">_xlfn.LET(_xlpm.c,'RC1_Structure_RE'!C766, _xlpm.b, 'RC1_Structure_RE'!B766, IF(_xlpm.c&lt;&gt;"", _xlpm.c, _xlpm.b))</f>
        <v>ตะปู (ใช้ 25% ของไม้แบบ 1 ตร.ม.)</v>
      </c>
      <c r="F737" s="1205"/>
      <c r="G737" s="1203" t="str">
        <f>'RC1_Structure_RE'!F766</f>
        <v>กก.</v>
      </c>
      <c r="H737" s="1203">
        <f>'RC1_Structure_RE'!E766</f>
        <v>18</v>
      </c>
      <c r="I737" s="1203">
        <f>'RC1_Structure_RE'!I766</f>
        <v>393.11013560255998</v>
      </c>
      <c r="J737" s="1203">
        <f>'RC1_Structure_RE'!L766</f>
        <v>0</v>
      </c>
      <c r="K737" s="1203">
        <f>'RC1_Structure_RE'!M766</f>
        <v>393.11013560255998</v>
      </c>
    </row>
    <row r="738" spans="1:11">
      <c r="A738" t="s">
        <v>10</v>
      </c>
      <c r="B738" t="s">
        <v>27</v>
      </c>
      <c r="C738" t="s">
        <v>47</v>
      </c>
      <c r="D738" t="s">
        <v>51</v>
      </c>
      <c r="E738" t="str" cm="1">
        <f t="array" ref="E738">_xlfn.LET(_xlpm.c,'RC1_Structure_RE'!C767, _xlpm.b, 'RC1_Structure_RE'!B767, IF(_xlpm.c&lt;&gt;"", _xlpm.c, _xlpm.b))</f>
        <v>งานคอนกรีตโครงสร้าง</v>
      </c>
      <c r="F738" s="1205"/>
      <c r="G738" s="1203">
        <f>'RC1_Structure_RE'!F767</f>
        <v>0</v>
      </c>
      <c r="H738" s="1203">
        <f>'RC1_Structure_RE'!E767</f>
        <v>0</v>
      </c>
      <c r="I738" s="1203">
        <f>'RC1_Structure_RE'!I767</f>
        <v>0</v>
      </c>
      <c r="J738" s="1203">
        <f>'RC1_Structure_RE'!L767</f>
        <v>0</v>
      </c>
      <c r="K738" s="1203">
        <f>'RC1_Structure_RE'!M767</f>
        <v>0</v>
      </c>
    </row>
    <row r="739" spans="1:11">
      <c r="A739" t="s">
        <v>10</v>
      </c>
      <c r="B739" t="s">
        <v>27</v>
      </c>
      <c r="C739" t="s">
        <v>47</v>
      </c>
      <c r="D739" t="s">
        <v>51</v>
      </c>
      <c r="E739" t="str" cm="1">
        <f t="array" ref="E739">_xlfn.LET(_xlpm.c,'RC1_Structure_RE'!C768, _xlpm.b, 'RC1_Structure_RE'!B768, IF(_xlpm.c&lt;&gt;"", _xlpm.c, _xlpm.b))</f>
        <v>งานคอนกรีตโครงสร้าง 320 ksc.</v>
      </c>
      <c r="F739" s="1205"/>
      <c r="G739" s="1203" t="str">
        <f>'RC1_Structure_RE'!F768</f>
        <v>ลบ.ม.</v>
      </c>
      <c r="H739" s="1203">
        <f>'RC1_Structure_RE'!E768</f>
        <v>26</v>
      </c>
      <c r="I739" s="1203">
        <f>'RC1_Structure_RE'!I768</f>
        <v>65141.961954037797</v>
      </c>
      <c r="J739" s="1203">
        <f>'RC1_Structure_RE'!L768</f>
        <v>12615.649186217999</v>
      </c>
      <c r="K739" s="1203">
        <f>'RC1_Structure_RE'!M768</f>
        <v>77757.611140255802</v>
      </c>
    </row>
    <row r="740" spans="1:11">
      <c r="A740" t="s">
        <v>10</v>
      </c>
      <c r="B740" t="s">
        <v>27</v>
      </c>
      <c r="C740" t="s">
        <v>47</v>
      </c>
      <c r="D740" t="s">
        <v>52</v>
      </c>
      <c r="E740" t="str" cm="1">
        <f t="array" ref="E740">_xlfn.LET(_xlpm.c,'RC1_Structure_RE'!C769, _xlpm.b, 'RC1_Structure_RE'!B769, IF(_xlpm.c&lt;&gt;"", _xlpm.c, _xlpm.b))</f>
        <v>บันได คสล. ST04 (ref. dwg A412)</v>
      </c>
      <c r="F740" s="1205"/>
      <c r="G740" s="1203">
        <f>'RC1_Structure_RE'!F769</f>
        <v>0</v>
      </c>
      <c r="H740" s="1203">
        <f>'RC1_Structure_RE'!E769</f>
        <v>0</v>
      </c>
      <c r="I740" s="1203">
        <f>'RC1_Structure_RE'!I769</f>
        <v>0</v>
      </c>
      <c r="J740" s="1203">
        <f>'RC1_Structure_RE'!L769</f>
        <v>0</v>
      </c>
      <c r="K740" s="1203">
        <f>'RC1_Structure_RE'!M769</f>
        <v>0</v>
      </c>
    </row>
    <row r="741" spans="1:11">
      <c r="A741" t="s">
        <v>10</v>
      </c>
      <c r="B741" t="s">
        <v>27</v>
      </c>
      <c r="C741" t="s">
        <v>47</v>
      </c>
      <c r="D741" t="s">
        <v>52</v>
      </c>
      <c r="E741" t="str" cm="1">
        <f t="array" ref="E741">_xlfn.LET(_xlpm.c,'RC1_Structure_RE'!C770, _xlpm.b, 'RC1_Structure_RE'!B770, IF(_xlpm.c&lt;&gt;"", _xlpm.c, _xlpm.b))</f>
        <v xml:space="preserve">งานเหล็กเสริม </v>
      </c>
      <c r="F741" s="1205"/>
      <c r="G741" s="1203">
        <f>'RC1_Structure_RE'!F770</f>
        <v>0</v>
      </c>
      <c r="H741" s="1203">
        <f>'RC1_Structure_RE'!E770</f>
        <v>0</v>
      </c>
      <c r="I741" s="1203">
        <f>'RC1_Structure_RE'!I770</f>
        <v>0</v>
      </c>
      <c r="J741" s="1203">
        <f>'RC1_Structure_RE'!L770</f>
        <v>0</v>
      </c>
      <c r="K741" s="1203">
        <f>'RC1_Structure_RE'!M770</f>
        <v>0</v>
      </c>
    </row>
    <row r="742" spans="1:11">
      <c r="A742" t="s">
        <v>10</v>
      </c>
      <c r="B742" t="s">
        <v>27</v>
      </c>
      <c r="C742" t="s">
        <v>47</v>
      </c>
      <c r="D742" t="s">
        <v>52</v>
      </c>
      <c r="E742" t="str" cm="1">
        <f t="array" ref="E742">_xlfn.LET(_xlpm.c,'RC1_Structure_RE'!C771, _xlpm.b, 'RC1_Structure_RE'!B771, IF(_xlpm.c&lt;&gt;"", _xlpm.c, _xlpm.b))</f>
        <v>ขนาดเส้นผ่านศูนย์กลาง 9 ม.ม. SR-24</v>
      </c>
      <c r="F742" s="1205"/>
      <c r="G742" s="1203" t="str">
        <f>'RC1_Structure_RE'!F771</f>
        <v>กก.</v>
      </c>
      <c r="H742" s="1203">
        <f>'RC1_Structure_RE'!E771</f>
        <v>25</v>
      </c>
      <c r="I742" s="1203">
        <f>'RC1_Structure_RE'!I771</f>
        <v>458.10494303000002</v>
      </c>
      <c r="J742" s="1203">
        <f>'RC1_Structure_RE'!L771</f>
        <v>102.83988517</v>
      </c>
      <c r="K742" s="1203">
        <f>'RC1_Structure_RE'!M771</f>
        <v>560.94482820000007</v>
      </c>
    </row>
    <row r="743" spans="1:11">
      <c r="A743" t="s">
        <v>10</v>
      </c>
      <c r="B743" t="s">
        <v>27</v>
      </c>
      <c r="C743" t="s">
        <v>47</v>
      </c>
      <c r="D743" t="s">
        <v>52</v>
      </c>
      <c r="E743" t="str" cm="1">
        <f t="array" ref="E743">_xlfn.LET(_xlpm.c,'RC1_Structure_RE'!C772, _xlpm.b, 'RC1_Structure_RE'!B772, IF(_xlpm.c&lt;&gt;"", _xlpm.c, _xlpm.b))</f>
        <v>ขนาดเส้นผ่านศูนย์กลาง 12 ม.ม. SD-50</v>
      </c>
      <c r="F743" s="1205"/>
      <c r="G743" s="1203" t="str">
        <f>'RC1_Structure_RE'!F772</f>
        <v>กก.</v>
      </c>
      <c r="H743" s="1203">
        <f>'RC1_Structure_RE'!E772</f>
        <v>34</v>
      </c>
      <c r="I743" s="1203">
        <f>'RC1_Structure_RE'!I772</f>
        <v>618.25469148109994</v>
      </c>
      <c r="J743" s="1203">
        <f>'RC1_Structure_RE'!L772</f>
        <v>114.43274495280001</v>
      </c>
      <c r="K743" s="1203">
        <f>'RC1_Structure_RE'!M772</f>
        <v>732.68743643389996</v>
      </c>
    </row>
    <row r="744" spans="1:11">
      <c r="A744" t="s">
        <v>10</v>
      </c>
      <c r="B744" t="s">
        <v>27</v>
      </c>
      <c r="C744" t="s">
        <v>47</v>
      </c>
      <c r="D744" t="s">
        <v>52</v>
      </c>
      <c r="E744" t="str" cm="1">
        <f t="array" ref="E744">_xlfn.LET(_xlpm.c,'RC1_Structure_RE'!C773, _xlpm.b, 'RC1_Structure_RE'!B773, IF(_xlpm.c&lt;&gt;"", _xlpm.c, _xlpm.b))</f>
        <v>ขนาดเส้นผ่านศูนย์กลาง 16 ม.ม. SD-50</v>
      </c>
      <c r="F744" s="1205"/>
      <c r="G744" s="1203" t="str">
        <f>'RC1_Structure_RE'!F773</f>
        <v>กก.</v>
      </c>
      <c r="H744" s="1203">
        <f>'RC1_Structure_RE'!E773</f>
        <v>132</v>
      </c>
      <c r="I744" s="1203">
        <f>'RC1_Structure_RE'!I773</f>
        <v>2375.6013474269998</v>
      </c>
      <c r="J744" s="1203">
        <f>'RC1_Structure_RE'!L773</f>
        <v>444.26830393440002</v>
      </c>
      <c r="K744" s="1203">
        <f>'RC1_Structure_RE'!M773</f>
        <v>2819.8696513614</v>
      </c>
    </row>
    <row r="745" spans="1:11">
      <c r="A745" t="s">
        <v>10</v>
      </c>
      <c r="B745" t="s">
        <v>27</v>
      </c>
      <c r="C745" t="s">
        <v>47</v>
      </c>
      <c r="D745" t="s">
        <v>52</v>
      </c>
      <c r="E745" t="str" cm="1">
        <f t="array" ref="E745">_xlfn.LET(_xlpm.c,'RC1_Structure_RE'!C774, _xlpm.b, 'RC1_Structure_RE'!B774, IF(_xlpm.c&lt;&gt;"", _xlpm.c, _xlpm.b))</f>
        <v>ลวดผูกเหล็ก</v>
      </c>
      <c r="F745" s="1205"/>
      <c r="G745" s="1203" t="str">
        <f>'RC1_Structure_RE'!F774</f>
        <v>กก.</v>
      </c>
      <c r="H745" s="1203">
        <f>'RC1_Structure_RE'!E774</f>
        <v>2.75</v>
      </c>
      <c r="I745" s="1203">
        <f>'RC1_Structure_RE'!I774</f>
        <v>69.674022202675005</v>
      </c>
      <c r="J745" s="1203">
        <f>'RC1_Structure_RE'!L774</f>
        <v>0</v>
      </c>
      <c r="K745" s="1203">
        <f>'RC1_Structure_RE'!M774</f>
        <v>69.674022202675005</v>
      </c>
    </row>
    <row r="746" spans="1:11">
      <c r="A746" t="s">
        <v>10</v>
      </c>
      <c r="B746" t="s">
        <v>27</v>
      </c>
      <c r="C746" t="s">
        <v>47</v>
      </c>
      <c r="D746" t="s">
        <v>52</v>
      </c>
      <c r="E746" t="str" cm="1">
        <f t="array" ref="E746">_xlfn.LET(_xlpm.c,'RC1_Structure_RE'!C775, _xlpm.b, 'RC1_Structure_RE'!B775, IF(_xlpm.c&lt;&gt;"", _xlpm.c, _xlpm.b))</f>
        <v>งานไม้แบบ</v>
      </c>
      <c r="F746" s="1205"/>
      <c r="G746" s="1203">
        <f>'RC1_Structure_RE'!F775</f>
        <v>0</v>
      </c>
      <c r="H746" s="1203">
        <f>'RC1_Structure_RE'!E775</f>
        <v>0</v>
      </c>
      <c r="I746" s="1203">
        <f>'RC1_Structure_RE'!I775</f>
        <v>0</v>
      </c>
      <c r="J746" s="1203">
        <f>'RC1_Structure_RE'!L775</f>
        <v>0</v>
      </c>
      <c r="K746" s="1203">
        <f>'RC1_Structure_RE'!M775</f>
        <v>0</v>
      </c>
    </row>
    <row r="747" spans="1:11">
      <c r="A747" t="s">
        <v>10</v>
      </c>
      <c r="B747" t="s">
        <v>27</v>
      </c>
      <c r="C747" t="s">
        <v>47</v>
      </c>
      <c r="D747" t="s">
        <v>52</v>
      </c>
      <c r="E747" t="str" cm="1">
        <f t="array" ref="E747">_xlfn.LET(_xlpm.c,'RC1_Structure_RE'!C776, _xlpm.b, 'RC1_Structure_RE'!B776, IF(_xlpm.c&lt;&gt;"", _xlpm.c, _xlpm.b))</f>
        <v>ไม้แบบ ค้ำยัน นั่งร้าน (อาคาร 4 ชั้นขึ้นไป ใช้ 50%)</v>
      </c>
      <c r="F747" s="1205"/>
      <c r="G747" s="1203" t="str">
        <f>'RC1_Structure_RE'!F776</f>
        <v>ตร.ม.</v>
      </c>
      <c r="H747" s="1203">
        <f>'RC1_Structure_RE'!E776</f>
        <v>3</v>
      </c>
      <c r="I747" s="1203">
        <f>'RC1_Structure_RE'!I776</f>
        <v>687.71835937319997</v>
      </c>
      <c r="J747" s="1203">
        <f>'RC1_Structure_RE'!L776</f>
        <v>0</v>
      </c>
      <c r="K747" s="1203">
        <f>'RC1_Structure_RE'!M776</f>
        <v>687.71835937319997</v>
      </c>
    </row>
    <row r="748" spans="1:11">
      <c r="A748" t="s">
        <v>10</v>
      </c>
      <c r="B748" t="s">
        <v>27</v>
      </c>
      <c r="C748" t="s">
        <v>47</v>
      </c>
      <c r="D748" t="s">
        <v>52</v>
      </c>
      <c r="E748" t="str" cm="1">
        <f t="array" ref="E748">_xlfn.LET(_xlpm.c,'RC1_Structure_RE'!C777, _xlpm.b, 'RC1_Structure_RE'!B777, IF(_xlpm.c&lt;&gt;"", _xlpm.c, _xlpm.b))</f>
        <v>ค่าแรงประกอบและติดตั้งไม้แบบหล่อคอนกรีต (ใช้ 100%)</v>
      </c>
      <c r="F748" s="1205"/>
      <c r="G748" s="1203" t="str">
        <f>'RC1_Structure_RE'!F777</f>
        <v>ตร.ม.</v>
      </c>
      <c r="H748" s="1203">
        <f>'RC1_Structure_RE'!E777</f>
        <v>6</v>
      </c>
      <c r="I748" s="1203">
        <f>'RC1_Structure_RE'!I777</f>
        <v>0</v>
      </c>
      <c r="J748" s="1203">
        <f>'RC1_Structure_RE'!L777</f>
        <v>678.74324212199997</v>
      </c>
      <c r="K748" s="1203">
        <f>'RC1_Structure_RE'!M777</f>
        <v>678.74324212199997</v>
      </c>
    </row>
    <row r="749" spans="1:11">
      <c r="A749" t="s">
        <v>10</v>
      </c>
      <c r="B749" t="s">
        <v>27</v>
      </c>
      <c r="C749" t="s">
        <v>47</v>
      </c>
      <c r="D749" t="s">
        <v>52</v>
      </c>
      <c r="E749" t="str" cm="1">
        <f t="array" ref="E749">_xlfn.LET(_xlpm.c,'RC1_Structure_RE'!C778, _xlpm.b, 'RC1_Structure_RE'!B778, IF(_xlpm.c&lt;&gt;"", _xlpm.c, _xlpm.b))</f>
        <v>ไม้เคร่า (ใช้ 30% ของไม้แบบ 1 ตร.ม.)</v>
      </c>
      <c r="F749" s="1205"/>
      <c r="G749" s="1203" t="str">
        <f>'RC1_Structure_RE'!F778</f>
        <v>ลบ.ฟ.</v>
      </c>
      <c r="H749" s="1203">
        <f>'RC1_Structure_RE'!E778</f>
        <v>1</v>
      </c>
      <c r="I749" s="1203">
        <f>'RC1_Structure_RE'!I778</f>
        <v>289.27924790274</v>
      </c>
      <c r="J749" s="1203">
        <f>'RC1_Structure_RE'!L778</f>
        <v>0</v>
      </c>
      <c r="K749" s="1203">
        <f>'RC1_Structure_RE'!M778</f>
        <v>289.27924790274</v>
      </c>
    </row>
    <row r="750" spans="1:11">
      <c r="A750" t="s">
        <v>10</v>
      </c>
      <c r="B750" t="s">
        <v>27</v>
      </c>
      <c r="C750" t="s">
        <v>47</v>
      </c>
      <c r="D750" t="s">
        <v>52</v>
      </c>
      <c r="E750" t="str" cm="1">
        <f t="array" ref="E750">_xlfn.LET(_xlpm.c,'RC1_Structure_RE'!C779, _xlpm.b, 'RC1_Structure_RE'!B779, IF(_xlpm.c&lt;&gt;"", _xlpm.c, _xlpm.b))</f>
        <v>ตะปู (ใช้ 25% ของไม้แบบ 1 ตร.ม.)</v>
      </c>
      <c r="F750" s="1205"/>
      <c r="G750" s="1203" t="str">
        <f>'RC1_Structure_RE'!F779</f>
        <v>กก.</v>
      </c>
      <c r="H750" s="1203">
        <f>'RC1_Structure_RE'!E779</f>
        <v>1</v>
      </c>
      <c r="I750" s="1203">
        <f>'RC1_Structure_RE'!I779</f>
        <v>21.83945197792</v>
      </c>
      <c r="J750" s="1203">
        <f>'RC1_Structure_RE'!L779</f>
        <v>0</v>
      </c>
      <c r="K750" s="1203">
        <f>'RC1_Structure_RE'!M779</f>
        <v>21.83945197792</v>
      </c>
    </row>
    <row r="751" spans="1:11">
      <c r="A751" t="s">
        <v>10</v>
      </c>
      <c r="B751" t="s">
        <v>27</v>
      </c>
      <c r="C751" t="s">
        <v>47</v>
      </c>
      <c r="D751" t="s">
        <v>52</v>
      </c>
      <c r="E751" t="str" cm="1">
        <f t="array" ref="E751">_xlfn.LET(_xlpm.c,'RC1_Structure_RE'!C780, _xlpm.b, 'RC1_Structure_RE'!B780, IF(_xlpm.c&lt;&gt;"", _xlpm.c, _xlpm.b))</f>
        <v>งานคอนกรีตโครงสร้าง</v>
      </c>
      <c r="F751" s="1205"/>
      <c r="G751" s="1203">
        <f>'RC1_Structure_RE'!F780</f>
        <v>0</v>
      </c>
      <c r="H751" s="1203">
        <f>'RC1_Structure_RE'!E780</f>
        <v>0</v>
      </c>
      <c r="I751" s="1203">
        <f>'RC1_Structure_RE'!I780</f>
        <v>0</v>
      </c>
      <c r="J751" s="1203">
        <f>'RC1_Structure_RE'!L780</f>
        <v>0</v>
      </c>
      <c r="K751" s="1203">
        <f>'RC1_Structure_RE'!M780</f>
        <v>0</v>
      </c>
    </row>
    <row r="752" spans="1:11">
      <c r="A752" t="s">
        <v>10</v>
      </c>
      <c r="B752" t="s">
        <v>27</v>
      </c>
      <c r="C752" t="s">
        <v>47</v>
      </c>
      <c r="D752" t="s">
        <v>52</v>
      </c>
      <c r="E752" t="str" cm="1">
        <f t="array" ref="E752">_xlfn.LET(_xlpm.c,'RC1_Structure_RE'!C781, _xlpm.b, 'RC1_Structure_RE'!B781, IF(_xlpm.c&lt;&gt;"", _xlpm.c, _xlpm.b))</f>
        <v>งานคอนกรีตโครงสร้าง 320 ksc.</v>
      </c>
      <c r="F752" s="1205"/>
      <c r="G752" s="1203" t="str">
        <f>'RC1_Structure_RE'!F781</f>
        <v>ลบ.ม.</v>
      </c>
      <c r="H752" s="1203">
        <f>'RC1_Structure_RE'!E781</f>
        <v>1</v>
      </c>
      <c r="I752" s="1203">
        <f>'RC1_Structure_RE'!I781</f>
        <v>2505.4600751552998</v>
      </c>
      <c r="J752" s="1203">
        <f>'RC1_Structure_RE'!L781</f>
        <v>485.21727639299996</v>
      </c>
      <c r="K752" s="1203">
        <f>'RC1_Structure_RE'!M781</f>
        <v>2990.6773515482996</v>
      </c>
    </row>
    <row r="753" spans="1:11">
      <c r="A753" t="s">
        <v>10</v>
      </c>
      <c r="B753" t="s">
        <v>27</v>
      </c>
      <c r="C753" t="s">
        <v>47</v>
      </c>
      <c r="D753" t="s">
        <v>53</v>
      </c>
      <c r="E753" t="str" cm="1">
        <f t="array" ref="E753">_xlfn.LET(_xlpm.c,'RC1_Structure_RE'!C782, _xlpm.b, 'RC1_Structure_RE'!B782, IF(_xlpm.c&lt;&gt;"", _xlpm.c, _xlpm.b))</f>
        <v>บันได คสล. ST06  (ref. dwg S1-708)</v>
      </c>
      <c r="F753" s="1205"/>
      <c r="G753" s="1203">
        <f>'RC1_Structure_RE'!F782</f>
        <v>0</v>
      </c>
      <c r="H753" s="1203">
        <f>'RC1_Structure_RE'!E782</f>
        <v>0</v>
      </c>
      <c r="I753" s="1203">
        <f>'RC1_Structure_RE'!I782</f>
        <v>0</v>
      </c>
      <c r="J753" s="1203">
        <f>'RC1_Structure_RE'!L782</f>
        <v>0</v>
      </c>
      <c r="K753" s="1203">
        <f>'RC1_Structure_RE'!M782</f>
        <v>0</v>
      </c>
    </row>
    <row r="754" spans="1:11">
      <c r="A754" t="s">
        <v>10</v>
      </c>
      <c r="B754" t="s">
        <v>27</v>
      </c>
      <c r="C754" t="s">
        <v>47</v>
      </c>
      <c r="D754" t="s">
        <v>53</v>
      </c>
      <c r="E754" t="str" cm="1">
        <f t="array" ref="E754">_xlfn.LET(_xlpm.c,'RC1_Structure_RE'!C783, _xlpm.b, 'RC1_Structure_RE'!B783, IF(_xlpm.c&lt;&gt;"", _xlpm.c, _xlpm.b))</f>
        <v xml:space="preserve">งานเหล็กเสริม </v>
      </c>
      <c r="F754" s="1205"/>
      <c r="G754" s="1203">
        <f>'RC1_Structure_RE'!F783</f>
        <v>0</v>
      </c>
      <c r="H754" s="1203">
        <f>'RC1_Structure_RE'!E783</f>
        <v>0</v>
      </c>
      <c r="I754" s="1203">
        <f>'RC1_Structure_RE'!I783</f>
        <v>0</v>
      </c>
      <c r="J754" s="1203">
        <f>'RC1_Structure_RE'!L783</f>
        <v>0</v>
      </c>
      <c r="K754" s="1203">
        <f>'RC1_Structure_RE'!M783</f>
        <v>0</v>
      </c>
    </row>
    <row r="755" spans="1:11">
      <c r="A755" t="s">
        <v>10</v>
      </c>
      <c r="B755" t="s">
        <v>27</v>
      </c>
      <c r="C755" t="s">
        <v>47</v>
      </c>
      <c r="D755" t="s">
        <v>53</v>
      </c>
      <c r="E755" t="str" cm="1">
        <f t="array" ref="E755">_xlfn.LET(_xlpm.c,'RC1_Structure_RE'!C784, _xlpm.b, 'RC1_Structure_RE'!B784, IF(_xlpm.c&lt;&gt;"", _xlpm.c, _xlpm.b))</f>
        <v>ขนาดเส้นผ่านศูนย์กลาง 9 ม.ม. SR-24</v>
      </c>
      <c r="F755" s="1205"/>
      <c r="G755" s="1203" t="str">
        <f>'RC1_Structure_RE'!F784</f>
        <v>กก.</v>
      </c>
      <c r="H755" s="1203">
        <f>'RC1_Structure_RE'!E784</f>
        <v>375</v>
      </c>
      <c r="I755" s="1203">
        <f>'RC1_Structure_RE'!I784</f>
        <v>6871.5741454500003</v>
      </c>
      <c r="J755" s="1203">
        <f>'RC1_Structure_RE'!L784</f>
        <v>1542.5982775499999</v>
      </c>
      <c r="K755" s="1203">
        <f>'RC1_Structure_RE'!M784</f>
        <v>8414.172423</v>
      </c>
    </row>
    <row r="756" spans="1:11">
      <c r="A756" t="s">
        <v>10</v>
      </c>
      <c r="B756" t="s">
        <v>27</v>
      </c>
      <c r="C756" t="s">
        <v>47</v>
      </c>
      <c r="D756" t="s">
        <v>53</v>
      </c>
      <c r="E756" t="str" cm="1">
        <f t="array" ref="E756">_xlfn.LET(_xlpm.c,'RC1_Structure_RE'!C785, _xlpm.b, 'RC1_Structure_RE'!B785, IF(_xlpm.c&lt;&gt;"", _xlpm.c, _xlpm.b))</f>
        <v>ขนาดเส้นผ่านศูนย์กลาง 16 ม.ม. SD-50</v>
      </c>
      <c r="F756" s="1205"/>
      <c r="G756" s="1203" t="str">
        <f>'RC1_Structure_RE'!F785</f>
        <v>กก.</v>
      </c>
      <c r="H756" s="1203">
        <f>'RC1_Structure_RE'!E785</f>
        <v>458</v>
      </c>
      <c r="I756" s="1203">
        <f>'RC1_Structure_RE'!I785</f>
        <v>8242.6167963754997</v>
      </c>
      <c r="J756" s="1203">
        <f>'RC1_Structure_RE'!L785</f>
        <v>1541.4763878936001</v>
      </c>
      <c r="K756" s="1203">
        <f>'RC1_Structure_RE'!M785</f>
        <v>9784.0931842690989</v>
      </c>
    </row>
    <row r="757" spans="1:11">
      <c r="A757" t="s">
        <v>10</v>
      </c>
      <c r="B757" t="s">
        <v>27</v>
      </c>
      <c r="C757" t="s">
        <v>47</v>
      </c>
      <c r="D757" t="s">
        <v>53</v>
      </c>
      <c r="E757" t="str" cm="1">
        <f t="array" ref="E757">_xlfn.LET(_xlpm.c,'RC1_Structure_RE'!C786, _xlpm.b, 'RC1_Structure_RE'!B786, IF(_xlpm.c&lt;&gt;"", _xlpm.c, _xlpm.b))</f>
        <v>ลวดผูกเหล็ก</v>
      </c>
      <c r="F757" s="1205"/>
      <c r="G757" s="1203" t="str">
        <f>'RC1_Structure_RE'!F786</f>
        <v>กก.</v>
      </c>
      <c r="H757" s="1203">
        <f>'RC1_Structure_RE'!E786</f>
        <v>15</v>
      </c>
      <c r="I757" s="1203">
        <f>'RC1_Structure_RE'!I786</f>
        <v>380.04012110550002</v>
      </c>
      <c r="J757" s="1203">
        <f>'RC1_Structure_RE'!L786</f>
        <v>0</v>
      </c>
      <c r="K757" s="1203">
        <f>'RC1_Structure_RE'!M786</f>
        <v>380.04012110550002</v>
      </c>
    </row>
    <row r="758" spans="1:11">
      <c r="A758" t="s">
        <v>10</v>
      </c>
      <c r="B758" t="s">
        <v>27</v>
      </c>
      <c r="C758" t="s">
        <v>47</v>
      </c>
      <c r="D758" t="s">
        <v>53</v>
      </c>
      <c r="E758" t="str" cm="1">
        <f t="array" ref="E758">_xlfn.LET(_xlpm.c,'RC1_Structure_RE'!C787, _xlpm.b, 'RC1_Structure_RE'!B787, IF(_xlpm.c&lt;&gt;"", _xlpm.c, _xlpm.b))</f>
        <v>งานไม้แบบ</v>
      </c>
      <c r="F758" s="1205"/>
      <c r="G758" s="1203">
        <f>'RC1_Structure_RE'!F787</f>
        <v>0</v>
      </c>
      <c r="H758" s="1203">
        <f>'RC1_Structure_RE'!E787</f>
        <v>0</v>
      </c>
      <c r="I758" s="1203">
        <f>'RC1_Structure_RE'!I787</f>
        <v>0</v>
      </c>
      <c r="J758" s="1203">
        <f>'RC1_Structure_RE'!L787</f>
        <v>0</v>
      </c>
      <c r="K758" s="1203">
        <f>'RC1_Structure_RE'!M787</f>
        <v>0</v>
      </c>
    </row>
    <row r="759" spans="1:11">
      <c r="A759" t="s">
        <v>10</v>
      </c>
      <c r="B759" t="s">
        <v>27</v>
      </c>
      <c r="C759" t="s">
        <v>47</v>
      </c>
      <c r="D759" t="s">
        <v>53</v>
      </c>
      <c r="E759" t="str" cm="1">
        <f t="array" ref="E759">_xlfn.LET(_xlpm.c,'RC1_Structure_RE'!C788, _xlpm.b, 'RC1_Structure_RE'!B788, IF(_xlpm.c&lt;&gt;"", _xlpm.c, _xlpm.b))</f>
        <v>ไม้แบบ ค้ำยัน นั่งร้าน (อาคาร 4 ชั้นขึ้นไป ใช้ 50%)</v>
      </c>
      <c r="F759" s="1205"/>
      <c r="G759" s="1203" t="str">
        <f>'RC1_Structure_RE'!F788</f>
        <v>ตร.ม.</v>
      </c>
      <c r="H759" s="1203">
        <f>'RC1_Structure_RE'!E788</f>
        <v>10</v>
      </c>
      <c r="I759" s="1203">
        <f>'RC1_Structure_RE'!I788</f>
        <v>2292.3945312439996</v>
      </c>
      <c r="J759" s="1203">
        <f>'RC1_Structure_RE'!L788</f>
        <v>0</v>
      </c>
      <c r="K759" s="1203">
        <f>'RC1_Structure_RE'!M788</f>
        <v>2292.3945312439996</v>
      </c>
    </row>
    <row r="760" spans="1:11">
      <c r="A760" t="s">
        <v>10</v>
      </c>
      <c r="B760" t="s">
        <v>27</v>
      </c>
      <c r="C760" t="s">
        <v>47</v>
      </c>
      <c r="D760" t="s">
        <v>53</v>
      </c>
      <c r="E760" t="str" cm="1">
        <f t="array" ref="E760">_xlfn.LET(_xlpm.c,'RC1_Structure_RE'!C789, _xlpm.b, 'RC1_Structure_RE'!B789, IF(_xlpm.c&lt;&gt;"", _xlpm.c, _xlpm.b))</f>
        <v>ค่าแรงประกอบและติดตั้งไม้แบบหล่อคอนกรีต (ใช้ 100%)</v>
      </c>
      <c r="F760" s="1205"/>
      <c r="G760" s="1203" t="str">
        <f>'RC1_Structure_RE'!F789</f>
        <v>ตร.ม.</v>
      </c>
      <c r="H760" s="1203">
        <f>'RC1_Structure_RE'!E789</f>
        <v>20</v>
      </c>
      <c r="I760" s="1203">
        <f>'RC1_Structure_RE'!I789</f>
        <v>0</v>
      </c>
      <c r="J760" s="1203">
        <f>'RC1_Structure_RE'!L789</f>
        <v>2262.4774737399998</v>
      </c>
      <c r="K760" s="1203">
        <f>'RC1_Structure_RE'!M789</f>
        <v>2262.4774737399998</v>
      </c>
    </row>
    <row r="761" spans="1:11">
      <c r="A761" t="s">
        <v>10</v>
      </c>
      <c r="B761" t="s">
        <v>27</v>
      </c>
      <c r="C761" t="s">
        <v>47</v>
      </c>
      <c r="D761" t="s">
        <v>53</v>
      </c>
      <c r="E761" t="str" cm="1">
        <f t="array" ref="E761">_xlfn.LET(_xlpm.c,'RC1_Structure_RE'!C790, _xlpm.b, 'RC1_Structure_RE'!B790, IF(_xlpm.c&lt;&gt;"", _xlpm.c, _xlpm.b))</f>
        <v>ไม้เคร่า (ใช้ 30% ของไม้แบบ 1 ตร.ม.)</v>
      </c>
      <c r="F761" s="1205"/>
      <c r="G761" s="1203" t="str">
        <f>'RC1_Structure_RE'!F790</f>
        <v>ลบ.ฟ.</v>
      </c>
      <c r="H761" s="1203">
        <f>'RC1_Structure_RE'!E790</f>
        <v>3</v>
      </c>
      <c r="I761" s="1203">
        <f>'RC1_Structure_RE'!I790</f>
        <v>867.83774370821993</v>
      </c>
      <c r="J761" s="1203">
        <f>'RC1_Structure_RE'!L790</f>
        <v>0</v>
      </c>
      <c r="K761" s="1203">
        <f>'RC1_Structure_RE'!M790</f>
        <v>867.83774370821993</v>
      </c>
    </row>
    <row r="762" spans="1:11">
      <c r="A762" t="s">
        <v>10</v>
      </c>
      <c r="B762" t="s">
        <v>27</v>
      </c>
      <c r="C762" t="s">
        <v>47</v>
      </c>
      <c r="D762" t="s">
        <v>53</v>
      </c>
      <c r="E762" t="str" cm="1">
        <f t="array" ref="E762">_xlfn.LET(_xlpm.c,'RC1_Structure_RE'!C791, _xlpm.b, 'RC1_Structure_RE'!B791, IF(_xlpm.c&lt;&gt;"", _xlpm.c, _xlpm.b))</f>
        <v>ตะปู (ใช้ 25% ของไม้แบบ 1 ตร.ม.)</v>
      </c>
      <c r="F762" s="1205"/>
      <c r="G762" s="1203" t="str">
        <f>'RC1_Structure_RE'!F791</f>
        <v>กก.</v>
      </c>
      <c r="H762" s="1203">
        <f>'RC1_Structure_RE'!E791</f>
        <v>3</v>
      </c>
      <c r="I762" s="1203">
        <f>'RC1_Structure_RE'!I791</f>
        <v>65.518355933760006</v>
      </c>
      <c r="J762" s="1203">
        <f>'RC1_Structure_RE'!L791</f>
        <v>0</v>
      </c>
      <c r="K762" s="1203">
        <f>'RC1_Structure_RE'!M791</f>
        <v>65.518355933760006</v>
      </c>
    </row>
    <row r="763" spans="1:11">
      <c r="A763" t="s">
        <v>10</v>
      </c>
      <c r="B763" t="s">
        <v>27</v>
      </c>
      <c r="C763" t="s">
        <v>47</v>
      </c>
      <c r="D763" t="s">
        <v>53</v>
      </c>
      <c r="E763" t="str" cm="1">
        <f t="array" ref="E763">_xlfn.LET(_xlpm.c,'RC1_Structure_RE'!C792, _xlpm.b, 'RC1_Structure_RE'!B792, IF(_xlpm.c&lt;&gt;"", _xlpm.c, _xlpm.b))</f>
        <v>งานคอนกรีตโครงสร้าง</v>
      </c>
      <c r="F763" s="1205"/>
      <c r="G763" s="1203">
        <f>'RC1_Structure_RE'!F792</f>
        <v>0</v>
      </c>
      <c r="H763" s="1203">
        <f>'RC1_Structure_RE'!E792</f>
        <v>0</v>
      </c>
      <c r="I763" s="1203">
        <f>'RC1_Structure_RE'!I792</f>
        <v>0</v>
      </c>
      <c r="J763" s="1203">
        <f>'RC1_Structure_RE'!L792</f>
        <v>0</v>
      </c>
      <c r="K763" s="1203">
        <f>'RC1_Structure_RE'!M792</f>
        <v>0</v>
      </c>
    </row>
    <row r="764" spans="1:11">
      <c r="A764" t="s">
        <v>10</v>
      </c>
      <c r="B764" t="s">
        <v>27</v>
      </c>
      <c r="C764" t="s">
        <v>47</v>
      </c>
      <c r="D764" t="s">
        <v>53</v>
      </c>
      <c r="E764" t="str" cm="1">
        <f t="array" ref="E764">_xlfn.LET(_xlpm.c,'RC1_Structure_RE'!C793, _xlpm.b, 'RC1_Structure_RE'!B793, IF(_xlpm.c&lt;&gt;"", _xlpm.c, _xlpm.b))</f>
        <v>งานคอนกรีตโครงสร้าง 320 ksc.</v>
      </c>
      <c r="F764" s="1205"/>
      <c r="G764" s="1203" t="str">
        <f>'RC1_Structure_RE'!F793</f>
        <v>ลบ.ม.</v>
      </c>
      <c r="H764" s="1203">
        <f>'RC1_Structure_RE'!E793</f>
        <v>9</v>
      </c>
      <c r="I764" s="1203">
        <f>'RC1_Structure_RE'!I793</f>
        <v>22549.140676397699</v>
      </c>
      <c r="J764" s="1203">
        <f>'RC1_Structure_RE'!L793</f>
        <v>4366.9554875369995</v>
      </c>
      <c r="K764" s="1203">
        <f>'RC1_Structure_RE'!M793</f>
        <v>26916.096163934701</v>
      </c>
    </row>
    <row r="765" spans="1:11">
      <c r="A765" t="s">
        <v>10</v>
      </c>
      <c r="B765" t="s">
        <v>27</v>
      </c>
      <c r="C765" t="s">
        <v>47</v>
      </c>
      <c r="D765" t="s">
        <v>54</v>
      </c>
      <c r="E765" t="str" cm="1">
        <f t="array" ref="E765">_xlfn.LET(_xlpm.c,'RC1_Structure_RE'!C794, _xlpm.b, 'RC1_Structure_RE'!B794, IF(_xlpm.c&lt;&gt;"", _xlpm.c, _xlpm.b))</f>
        <v>บันได คสล. ST07 (ref. dwg A415)</v>
      </c>
      <c r="F765" s="1205"/>
      <c r="G765" s="1203">
        <f>'RC1_Structure_RE'!F794</f>
        <v>0</v>
      </c>
      <c r="H765" s="1203">
        <f>'RC1_Structure_RE'!E794</f>
        <v>0</v>
      </c>
      <c r="I765" s="1203">
        <f>'RC1_Structure_RE'!I794</f>
        <v>0</v>
      </c>
      <c r="J765" s="1203">
        <f>'RC1_Structure_RE'!L794</f>
        <v>0</v>
      </c>
      <c r="K765" s="1203">
        <f>'RC1_Structure_RE'!M794</f>
        <v>0</v>
      </c>
    </row>
    <row r="766" spans="1:11">
      <c r="A766" t="s">
        <v>10</v>
      </c>
      <c r="B766" t="s">
        <v>27</v>
      </c>
      <c r="C766" t="s">
        <v>47</v>
      </c>
      <c r="D766" t="s">
        <v>54</v>
      </c>
      <c r="E766" t="str" cm="1">
        <f t="array" ref="E766">_xlfn.LET(_xlpm.c,'RC1_Structure_RE'!C795, _xlpm.b, 'RC1_Structure_RE'!B795, IF(_xlpm.c&lt;&gt;"", _xlpm.c, _xlpm.b))</f>
        <v xml:space="preserve">งานเหล็กเสริม </v>
      </c>
      <c r="F766" s="1205"/>
      <c r="G766" s="1203">
        <f>'RC1_Structure_RE'!F795</f>
        <v>0</v>
      </c>
      <c r="H766" s="1203">
        <f>'RC1_Structure_RE'!E795</f>
        <v>0</v>
      </c>
      <c r="I766" s="1203">
        <f>'RC1_Structure_RE'!I795</f>
        <v>0</v>
      </c>
      <c r="J766" s="1203">
        <f>'RC1_Structure_RE'!L795</f>
        <v>0</v>
      </c>
      <c r="K766" s="1203">
        <f>'RC1_Structure_RE'!M795</f>
        <v>0</v>
      </c>
    </row>
    <row r="767" spans="1:11">
      <c r="A767" t="s">
        <v>10</v>
      </c>
      <c r="B767" t="s">
        <v>27</v>
      </c>
      <c r="C767" t="s">
        <v>47</v>
      </c>
      <c r="D767" t="s">
        <v>54</v>
      </c>
      <c r="E767" t="str" cm="1">
        <f t="array" ref="E767">_xlfn.LET(_xlpm.c,'RC1_Structure_RE'!C796, _xlpm.b, 'RC1_Structure_RE'!B796, IF(_xlpm.c&lt;&gt;"", _xlpm.c, _xlpm.b))</f>
        <v>ขนาดเส้นผ่านศูนย์กลาง 9 ม.ม. SR-24</v>
      </c>
      <c r="F767" s="1205"/>
      <c r="G767" s="1203" t="str">
        <f>'RC1_Structure_RE'!F796</f>
        <v>กก.</v>
      </c>
      <c r="H767" s="1203">
        <f>'RC1_Structure_RE'!E796</f>
        <v>30</v>
      </c>
      <c r="I767" s="1203">
        <f>'RC1_Structure_RE'!I796</f>
        <v>549.72593163600004</v>
      </c>
      <c r="J767" s="1203">
        <f>'RC1_Structure_RE'!L796</f>
        <v>123.407862204</v>
      </c>
      <c r="K767" s="1203">
        <f>'RC1_Structure_RE'!M796</f>
        <v>673.13379384000007</v>
      </c>
    </row>
    <row r="768" spans="1:11">
      <c r="A768" t="s">
        <v>10</v>
      </c>
      <c r="B768" t="s">
        <v>27</v>
      </c>
      <c r="C768" t="s">
        <v>47</v>
      </c>
      <c r="D768" t="s">
        <v>54</v>
      </c>
      <c r="E768" t="str" cm="1">
        <f t="array" ref="E768">_xlfn.LET(_xlpm.c,'RC1_Structure_RE'!C797, _xlpm.b, 'RC1_Structure_RE'!B797, IF(_xlpm.c&lt;&gt;"", _xlpm.c, _xlpm.b))</f>
        <v>ขนาดเส้นผ่านศูนย์กลาง 12 ม.ม. SD-50</v>
      </c>
      <c r="F768" s="1205"/>
      <c r="G768" s="1203" t="str">
        <f>'RC1_Structure_RE'!F797</f>
        <v>กก.</v>
      </c>
      <c r="H768" s="1203">
        <f>'RC1_Structure_RE'!E797</f>
        <v>45</v>
      </c>
      <c r="I768" s="1203">
        <f>'RC1_Structure_RE'!I797</f>
        <v>818.27826813674994</v>
      </c>
      <c r="J768" s="1203">
        <f>'RC1_Structure_RE'!L797</f>
        <v>151.455103614</v>
      </c>
      <c r="K768" s="1203">
        <f>'RC1_Structure_RE'!M797</f>
        <v>969.73337175074994</v>
      </c>
    </row>
    <row r="769" spans="1:11">
      <c r="A769" t="s">
        <v>10</v>
      </c>
      <c r="B769" t="s">
        <v>27</v>
      </c>
      <c r="C769" t="s">
        <v>47</v>
      </c>
      <c r="D769" t="s">
        <v>54</v>
      </c>
      <c r="E769" t="str" cm="1">
        <f t="array" ref="E769">_xlfn.LET(_xlpm.c,'RC1_Structure_RE'!C798, _xlpm.b, 'RC1_Structure_RE'!B798, IF(_xlpm.c&lt;&gt;"", _xlpm.c, _xlpm.b))</f>
        <v>ขนาดเส้นผ่านศูนย์กลาง 16 ม.ม. SD-50</v>
      </c>
      <c r="F769" s="1205"/>
      <c r="G769" s="1203" t="str">
        <f>'RC1_Structure_RE'!F798</f>
        <v>กก.</v>
      </c>
      <c r="H769" s="1203">
        <f>'RC1_Structure_RE'!E798</f>
        <v>157</v>
      </c>
      <c r="I769" s="1203">
        <f>'RC1_Structure_RE'!I798</f>
        <v>2825.52584504575</v>
      </c>
      <c r="J769" s="1203">
        <f>'RC1_Structure_RE'!L798</f>
        <v>528.41002816440005</v>
      </c>
      <c r="K769" s="1203">
        <f>'RC1_Structure_RE'!M798</f>
        <v>3353.93587321015</v>
      </c>
    </row>
    <row r="770" spans="1:11">
      <c r="A770" t="s">
        <v>10</v>
      </c>
      <c r="B770" t="s">
        <v>27</v>
      </c>
      <c r="C770" t="s">
        <v>47</v>
      </c>
      <c r="D770" t="s">
        <v>54</v>
      </c>
      <c r="E770" t="str" cm="1">
        <f t="array" ref="E770">_xlfn.LET(_xlpm.c,'RC1_Structure_RE'!C799, _xlpm.b, 'RC1_Structure_RE'!B799, IF(_xlpm.c&lt;&gt;"", _xlpm.c, _xlpm.b))</f>
        <v>ลวดผูกเหล็ก</v>
      </c>
      <c r="F770" s="1205"/>
      <c r="G770" s="1203" t="str">
        <f>'RC1_Structure_RE'!F799</f>
        <v>กก.</v>
      </c>
      <c r="H770" s="1203">
        <f>'RC1_Structure_RE'!E799</f>
        <v>3.46</v>
      </c>
      <c r="I770" s="1203">
        <f>'RC1_Structure_RE'!I799</f>
        <v>87.662587935001994</v>
      </c>
      <c r="J770" s="1203">
        <f>'RC1_Structure_RE'!L799</f>
        <v>0</v>
      </c>
      <c r="K770" s="1203">
        <f>'RC1_Structure_RE'!M799</f>
        <v>87.662587935001994</v>
      </c>
    </row>
    <row r="771" spans="1:11">
      <c r="A771" t="s">
        <v>10</v>
      </c>
      <c r="B771" t="s">
        <v>27</v>
      </c>
      <c r="C771" t="s">
        <v>47</v>
      </c>
      <c r="D771" t="s">
        <v>54</v>
      </c>
      <c r="E771" t="str" cm="1">
        <f t="array" ref="E771">_xlfn.LET(_xlpm.c,'RC1_Structure_RE'!C800, _xlpm.b, 'RC1_Structure_RE'!B800, IF(_xlpm.c&lt;&gt;"", _xlpm.c, _xlpm.b))</f>
        <v>งานไม้แบบ</v>
      </c>
      <c r="F771" s="1205"/>
      <c r="G771" s="1203">
        <f>'RC1_Structure_RE'!F800</f>
        <v>0</v>
      </c>
      <c r="H771" s="1203">
        <f>'RC1_Structure_RE'!E800</f>
        <v>0</v>
      </c>
      <c r="I771" s="1203">
        <f>'RC1_Structure_RE'!I800</f>
        <v>0</v>
      </c>
      <c r="J771" s="1203">
        <f>'RC1_Structure_RE'!L800</f>
        <v>0</v>
      </c>
      <c r="K771" s="1203">
        <f>'RC1_Structure_RE'!M800</f>
        <v>0</v>
      </c>
    </row>
    <row r="772" spans="1:11">
      <c r="A772" t="s">
        <v>10</v>
      </c>
      <c r="B772" t="s">
        <v>27</v>
      </c>
      <c r="C772" t="s">
        <v>47</v>
      </c>
      <c r="D772" t="s">
        <v>54</v>
      </c>
      <c r="E772" t="str" cm="1">
        <f t="array" ref="E772">_xlfn.LET(_xlpm.c,'RC1_Structure_RE'!C801, _xlpm.b, 'RC1_Structure_RE'!B801, IF(_xlpm.c&lt;&gt;"", _xlpm.c, _xlpm.b))</f>
        <v>ไม้แบบ ค้ำยัน นั่งร้าน (อาคาร 4 ชั้นขึ้นไป ใช้ 50%)</v>
      </c>
      <c r="F772" s="1205"/>
      <c r="G772" s="1203" t="str">
        <f>'RC1_Structure_RE'!F801</f>
        <v>ตร.ม.</v>
      </c>
      <c r="H772" s="1203">
        <f>'RC1_Structure_RE'!E801</f>
        <v>4</v>
      </c>
      <c r="I772" s="1203">
        <f>'RC1_Structure_RE'!I801</f>
        <v>916.95781249759989</v>
      </c>
      <c r="J772" s="1203">
        <f>'RC1_Structure_RE'!L801</f>
        <v>0</v>
      </c>
      <c r="K772" s="1203">
        <f>'RC1_Structure_RE'!M801</f>
        <v>916.95781249759989</v>
      </c>
    </row>
    <row r="773" spans="1:11">
      <c r="A773" t="s">
        <v>10</v>
      </c>
      <c r="B773" t="s">
        <v>27</v>
      </c>
      <c r="C773" t="s">
        <v>47</v>
      </c>
      <c r="D773" t="s">
        <v>54</v>
      </c>
      <c r="E773" t="str" cm="1">
        <f t="array" ref="E773">_xlfn.LET(_xlpm.c,'RC1_Structure_RE'!C802, _xlpm.b, 'RC1_Structure_RE'!B802, IF(_xlpm.c&lt;&gt;"", _xlpm.c, _xlpm.b))</f>
        <v>ค่าแรงประกอบและติดตั้งไม้แบบหล่อคอนกรีต (ใช้ 100%)</v>
      </c>
      <c r="F773" s="1205"/>
      <c r="G773" s="1203" t="str">
        <f>'RC1_Structure_RE'!F802</f>
        <v>ตร.ม.</v>
      </c>
      <c r="H773" s="1203">
        <f>'RC1_Structure_RE'!E802</f>
        <v>8</v>
      </c>
      <c r="I773" s="1203">
        <f>'RC1_Structure_RE'!I802</f>
        <v>0</v>
      </c>
      <c r="J773" s="1203">
        <f>'RC1_Structure_RE'!L802</f>
        <v>904.990989496</v>
      </c>
      <c r="K773" s="1203">
        <f>'RC1_Structure_RE'!M802</f>
        <v>904.990989496</v>
      </c>
    </row>
    <row r="774" spans="1:11">
      <c r="A774" t="s">
        <v>10</v>
      </c>
      <c r="B774" t="s">
        <v>27</v>
      </c>
      <c r="C774" t="s">
        <v>47</v>
      </c>
      <c r="D774" t="s">
        <v>54</v>
      </c>
      <c r="E774" t="str" cm="1">
        <f t="array" ref="E774">_xlfn.LET(_xlpm.c,'RC1_Structure_RE'!C803, _xlpm.b, 'RC1_Structure_RE'!B803, IF(_xlpm.c&lt;&gt;"", _xlpm.c, _xlpm.b))</f>
        <v>ไม้เคร่า (ใช้ 30% ของไม้แบบ 1 ตร.ม.)</v>
      </c>
      <c r="F774" s="1205"/>
      <c r="G774" s="1203" t="str">
        <f>'RC1_Structure_RE'!F803</f>
        <v>ลบ.ฟ.</v>
      </c>
      <c r="H774" s="1203">
        <f>'RC1_Structure_RE'!E803</f>
        <v>2</v>
      </c>
      <c r="I774" s="1203">
        <f>'RC1_Structure_RE'!I803</f>
        <v>578.55849580547999</v>
      </c>
      <c r="J774" s="1203">
        <f>'RC1_Structure_RE'!L803</f>
        <v>0</v>
      </c>
      <c r="K774" s="1203">
        <f>'RC1_Structure_RE'!M803</f>
        <v>578.55849580547999</v>
      </c>
    </row>
    <row r="775" spans="1:11">
      <c r="A775" t="s">
        <v>10</v>
      </c>
      <c r="B775" t="s">
        <v>27</v>
      </c>
      <c r="C775" t="s">
        <v>47</v>
      </c>
      <c r="D775" t="s">
        <v>54</v>
      </c>
      <c r="E775" t="str" cm="1">
        <f t="array" ref="E775">_xlfn.LET(_xlpm.c,'RC1_Structure_RE'!C804, _xlpm.b, 'RC1_Structure_RE'!B804, IF(_xlpm.c&lt;&gt;"", _xlpm.c, _xlpm.b))</f>
        <v>ตะปู (ใช้ 25% ของไม้แบบ 1 ตร.ม.)</v>
      </c>
      <c r="F775" s="1205"/>
      <c r="G775" s="1203" t="str">
        <f>'RC1_Structure_RE'!F804</f>
        <v>กก.</v>
      </c>
      <c r="H775" s="1203">
        <f>'RC1_Structure_RE'!E804</f>
        <v>1</v>
      </c>
      <c r="I775" s="1203">
        <f>'RC1_Structure_RE'!I804</f>
        <v>21.83945197792</v>
      </c>
      <c r="J775" s="1203">
        <f>'RC1_Structure_RE'!L804</f>
        <v>0</v>
      </c>
      <c r="K775" s="1203">
        <f>'RC1_Structure_RE'!M804</f>
        <v>21.83945197792</v>
      </c>
    </row>
    <row r="776" spans="1:11">
      <c r="A776" t="s">
        <v>10</v>
      </c>
      <c r="B776" t="s">
        <v>27</v>
      </c>
      <c r="C776" t="s">
        <v>47</v>
      </c>
      <c r="D776" t="s">
        <v>54</v>
      </c>
      <c r="E776" t="str" cm="1">
        <f t="array" ref="E776">_xlfn.LET(_xlpm.c,'RC1_Structure_RE'!C805, _xlpm.b, 'RC1_Structure_RE'!B805, IF(_xlpm.c&lt;&gt;"", _xlpm.c, _xlpm.b))</f>
        <v>งานคอนกรีตโครงสร้าง</v>
      </c>
      <c r="F776" s="1205"/>
      <c r="G776" s="1203">
        <f>'RC1_Structure_RE'!F805</f>
        <v>0</v>
      </c>
      <c r="H776" s="1203">
        <f>'RC1_Structure_RE'!E805</f>
        <v>0</v>
      </c>
      <c r="I776" s="1203">
        <f>'RC1_Structure_RE'!I805</f>
        <v>0</v>
      </c>
      <c r="J776" s="1203">
        <f>'RC1_Structure_RE'!L805</f>
        <v>0</v>
      </c>
      <c r="K776" s="1203">
        <f>'RC1_Structure_RE'!M805</f>
        <v>0</v>
      </c>
    </row>
    <row r="777" spans="1:11">
      <c r="A777" t="s">
        <v>10</v>
      </c>
      <c r="B777" t="s">
        <v>27</v>
      </c>
      <c r="C777" t="s">
        <v>47</v>
      </c>
      <c r="D777" t="s">
        <v>54</v>
      </c>
      <c r="E777" t="str" cm="1">
        <f t="array" ref="E777">_xlfn.LET(_xlpm.c,'RC1_Structure_RE'!C806, _xlpm.b, 'RC1_Structure_RE'!B806, IF(_xlpm.c&lt;&gt;"", _xlpm.c, _xlpm.b))</f>
        <v>งานคอนกรีตโครงสร้าง 320 ksc.</v>
      </c>
      <c r="F777" s="1205"/>
      <c r="G777" s="1203" t="str">
        <f>'RC1_Structure_RE'!F806</f>
        <v>ลบ.ม.</v>
      </c>
      <c r="H777" s="1203">
        <f>'RC1_Structure_RE'!E806</f>
        <v>2</v>
      </c>
      <c r="I777" s="1203">
        <f>'RC1_Structure_RE'!I806</f>
        <v>5010.9201503105996</v>
      </c>
      <c r="J777" s="1203">
        <f>'RC1_Structure_RE'!L806</f>
        <v>970.43455278599993</v>
      </c>
      <c r="K777" s="1203">
        <f>'RC1_Structure_RE'!M806</f>
        <v>5981.3547030965992</v>
      </c>
    </row>
    <row r="778" spans="1:11">
      <c r="A778" t="s">
        <v>10</v>
      </c>
      <c r="B778" t="s">
        <v>27</v>
      </c>
      <c r="C778" t="s">
        <v>47</v>
      </c>
      <c r="D778" t="s">
        <v>55</v>
      </c>
      <c r="E778" t="str" cm="1">
        <f t="array" ref="E778">_xlfn.LET(_xlpm.c,'RC1_Structure_RE'!C807, _xlpm.b, 'RC1_Structure_RE'!B807, IF(_xlpm.c&lt;&gt;"", _xlpm.c, _xlpm.b))</f>
        <v>บันได คสล. ST7.1 (ref. dwg A414)</v>
      </c>
      <c r="F778" s="1205"/>
      <c r="G778" s="1203">
        <f>'RC1_Structure_RE'!F807</f>
        <v>0</v>
      </c>
      <c r="H778" s="1203">
        <f>'RC1_Structure_RE'!E807</f>
        <v>0</v>
      </c>
      <c r="I778" s="1203">
        <f>'RC1_Structure_RE'!I807</f>
        <v>0</v>
      </c>
      <c r="J778" s="1203">
        <f>'RC1_Structure_RE'!L807</f>
        <v>0</v>
      </c>
      <c r="K778" s="1203">
        <f>'RC1_Structure_RE'!M807</f>
        <v>0</v>
      </c>
    </row>
    <row r="779" spans="1:11">
      <c r="A779" t="s">
        <v>10</v>
      </c>
      <c r="B779" t="s">
        <v>27</v>
      </c>
      <c r="C779" t="s">
        <v>47</v>
      </c>
      <c r="D779" t="s">
        <v>55</v>
      </c>
      <c r="E779" t="str" cm="1">
        <f t="array" ref="E779">_xlfn.LET(_xlpm.c,'RC1_Structure_RE'!C808, _xlpm.b, 'RC1_Structure_RE'!B808, IF(_xlpm.c&lt;&gt;"", _xlpm.c, _xlpm.b))</f>
        <v xml:space="preserve">งานเหล็กเสริม </v>
      </c>
      <c r="F779" s="1205"/>
      <c r="G779" s="1203">
        <f>'RC1_Structure_RE'!F808</f>
        <v>0</v>
      </c>
      <c r="H779" s="1203">
        <f>'RC1_Structure_RE'!E808</f>
        <v>0</v>
      </c>
      <c r="I779" s="1203">
        <f>'RC1_Structure_RE'!I808</f>
        <v>0</v>
      </c>
      <c r="J779" s="1203">
        <f>'RC1_Structure_RE'!L808</f>
        <v>0</v>
      </c>
      <c r="K779" s="1203">
        <f>'RC1_Structure_RE'!M808</f>
        <v>0</v>
      </c>
    </row>
    <row r="780" spans="1:11">
      <c r="A780" t="s">
        <v>10</v>
      </c>
      <c r="B780" t="s">
        <v>27</v>
      </c>
      <c r="C780" t="s">
        <v>47</v>
      </c>
      <c r="D780" t="s">
        <v>55</v>
      </c>
      <c r="E780" t="str" cm="1">
        <f t="array" ref="E780">_xlfn.LET(_xlpm.c,'RC1_Structure_RE'!C809, _xlpm.b, 'RC1_Structure_RE'!B809, IF(_xlpm.c&lt;&gt;"", _xlpm.c, _xlpm.b))</f>
        <v>ขนาดเส้นผ่านศูนย์กลาง 9 ม.ม. SR-24</v>
      </c>
      <c r="F780" s="1205"/>
      <c r="G780" s="1203" t="str">
        <f>'RC1_Structure_RE'!F809</f>
        <v>กก.</v>
      </c>
      <c r="H780" s="1203">
        <f>'RC1_Structure_RE'!E809</f>
        <v>20</v>
      </c>
      <c r="I780" s="1203">
        <f>'RC1_Structure_RE'!I809</f>
        <v>366.48395442399999</v>
      </c>
      <c r="J780" s="1203">
        <f>'RC1_Structure_RE'!L809</f>
        <v>82.271908136000008</v>
      </c>
      <c r="K780" s="1203">
        <f>'RC1_Structure_RE'!M809</f>
        <v>448.75586255999997</v>
      </c>
    </row>
    <row r="781" spans="1:11">
      <c r="A781" t="s">
        <v>10</v>
      </c>
      <c r="B781" t="s">
        <v>27</v>
      </c>
      <c r="C781" t="s">
        <v>47</v>
      </c>
      <c r="D781" t="s">
        <v>55</v>
      </c>
      <c r="E781" t="str" cm="1">
        <f t="array" ref="E781">_xlfn.LET(_xlpm.c,'RC1_Structure_RE'!C810, _xlpm.b, 'RC1_Structure_RE'!B810, IF(_xlpm.c&lt;&gt;"", _xlpm.c, _xlpm.b))</f>
        <v>ขนาดเส้นผ่านศูนย์กลาง 12 ม.ม. SD-50</v>
      </c>
      <c r="F781" s="1205"/>
      <c r="G781" s="1203" t="str">
        <f>'RC1_Structure_RE'!F810</f>
        <v>กก.</v>
      </c>
      <c r="H781" s="1203">
        <f>'RC1_Structure_RE'!E810</f>
        <v>18</v>
      </c>
      <c r="I781" s="1203">
        <f>'RC1_Structure_RE'!I810</f>
        <v>327.31130725469995</v>
      </c>
      <c r="J781" s="1203">
        <f>'RC1_Structure_RE'!L810</f>
        <v>60.582041445600005</v>
      </c>
      <c r="K781" s="1203">
        <f>'RC1_Structure_RE'!M810</f>
        <v>387.89334870029995</v>
      </c>
    </row>
    <row r="782" spans="1:11">
      <c r="A782" t="s">
        <v>10</v>
      </c>
      <c r="B782" t="s">
        <v>27</v>
      </c>
      <c r="C782" t="s">
        <v>47</v>
      </c>
      <c r="D782" t="s">
        <v>55</v>
      </c>
      <c r="E782" t="str" cm="1">
        <f t="array" ref="E782">_xlfn.LET(_xlpm.c,'RC1_Structure_RE'!C811, _xlpm.b, 'RC1_Structure_RE'!B811, IF(_xlpm.c&lt;&gt;"", _xlpm.c, _xlpm.b))</f>
        <v>ขนาดเส้นผ่านศูนย์กลาง 16 ม.ม. SD-50</v>
      </c>
      <c r="F782" s="1205"/>
      <c r="G782" s="1203" t="str">
        <f>'RC1_Structure_RE'!F811</f>
        <v>กก.</v>
      </c>
      <c r="H782" s="1203">
        <f>'RC1_Structure_RE'!E811</f>
        <v>30</v>
      </c>
      <c r="I782" s="1203">
        <f>'RC1_Structure_RE'!I811</f>
        <v>539.90939714249998</v>
      </c>
      <c r="J782" s="1203">
        <f>'RC1_Structure_RE'!L811</f>
        <v>100.970069076</v>
      </c>
      <c r="K782" s="1203">
        <f>'RC1_Structure_RE'!M811</f>
        <v>640.87946621849994</v>
      </c>
    </row>
    <row r="783" spans="1:11">
      <c r="A783" t="s">
        <v>10</v>
      </c>
      <c r="B783" t="s">
        <v>27</v>
      </c>
      <c r="C783" t="s">
        <v>47</v>
      </c>
      <c r="D783" t="s">
        <v>55</v>
      </c>
      <c r="E783" t="str" cm="1">
        <f t="array" ref="E783">_xlfn.LET(_xlpm.c,'RC1_Structure_RE'!C812, _xlpm.b, 'RC1_Structure_RE'!B812, IF(_xlpm.c&lt;&gt;"", _xlpm.c, _xlpm.b))</f>
        <v>ลวดผูกเหล็ก</v>
      </c>
      <c r="F783" s="1205"/>
      <c r="G783" s="1203" t="str">
        <f>'RC1_Structure_RE'!F812</f>
        <v>กก.</v>
      </c>
      <c r="H783" s="1203">
        <f>'RC1_Structure_RE'!E812</f>
        <v>1.3320000000000001</v>
      </c>
      <c r="I783" s="1203">
        <f>'RC1_Structure_RE'!I812</f>
        <v>33.747562754168399</v>
      </c>
      <c r="J783" s="1203">
        <f>'RC1_Structure_RE'!L812</f>
        <v>0</v>
      </c>
      <c r="K783" s="1203">
        <f>'RC1_Structure_RE'!M812</f>
        <v>33.747562754168399</v>
      </c>
    </row>
    <row r="784" spans="1:11">
      <c r="A784" t="s">
        <v>10</v>
      </c>
      <c r="B784" t="s">
        <v>27</v>
      </c>
      <c r="C784" t="s">
        <v>47</v>
      </c>
      <c r="D784" t="s">
        <v>55</v>
      </c>
      <c r="E784" t="str" cm="1">
        <f t="array" ref="E784">_xlfn.LET(_xlpm.c,'RC1_Structure_RE'!C813, _xlpm.b, 'RC1_Structure_RE'!B813, IF(_xlpm.c&lt;&gt;"", _xlpm.c, _xlpm.b))</f>
        <v>งานไม้แบบ</v>
      </c>
      <c r="F784" s="1205"/>
      <c r="G784" s="1203">
        <f>'RC1_Structure_RE'!F813</f>
        <v>0</v>
      </c>
      <c r="H784" s="1203">
        <f>'RC1_Structure_RE'!E813</f>
        <v>0</v>
      </c>
      <c r="I784" s="1203">
        <f>'RC1_Structure_RE'!I813</f>
        <v>0</v>
      </c>
      <c r="J784" s="1203">
        <f>'RC1_Structure_RE'!L813</f>
        <v>0</v>
      </c>
      <c r="K784" s="1203">
        <f>'RC1_Structure_RE'!M813</f>
        <v>0</v>
      </c>
    </row>
    <row r="785" spans="1:11">
      <c r="A785" t="s">
        <v>10</v>
      </c>
      <c r="B785" t="s">
        <v>27</v>
      </c>
      <c r="C785" t="s">
        <v>47</v>
      </c>
      <c r="D785" t="s">
        <v>55</v>
      </c>
      <c r="E785" t="str" cm="1">
        <f t="array" ref="E785">_xlfn.LET(_xlpm.c,'RC1_Structure_RE'!C814, _xlpm.b, 'RC1_Structure_RE'!B814, IF(_xlpm.c&lt;&gt;"", _xlpm.c, _xlpm.b))</f>
        <v>ไม้แบบ ค้ำยัน นั่งร้าน (อาคาร 4 ชั้นขึ้นไป ใช้ 50%)</v>
      </c>
      <c r="F785" s="1205"/>
      <c r="G785" s="1203" t="str">
        <f>'RC1_Structure_RE'!F814</f>
        <v>ตร.ม.</v>
      </c>
      <c r="H785" s="1203">
        <f>'RC1_Structure_RE'!E814</f>
        <v>2</v>
      </c>
      <c r="I785" s="1203">
        <f>'RC1_Structure_RE'!I814</f>
        <v>458.47890624879994</v>
      </c>
      <c r="J785" s="1203">
        <f>'RC1_Structure_RE'!L814</f>
        <v>0</v>
      </c>
      <c r="K785" s="1203">
        <f>'RC1_Structure_RE'!M814</f>
        <v>458.47890624879994</v>
      </c>
    </row>
    <row r="786" spans="1:11">
      <c r="A786" t="s">
        <v>10</v>
      </c>
      <c r="B786" t="s">
        <v>27</v>
      </c>
      <c r="C786" t="s">
        <v>47</v>
      </c>
      <c r="D786" t="s">
        <v>55</v>
      </c>
      <c r="E786" t="str" cm="1">
        <f t="array" ref="E786">_xlfn.LET(_xlpm.c,'RC1_Structure_RE'!C815, _xlpm.b, 'RC1_Structure_RE'!B815, IF(_xlpm.c&lt;&gt;"", _xlpm.c, _xlpm.b))</f>
        <v>ค่าแรงประกอบและติดตั้งไม้แบบหล่อคอนกรีต (ใช้ 100%)</v>
      </c>
      <c r="F786" s="1205"/>
      <c r="G786" s="1203" t="str">
        <f>'RC1_Structure_RE'!F815</f>
        <v>ตร.ม.</v>
      </c>
      <c r="H786" s="1203">
        <f>'RC1_Structure_RE'!E815</f>
        <v>4</v>
      </c>
      <c r="I786" s="1203">
        <f>'RC1_Structure_RE'!I815</f>
        <v>0</v>
      </c>
      <c r="J786" s="1203">
        <f>'RC1_Structure_RE'!L815</f>
        <v>452.495494748</v>
      </c>
      <c r="K786" s="1203">
        <f>'RC1_Structure_RE'!M815</f>
        <v>452.495494748</v>
      </c>
    </row>
    <row r="787" spans="1:11">
      <c r="A787" t="s">
        <v>10</v>
      </c>
      <c r="B787" t="s">
        <v>27</v>
      </c>
      <c r="C787" t="s">
        <v>47</v>
      </c>
      <c r="D787" t="s">
        <v>55</v>
      </c>
      <c r="E787" t="str" cm="1">
        <f t="array" ref="E787">_xlfn.LET(_xlpm.c,'RC1_Structure_RE'!C816, _xlpm.b, 'RC1_Structure_RE'!B816, IF(_xlpm.c&lt;&gt;"", _xlpm.c, _xlpm.b))</f>
        <v>ไม้เคร่า (ใช้ 30% ของไม้แบบ 1 ตร.ม.)</v>
      </c>
      <c r="F787" s="1205"/>
      <c r="G787" s="1203" t="str">
        <f>'RC1_Structure_RE'!F816</f>
        <v>ลบ.ฟ.</v>
      </c>
      <c r="H787" s="1203">
        <f>'RC1_Structure_RE'!E816</f>
        <v>1</v>
      </c>
      <c r="I787" s="1203">
        <f>'RC1_Structure_RE'!I816</f>
        <v>289.27924790274</v>
      </c>
      <c r="J787" s="1203">
        <f>'RC1_Structure_RE'!L816</f>
        <v>0</v>
      </c>
      <c r="K787" s="1203">
        <f>'RC1_Structure_RE'!M816</f>
        <v>289.27924790274</v>
      </c>
    </row>
    <row r="788" spans="1:11">
      <c r="A788" t="s">
        <v>10</v>
      </c>
      <c r="B788" t="s">
        <v>27</v>
      </c>
      <c r="C788" t="s">
        <v>47</v>
      </c>
      <c r="D788" t="s">
        <v>55</v>
      </c>
      <c r="E788" t="str" cm="1">
        <f t="array" ref="E788">_xlfn.LET(_xlpm.c,'RC1_Structure_RE'!C817, _xlpm.b, 'RC1_Structure_RE'!B817, IF(_xlpm.c&lt;&gt;"", _xlpm.c, _xlpm.b))</f>
        <v>ตะปู (ใช้ 25% ของไม้แบบ 1 ตร.ม.)</v>
      </c>
      <c r="F788" s="1205"/>
      <c r="G788" s="1203" t="str">
        <f>'RC1_Structure_RE'!F817</f>
        <v>กก.</v>
      </c>
      <c r="H788" s="1203">
        <f>'RC1_Structure_RE'!E817</f>
        <v>1</v>
      </c>
      <c r="I788" s="1203">
        <f>'RC1_Structure_RE'!I817</f>
        <v>21.83945197792</v>
      </c>
      <c r="J788" s="1203">
        <f>'RC1_Structure_RE'!L817</f>
        <v>0</v>
      </c>
      <c r="K788" s="1203">
        <f>'RC1_Structure_RE'!M817</f>
        <v>21.83945197792</v>
      </c>
    </row>
    <row r="789" spans="1:11">
      <c r="A789" t="s">
        <v>10</v>
      </c>
      <c r="B789" t="s">
        <v>27</v>
      </c>
      <c r="C789" t="s">
        <v>47</v>
      </c>
      <c r="D789" t="s">
        <v>55</v>
      </c>
      <c r="E789" t="str" cm="1">
        <f t="array" ref="E789">_xlfn.LET(_xlpm.c,'RC1_Structure_RE'!C818, _xlpm.b, 'RC1_Structure_RE'!B818, IF(_xlpm.c&lt;&gt;"", _xlpm.c, _xlpm.b))</f>
        <v>งานคอนกรีตโครงสร้าง</v>
      </c>
      <c r="F789" s="1205"/>
      <c r="G789" s="1203">
        <f>'RC1_Structure_RE'!F818</f>
        <v>0</v>
      </c>
      <c r="H789" s="1203">
        <f>'RC1_Structure_RE'!E818</f>
        <v>0</v>
      </c>
      <c r="I789" s="1203">
        <f>'RC1_Structure_RE'!I818</f>
        <v>0</v>
      </c>
      <c r="J789" s="1203">
        <f>'RC1_Structure_RE'!L818</f>
        <v>0</v>
      </c>
      <c r="K789" s="1203">
        <f>'RC1_Structure_RE'!M818</f>
        <v>0</v>
      </c>
    </row>
    <row r="790" spans="1:11">
      <c r="A790" t="s">
        <v>10</v>
      </c>
      <c r="B790" t="s">
        <v>27</v>
      </c>
      <c r="C790" t="s">
        <v>47</v>
      </c>
      <c r="D790" t="s">
        <v>55</v>
      </c>
      <c r="E790" t="str" cm="1">
        <f t="array" ref="E790">_xlfn.LET(_xlpm.c,'RC1_Structure_RE'!C819, _xlpm.b, 'RC1_Structure_RE'!B819, IF(_xlpm.c&lt;&gt;"", _xlpm.c, _xlpm.b))</f>
        <v>งานคอนกรีตโครงสร้าง 320 ksc.</v>
      </c>
      <c r="F790" s="1205"/>
      <c r="G790" s="1203" t="str">
        <f>'RC1_Structure_RE'!F819</f>
        <v>ลบ.ม.</v>
      </c>
      <c r="H790" s="1203">
        <f>'RC1_Structure_RE'!E819</f>
        <v>1</v>
      </c>
      <c r="I790" s="1203">
        <f>'RC1_Structure_RE'!I819</f>
        <v>2505.4600751552998</v>
      </c>
      <c r="J790" s="1203">
        <f>'RC1_Structure_RE'!L819</f>
        <v>485.21727639299996</v>
      </c>
      <c r="K790" s="1203">
        <f>'RC1_Structure_RE'!M819</f>
        <v>2990.6773515482996</v>
      </c>
    </row>
    <row r="791" spans="1:11">
      <c r="A791" t="s">
        <v>10</v>
      </c>
      <c r="B791" t="s">
        <v>27</v>
      </c>
      <c r="C791" t="s">
        <v>47</v>
      </c>
      <c r="D791" t="s">
        <v>56</v>
      </c>
      <c r="E791" t="str" cm="1">
        <f t="array" ref="E791">_xlfn.LET(_xlpm.c,'RC1_Structure_RE'!C820, _xlpm.b, 'RC1_Structure_RE'!B820, IF(_xlpm.c&lt;&gt;"", _xlpm.c, _xlpm.b))</f>
        <v>บันได คสล. ST11 ชั้น 3M (ref. dwg A437 ,S1-902)</v>
      </c>
      <c r="F791" s="1205"/>
      <c r="G791" s="1203">
        <f>'RC1_Structure_RE'!F820</f>
        <v>0</v>
      </c>
      <c r="H791" s="1203">
        <f>'RC1_Structure_RE'!E820</f>
        <v>0</v>
      </c>
      <c r="I791" s="1203">
        <f>'RC1_Structure_RE'!I820</f>
        <v>0</v>
      </c>
      <c r="J791" s="1203">
        <f>'RC1_Structure_RE'!L820</f>
        <v>0</v>
      </c>
      <c r="K791" s="1203">
        <f>'RC1_Structure_RE'!M820</f>
        <v>0</v>
      </c>
    </row>
    <row r="792" spans="1:11">
      <c r="A792" t="s">
        <v>10</v>
      </c>
      <c r="B792" t="s">
        <v>27</v>
      </c>
      <c r="C792" t="s">
        <v>47</v>
      </c>
      <c r="D792" t="s">
        <v>56</v>
      </c>
      <c r="E792" t="str" cm="1">
        <f t="array" ref="E792">_xlfn.LET(_xlpm.c,'RC1_Structure_RE'!C821, _xlpm.b, 'RC1_Structure_RE'!B821, IF(_xlpm.c&lt;&gt;"", _xlpm.c, _xlpm.b))</f>
        <v xml:space="preserve">งานเหล็กเสริม </v>
      </c>
      <c r="F792" s="1205"/>
      <c r="G792" s="1203">
        <f>'RC1_Structure_RE'!F821</f>
        <v>0</v>
      </c>
      <c r="H792" s="1203">
        <f>'RC1_Structure_RE'!E821</f>
        <v>0</v>
      </c>
      <c r="I792" s="1203">
        <f>'RC1_Structure_RE'!I821</f>
        <v>0</v>
      </c>
      <c r="J792" s="1203">
        <f>'RC1_Structure_RE'!L821</f>
        <v>0</v>
      </c>
      <c r="K792" s="1203">
        <f>'RC1_Structure_RE'!M821</f>
        <v>0</v>
      </c>
    </row>
    <row r="793" spans="1:11">
      <c r="A793" t="s">
        <v>10</v>
      </c>
      <c r="B793" t="s">
        <v>27</v>
      </c>
      <c r="C793" t="s">
        <v>47</v>
      </c>
      <c r="D793" t="s">
        <v>56</v>
      </c>
      <c r="E793" t="str" cm="1">
        <f t="array" ref="E793">_xlfn.LET(_xlpm.c,'RC1_Structure_RE'!C822, _xlpm.b, 'RC1_Structure_RE'!B822, IF(_xlpm.c&lt;&gt;"", _xlpm.c, _xlpm.b))</f>
        <v>ขนาดเส้นผ่านศูนย์กลาง 9 ม.ม. SR-24</v>
      </c>
      <c r="F793" s="1205"/>
      <c r="G793" s="1203" t="str">
        <f>'RC1_Structure_RE'!F822</f>
        <v>กก.</v>
      </c>
      <c r="H793" s="1203">
        <f>'RC1_Structure_RE'!E822</f>
        <v>1206</v>
      </c>
      <c r="I793" s="1203">
        <f>'RC1_Structure_RE'!I822</f>
        <v>22098.982451767202</v>
      </c>
      <c r="J793" s="1203">
        <f>'RC1_Structure_RE'!L822</f>
        <v>4960.9960606007999</v>
      </c>
      <c r="K793" s="1203">
        <f>'RC1_Structure_RE'!M822</f>
        <v>27059.978512368001</v>
      </c>
    </row>
    <row r="794" spans="1:11">
      <c r="A794" t="s">
        <v>10</v>
      </c>
      <c r="B794" t="s">
        <v>27</v>
      </c>
      <c r="C794" t="s">
        <v>47</v>
      </c>
      <c r="D794" t="s">
        <v>56</v>
      </c>
      <c r="E794" t="str" cm="1">
        <f t="array" ref="E794">_xlfn.LET(_xlpm.c,'RC1_Structure_RE'!C823, _xlpm.b, 'RC1_Structure_RE'!B823, IF(_xlpm.c&lt;&gt;"", _xlpm.c, _xlpm.b))</f>
        <v>ขนาดเส้นผ่านศูนย์กลาง 12 ม.ม. SD-50</v>
      </c>
      <c r="F794" s="1205"/>
      <c r="G794" s="1203" t="str">
        <f>'RC1_Structure_RE'!F823</f>
        <v>กก.</v>
      </c>
      <c r="H794" s="1203">
        <f>'RC1_Structure_RE'!E823</f>
        <v>848</v>
      </c>
      <c r="I794" s="1203">
        <f>'RC1_Structure_RE'!I823</f>
        <v>15419.999363999199</v>
      </c>
      <c r="J794" s="1203">
        <f>'RC1_Structure_RE'!L823</f>
        <v>2854.0872858816001</v>
      </c>
      <c r="K794" s="1203">
        <f>'RC1_Structure_RE'!M823</f>
        <v>18274.086649880799</v>
      </c>
    </row>
    <row r="795" spans="1:11">
      <c r="A795" t="s">
        <v>10</v>
      </c>
      <c r="B795" t="s">
        <v>27</v>
      </c>
      <c r="C795" t="s">
        <v>47</v>
      </c>
      <c r="D795" t="s">
        <v>56</v>
      </c>
      <c r="E795" t="str" cm="1">
        <f t="array" ref="E795">_xlfn.LET(_xlpm.c,'RC1_Structure_RE'!C824, _xlpm.b, 'RC1_Structure_RE'!B824, IF(_xlpm.c&lt;&gt;"", _xlpm.c, _xlpm.b))</f>
        <v>ลวดผูกเหล็ก</v>
      </c>
      <c r="F795" s="1205"/>
      <c r="G795" s="1203" t="str">
        <f>'RC1_Structure_RE'!F824</f>
        <v>กก.</v>
      </c>
      <c r="H795" s="1203">
        <f>'RC1_Structure_RE'!E824</f>
        <v>37</v>
      </c>
      <c r="I795" s="1203">
        <f>'RC1_Structure_RE'!I824</f>
        <v>937.43229872690006</v>
      </c>
      <c r="J795" s="1203">
        <f>'RC1_Structure_RE'!L824</f>
        <v>0</v>
      </c>
      <c r="K795" s="1203">
        <f>'RC1_Structure_RE'!M824</f>
        <v>937.43229872690006</v>
      </c>
    </row>
    <row r="796" spans="1:11">
      <c r="A796" t="s">
        <v>10</v>
      </c>
      <c r="B796" t="s">
        <v>27</v>
      </c>
      <c r="C796" t="s">
        <v>47</v>
      </c>
      <c r="D796" t="s">
        <v>56</v>
      </c>
      <c r="E796" t="str" cm="1">
        <f t="array" ref="E796">_xlfn.LET(_xlpm.c,'RC1_Structure_RE'!C825, _xlpm.b, 'RC1_Structure_RE'!B825, IF(_xlpm.c&lt;&gt;"", _xlpm.c, _xlpm.b))</f>
        <v>งานไม้แบบ</v>
      </c>
      <c r="F796" s="1205"/>
      <c r="G796" s="1203">
        <f>'RC1_Structure_RE'!F825</f>
        <v>0</v>
      </c>
      <c r="H796" s="1203">
        <f>'RC1_Structure_RE'!E825</f>
        <v>0</v>
      </c>
      <c r="I796" s="1203">
        <f>'RC1_Structure_RE'!I825</f>
        <v>0</v>
      </c>
      <c r="J796" s="1203">
        <f>'RC1_Structure_RE'!L825</f>
        <v>0</v>
      </c>
      <c r="K796" s="1203">
        <f>'RC1_Structure_RE'!M825</f>
        <v>0</v>
      </c>
    </row>
    <row r="797" spans="1:11">
      <c r="A797" t="s">
        <v>10</v>
      </c>
      <c r="B797" t="s">
        <v>27</v>
      </c>
      <c r="C797" t="s">
        <v>47</v>
      </c>
      <c r="D797" t="s">
        <v>56</v>
      </c>
      <c r="E797" t="str" cm="1">
        <f t="array" ref="E797">_xlfn.LET(_xlpm.c,'RC1_Structure_RE'!C826, _xlpm.b, 'RC1_Structure_RE'!B826, IF(_xlpm.c&lt;&gt;"", _xlpm.c, _xlpm.b))</f>
        <v>ไม้แบบ ค้ำยัน นั่งร้าน (อาคาร 4 ชั้นขึ้นไป ใช้ 50%)</v>
      </c>
      <c r="F797" s="1205"/>
      <c r="G797" s="1203" t="str">
        <f>'RC1_Structure_RE'!F826</f>
        <v>ตร.ม.</v>
      </c>
      <c r="H797" s="1203">
        <f>'RC1_Structure_RE'!E826</f>
        <v>54</v>
      </c>
      <c r="I797" s="1203">
        <f>'RC1_Structure_RE'!I826</f>
        <v>12378.930468717599</v>
      </c>
      <c r="J797" s="1203">
        <f>'RC1_Structure_RE'!L826</f>
        <v>0</v>
      </c>
      <c r="K797" s="1203">
        <f>'RC1_Structure_RE'!M826</f>
        <v>12378.930468717599</v>
      </c>
    </row>
    <row r="798" spans="1:11">
      <c r="A798" t="s">
        <v>10</v>
      </c>
      <c r="B798" t="s">
        <v>27</v>
      </c>
      <c r="C798" t="s">
        <v>47</v>
      </c>
      <c r="D798" t="s">
        <v>56</v>
      </c>
      <c r="E798" t="str" cm="1">
        <f t="array" ref="E798">_xlfn.LET(_xlpm.c,'RC1_Structure_RE'!C827, _xlpm.b, 'RC1_Structure_RE'!B827, IF(_xlpm.c&lt;&gt;"", _xlpm.c, _xlpm.b))</f>
        <v>ค่าแรงประกอบและติดตั้งไม้แบบหล่อคอนกรีต (ใช้ 100%)</v>
      </c>
      <c r="F798" s="1205"/>
      <c r="G798" s="1203" t="str">
        <f>'RC1_Structure_RE'!F827</f>
        <v>ตร.ม.</v>
      </c>
      <c r="H798" s="1203">
        <f>'RC1_Structure_RE'!E827</f>
        <v>107</v>
      </c>
      <c r="I798" s="1203">
        <f>'RC1_Structure_RE'!I827</f>
        <v>0</v>
      </c>
      <c r="J798" s="1203">
        <f>'RC1_Structure_RE'!L827</f>
        <v>12104.254484509</v>
      </c>
      <c r="K798" s="1203">
        <f>'RC1_Structure_RE'!M827</f>
        <v>12104.254484509</v>
      </c>
    </row>
    <row r="799" spans="1:11">
      <c r="A799" t="s">
        <v>10</v>
      </c>
      <c r="B799" t="s">
        <v>27</v>
      </c>
      <c r="C799" t="s">
        <v>47</v>
      </c>
      <c r="D799" t="s">
        <v>56</v>
      </c>
      <c r="E799" t="str" cm="1">
        <f t="array" ref="E799">_xlfn.LET(_xlpm.c,'RC1_Structure_RE'!C828, _xlpm.b, 'RC1_Structure_RE'!B828, IF(_xlpm.c&lt;&gt;"", _xlpm.c, _xlpm.b))</f>
        <v>ไม้เคร่า (ใช้ 30% ของไม้แบบ 1 ตร.ม.)</v>
      </c>
      <c r="F799" s="1205"/>
      <c r="G799" s="1203" t="str">
        <f>'RC1_Structure_RE'!F828</f>
        <v>ลบ.ฟ.</v>
      </c>
      <c r="H799" s="1203">
        <f>'RC1_Structure_RE'!E828</f>
        <v>17</v>
      </c>
      <c r="I799" s="1203">
        <f>'RC1_Structure_RE'!I828</f>
        <v>4917.7472143465802</v>
      </c>
      <c r="J799" s="1203">
        <f>'RC1_Structure_RE'!L828</f>
        <v>0</v>
      </c>
      <c r="K799" s="1203">
        <f>'RC1_Structure_RE'!M828</f>
        <v>4917.7472143465802</v>
      </c>
    </row>
    <row r="800" spans="1:11">
      <c r="A800" t="s">
        <v>10</v>
      </c>
      <c r="B800" t="s">
        <v>27</v>
      </c>
      <c r="C800" t="s">
        <v>47</v>
      </c>
      <c r="D800" t="s">
        <v>56</v>
      </c>
      <c r="E800" t="str" cm="1">
        <f t="array" ref="E800">_xlfn.LET(_xlpm.c,'RC1_Structure_RE'!C829, _xlpm.b, 'RC1_Structure_RE'!B829, IF(_xlpm.c&lt;&gt;"", _xlpm.c, _xlpm.b))</f>
        <v>ตะปู (ใช้ 25% ของไม้แบบ 1 ตร.ม.)</v>
      </c>
      <c r="F800" s="1205"/>
      <c r="G800" s="1203" t="str">
        <f>'RC1_Structure_RE'!F829</f>
        <v>กก.</v>
      </c>
      <c r="H800" s="1203">
        <f>'RC1_Structure_RE'!E829</f>
        <v>14</v>
      </c>
      <c r="I800" s="1203">
        <f>'RC1_Structure_RE'!I829</f>
        <v>305.75232769088001</v>
      </c>
      <c r="J800" s="1203">
        <f>'RC1_Structure_RE'!L829</f>
        <v>0</v>
      </c>
      <c r="K800" s="1203">
        <f>'RC1_Structure_RE'!M829</f>
        <v>305.75232769088001</v>
      </c>
    </row>
    <row r="801" spans="1:11">
      <c r="A801" t="s">
        <v>10</v>
      </c>
      <c r="B801" t="s">
        <v>27</v>
      </c>
      <c r="C801" t="s">
        <v>47</v>
      </c>
      <c r="D801" t="s">
        <v>56</v>
      </c>
      <c r="E801" t="str" cm="1">
        <f t="array" ref="E801">_xlfn.LET(_xlpm.c,'RC1_Structure_RE'!C830, _xlpm.b, 'RC1_Structure_RE'!B830, IF(_xlpm.c&lt;&gt;"", _xlpm.c, _xlpm.b))</f>
        <v>งานคอนกรีตโครงสร้าง</v>
      </c>
      <c r="F801" s="1205"/>
      <c r="G801" s="1203">
        <f>'RC1_Structure_RE'!F830</f>
        <v>0</v>
      </c>
      <c r="H801" s="1203">
        <f>'RC1_Structure_RE'!E830</f>
        <v>0</v>
      </c>
      <c r="I801" s="1203">
        <f>'RC1_Structure_RE'!I830</f>
        <v>0</v>
      </c>
      <c r="J801" s="1203">
        <f>'RC1_Structure_RE'!L830</f>
        <v>0</v>
      </c>
      <c r="K801" s="1203">
        <f>'RC1_Structure_RE'!M830</f>
        <v>0</v>
      </c>
    </row>
    <row r="802" spans="1:11">
      <c r="A802" t="s">
        <v>10</v>
      </c>
      <c r="B802" t="s">
        <v>27</v>
      </c>
      <c r="C802" t="s">
        <v>47</v>
      </c>
      <c r="D802" t="s">
        <v>56</v>
      </c>
      <c r="E802" t="str" cm="1">
        <f t="array" ref="E802">_xlfn.LET(_xlpm.c,'RC1_Structure_RE'!C831, _xlpm.b, 'RC1_Structure_RE'!B831, IF(_xlpm.c&lt;&gt;"", _xlpm.c, _xlpm.b))</f>
        <v>งานคอนกรีตโครงสร้าง 320 ksc.</v>
      </c>
      <c r="F802" s="1205"/>
      <c r="G802" s="1203" t="str">
        <f>'RC1_Structure_RE'!F831</f>
        <v>ลบ.ม.</v>
      </c>
      <c r="H802" s="1203">
        <f>'RC1_Structure_RE'!E831</f>
        <v>14</v>
      </c>
      <c r="I802" s="1203">
        <f>'RC1_Structure_RE'!I831</f>
        <v>35076.441052174196</v>
      </c>
      <c r="J802" s="1203">
        <f>'RC1_Structure_RE'!L831</f>
        <v>6793.0418695019998</v>
      </c>
      <c r="K802" s="1203">
        <f>'RC1_Structure_RE'!M831</f>
        <v>41869.482921676194</v>
      </c>
    </row>
    <row r="803" spans="1:11">
      <c r="F803" s="1205"/>
      <c r="G803" s="1203"/>
      <c r="H803" s="1203"/>
      <c r="I803" s="1203"/>
      <c r="J803" s="1203"/>
      <c r="K803" s="1203"/>
    </row>
    <row r="804" spans="1:11">
      <c r="F804" s="1205"/>
      <c r="G804" s="1203"/>
      <c r="H804" s="1203"/>
      <c r="I804" s="1203"/>
      <c r="J804" s="1203"/>
      <c r="K804" s="1203"/>
    </row>
    <row r="805" spans="1:11">
      <c r="F805" s="1205"/>
      <c r="G805" s="1203"/>
      <c r="H805" s="1203"/>
      <c r="I805" s="1203"/>
      <c r="J805" s="1203"/>
      <c r="K805" s="1203"/>
    </row>
    <row r="806" spans="1:11">
      <c r="E806" t="str" cm="1">
        <f t="array" ref="E806">_xlfn.LET(_xlpm.c,'RC1_Structure_RE'!C835, _xlpm.b, 'RC1_Structure_RE'!B835, IF(_xlpm.c&lt;&gt;"", _xlpm.c, _xlpm.b))</f>
        <v>งานบันไดโครงสร้างเหล็ก</v>
      </c>
      <c r="F806" s="1205"/>
      <c r="G806" s="1203">
        <f>'RC1_Structure_RE'!F835</f>
        <v>0</v>
      </c>
      <c r="H806" s="1203">
        <f>'RC1_Structure_RE'!E835</f>
        <v>0</v>
      </c>
      <c r="I806" s="1203">
        <f>'RC1_Structure_RE'!I835</f>
        <v>0</v>
      </c>
      <c r="J806" s="1203">
        <f>'RC1_Structure_RE'!L835</f>
        <v>0</v>
      </c>
      <c r="K806" s="1203">
        <f>'RC1_Structure_RE'!M835</f>
        <v>0</v>
      </c>
    </row>
    <row r="807" spans="1:11">
      <c r="A807" t="s">
        <v>10</v>
      </c>
      <c r="B807" t="s">
        <v>27</v>
      </c>
      <c r="C807" t="s">
        <v>57</v>
      </c>
      <c r="D807" t="s">
        <v>58</v>
      </c>
      <c r="E807" t="str" cm="1">
        <f t="array" ref="E807">_xlfn.LET(_xlpm.c,'RC1_Structure_RE'!C836, _xlpm.b, 'RC1_Structure_RE'!B836, IF(_xlpm.c&lt;&gt;"", _xlpm.c, _xlpm.b))</f>
        <v>บันได โครงสร้างเหล็ก ST05  (ref. dwg A419,S1-701)</v>
      </c>
      <c r="F807" s="1205"/>
      <c r="G807" s="1203">
        <f>'RC1_Structure_RE'!F836</f>
        <v>0</v>
      </c>
      <c r="H807" s="1203">
        <f>'RC1_Structure_RE'!E836</f>
        <v>0</v>
      </c>
      <c r="I807" s="1203">
        <f>'RC1_Structure_RE'!I836</f>
        <v>0</v>
      </c>
      <c r="J807" s="1203">
        <f>'RC1_Structure_RE'!L836</f>
        <v>0</v>
      </c>
      <c r="K807" s="1203">
        <f>'RC1_Structure_RE'!M836</f>
        <v>0</v>
      </c>
    </row>
    <row r="808" spans="1:11">
      <c r="A808" t="s">
        <v>10</v>
      </c>
      <c r="B808" t="s">
        <v>27</v>
      </c>
      <c r="C808" t="s">
        <v>57</v>
      </c>
      <c r="D808" t="s">
        <v>58</v>
      </c>
      <c r="E808" t="str" cm="1">
        <f t="array" ref="E808">_xlfn.LET(_xlpm.c,'RC1_Structure_RE'!C837, _xlpm.b, 'RC1_Structure_RE'!B837, IF(_xlpm.c&lt;&gt;"", _xlpm.c, _xlpm.b))</f>
        <v>WF175x175x7.5x11 mm. -40.2 kg/m (SM520)</v>
      </c>
      <c r="F808" s="1205"/>
      <c r="G808" s="1203" t="str">
        <f>'RC1_Structure_RE'!F837</f>
        <v>กก.</v>
      </c>
      <c r="H808" s="1203">
        <f>'RC1_Structure_RE'!E837</f>
        <v>965</v>
      </c>
      <c r="I808" s="1203">
        <f>'RC1_Structure_RE'!I837</f>
        <v>32505.77114074065</v>
      </c>
      <c r="J808" s="1203">
        <f>'RC1_Structure_RE'!L837</f>
        <v>12630.60771497</v>
      </c>
      <c r="K808" s="1203">
        <f>'RC1_Structure_RE'!M837</f>
        <v>45136.378855710645</v>
      </c>
    </row>
    <row r="809" spans="1:11">
      <c r="A809" t="s">
        <v>10</v>
      </c>
      <c r="B809" t="s">
        <v>27</v>
      </c>
      <c r="C809" t="s">
        <v>57</v>
      </c>
      <c r="D809" t="s">
        <v>58</v>
      </c>
      <c r="E809" t="str" cm="1">
        <f t="array" ref="E809">_xlfn.LET(_xlpm.c,'RC1_Structure_RE'!C838, _xlpm.b, 'RC1_Structure_RE'!B838, IF(_xlpm.c&lt;&gt;"", _xlpm.c, _xlpm.b))</f>
        <v>C125x65x6x8 mm.</v>
      </c>
      <c r="F809" s="1205"/>
      <c r="G809" s="1203" t="str">
        <f>'RC1_Structure_RE'!F838</f>
        <v>กก.</v>
      </c>
      <c r="H809" s="1203">
        <f>'RC1_Structure_RE'!E838</f>
        <v>402</v>
      </c>
      <c r="I809" s="1203">
        <f>'RC1_Structure_RE'!I838</f>
        <v>9185.3593728093601</v>
      </c>
      <c r="J809" s="1203">
        <f>'RC1_Structure_RE'!L838</f>
        <v>5261.662488515999</v>
      </c>
      <c r="K809" s="1203">
        <f>'RC1_Structure_RE'!M838</f>
        <v>14447.02186132536</v>
      </c>
    </row>
    <row r="810" spans="1:11">
      <c r="A810" t="s">
        <v>10</v>
      </c>
      <c r="B810" t="s">
        <v>27</v>
      </c>
      <c r="C810" t="s">
        <v>57</v>
      </c>
      <c r="D810" t="s">
        <v>58</v>
      </c>
      <c r="E810" t="str" cm="1">
        <f t="array" ref="E810">_xlfn.LET(_xlpm.c,'RC1_Structure_RE'!C839, _xlpm.b, 'RC1_Structure_RE'!B839, IF(_xlpm.c&lt;&gt;"", _xlpm.c, _xlpm.b))</f>
        <v>เหล็กกล่อง 100x50x2.3 mm.</v>
      </c>
      <c r="F810" s="1205"/>
      <c r="G810" s="1203" t="str">
        <f>'RC1_Structure_RE'!F839</f>
        <v>กก.</v>
      </c>
      <c r="H810" s="1203">
        <f>'RC1_Structure_RE'!E839</f>
        <v>186</v>
      </c>
      <c r="I810" s="1203">
        <f>'RC1_Structure_RE'!I839</f>
        <v>4651.6349878484998</v>
      </c>
      <c r="J810" s="1203">
        <f>'RC1_Structure_RE'!L839</f>
        <v>2434.5005543879997</v>
      </c>
      <c r="K810" s="1203">
        <f>'RC1_Structure_RE'!M839</f>
        <v>7086.1355422364995</v>
      </c>
    </row>
    <row r="811" spans="1:11">
      <c r="A811" t="s">
        <v>10</v>
      </c>
      <c r="B811" t="s">
        <v>27</v>
      </c>
      <c r="C811" t="s">
        <v>57</v>
      </c>
      <c r="D811" t="s">
        <v>58</v>
      </c>
      <c r="E811" t="str" cm="1">
        <f t="array" ref="E811">_xlfn.LET(_xlpm.c,'RC1_Structure_RE'!C840, _xlpm.b, 'RC1_Structure_RE'!B840, IF(_xlpm.c&lt;&gt;"", _xlpm.c, _xlpm.b))</f>
        <v>WF200x100x5.5x8 mm. -21.3 kg/m</v>
      </c>
      <c r="F811" s="1205"/>
      <c r="G811" s="1203" t="str">
        <f>'RC1_Structure_RE'!F840</f>
        <v>กก.</v>
      </c>
      <c r="H811" s="1203">
        <f>'RC1_Structure_RE'!E840</f>
        <v>512</v>
      </c>
      <c r="I811" s="1203">
        <f>'RC1_Structure_RE'!I840</f>
        <v>15968.528613335038</v>
      </c>
      <c r="J811" s="1203">
        <f>'RC1_Structure_RE'!L840</f>
        <v>6701.4208808959993</v>
      </c>
      <c r="K811" s="1203">
        <f>'RC1_Structure_RE'!M840</f>
        <v>22669.949494231038</v>
      </c>
    </row>
    <row r="812" spans="1:11">
      <c r="A812" t="s">
        <v>10</v>
      </c>
      <c r="B812" t="s">
        <v>27</v>
      </c>
      <c r="C812" t="s">
        <v>57</v>
      </c>
      <c r="D812" t="s">
        <v>58</v>
      </c>
      <c r="E812" t="str" cm="1">
        <f t="array" ref="E812">_xlfn.LET(_xlpm.c,'RC1_Structure_RE'!C841, _xlpm.b, 'RC1_Structure_RE'!B841, IF(_xlpm.c&lt;&gt;"", _xlpm.c, _xlpm.b))</f>
        <v>WF350x175x7x11 mm. -49.6 kg/m  (SM520)</v>
      </c>
      <c r="F812" s="1205"/>
      <c r="G812" s="1203" t="str">
        <f>'RC1_Structure_RE'!F841</f>
        <v>กก.</v>
      </c>
      <c r="H812" s="1203">
        <f>'RC1_Structure_RE'!E841</f>
        <v>3274</v>
      </c>
      <c r="I812" s="1203">
        <f>'RC1_Structure_RE'!I841</f>
        <v>115426.12214905937</v>
      </c>
      <c r="J812" s="1203">
        <f>'RC1_Structure_RE'!L841</f>
        <v>42852.445242291993</v>
      </c>
      <c r="K812" s="1203">
        <f>'RC1_Structure_RE'!M841</f>
        <v>158278.56739135136</v>
      </c>
    </row>
    <row r="813" spans="1:11">
      <c r="A813" t="s">
        <v>10</v>
      </c>
      <c r="B813" t="s">
        <v>27</v>
      </c>
      <c r="C813" t="s">
        <v>57</v>
      </c>
      <c r="D813" t="s">
        <v>58</v>
      </c>
      <c r="E813" t="str" cm="1">
        <f t="array" ref="E813">_xlfn.LET(_xlpm.c,'RC1_Structure_RE'!C842, _xlpm.b, 'RC1_Structure_RE'!B842, IF(_xlpm.c&lt;&gt;"", _xlpm.c, _xlpm.b))</f>
        <v>WF300x150x6.5x9 mm. -36.7 kg/m</v>
      </c>
      <c r="F813" s="1205"/>
      <c r="G813" s="1203" t="str">
        <f>'RC1_Structure_RE'!F842</f>
        <v>กก.</v>
      </c>
      <c r="H813" s="1203">
        <f>'RC1_Structure_RE'!E842</f>
        <v>2202</v>
      </c>
      <c r="I813" s="1203">
        <f>'RC1_Structure_RE'!I842</f>
        <v>67936.028143301999</v>
      </c>
      <c r="J813" s="1203">
        <f>'RC1_Structure_RE'!L842</f>
        <v>28821.345272915998</v>
      </c>
      <c r="K813" s="1203">
        <f>'RC1_Structure_RE'!M842</f>
        <v>96757.373416218004</v>
      </c>
    </row>
    <row r="814" spans="1:11">
      <c r="A814" t="s">
        <v>10</v>
      </c>
      <c r="B814" t="s">
        <v>27</v>
      </c>
      <c r="C814" t="s">
        <v>57</v>
      </c>
      <c r="D814" t="s">
        <v>58</v>
      </c>
      <c r="E814" t="str" cm="1">
        <f t="array" ref="E814">_xlfn.LET(_xlpm.c,'RC1_Structure_RE'!C843, _xlpm.b, 'RC1_Structure_RE'!B843, IF(_xlpm.c&lt;&gt;"", _xlpm.c, _xlpm.b))</f>
        <v>เหล็กกล่อง 50x50x3.2 mm.</v>
      </c>
      <c r="F814" s="1205"/>
      <c r="G814" s="1203" t="str">
        <f>'RC1_Structure_RE'!F843</f>
        <v>กก.</v>
      </c>
      <c r="H814" s="1203">
        <f>'RC1_Structure_RE'!E843</f>
        <v>3456</v>
      </c>
      <c r="I814" s="1203">
        <f>'RC1_Structure_RE'!I843</f>
        <v>86365.758284847368</v>
      </c>
      <c r="J814" s="1203">
        <f>'RC1_Structure_RE'!L843</f>
        <v>45234.590946047996</v>
      </c>
      <c r="K814" s="1203">
        <f>'RC1_Structure_RE'!M843</f>
        <v>131600.34923089537</v>
      </c>
    </row>
    <row r="815" spans="1:11">
      <c r="A815" t="s">
        <v>10</v>
      </c>
      <c r="B815" t="s">
        <v>27</v>
      </c>
      <c r="C815" t="s">
        <v>57</v>
      </c>
      <c r="D815" t="s">
        <v>58</v>
      </c>
      <c r="E815" t="str" cm="1">
        <f t="array" ref="E815">_xlfn.LET(_xlpm.c,'RC1_Structure_RE'!C844, _xlpm.b, 'RC1_Structure_RE'!B844, IF(_xlpm.c&lt;&gt;"", _xlpm.c, _xlpm.b))</f>
        <v>Steel Plate Support</v>
      </c>
      <c r="F815" s="1205"/>
      <c r="G815" s="1203" t="str">
        <f>'RC1_Structure_RE'!F844</f>
        <v>กก.</v>
      </c>
      <c r="H815" s="1203">
        <f>'RC1_Structure_RE'!E844</f>
        <v>672</v>
      </c>
      <c r="I815" s="1203">
        <f>'RC1_Structure_RE'!I844</f>
        <v>15687.607443372479</v>
      </c>
      <c r="J815" s="1203">
        <f>'RC1_Structure_RE'!L844</f>
        <v>8795.6149061759988</v>
      </c>
      <c r="K815" s="1203">
        <f>'RC1_Structure_RE'!M844</f>
        <v>24483.22234954848</v>
      </c>
    </row>
    <row r="816" spans="1:11">
      <c r="A816" t="s">
        <v>10</v>
      </c>
      <c r="B816" t="s">
        <v>27</v>
      </c>
      <c r="C816" t="s">
        <v>57</v>
      </c>
      <c r="D816" t="s">
        <v>58</v>
      </c>
      <c r="E816" t="str" cm="1">
        <f t="array" ref="E816">_xlfn.LET(_xlpm.c,'RC1_Structure_RE'!C845, _xlpm.b, 'RC1_Structure_RE'!B845, IF(_xlpm.c&lt;&gt;"", _xlpm.c, _xlpm.b))</f>
        <v>L-Bolt-M16-200L (A325)</v>
      </c>
      <c r="F816" s="1205"/>
      <c r="G816" s="1203" t="str">
        <f>'RC1_Structure_RE'!F845</f>
        <v>ชุด</v>
      </c>
      <c r="H816" s="1203">
        <f>'RC1_Structure_RE'!E845</f>
        <v>60</v>
      </c>
      <c r="I816" s="1203">
        <f>'RC1_Structure_RE'!I845</f>
        <v>4768.0310397000003</v>
      </c>
      <c r="J816" s="1203">
        <f>'RC1_Structure_RE'!L845</f>
        <v>1430.40931191</v>
      </c>
      <c r="K816" s="1203">
        <f>'RC1_Structure_RE'!M845</f>
        <v>6198.4403516100001</v>
      </c>
    </row>
    <row r="817" spans="1:11">
      <c r="A817" t="s">
        <v>10</v>
      </c>
      <c r="B817" t="s">
        <v>27</v>
      </c>
      <c r="C817" t="s">
        <v>57</v>
      </c>
      <c r="D817" t="s">
        <v>58</v>
      </c>
      <c r="E817" t="str" cm="1">
        <f t="array" ref="E817">_xlfn.LET(_xlpm.c,'RC1_Structure_RE'!C846, _xlpm.b, 'RC1_Structure_RE'!B846, IF(_xlpm.c&lt;&gt;"", _xlpm.c, _xlpm.b))</f>
        <v>DB12-Dowel Support</v>
      </c>
      <c r="F817" s="1205"/>
      <c r="G817" s="1203" t="str">
        <f>'RC1_Structure_RE'!F846</f>
        <v>กก.</v>
      </c>
      <c r="H817" s="1203">
        <f>'RC1_Structure_RE'!E846</f>
        <v>11</v>
      </c>
      <c r="I817" s="1203">
        <f>'RC1_Structure_RE'!I846</f>
        <v>212.87856230189999</v>
      </c>
      <c r="J817" s="1203">
        <f>'RC1_Structure_RE'!L846</f>
        <v>37.022358661200002</v>
      </c>
      <c r="K817" s="1203">
        <f>'RC1_Structure_RE'!M846</f>
        <v>249.90092096309999</v>
      </c>
    </row>
    <row r="818" spans="1:11">
      <c r="A818" t="s">
        <v>10</v>
      </c>
      <c r="B818" t="s">
        <v>27</v>
      </c>
      <c r="C818" t="s">
        <v>57</v>
      </c>
      <c r="D818" t="s">
        <v>58</v>
      </c>
      <c r="E818" t="str" cm="1">
        <f t="array" ref="E818">_xlfn.LET(_xlpm.c,'RC1_Structure_RE'!C847, _xlpm.b, 'RC1_Structure_RE'!B847, IF(_xlpm.c&lt;&gt;"", _xlpm.c, _xlpm.b))</f>
        <v>DB20-Dowel Support</v>
      </c>
      <c r="F818" s="1205"/>
      <c r="G818" s="1203" t="str">
        <f>'RC1_Structure_RE'!F847</f>
        <v>กก.</v>
      </c>
      <c r="H818" s="1203">
        <f>'RC1_Structure_RE'!E847</f>
        <v>281</v>
      </c>
      <c r="I818" s="1203">
        <f>'RC1_Structure_RE'!I847</f>
        <v>5385.5378047434997</v>
      </c>
      <c r="J818" s="1203">
        <f>'RC1_Structure_RE'!L847</f>
        <v>814.39839974170002</v>
      </c>
      <c r="K818" s="1203">
        <f>'RC1_Structure_RE'!M847</f>
        <v>6199.9362044851996</v>
      </c>
    </row>
    <row r="819" spans="1:11">
      <c r="A819" t="s">
        <v>10</v>
      </c>
      <c r="B819" t="s">
        <v>27</v>
      </c>
      <c r="C819" t="s">
        <v>57</v>
      </c>
      <c r="D819" t="s">
        <v>58</v>
      </c>
      <c r="E819" t="str" cm="1">
        <f t="array" ref="E819">_xlfn.LET(_xlpm.c,'RC1_Structure_RE'!C848, _xlpm.b, 'RC1_Structure_RE'!B848, IF(_xlpm.c&lt;&gt;"", _xlpm.c, _xlpm.b))</f>
        <v>งานสีกันสนิม</v>
      </c>
      <c r="F819" s="1205"/>
      <c r="G819" s="1203" t="str">
        <f>'RC1_Structure_RE'!F848</f>
        <v>ตร.ม.</v>
      </c>
      <c r="H819" s="1203">
        <f>'RC1_Structure_RE'!E848</f>
        <v>602</v>
      </c>
      <c r="I819" s="1203">
        <f>'RC1_Structure_RE'!I848</f>
        <v>15770.066333117878</v>
      </c>
      <c r="J819" s="1203">
        <f>'RC1_Structure_RE'!L848</f>
        <v>16884.439328819997</v>
      </c>
      <c r="K819" s="1203">
        <f>'RC1_Structure_RE'!M848</f>
        <v>32654.505661937874</v>
      </c>
    </row>
    <row r="820" spans="1:11">
      <c r="A820" t="s">
        <v>10</v>
      </c>
      <c r="B820" t="s">
        <v>27</v>
      </c>
      <c r="C820" t="s">
        <v>57</v>
      </c>
      <c r="D820" t="s">
        <v>58</v>
      </c>
      <c r="E820" t="str" cm="1">
        <f t="array" ref="E820">_xlfn.LET(_xlpm.c,'RC1_Structure_RE'!C849, _xlpm.b, 'RC1_Structure_RE'!B849, IF(_xlpm.c&lt;&gt;"", _xlpm.c, _xlpm.b))</f>
        <v>งานสีน้ำมัน</v>
      </c>
      <c r="F820" s="1205"/>
      <c r="G820" s="1203" t="str">
        <f>'RC1_Structure_RE'!F849</f>
        <v>ตร.ม.</v>
      </c>
      <c r="H820" s="1203">
        <f>'RC1_Structure_RE'!E849</f>
        <v>602</v>
      </c>
      <c r="I820" s="1203">
        <f>'RC1_Structure_RE'!I849</f>
        <v>18190.169303582079</v>
      </c>
      <c r="J820" s="1203">
        <f>'RC1_Structure_RE'!L849</f>
        <v>19698.512550290001</v>
      </c>
      <c r="K820" s="1203">
        <f>'RC1_Structure_RE'!M849</f>
        <v>37888.681853872084</v>
      </c>
    </row>
    <row r="821" spans="1:11">
      <c r="A821" t="s">
        <v>10</v>
      </c>
      <c r="B821" t="s">
        <v>27</v>
      </c>
      <c r="C821" t="s">
        <v>57</v>
      </c>
      <c r="D821" t="s">
        <v>58</v>
      </c>
      <c r="E821" t="str" cm="1">
        <f t="array" ref="E821">_xlfn.LET(_xlpm.c,'RC1_Structure_RE'!C850, _xlpm.b, 'RC1_Structure_RE'!B850, IF(_xlpm.c&lt;&gt;"", _xlpm.c, _xlpm.b))</f>
        <v>งานทาสีกันไฟ Fireproof Coating  ความหนาไม่น้อยกว่า 500 ไมครอน</v>
      </c>
      <c r="F821" s="1205"/>
      <c r="G821" s="1203" t="str">
        <f>'RC1_Structure_RE'!F850</f>
        <v>ตร.ม.</v>
      </c>
      <c r="H821" s="1203">
        <f>'RC1_Structure_RE'!E850</f>
        <v>602</v>
      </c>
      <c r="I821" s="1203">
        <f>'RC1_Structure_RE'!I850</f>
        <v>73165.903758219996</v>
      </c>
      <c r="J821" s="1203">
        <f>'RC1_Structure_RE'!L850</f>
        <v>16884.439328819997</v>
      </c>
      <c r="K821" s="1203">
        <f>'RC1_Structure_RE'!M850</f>
        <v>90050.34308703999</v>
      </c>
    </row>
    <row r="822" spans="1:11">
      <c r="A822" t="s">
        <v>10</v>
      </c>
      <c r="B822" t="s">
        <v>27</v>
      </c>
      <c r="C822" t="s">
        <v>57</v>
      </c>
      <c r="D822" t="s">
        <v>59</v>
      </c>
      <c r="E822" t="str" cm="1">
        <f t="array" ref="E822">_xlfn.LET(_xlpm.c,'RC1_Structure_RE'!C851, _xlpm.b, 'RC1_Structure_RE'!B851, IF(_xlpm.c&lt;&gt;"", _xlpm.c, _xlpm.b))</f>
        <v>บันได ST08 ห้องเก็บหนังสือ (ref. dwg A422 ,S1-703)</v>
      </c>
      <c r="F822" s="1205"/>
      <c r="G822" s="1203">
        <f>'RC1_Structure_RE'!F851</f>
        <v>0</v>
      </c>
      <c r="H822" s="1203">
        <f>'RC1_Structure_RE'!E851</f>
        <v>0</v>
      </c>
      <c r="I822" s="1203">
        <f>'RC1_Structure_RE'!I851</f>
        <v>0</v>
      </c>
      <c r="J822" s="1203">
        <f>'RC1_Structure_RE'!L851</f>
        <v>0</v>
      </c>
      <c r="K822" s="1203">
        <f>'RC1_Structure_RE'!M851</f>
        <v>0</v>
      </c>
    </row>
    <row r="823" spans="1:11">
      <c r="A823" t="s">
        <v>10</v>
      </c>
      <c r="B823" t="s">
        <v>27</v>
      </c>
      <c r="C823" t="s">
        <v>57</v>
      </c>
      <c r="D823" t="s">
        <v>59</v>
      </c>
      <c r="E823" t="str" cm="1">
        <f t="array" ref="E823">_xlfn.LET(_xlpm.c,'RC1_Structure_RE'!C852, _xlpm.b, 'RC1_Structure_RE'!B852, IF(_xlpm.c&lt;&gt;"", _xlpm.c, _xlpm.b))</f>
        <v>WF-125x125x6.5x9-23.8 kg/m.</v>
      </c>
      <c r="F823" s="1205"/>
      <c r="G823" s="1203" t="str">
        <f>'RC1_Structure_RE'!F852</f>
        <v>กก.</v>
      </c>
      <c r="H823" s="1203">
        <f>'RC1_Structure_RE'!E852</f>
        <v>143</v>
      </c>
      <c r="I823" s="1203">
        <f>'RC1_Structure_RE'!I852</f>
        <v>4232.6839938268595</v>
      </c>
      <c r="J823" s="1203">
        <f>'RC1_Structure_RE'!L852</f>
        <v>1871.6859100939998</v>
      </c>
      <c r="K823" s="1203">
        <f>'RC1_Structure_RE'!M852</f>
        <v>6104.3699039208595</v>
      </c>
    </row>
    <row r="824" spans="1:11">
      <c r="A824" t="s">
        <v>10</v>
      </c>
      <c r="B824" t="s">
        <v>27</v>
      </c>
      <c r="C824" t="s">
        <v>57</v>
      </c>
      <c r="D824" t="s">
        <v>59</v>
      </c>
      <c r="E824" t="str" cm="1">
        <f t="array" ref="E824">_xlfn.LET(_xlpm.c,'RC1_Structure_RE'!C853, _xlpm.b, 'RC1_Structure_RE'!B853, IF(_xlpm.c&lt;&gt;"", _xlpm.c, _xlpm.b))</f>
        <v>RQ-200x100x4.5-20.1 kg/m.</v>
      </c>
      <c r="F824" s="1205"/>
      <c r="G824" s="1203" t="str">
        <f>'RC1_Structure_RE'!F853</f>
        <v>กก.</v>
      </c>
      <c r="H824" s="1203">
        <f>'RC1_Structure_RE'!E853</f>
        <v>242</v>
      </c>
      <c r="I824" s="1203">
        <f>'RC1_Structure_RE'!I853</f>
        <v>6355.2992237356593</v>
      </c>
      <c r="J824" s="1203">
        <f>'RC1_Structure_RE'!L853</f>
        <v>3167.4684632359995</v>
      </c>
      <c r="K824" s="1203">
        <f>'RC1_Structure_RE'!M853</f>
        <v>9522.7676869716597</v>
      </c>
    </row>
    <row r="825" spans="1:11">
      <c r="A825" t="s">
        <v>10</v>
      </c>
      <c r="B825" t="s">
        <v>27</v>
      </c>
      <c r="C825" t="s">
        <v>57</v>
      </c>
      <c r="D825" t="s">
        <v>59</v>
      </c>
      <c r="E825" t="str" cm="1">
        <f t="array" ref="E825">_xlfn.LET(_xlpm.c,'RC1_Structure_RE'!C854, _xlpm.b, 'RC1_Structure_RE'!B854, IF(_xlpm.c&lt;&gt;"", _xlpm.c, _xlpm.b))</f>
        <v>C-100x50x5x7.5 mm. -9.36 kg/m</v>
      </c>
      <c r="F825" s="1205"/>
      <c r="G825" s="1203" t="str">
        <f>'RC1_Structure_RE'!F854</f>
        <v>กก.</v>
      </c>
      <c r="H825" s="1203">
        <f>'RC1_Structure_RE'!E854</f>
        <v>57</v>
      </c>
      <c r="I825" s="1203">
        <f>'RC1_Structure_RE'!I854</f>
        <v>1217.6709858151501</v>
      </c>
      <c r="J825" s="1203">
        <f>'RC1_Structure_RE'!L854</f>
        <v>746.05662150599994</v>
      </c>
      <c r="K825" s="1203">
        <f>'RC1_Structure_RE'!M854</f>
        <v>1963.7276073211501</v>
      </c>
    </row>
    <row r="826" spans="1:11">
      <c r="A826" t="s">
        <v>10</v>
      </c>
      <c r="B826" t="s">
        <v>27</v>
      </c>
      <c r="C826" t="s">
        <v>57</v>
      </c>
      <c r="D826" t="s">
        <v>59</v>
      </c>
      <c r="E826" t="str" cm="1">
        <f t="array" ref="E826">_xlfn.LET(_xlpm.c,'RC1_Structure_RE'!C855, _xlpm.b, 'RC1_Structure_RE'!B855, IF(_xlpm.c&lt;&gt;"", _xlpm.c, _xlpm.b))</f>
        <v>Steel Plate Stair Case 3.2 mm. THK.</v>
      </c>
      <c r="F826" s="1205"/>
      <c r="G826" s="1203" t="str">
        <f>'RC1_Structure_RE'!F855</f>
        <v>กก.</v>
      </c>
      <c r="H826" s="1203">
        <f>'RC1_Structure_RE'!E855</f>
        <v>277</v>
      </c>
      <c r="I826" s="1203">
        <f>'RC1_Structure_RE'!I855</f>
        <v>6686.593239270579</v>
      </c>
      <c r="J826" s="1203">
        <f>'RC1_Structure_RE'!L855</f>
        <v>3625.5734062659994</v>
      </c>
      <c r="K826" s="1203">
        <f>'RC1_Structure_RE'!M855</f>
        <v>10312.166645536578</v>
      </c>
    </row>
    <row r="827" spans="1:11">
      <c r="A827" t="s">
        <v>10</v>
      </c>
      <c r="B827" t="s">
        <v>27</v>
      </c>
      <c r="C827" t="s">
        <v>57</v>
      </c>
      <c r="D827" t="s">
        <v>59</v>
      </c>
      <c r="E827" t="str" cm="1">
        <f t="array" ref="E827">_xlfn.LET(_xlpm.c,'RC1_Structure_RE'!C856, _xlpm.b, 'RC1_Structure_RE'!B856, IF(_xlpm.c&lt;&gt;"", _xlpm.c, _xlpm.b))</f>
        <v>Steel Plate Support</v>
      </c>
      <c r="F827" s="1205"/>
      <c r="G827" s="1203" t="str">
        <f>'RC1_Structure_RE'!F856</f>
        <v>กก.</v>
      </c>
      <c r="H827" s="1203">
        <f>'RC1_Structure_RE'!E856</f>
        <v>17</v>
      </c>
      <c r="I827" s="1203">
        <f>'RC1_Structure_RE'!I856</f>
        <v>396.85911687102998</v>
      </c>
      <c r="J827" s="1203">
        <f>'RC1_Structure_RE'!L856</f>
        <v>222.50811518599997</v>
      </c>
      <c r="K827" s="1203">
        <f>'RC1_Structure_RE'!M856</f>
        <v>619.36723205702992</v>
      </c>
    </row>
    <row r="828" spans="1:11">
      <c r="A828" t="s">
        <v>10</v>
      </c>
      <c r="B828" t="s">
        <v>27</v>
      </c>
      <c r="C828" t="s">
        <v>57</v>
      </c>
      <c r="D828" t="s">
        <v>59</v>
      </c>
      <c r="E828" t="str" cm="1">
        <f t="array" ref="E828">_xlfn.LET(_xlpm.c,'RC1_Structure_RE'!C857, _xlpm.b, 'RC1_Structure_RE'!B857, IF(_xlpm.c&lt;&gt;"", _xlpm.c, _xlpm.b))</f>
        <v>L-Bolt-M12-300L (A325)</v>
      </c>
      <c r="F828" s="1205"/>
      <c r="G828" s="1203" t="str">
        <f>'RC1_Structure_RE'!F857</f>
        <v>ชุด</v>
      </c>
      <c r="H828" s="1203">
        <f>'RC1_Structure_RE'!E857</f>
        <v>22</v>
      </c>
      <c r="I828" s="1203">
        <f>'RC1_Structure_RE'!I857</f>
        <v>1192.942667972</v>
      </c>
      <c r="J828" s="1203">
        <f>'RC1_Structure_RE'!L857</f>
        <v>357.88280039159991</v>
      </c>
      <c r="K828" s="1203">
        <f>'RC1_Structure_RE'!M857</f>
        <v>1550.8254683635998</v>
      </c>
    </row>
    <row r="829" spans="1:11">
      <c r="A829" t="s">
        <v>10</v>
      </c>
      <c r="B829" t="s">
        <v>27</v>
      </c>
      <c r="C829" t="s">
        <v>57</v>
      </c>
      <c r="D829" t="s">
        <v>59</v>
      </c>
      <c r="E829" t="str" cm="1">
        <f t="array" ref="E829">_xlfn.LET(_xlpm.c,'RC1_Structure_RE'!C858, _xlpm.b, 'RC1_Structure_RE'!B858, IF(_xlpm.c&lt;&gt;"", _xlpm.c, _xlpm.b))</f>
        <v>งานสีกันสนิม</v>
      </c>
      <c r="F829" s="1205"/>
      <c r="G829" s="1203" t="str">
        <f>'RC1_Structure_RE'!F858</f>
        <v>ตร.ม.</v>
      </c>
      <c r="H829" s="1203">
        <f>'RC1_Structure_RE'!E858</f>
        <v>32</v>
      </c>
      <c r="I829" s="1203">
        <f>'RC1_Structure_RE'!I858</f>
        <v>838.27595126207996</v>
      </c>
      <c r="J829" s="1203">
        <f>'RC1_Structure_RE'!L858</f>
        <v>897.51172511999994</v>
      </c>
      <c r="K829" s="1203">
        <f>'RC1_Structure_RE'!M858</f>
        <v>1735.78767638208</v>
      </c>
    </row>
    <row r="830" spans="1:11">
      <c r="A830" t="s">
        <v>10</v>
      </c>
      <c r="B830" t="s">
        <v>27</v>
      </c>
      <c r="C830" t="s">
        <v>57</v>
      </c>
      <c r="D830" t="s">
        <v>59</v>
      </c>
      <c r="E830" t="str" cm="1">
        <f t="array" ref="E830">_xlfn.LET(_xlpm.c,'RC1_Structure_RE'!C859, _xlpm.b, 'RC1_Structure_RE'!B859, IF(_xlpm.c&lt;&gt;"", _xlpm.c, _xlpm.b))</f>
        <v>งานสีน้ำมัน</v>
      </c>
      <c r="F830" s="1205"/>
      <c r="G830" s="1203" t="str">
        <f>'RC1_Structure_RE'!F859</f>
        <v>ตร.ม.</v>
      </c>
      <c r="H830" s="1203">
        <f>'RC1_Structure_RE'!E859</f>
        <v>32</v>
      </c>
      <c r="I830" s="1203">
        <f>'RC1_Structure_RE'!I859</f>
        <v>966.91929852928001</v>
      </c>
      <c r="J830" s="1203">
        <f>'RC1_Structure_RE'!L859</f>
        <v>1047.09701264</v>
      </c>
      <c r="K830" s="1203">
        <f>'RC1_Structure_RE'!M859</f>
        <v>2014.01631116928</v>
      </c>
    </row>
    <row r="831" spans="1:11">
      <c r="A831" t="s">
        <v>10</v>
      </c>
      <c r="B831" t="s">
        <v>27</v>
      </c>
      <c r="C831" t="s">
        <v>57</v>
      </c>
      <c r="D831" t="s">
        <v>59</v>
      </c>
      <c r="E831" t="str" cm="1">
        <f t="array" ref="E831">_xlfn.LET(_xlpm.c,'RC1_Structure_RE'!C860, _xlpm.b, 'RC1_Structure_RE'!B860, IF(_xlpm.c&lt;&gt;"", _xlpm.c, _xlpm.b))</f>
        <v>งานทาสีกันไฟ Fireproof Coating  ความหนาไม่น้อยกว่า 500 ไมครอน</v>
      </c>
      <c r="F831" s="1205"/>
      <c r="G831" s="1203" t="str">
        <f>'RC1_Structure_RE'!F860</f>
        <v>ตร.ม.</v>
      </c>
      <c r="H831" s="1203">
        <f>'RC1_Structure_RE'!E860</f>
        <v>32</v>
      </c>
      <c r="I831" s="1203">
        <f>'RC1_Structure_RE'!I860</f>
        <v>3889.2174755199999</v>
      </c>
      <c r="J831" s="1203">
        <f>'RC1_Structure_RE'!L860</f>
        <v>897.51172511999994</v>
      </c>
      <c r="K831" s="1203">
        <f>'RC1_Structure_RE'!M860</f>
        <v>4786.7292006400003</v>
      </c>
    </row>
    <row r="832" spans="1:11">
      <c r="A832" t="s">
        <v>10</v>
      </c>
      <c r="B832" t="s">
        <v>27</v>
      </c>
      <c r="C832" t="s">
        <v>57</v>
      </c>
      <c r="D832" t="s">
        <v>60</v>
      </c>
      <c r="E832" t="str" cm="1">
        <f t="array" ref="E832">_xlfn.LET(_xlpm.c,'RC1_Structure_RE'!C861, _xlpm.b, 'RC1_Structure_RE'!B861, IF(_xlpm.c&lt;&gt;"", _xlpm.c, _xlpm.b))</f>
        <v>บันได ST09 (ref. dwg A423-A424 ,S1-703)</v>
      </c>
      <c r="F832" s="1205"/>
      <c r="G832" s="1203">
        <f>'RC1_Structure_RE'!F861</f>
        <v>0</v>
      </c>
      <c r="H832" s="1203">
        <f>'RC1_Structure_RE'!E861</f>
        <v>0</v>
      </c>
      <c r="I832" s="1203">
        <f>'RC1_Structure_RE'!I861</f>
        <v>0</v>
      </c>
      <c r="J832" s="1203">
        <f>'RC1_Structure_RE'!L861</f>
        <v>0</v>
      </c>
      <c r="K832" s="1203">
        <f>'RC1_Structure_RE'!M861</f>
        <v>0</v>
      </c>
    </row>
    <row r="833" spans="1:11">
      <c r="A833" t="s">
        <v>10</v>
      </c>
      <c r="B833" t="s">
        <v>27</v>
      </c>
      <c r="C833" t="s">
        <v>57</v>
      </c>
      <c r="D833" t="s">
        <v>60</v>
      </c>
      <c r="E833" t="str" cm="1">
        <f t="array" ref="E833">_xlfn.LET(_xlpm.c,'RC1_Structure_RE'!C862, _xlpm.b, 'RC1_Structure_RE'!B862, IF(_xlpm.c&lt;&gt;"", _xlpm.c, _xlpm.b))</f>
        <v>WF-250x250x9x14 mm.-72.4 kg/m.</v>
      </c>
      <c r="F833" s="1205"/>
      <c r="G833" s="1203" t="str">
        <f>'RC1_Structure_RE'!F862</f>
        <v>กก.</v>
      </c>
      <c r="H833" s="1203">
        <f>'RC1_Structure_RE'!E862</f>
        <v>1738</v>
      </c>
      <c r="I833" s="1203">
        <f>'RC1_Structure_RE'!I862</f>
        <v>51443.39007881876</v>
      </c>
      <c r="J833" s="1203">
        <f>'RC1_Structure_RE'!L862</f>
        <v>22748.182599603999</v>
      </c>
      <c r="K833" s="1203">
        <f>'RC1_Structure_RE'!M862</f>
        <v>74191.572678422759</v>
      </c>
    </row>
    <row r="834" spans="1:11">
      <c r="A834" t="s">
        <v>10</v>
      </c>
      <c r="B834" t="s">
        <v>27</v>
      </c>
      <c r="C834" t="s">
        <v>57</v>
      </c>
      <c r="D834" t="s">
        <v>60</v>
      </c>
      <c r="E834" t="str" cm="1">
        <f t="array" ref="E834">_xlfn.LET(_xlpm.c,'RC1_Structure_RE'!C863, _xlpm.b, 'RC1_Structure_RE'!B863, IF(_xlpm.c&lt;&gt;"", _xlpm.c, _xlpm.b))</f>
        <v>Steel Plate Support</v>
      </c>
      <c r="F834" s="1205"/>
      <c r="G834" s="1203" t="str">
        <f>'RC1_Structure_RE'!F863</f>
        <v>กก</v>
      </c>
      <c r="H834" s="1203">
        <f>'RC1_Structure_RE'!E863</f>
        <v>145</v>
      </c>
      <c r="I834" s="1203">
        <f>'RC1_Structure_RE'!I863</f>
        <v>3384.9748203705499</v>
      </c>
      <c r="J834" s="1203">
        <f>'RC1_Structure_RE'!L863</f>
        <v>1897.8633354099998</v>
      </c>
      <c r="K834" s="1203">
        <f>'RC1_Structure_RE'!M863</f>
        <v>5282.8381557805496</v>
      </c>
    </row>
    <row r="835" spans="1:11">
      <c r="A835" t="s">
        <v>10</v>
      </c>
      <c r="B835" t="s">
        <v>27</v>
      </c>
      <c r="C835" t="s">
        <v>57</v>
      </c>
      <c r="D835" t="s">
        <v>60</v>
      </c>
      <c r="E835" t="str" cm="1">
        <f t="array" ref="E835">_xlfn.LET(_xlpm.c,'RC1_Structure_RE'!C864, _xlpm.b, 'RC1_Structure_RE'!B864, IF(_xlpm.c&lt;&gt;"", _xlpm.c, _xlpm.b))</f>
        <v>J-Bolt-M20-350L (A325)</v>
      </c>
      <c r="F835" s="1205"/>
      <c r="G835" s="1203" t="str">
        <f>'RC1_Structure_RE'!F864</f>
        <v>ชุด</v>
      </c>
      <c r="H835" s="1203">
        <f>'RC1_Structure_RE'!E864</f>
        <v>48</v>
      </c>
      <c r="I835" s="1203">
        <f>'RC1_Structure_RE'!I864</f>
        <v>6417.208834608</v>
      </c>
      <c r="J835" s="1203">
        <f>'RC1_Structure_RE'!L864</f>
        <v>1925.1626503824</v>
      </c>
      <c r="K835" s="1203">
        <f>'RC1_Structure_RE'!M864</f>
        <v>8342.371484990399</v>
      </c>
    </row>
    <row r="836" spans="1:11">
      <c r="A836" t="s">
        <v>10</v>
      </c>
      <c r="B836" t="s">
        <v>27</v>
      </c>
      <c r="C836" t="s">
        <v>57</v>
      </c>
      <c r="D836" t="s">
        <v>60</v>
      </c>
      <c r="E836" t="str" cm="1">
        <f t="array" ref="E836">_xlfn.LET(_xlpm.c,'RC1_Structure_RE'!C865, _xlpm.b, 'RC1_Structure_RE'!B865, IF(_xlpm.c&lt;&gt;"", _xlpm.c, _xlpm.b))</f>
        <v>งานสีกันสนิม</v>
      </c>
      <c r="F836" s="1205"/>
      <c r="G836" s="1203" t="str">
        <f>'RC1_Structure_RE'!F865</f>
        <v>ตร.ม.</v>
      </c>
      <c r="H836" s="1203">
        <f>'RC1_Structure_RE'!E865</f>
        <v>137</v>
      </c>
      <c r="I836" s="1203">
        <f>'RC1_Structure_RE'!I865</f>
        <v>3588.8689163407798</v>
      </c>
      <c r="J836" s="1203">
        <f>'RC1_Structure_RE'!L865</f>
        <v>3842.4720731699999</v>
      </c>
      <c r="K836" s="1203">
        <f>'RC1_Structure_RE'!M865</f>
        <v>7431.3409895107798</v>
      </c>
    </row>
    <row r="837" spans="1:11">
      <c r="A837" t="s">
        <v>10</v>
      </c>
      <c r="B837" t="s">
        <v>27</v>
      </c>
      <c r="C837" t="s">
        <v>57</v>
      </c>
      <c r="D837" t="s">
        <v>60</v>
      </c>
      <c r="E837" t="str" cm="1">
        <f t="array" ref="E837">_xlfn.LET(_xlpm.c,'RC1_Structure_RE'!C866, _xlpm.b, 'RC1_Structure_RE'!B866, IF(_xlpm.c&lt;&gt;"", _xlpm.c, _xlpm.b))</f>
        <v>งานสีน้ำมัน</v>
      </c>
      <c r="F837" s="1205"/>
      <c r="G837" s="1203" t="str">
        <f>'RC1_Structure_RE'!F866</f>
        <v>ตร.ม.</v>
      </c>
      <c r="H837" s="1203">
        <f>'RC1_Structure_RE'!E866</f>
        <v>137</v>
      </c>
      <c r="I837" s="1203">
        <f>'RC1_Structure_RE'!I866</f>
        <v>4139.6232468284798</v>
      </c>
      <c r="J837" s="1203">
        <f>'RC1_Structure_RE'!L866</f>
        <v>4482.8840853649999</v>
      </c>
      <c r="K837" s="1203">
        <f>'RC1_Structure_RE'!M866</f>
        <v>8622.5073321934797</v>
      </c>
    </row>
    <row r="838" spans="1:11">
      <c r="A838" t="s">
        <v>10</v>
      </c>
      <c r="B838" t="s">
        <v>27</v>
      </c>
      <c r="C838" t="s">
        <v>57</v>
      </c>
      <c r="D838" t="s">
        <v>60</v>
      </c>
      <c r="E838" t="str" cm="1">
        <f t="array" ref="E838">_xlfn.LET(_xlpm.c,'RC1_Structure_RE'!C867, _xlpm.b, 'RC1_Structure_RE'!B867, IF(_xlpm.c&lt;&gt;"", _xlpm.c, _xlpm.b))</f>
        <v>งานทาสีกันไฟ Fireproof Coating  ความหนาไม่น้อยกว่า 500 ไมครอน</v>
      </c>
      <c r="F838" s="1205"/>
      <c r="G838" s="1203" t="str">
        <f>'RC1_Structure_RE'!F867</f>
        <v>ตร.ม.</v>
      </c>
      <c r="H838" s="1203">
        <f>'RC1_Structure_RE'!E867</f>
        <v>137</v>
      </c>
      <c r="I838" s="1203">
        <f>'RC1_Structure_RE'!I867</f>
        <v>16650.71231707</v>
      </c>
      <c r="J838" s="1203">
        <f>'RC1_Structure_RE'!L867</f>
        <v>3842.4720731699999</v>
      </c>
      <c r="K838" s="1203">
        <f>'RC1_Structure_RE'!M867</f>
        <v>20493.18439024</v>
      </c>
    </row>
    <row r="839" spans="1:11">
      <c r="A839" t="s">
        <v>10</v>
      </c>
      <c r="B839" t="s">
        <v>27</v>
      </c>
      <c r="C839" t="s">
        <v>57</v>
      </c>
      <c r="D839" t="s">
        <v>61</v>
      </c>
      <c r="E839" t="str" cm="1">
        <f t="array" ref="E839">_xlfn.LET(_xlpm.c,'RC1_Structure_RE'!C868, _xlpm.b, 'RC1_Structure_RE'!B868, IF(_xlpm.c&lt;&gt;"", _xlpm.c, _xlpm.b))</f>
        <v>บันไดเวียน ST10 (ref. dwg S1-704)</v>
      </c>
      <c r="F839" s="1205"/>
      <c r="G839" s="1203">
        <f>'RC1_Structure_RE'!F868</f>
        <v>0</v>
      </c>
      <c r="H839" s="1203">
        <f>'RC1_Structure_RE'!E868</f>
        <v>0</v>
      </c>
      <c r="I839" s="1203">
        <f>'RC1_Structure_RE'!I868</f>
        <v>0</v>
      </c>
      <c r="J839" s="1203">
        <f>'RC1_Structure_RE'!L868</f>
        <v>0</v>
      </c>
      <c r="K839" s="1203">
        <f>'RC1_Structure_RE'!M868</f>
        <v>0</v>
      </c>
    </row>
    <row r="840" spans="1:11">
      <c r="A840" t="s">
        <v>10</v>
      </c>
      <c r="B840" t="s">
        <v>27</v>
      </c>
      <c r="C840" t="s">
        <v>57</v>
      </c>
      <c r="D840" t="s">
        <v>61</v>
      </c>
      <c r="E840" t="str" cm="1">
        <f t="array" ref="E840">_xlfn.LET(_xlpm.c,'RC1_Structure_RE'!C869, _xlpm.b, 'RC1_Structure_RE'!B869, IF(_xlpm.c&lt;&gt;"", _xlpm.c, _xlpm.b))</f>
        <v>Pipe 200x6 mm. -28.71 kg/m</v>
      </c>
      <c r="F840" s="1205"/>
      <c r="G840" s="1203" t="str">
        <f>'RC1_Structure_RE'!F869</f>
        <v>กก.</v>
      </c>
      <c r="H840" s="1203">
        <f>'RC1_Structure_RE'!E869</f>
        <v>107</v>
      </c>
      <c r="I840" s="1203">
        <f>'RC1_Structure_RE'!I869</f>
        <v>2830.9950571207</v>
      </c>
      <c r="J840" s="1203">
        <f>'RC1_Structure_RE'!L869</f>
        <v>1400.4922544059998</v>
      </c>
      <c r="K840" s="1203">
        <f>'RC1_Structure_RE'!M869</f>
        <v>4231.4873115267001</v>
      </c>
    </row>
    <row r="841" spans="1:11">
      <c r="A841" t="s">
        <v>10</v>
      </c>
      <c r="B841" t="s">
        <v>27</v>
      </c>
      <c r="C841" t="s">
        <v>57</v>
      </c>
      <c r="D841" t="s">
        <v>61</v>
      </c>
      <c r="E841" t="str" cm="1">
        <f t="array" ref="E841">_xlfn.LET(_xlpm.c,'RC1_Structure_RE'!C870, _xlpm.b, 'RC1_Structure_RE'!B870, IF(_xlpm.c&lt;&gt;"", _xlpm.c, _xlpm.b))</f>
        <v>Steel Plate Support</v>
      </c>
      <c r="F841" s="1205"/>
      <c r="G841" s="1203" t="str">
        <f>'RC1_Structure_RE'!F870</f>
        <v>กก.</v>
      </c>
      <c r="H841" s="1203">
        <f>'RC1_Structure_RE'!E870</f>
        <v>19.7</v>
      </c>
      <c r="I841" s="1203">
        <f>'RC1_Structure_RE'!I870</f>
        <v>502.98707364232899</v>
      </c>
      <c r="J841" s="1203">
        <f>'RC1_Structure_RE'!L870</f>
        <v>257.84763936259998</v>
      </c>
      <c r="K841" s="1203">
        <f>'RC1_Structure_RE'!M870</f>
        <v>760.83471300492897</v>
      </c>
    </row>
    <row r="842" spans="1:11">
      <c r="A842" t="s">
        <v>10</v>
      </c>
      <c r="B842" t="s">
        <v>27</v>
      </c>
      <c r="C842" t="s">
        <v>57</v>
      </c>
      <c r="D842" t="s">
        <v>61</v>
      </c>
      <c r="E842" t="str" cm="1">
        <f t="array" ref="E842">_xlfn.LET(_xlpm.c,'RC1_Structure_RE'!C871, _xlpm.b, 'RC1_Structure_RE'!B871, IF(_xlpm.c&lt;&gt;"", _xlpm.c, _xlpm.b))</f>
        <v>DB12-Dowel Support</v>
      </c>
      <c r="F842" s="1205"/>
      <c r="G842" s="1203" t="str">
        <f>'RC1_Structure_RE'!F871</f>
        <v>กก.</v>
      </c>
      <c r="H842" s="1203">
        <f>'RC1_Structure_RE'!E871</f>
        <v>2.9</v>
      </c>
      <c r="I842" s="1203">
        <f>'RC1_Structure_RE'!I871</f>
        <v>56.122530061409989</v>
      </c>
      <c r="J842" s="1203">
        <f>'RC1_Structure_RE'!L871</f>
        <v>9.76044001068</v>
      </c>
      <c r="K842" s="1203">
        <f>'RC1_Structure_RE'!M871</f>
        <v>65.882970072089989</v>
      </c>
    </row>
    <row r="843" spans="1:11">
      <c r="A843" t="s">
        <v>10</v>
      </c>
      <c r="B843" t="s">
        <v>27</v>
      </c>
      <c r="C843" t="s">
        <v>57</v>
      </c>
      <c r="D843" t="s">
        <v>61</v>
      </c>
      <c r="E843" t="str" cm="1">
        <f t="array" ref="E843">_xlfn.LET(_xlpm.c,'RC1_Structure_RE'!C872, _xlpm.b, 'RC1_Structure_RE'!B872, IF(_xlpm.c&lt;&gt;"", _xlpm.c, _xlpm.b))</f>
        <v>DB20-Dowel Support</v>
      </c>
      <c r="F843" s="1205"/>
      <c r="G843" s="1203" t="str">
        <f>'RC1_Structure_RE'!F872</f>
        <v>กก</v>
      </c>
      <c r="H843" s="1203">
        <f>'RC1_Structure_RE'!E872</f>
        <v>14.8</v>
      </c>
      <c r="I843" s="1203">
        <f>'RC1_Structure_RE'!I872</f>
        <v>283.65110145979997</v>
      </c>
      <c r="J843" s="1203">
        <f>'RC1_Structure_RE'!L872</f>
        <v>42.893581196360003</v>
      </c>
      <c r="K843" s="1203">
        <f>'RC1_Structure_RE'!M872</f>
        <v>326.54468265615998</v>
      </c>
    </row>
    <row r="844" spans="1:11">
      <c r="A844" t="s">
        <v>10</v>
      </c>
      <c r="B844" t="s">
        <v>27</v>
      </c>
      <c r="C844" t="s">
        <v>57</v>
      </c>
      <c r="D844" t="s">
        <v>61</v>
      </c>
      <c r="E844" t="str" cm="1">
        <f t="array" ref="E844">_xlfn.LET(_xlpm.c,'RC1_Structure_RE'!C873, _xlpm.b, 'RC1_Structure_RE'!B873, IF(_xlpm.c&lt;&gt;"", _xlpm.c, _xlpm.b))</f>
        <v>งานสีกันสนิม</v>
      </c>
      <c r="F844" s="1205"/>
      <c r="G844" s="1203" t="str">
        <f>'RC1_Structure_RE'!F873</f>
        <v>ตร.ม.</v>
      </c>
      <c r="H844" s="1203">
        <f>'RC1_Structure_RE'!E873</f>
        <v>184</v>
      </c>
      <c r="I844" s="1203">
        <f>'RC1_Structure_RE'!I873</f>
        <v>4820.0867197569596</v>
      </c>
      <c r="J844" s="1203">
        <f>'RC1_Structure_RE'!L873</f>
        <v>5160.6924194399999</v>
      </c>
      <c r="K844" s="1203">
        <f>'RC1_Structure_RE'!M873</f>
        <v>9980.7791391969586</v>
      </c>
    </row>
    <row r="845" spans="1:11">
      <c r="A845" t="s">
        <v>10</v>
      </c>
      <c r="B845" t="s">
        <v>27</v>
      </c>
      <c r="C845" t="s">
        <v>57</v>
      </c>
      <c r="D845" t="s">
        <v>61</v>
      </c>
      <c r="E845" t="str" cm="1">
        <f t="array" ref="E845">_xlfn.LET(_xlpm.c,'RC1_Structure_RE'!C874, _xlpm.b, 'RC1_Structure_RE'!B874, IF(_xlpm.c&lt;&gt;"", _xlpm.c, _xlpm.b))</f>
        <v>งานสีน้ำมัน</v>
      </c>
      <c r="F845" s="1205"/>
      <c r="G845" s="1203" t="str">
        <f>'RC1_Structure_RE'!F874</f>
        <v>ตร.ม.</v>
      </c>
      <c r="H845" s="1203">
        <f>'RC1_Structure_RE'!E874</f>
        <v>184</v>
      </c>
      <c r="I845" s="1203">
        <f>'RC1_Structure_RE'!I874</f>
        <v>5559.7859665433598</v>
      </c>
      <c r="J845" s="1203">
        <f>'RC1_Structure_RE'!L874</f>
        <v>6020.8078226799998</v>
      </c>
      <c r="K845" s="1203">
        <f>'RC1_Structure_RE'!M874</f>
        <v>11580.59378922336</v>
      </c>
    </row>
    <row r="846" spans="1:11">
      <c r="A846" t="s">
        <v>10</v>
      </c>
      <c r="B846" t="s">
        <v>27</v>
      </c>
      <c r="C846" t="s">
        <v>57</v>
      </c>
      <c r="D846" t="s">
        <v>61</v>
      </c>
      <c r="E846" t="str" cm="1">
        <f t="array" ref="E846">_xlfn.LET(_xlpm.c,'RC1_Structure_RE'!C875, _xlpm.b, 'RC1_Structure_RE'!B875, IF(_xlpm.c&lt;&gt;"", _xlpm.c, _xlpm.b))</f>
        <v>งานทาสีกันไฟ Fireproof Coating  ความหนาไม่น้อยกว่า 500 ไมครอน</v>
      </c>
      <c r="F846" s="1205"/>
      <c r="G846" s="1203" t="str">
        <f>'RC1_Structure_RE'!F875</f>
        <v>ตร.ม.</v>
      </c>
      <c r="H846" s="1203">
        <f>'RC1_Structure_RE'!E875</f>
        <v>184</v>
      </c>
      <c r="I846" s="1203">
        <f>'RC1_Structure_RE'!I875</f>
        <v>22363.000484239998</v>
      </c>
      <c r="J846" s="1203">
        <f>'RC1_Structure_RE'!L875</f>
        <v>5160.6924194399999</v>
      </c>
      <c r="K846" s="1203">
        <f>'RC1_Structure_RE'!M875</f>
        <v>27523.692903679999</v>
      </c>
    </row>
    <row r="847" spans="1:11">
      <c r="A847" t="s">
        <v>10</v>
      </c>
      <c r="B847" t="s">
        <v>27</v>
      </c>
      <c r="C847" t="s">
        <v>57</v>
      </c>
      <c r="D847" t="s">
        <v>62</v>
      </c>
      <c r="E847" t="str" cm="1">
        <f t="array" ref="E847">_xlfn.LET(_xlpm.c,'RC1_Structure_RE'!C876, _xlpm.b, 'RC1_Structure_RE'!B876, IF(_xlpm.c&lt;&gt;"", _xlpm.c, _xlpm.b))</f>
        <v>ทางเชื่อม ST10 (ref. dwg S1-704)</v>
      </c>
      <c r="F847" s="1205"/>
      <c r="G847" s="1203">
        <f>'RC1_Structure_RE'!F876</f>
        <v>0</v>
      </c>
      <c r="H847" s="1203">
        <f>'RC1_Structure_RE'!E876</f>
        <v>0</v>
      </c>
      <c r="I847" s="1203">
        <f>'RC1_Structure_RE'!I876</f>
        <v>0</v>
      </c>
      <c r="J847" s="1203">
        <f>'RC1_Structure_RE'!L876</f>
        <v>0</v>
      </c>
      <c r="K847" s="1203">
        <f>'RC1_Structure_RE'!M876</f>
        <v>0</v>
      </c>
    </row>
    <row r="848" spans="1:11">
      <c r="A848" t="s">
        <v>10</v>
      </c>
      <c r="B848" t="s">
        <v>27</v>
      </c>
      <c r="C848" t="s">
        <v>57</v>
      </c>
      <c r="D848" t="s">
        <v>62</v>
      </c>
      <c r="E848" t="str" cm="1">
        <f t="array" ref="E848">_xlfn.LET(_xlpm.c,'RC1_Structure_RE'!C877, _xlpm.b, 'RC1_Structure_RE'!B877, IF(_xlpm.c&lt;&gt;"", _xlpm.c, _xlpm.b))</f>
        <v>Pipe 200x6 mm. -28.71 kg/m</v>
      </c>
      <c r="F848" s="1205"/>
      <c r="G848" s="1203" t="str">
        <f>'RC1_Structure_RE'!F877</f>
        <v>กก.</v>
      </c>
      <c r="H848" s="1203">
        <f>'RC1_Structure_RE'!E877</f>
        <v>70</v>
      </c>
      <c r="I848" s="1203">
        <f>'RC1_Structure_RE'!I877</f>
        <v>1852.0528411069999</v>
      </c>
      <c r="J848" s="1203">
        <f>'RC1_Structure_RE'!L877</f>
        <v>916.20988605999992</v>
      </c>
      <c r="K848" s="1203">
        <f>'RC1_Structure_RE'!M877</f>
        <v>2768.2627271669999</v>
      </c>
    </row>
    <row r="849" spans="1:11">
      <c r="A849" t="s">
        <v>10</v>
      </c>
      <c r="B849" t="s">
        <v>27</v>
      </c>
      <c r="C849" t="s">
        <v>57</v>
      </c>
      <c r="D849" t="s">
        <v>62</v>
      </c>
      <c r="E849" t="str" cm="1">
        <f t="array" ref="E849">_xlfn.LET(_xlpm.c,'RC1_Structure_RE'!C878, _xlpm.b, 'RC1_Structure_RE'!B878, IF(_xlpm.c&lt;&gt;"", _xlpm.c, _xlpm.b))</f>
        <v>เหล็กกล่อง 150x50x6 mm.</v>
      </c>
      <c r="F849" s="1205"/>
      <c r="G849" s="1203" t="str">
        <f>'RC1_Structure_RE'!F878</f>
        <v>กก.</v>
      </c>
      <c r="H849" s="1203">
        <f>'RC1_Structure_RE'!E878</f>
        <v>338</v>
      </c>
      <c r="I849" s="1203">
        <f>'RC1_Structure_RE'!I878</f>
        <v>9318.8081474381397</v>
      </c>
      <c r="J849" s="1203">
        <f>'RC1_Structure_RE'!L878</f>
        <v>4423.9848784039996</v>
      </c>
      <c r="K849" s="1203">
        <f>'RC1_Structure_RE'!M878</f>
        <v>13742.79302584214</v>
      </c>
    </row>
    <row r="850" spans="1:11">
      <c r="A850" t="s">
        <v>10</v>
      </c>
      <c r="B850" t="s">
        <v>27</v>
      </c>
      <c r="C850" t="s">
        <v>57</v>
      </c>
      <c r="D850" t="s">
        <v>62</v>
      </c>
      <c r="E850" t="str" cm="1">
        <f t="array" ref="E850">_xlfn.LET(_xlpm.c,'RC1_Structure_RE'!C879, _xlpm.b, 'RC1_Structure_RE'!B879, IF(_xlpm.c&lt;&gt;"", _xlpm.c, _xlpm.b))</f>
        <v>เหล็กกล่อง 200x100x6 mm.</v>
      </c>
      <c r="F850" s="1205"/>
      <c r="G850" s="1203" t="str">
        <f>'RC1_Structure_RE'!F879</f>
        <v>กก.</v>
      </c>
      <c r="H850" s="1203">
        <f>'RC1_Structure_RE'!E879</f>
        <v>634</v>
      </c>
      <c r="I850" s="1203">
        <f>'RC1_Structure_RE'!I879</f>
        <v>16774.3071608834</v>
      </c>
      <c r="J850" s="1203">
        <f>'RC1_Structure_RE'!L879</f>
        <v>8298.2438251719996</v>
      </c>
      <c r="K850" s="1203">
        <f>'RC1_Structure_RE'!M879</f>
        <v>25072.550986055401</v>
      </c>
    </row>
    <row r="851" spans="1:11">
      <c r="A851" t="s">
        <v>10</v>
      </c>
      <c r="B851" t="s">
        <v>27</v>
      </c>
      <c r="C851" t="s">
        <v>57</v>
      </c>
      <c r="D851" t="s">
        <v>62</v>
      </c>
      <c r="E851" t="str" cm="1">
        <f t="array" ref="E851">_xlfn.LET(_xlpm.c,'RC1_Structure_RE'!C880, _xlpm.b, 'RC1_Structure_RE'!B880, IF(_xlpm.c&lt;&gt;"", _xlpm.c, _xlpm.b))</f>
        <v>Steel Plate Support</v>
      </c>
      <c r="F851" s="1205"/>
      <c r="G851" s="1203" t="str">
        <f>'RC1_Structure_RE'!F880</f>
        <v>กก.</v>
      </c>
      <c r="H851" s="1203">
        <f>'RC1_Structure_RE'!E880</f>
        <v>26.2</v>
      </c>
      <c r="I851" s="1203">
        <f>'RC1_Structure_RE'!I880</f>
        <v>668.94727560553395</v>
      </c>
      <c r="J851" s="1203">
        <f>'RC1_Structure_RE'!L880</f>
        <v>342.92427163959997</v>
      </c>
      <c r="K851" s="1203">
        <f>'RC1_Structure_RE'!M880</f>
        <v>1011.8715472451339</v>
      </c>
    </row>
    <row r="852" spans="1:11">
      <c r="A852" t="s">
        <v>10</v>
      </c>
      <c r="B852" t="s">
        <v>27</v>
      </c>
      <c r="C852" t="s">
        <v>57</v>
      </c>
      <c r="D852" t="s">
        <v>62</v>
      </c>
      <c r="E852" t="str" cm="1">
        <f t="array" ref="E852">_xlfn.LET(_xlpm.c,'RC1_Structure_RE'!C881, _xlpm.b, 'RC1_Structure_RE'!B881, IF(_xlpm.c&lt;&gt;"", _xlpm.c, _xlpm.b))</f>
        <v>DB12-Dowel Support</v>
      </c>
      <c r="F852" s="1205"/>
      <c r="G852" s="1203" t="str">
        <f>'RC1_Structure_RE'!F881</f>
        <v>กก.</v>
      </c>
      <c r="H852" s="1203">
        <f>'RC1_Structure_RE'!E881</f>
        <v>8.6</v>
      </c>
      <c r="I852" s="1203">
        <f>'RC1_Structure_RE'!I881</f>
        <v>166.43233052693998</v>
      </c>
      <c r="J852" s="1203">
        <f>'RC1_Structure_RE'!L881</f>
        <v>28.944753135119999</v>
      </c>
      <c r="K852" s="1203">
        <f>'RC1_Structure_RE'!M881</f>
        <v>195.37708366205999</v>
      </c>
    </row>
    <row r="853" spans="1:11">
      <c r="A853" t="s">
        <v>10</v>
      </c>
      <c r="B853" t="s">
        <v>27</v>
      </c>
      <c r="C853" t="s">
        <v>57</v>
      </c>
      <c r="D853" t="s">
        <v>62</v>
      </c>
      <c r="E853" t="str" cm="1">
        <f t="array" ref="E853">_xlfn.LET(_xlpm.c,'RC1_Structure_RE'!C882, _xlpm.b, 'RC1_Structure_RE'!B882, IF(_xlpm.c&lt;&gt;"", _xlpm.c, _xlpm.b))</f>
        <v>DB20-Dowel Support</v>
      </c>
      <c r="F853" s="1205"/>
      <c r="G853" s="1203" t="str">
        <f>'RC1_Structure_RE'!F882</f>
        <v>กก</v>
      </c>
      <c r="H853" s="1203">
        <f>'RC1_Structure_RE'!E882</f>
        <v>14.8</v>
      </c>
      <c r="I853" s="1203">
        <f>'RC1_Structure_RE'!I882</f>
        <v>283.65110145979997</v>
      </c>
      <c r="J853" s="1203">
        <f>'RC1_Structure_RE'!L882</f>
        <v>42.893581196360003</v>
      </c>
      <c r="K853" s="1203">
        <f>'RC1_Structure_RE'!M882</f>
        <v>326.54468265615998</v>
      </c>
    </row>
    <row r="854" spans="1:11">
      <c r="A854" t="s">
        <v>10</v>
      </c>
      <c r="B854" t="s">
        <v>27</v>
      </c>
      <c r="C854" t="s">
        <v>57</v>
      </c>
      <c r="D854" t="s">
        <v>62</v>
      </c>
      <c r="E854" t="str" cm="1">
        <f t="array" ref="E854">_xlfn.LET(_xlpm.c,'RC1_Structure_RE'!C883, _xlpm.b, 'RC1_Structure_RE'!B883, IF(_xlpm.c&lt;&gt;"", _xlpm.c, _xlpm.b))</f>
        <v>งานสีกันสนิม</v>
      </c>
      <c r="F854" s="1205"/>
      <c r="G854" s="1203" t="str">
        <f>'RC1_Structure_RE'!F883</f>
        <v>ตร.ม.</v>
      </c>
      <c r="H854" s="1203">
        <f>'RC1_Structure_RE'!E883</f>
        <v>33</v>
      </c>
      <c r="I854" s="1203">
        <f>'RC1_Structure_RE'!I883</f>
        <v>864.47207473901994</v>
      </c>
      <c r="J854" s="1203">
        <f>'RC1_Structure_RE'!L883</f>
        <v>925.55896652999991</v>
      </c>
      <c r="K854" s="1203">
        <f>'RC1_Structure_RE'!M883</f>
        <v>1790.0310412690199</v>
      </c>
    </row>
    <row r="855" spans="1:11">
      <c r="A855" t="s">
        <v>10</v>
      </c>
      <c r="B855" t="s">
        <v>27</v>
      </c>
      <c r="C855" t="s">
        <v>57</v>
      </c>
      <c r="D855" t="s">
        <v>62</v>
      </c>
      <c r="E855" t="str" cm="1">
        <f t="array" ref="E855">_xlfn.LET(_xlpm.c,'RC1_Structure_RE'!C884, _xlpm.b, 'RC1_Structure_RE'!B884, IF(_xlpm.c&lt;&gt;"", _xlpm.c, _xlpm.b))</f>
        <v>งานสีน้ำมัน</v>
      </c>
      <c r="F855" s="1205"/>
      <c r="G855" s="1203" t="str">
        <f>'RC1_Structure_RE'!F884</f>
        <v>ตร.ม.</v>
      </c>
      <c r="H855" s="1203">
        <f>'RC1_Structure_RE'!E884</f>
        <v>33</v>
      </c>
      <c r="I855" s="1203">
        <f>'RC1_Structure_RE'!I884</f>
        <v>997.13552660831999</v>
      </c>
      <c r="J855" s="1203">
        <f>'RC1_Structure_RE'!L884</f>
        <v>1079.818794285</v>
      </c>
      <c r="K855" s="1203">
        <f>'RC1_Structure_RE'!M884</f>
        <v>2076.9543208933201</v>
      </c>
    </row>
    <row r="856" spans="1:11">
      <c r="A856" t="s">
        <v>10</v>
      </c>
      <c r="B856" t="s">
        <v>27</v>
      </c>
      <c r="C856" t="s">
        <v>57</v>
      </c>
      <c r="D856" t="s">
        <v>62</v>
      </c>
      <c r="E856" t="str" cm="1">
        <f t="array" ref="E856">_xlfn.LET(_xlpm.c,'RC1_Structure_RE'!C885, _xlpm.b, 'RC1_Structure_RE'!B885, IF(_xlpm.c&lt;&gt;"", _xlpm.c, _xlpm.b))</f>
        <v>งานทาสีกันไฟ Fireproof Coating  ความหนาไม่น้อยกว่า 500 ไมครอน</v>
      </c>
      <c r="F856" s="1205"/>
      <c r="G856" s="1203" t="str">
        <f>'RC1_Structure_RE'!F885</f>
        <v>ตร.ม.</v>
      </c>
      <c r="H856" s="1203">
        <f>'RC1_Structure_RE'!E885</f>
        <v>33</v>
      </c>
      <c r="I856" s="1203">
        <f>'RC1_Structure_RE'!I885</f>
        <v>4010.7555216299997</v>
      </c>
      <c r="J856" s="1203">
        <f>'RC1_Structure_RE'!L885</f>
        <v>925.55896652999991</v>
      </c>
      <c r="K856" s="1203">
        <f>'RC1_Structure_RE'!M885</f>
        <v>4936.3144881600001</v>
      </c>
    </row>
    <row r="857" spans="1:11">
      <c r="A857" t="s">
        <v>10</v>
      </c>
      <c r="B857" t="s">
        <v>27</v>
      </c>
      <c r="C857" t="s">
        <v>57</v>
      </c>
      <c r="D857" t="s">
        <v>63</v>
      </c>
      <c r="E857" t="str" cm="1">
        <f t="array" ref="E857">_xlfn.LET(_xlpm.c,'RC1_Structure_RE'!C886, _xlpm.b, 'RC1_Structure_RE'!B886, IF(_xlpm.c&lt;&gt;"", _xlpm.c, _xlpm.b))</f>
        <v>บันได Urban void (ref. dwg S1-1002)</v>
      </c>
      <c r="F857" s="1205"/>
      <c r="G857" s="1203">
        <f>'RC1_Structure_RE'!F886</f>
        <v>0</v>
      </c>
      <c r="H857" s="1203">
        <f>'RC1_Structure_RE'!E886</f>
        <v>0</v>
      </c>
      <c r="I857" s="1203">
        <f>'RC1_Structure_RE'!I886</f>
        <v>0</v>
      </c>
      <c r="J857" s="1203">
        <f>'RC1_Structure_RE'!L886</f>
        <v>0</v>
      </c>
      <c r="K857" s="1203">
        <f>'RC1_Structure_RE'!M886</f>
        <v>0</v>
      </c>
    </row>
    <row r="858" spans="1:11">
      <c r="A858" t="s">
        <v>10</v>
      </c>
      <c r="B858" t="s">
        <v>27</v>
      </c>
      <c r="C858" t="s">
        <v>57</v>
      </c>
      <c r="D858" t="s">
        <v>63</v>
      </c>
      <c r="E858" t="str" cm="1">
        <f t="array" ref="E858">_xlfn.LET(_xlpm.c,'RC1_Structure_RE'!C887, _xlpm.b, 'RC1_Structure_RE'!B887, IF(_xlpm.c&lt;&gt;"", _xlpm.c, _xlpm.b))</f>
        <v>เหล็กกล่อง-50x50x3.2 mm.</v>
      </c>
      <c r="F858" s="1205"/>
      <c r="G858" s="1203" t="str">
        <f>'RC1_Structure_RE'!F887</f>
        <v>กก.</v>
      </c>
      <c r="H858" s="1203">
        <f>'RC1_Structure_RE'!E887</f>
        <v>1674</v>
      </c>
      <c r="I858" s="1203">
        <f>'RC1_Structure_RE'!I887</f>
        <v>41833.414169222939</v>
      </c>
      <c r="J858" s="1203">
        <f>'RC1_Structure_RE'!L887</f>
        <v>18780.432848135999</v>
      </c>
      <c r="K858" s="1203">
        <f>'RC1_Structure_RE'!M887</f>
        <v>60613.847017358938</v>
      </c>
    </row>
    <row r="859" spans="1:11">
      <c r="A859" t="s">
        <v>10</v>
      </c>
      <c r="B859" t="s">
        <v>27</v>
      </c>
      <c r="C859" t="s">
        <v>57</v>
      </c>
      <c r="D859" t="s">
        <v>63</v>
      </c>
      <c r="E859" t="str" cm="1">
        <f t="array" ref="E859">_xlfn.LET(_xlpm.c,'RC1_Structure_RE'!C888, _xlpm.b, 'RC1_Structure_RE'!B888, IF(_xlpm.c&lt;&gt;"", _xlpm.c, _xlpm.b))</f>
        <v>เหล็กกล่อง-100x50x3.2 mm.</v>
      </c>
      <c r="F859" s="1205"/>
      <c r="G859" s="1203" t="str">
        <f>'RC1_Structure_RE'!F888</f>
        <v>กก.</v>
      </c>
      <c r="H859" s="1203">
        <f>'RC1_Structure_RE'!E888</f>
        <v>7698</v>
      </c>
      <c r="I859" s="1203">
        <f>'RC1_Structure_RE'!I888</f>
        <v>191006.31374969124</v>
      </c>
      <c r="J859" s="1203">
        <f>'RC1_Structure_RE'!L888</f>
        <v>86363.065749671994</v>
      </c>
      <c r="K859" s="1203">
        <f>'RC1_Structure_RE'!M888</f>
        <v>277369.37949936325</v>
      </c>
    </row>
    <row r="860" spans="1:11">
      <c r="A860" t="s">
        <v>10</v>
      </c>
      <c r="B860" t="s">
        <v>27</v>
      </c>
      <c r="C860" t="s">
        <v>57</v>
      </c>
      <c r="D860" t="s">
        <v>63</v>
      </c>
      <c r="E860" t="str" cm="1">
        <f t="array" ref="E860">_xlfn.LET(_xlpm.c,'RC1_Structure_RE'!C889, _xlpm.b, 'RC1_Structure_RE'!B889, IF(_xlpm.c&lt;&gt;"", _xlpm.c, _xlpm.b))</f>
        <v>เหล็กกล่อง-100x100x3.2 mm.</v>
      </c>
      <c r="F860" s="1205"/>
      <c r="G860" s="1203" t="str">
        <f>'RC1_Structure_RE'!F889</f>
        <v>กก.</v>
      </c>
      <c r="H860" s="1203">
        <f>'RC1_Structure_RE'!E889</f>
        <v>1029</v>
      </c>
      <c r="I860" s="1203">
        <f>'RC1_Structure_RE'!I889</f>
        <v>25724.424970906617</v>
      </c>
      <c r="J860" s="1203">
        <f>'RC1_Structure_RE'!L889</f>
        <v>11544.244564356</v>
      </c>
      <c r="K860" s="1203">
        <f>'RC1_Structure_RE'!M889</f>
        <v>37268.669535262619</v>
      </c>
    </row>
    <row r="861" spans="1:11">
      <c r="A861" t="s">
        <v>10</v>
      </c>
      <c r="B861" t="s">
        <v>27</v>
      </c>
      <c r="C861" t="s">
        <v>57</v>
      </c>
      <c r="D861" t="s">
        <v>63</v>
      </c>
      <c r="E861" t="str" cm="1">
        <f t="array" ref="E861">_xlfn.LET(_xlpm.c,'RC1_Structure_RE'!C890, _xlpm.b, 'RC1_Structure_RE'!B890, IF(_xlpm.c&lt;&gt;"", _xlpm.c, _xlpm.b))</f>
        <v>Steel Plate Support</v>
      </c>
      <c r="F861" s="1205"/>
      <c r="G861" s="1203" t="str">
        <f>'RC1_Structure_RE'!F890</f>
        <v>กก.</v>
      </c>
      <c r="H861" s="1203">
        <f>'RC1_Structure_RE'!E890</f>
        <v>237</v>
      </c>
      <c r="I861" s="1203">
        <f>'RC1_Structure_RE'!I890</f>
        <v>5532.6829822608297</v>
      </c>
      <c r="J861" s="1203">
        <f>'RC1_Structure_RE'!L890</f>
        <v>2658.8784856679999</v>
      </c>
      <c r="K861" s="1203">
        <f>'RC1_Structure_RE'!M890</f>
        <v>8191.5614679288301</v>
      </c>
    </row>
    <row r="862" spans="1:11">
      <c r="A862" t="s">
        <v>10</v>
      </c>
      <c r="B862" t="s">
        <v>27</v>
      </c>
      <c r="C862" t="s">
        <v>57</v>
      </c>
      <c r="D862" t="s">
        <v>63</v>
      </c>
      <c r="E862" t="str" cm="1">
        <f t="array" ref="E862">_xlfn.LET(_xlpm.c,'RC1_Structure_RE'!C891, _xlpm.b, 'RC1_Structure_RE'!B891, IF(_xlpm.c&lt;&gt;"", _xlpm.c, _xlpm.b))</f>
        <v>Bolt-M10-90L (HAS/RE500)</v>
      </c>
      <c r="F862" s="1205"/>
      <c r="G862" s="1203" t="str">
        <f>'RC1_Structure_RE'!F891</f>
        <v>ชุด</v>
      </c>
      <c r="H862" s="1203">
        <f>'RC1_Structure_RE'!E891</f>
        <v>1168</v>
      </c>
      <c r="I862" s="1203">
        <f>'RC1_Structure_RE'!I891</f>
        <v>26862.5259328416</v>
      </c>
      <c r="J862" s="1203">
        <f>'RC1_Structure_RE'!L891</f>
        <v>8058.7577798524799</v>
      </c>
      <c r="K862" s="1203">
        <f>'RC1_Structure_RE'!M891</f>
        <v>34921.283712694079</v>
      </c>
    </row>
    <row r="863" spans="1:11">
      <c r="A863" t="s">
        <v>10</v>
      </c>
      <c r="B863" t="s">
        <v>27</v>
      </c>
      <c r="C863" t="s">
        <v>57</v>
      </c>
      <c r="D863" t="s">
        <v>63</v>
      </c>
      <c r="E863" t="str" cm="1">
        <f t="array" ref="E863">_xlfn.LET(_xlpm.c,'RC1_Structure_RE'!C892, _xlpm.b, 'RC1_Structure_RE'!B892, IF(_xlpm.c&lt;&gt;"", _xlpm.c, _xlpm.b))</f>
        <v>งานสีกันสนิม</v>
      </c>
      <c r="F863" s="1205"/>
      <c r="G863" s="1203" t="str">
        <f>'RC1_Structure_RE'!F892</f>
        <v>ตร.ม.</v>
      </c>
      <c r="H863" s="1203">
        <f>'RC1_Structure_RE'!E892</f>
        <v>1399</v>
      </c>
      <c r="I863" s="1203">
        <f>'RC1_Structure_RE'!I892</f>
        <v>36648.37674423906</v>
      </c>
      <c r="J863" s="1203">
        <f>'RC1_Structure_RE'!L892</f>
        <v>39238.090732589997</v>
      </c>
      <c r="K863" s="1203">
        <f>'RC1_Structure_RE'!M892</f>
        <v>75886.467476829057</v>
      </c>
    </row>
    <row r="864" spans="1:11">
      <c r="A864" t="s">
        <v>10</v>
      </c>
      <c r="B864" t="s">
        <v>27</v>
      </c>
      <c r="C864" t="s">
        <v>57</v>
      </c>
      <c r="D864" t="s">
        <v>63</v>
      </c>
      <c r="E864" t="str" cm="1">
        <f t="array" ref="E864">_xlfn.LET(_xlpm.c,'RC1_Structure_RE'!C893, _xlpm.b, 'RC1_Structure_RE'!B893, IF(_xlpm.c&lt;&gt;"", _xlpm.c, _xlpm.b))</f>
        <v>งานสีน้ำมัน</v>
      </c>
      <c r="F864" s="1205"/>
      <c r="G864" s="1203" t="str">
        <f>'RC1_Structure_RE'!F893</f>
        <v>ตร.ม.</v>
      </c>
      <c r="H864" s="1203">
        <f>'RC1_Structure_RE'!E893</f>
        <v>1399</v>
      </c>
      <c r="I864" s="1203">
        <f>'RC1_Structure_RE'!I893</f>
        <v>42272.503082576957</v>
      </c>
      <c r="J864" s="1203">
        <f>'RC1_Structure_RE'!L893</f>
        <v>45777.772521355</v>
      </c>
      <c r="K864" s="1203">
        <f>'RC1_Structure_RE'!M893</f>
        <v>88050.27560393195</v>
      </c>
    </row>
    <row r="865" spans="1:11">
      <c r="A865" t="s">
        <v>10</v>
      </c>
      <c r="B865" t="s">
        <v>27</v>
      </c>
      <c r="C865" t="s">
        <v>57</v>
      </c>
      <c r="D865" t="s">
        <v>63</v>
      </c>
      <c r="E865" t="str" cm="1">
        <f t="array" ref="E865">_xlfn.LET(_xlpm.c,'RC1_Structure_RE'!C894, _xlpm.b, 'RC1_Structure_RE'!B894, IF(_xlpm.c&lt;&gt;"", _xlpm.c, _xlpm.b))</f>
        <v>งานทาสีกันไฟ Fireproof Coating  ความหนาไม่น้อยกว่า 500 ไมครอน</v>
      </c>
      <c r="F865" s="1205"/>
      <c r="G865" s="1203" t="str">
        <f>'RC1_Structure_RE'!F894</f>
        <v>ตร.ม.</v>
      </c>
      <c r="H865" s="1203">
        <f>'RC1_Structure_RE'!E894</f>
        <v>1399</v>
      </c>
      <c r="I865" s="1203">
        <f>'RC1_Structure_RE'!I894</f>
        <v>170031.72650789001</v>
      </c>
      <c r="J865" s="1203">
        <f>'RC1_Structure_RE'!L894</f>
        <v>39238.090732589997</v>
      </c>
      <c r="K865" s="1203">
        <f>'RC1_Structure_RE'!M894</f>
        <v>209269.81724048001</v>
      </c>
    </row>
    <row r="866" spans="1:11">
      <c r="A866" t="s">
        <v>10</v>
      </c>
      <c r="B866" t="s">
        <v>27</v>
      </c>
      <c r="C866" t="s">
        <v>57</v>
      </c>
      <c r="D866" t="s">
        <v>64</v>
      </c>
      <c r="E866" t="str" cm="1">
        <f t="array" ref="E866">_xlfn.LET(_xlpm.c,'RC1_Structure_RE'!C895, _xlpm.b, 'RC1_Structure_RE'!B895, IF(_xlpm.c&lt;&gt;"", _xlpm.c, _xlpm.b))</f>
        <v>บันได Auditorium (ref. dwg S1-1301)</v>
      </c>
      <c r="F866" s="1205"/>
      <c r="G866" s="1203">
        <f>'RC1_Structure_RE'!F895</f>
        <v>0</v>
      </c>
      <c r="H866" s="1203">
        <f>'RC1_Structure_RE'!E895</f>
        <v>0</v>
      </c>
      <c r="I866" s="1203">
        <f>'RC1_Structure_RE'!I895</f>
        <v>0</v>
      </c>
      <c r="J866" s="1203">
        <f>'RC1_Structure_RE'!L895</f>
        <v>0</v>
      </c>
      <c r="K866" s="1203">
        <f>'RC1_Structure_RE'!M895</f>
        <v>0</v>
      </c>
    </row>
    <row r="867" spans="1:11">
      <c r="A867" t="s">
        <v>10</v>
      </c>
      <c r="B867" t="s">
        <v>27</v>
      </c>
      <c r="C867" t="s">
        <v>57</v>
      </c>
      <c r="D867" t="s">
        <v>64</v>
      </c>
      <c r="E867" t="str" cm="1">
        <f t="array" ref="E867">_xlfn.LET(_xlpm.c,'RC1_Structure_RE'!C896, _xlpm.b, 'RC1_Structure_RE'!B896, IF(_xlpm.c&lt;&gt;"", _xlpm.c, _xlpm.b))</f>
        <v>เหล็กกล่อง-50x50x2.3 mm.</v>
      </c>
      <c r="F867" s="1205"/>
      <c r="G867" s="1203" t="str">
        <f>'RC1_Structure_RE'!F896</f>
        <v>กก.</v>
      </c>
      <c r="H867" s="1203">
        <f>'RC1_Structure_RE'!E896</f>
        <v>1243</v>
      </c>
      <c r="I867" s="1203">
        <f>'RC1_Structure_RE'!I896</f>
        <v>30841.887242253339</v>
      </c>
      <c r="J867" s="1203">
        <f>'RC1_Structure_RE'!L896</f>
        <v>13945.088429051999</v>
      </c>
      <c r="K867" s="1203">
        <f>'RC1_Structure_RE'!M896</f>
        <v>44786.975671305336</v>
      </c>
    </row>
    <row r="868" spans="1:11">
      <c r="A868" t="s">
        <v>10</v>
      </c>
      <c r="B868" t="s">
        <v>27</v>
      </c>
      <c r="C868" t="s">
        <v>57</v>
      </c>
      <c r="D868" t="s">
        <v>64</v>
      </c>
      <c r="E868" t="str" cm="1">
        <f t="array" ref="E868">_xlfn.LET(_xlpm.c,'RC1_Structure_RE'!C897, _xlpm.b, 'RC1_Structure_RE'!B897, IF(_xlpm.c&lt;&gt;"", _xlpm.c, _xlpm.b))</f>
        <v>เหล็กกล่อง-100x50x3.2 mm.</v>
      </c>
      <c r="F868" s="1205"/>
      <c r="G868" s="1203" t="str">
        <f>'RC1_Structure_RE'!F897</f>
        <v>กก.</v>
      </c>
      <c r="H868" s="1203">
        <f>'RC1_Structure_RE'!E897</f>
        <v>3239</v>
      </c>
      <c r="I868" s="1203">
        <f>'RC1_Structure_RE'!I897</f>
        <v>80367.556538743826</v>
      </c>
      <c r="J868" s="1203">
        <f>'RC1_Structure_RE'!L897</f>
        <v>36338.005970795995</v>
      </c>
      <c r="K868" s="1203">
        <f>'RC1_Structure_RE'!M897</f>
        <v>116705.56250953983</v>
      </c>
    </row>
    <row r="869" spans="1:11">
      <c r="A869" t="s">
        <v>10</v>
      </c>
      <c r="B869" t="s">
        <v>27</v>
      </c>
      <c r="C869" t="s">
        <v>57</v>
      </c>
      <c r="D869" t="s">
        <v>64</v>
      </c>
      <c r="E869" t="str" cm="1">
        <f t="array" ref="E869">_xlfn.LET(_xlpm.c,'RC1_Structure_RE'!C898, _xlpm.b, 'RC1_Structure_RE'!B898, IF(_xlpm.c&lt;&gt;"", _xlpm.c, _xlpm.b))</f>
        <v>Steel Plate Support</v>
      </c>
      <c r="F869" s="1205"/>
      <c r="G869" s="1203" t="str">
        <f>'RC1_Structure_RE'!F898</f>
        <v>กก.</v>
      </c>
      <c r="H869" s="1203">
        <f>'RC1_Structure_RE'!E898</f>
        <v>135</v>
      </c>
      <c r="I869" s="1203">
        <f>'RC1_Structure_RE'!I898</f>
        <v>3151.5282810346498</v>
      </c>
      <c r="J869" s="1203">
        <f>'RC1_Structure_RE'!L898</f>
        <v>1514.55103614</v>
      </c>
      <c r="K869" s="1203">
        <f>'RC1_Structure_RE'!M898</f>
        <v>4666.07931717465</v>
      </c>
    </row>
    <row r="870" spans="1:11">
      <c r="A870" t="s">
        <v>10</v>
      </c>
      <c r="B870" t="s">
        <v>27</v>
      </c>
      <c r="C870" t="s">
        <v>57</v>
      </c>
      <c r="D870" t="s">
        <v>64</v>
      </c>
      <c r="E870" t="str" cm="1">
        <f t="array" ref="E870">_xlfn.LET(_xlpm.c,'RC1_Structure_RE'!C899, _xlpm.b, 'RC1_Structure_RE'!B899, IF(_xlpm.c&lt;&gt;"", _xlpm.c, _xlpm.b))</f>
        <v>Bolt-M10-90L (HAS/RE500)</v>
      </c>
      <c r="F870" s="1205"/>
      <c r="G870" s="1203" t="str">
        <f>'RC1_Structure_RE'!F899</f>
        <v>ชุด</v>
      </c>
      <c r="H870" s="1203">
        <f>'RC1_Structure_RE'!E899</f>
        <v>660</v>
      </c>
      <c r="I870" s="1203">
        <f>'RC1_Structure_RE'!I899</f>
        <v>15179.167051091999</v>
      </c>
      <c r="J870" s="1203">
        <f>'RC1_Structure_RE'!L899</f>
        <v>4553.7501153275998</v>
      </c>
      <c r="K870" s="1203">
        <f>'RC1_Structure_RE'!M899</f>
        <v>19732.9171664196</v>
      </c>
    </row>
    <row r="871" spans="1:11">
      <c r="A871" t="s">
        <v>10</v>
      </c>
      <c r="B871" t="s">
        <v>27</v>
      </c>
      <c r="C871" t="s">
        <v>57</v>
      </c>
      <c r="D871" t="s">
        <v>64</v>
      </c>
      <c r="E871" t="str" cm="1">
        <f t="array" ref="E871">_xlfn.LET(_xlpm.c,'RC1_Structure_RE'!C900, _xlpm.b, 'RC1_Structure_RE'!B900, IF(_xlpm.c&lt;&gt;"", _xlpm.c, _xlpm.b))</f>
        <v>งานสีกันสนิม</v>
      </c>
      <c r="F871" s="1205"/>
      <c r="G871" s="1203" t="str">
        <f>'RC1_Structure_RE'!F900</f>
        <v>ตร.ม.</v>
      </c>
      <c r="H871" s="1203">
        <f>'RC1_Structure_RE'!E900</f>
        <v>215</v>
      </c>
      <c r="I871" s="1203">
        <f>'RC1_Structure_RE'!I900</f>
        <v>5632.1665475420996</v>
      </c>
      <c r="J871" s="1203">
        <f>'RC1_Structure_RE'!L900</f>
        <v>6030.1569031499994</v>
      </c>
      <c r="K871" s="1203">
        <f>'RC1_Structure_RE'!M900</f>
        <v>11662.3234506921</v>
      </c>
    </row>
    <row r="872" spans="1:11">
      <c r="A872" t="s">
        <v>10</v>
      </c>
      <c r="B872" t="s">
        <v>27</v>
      </c>
      <c r="C872" t="s">
        <v>57</v>
      </c>
      <c r="D872" t="s">
        <v>64</v>
      </c>
      <c r="E872" t="str" cm="1">
        <f t="array" ref="E872">_xlfn.LET(_xlpm.c,'RC1_Structure_RE'!C901, _xlpm.b, 'RC1_Structure_RE'!B901, IF(_xlpm.c&lt;&gt;"", _xlpm.c, _xlpm.b))</f>
        <v>งานสีน้ำมัน</v>
      </c>
      <c r="F872" s="1205"/>
      <c r="G872" s="1203" t="str">
        <f>'RC1_Structure_RE'!F901</f>
        <v>ตร.ม.</v>
      </c>
      <c r="H872" s="1203">
        <f>'RC1_Structure_RE'!E901</f>
        <v>215</v>
      </c>
      <c r="I872" s="1203">
        <f>'RC1_Structure_RE'!I901</f>
        <v>6496.4890369936002</v>
      </c>
      <c r="J872" s="1203">
        <f>'RC1_Structure_RE'!L901</f>
        <v>7035.1830536750003</v>
      </c>
      <c r="K872" s="1203">
        <f>'RC1_Structure_RE'!M901</f>
        <v>13531.672090668601</v>
      </c>
    </row>
    <row r="873" spans="1:11">
      <c r="F873" s="1205"/>
      <c r="G873" s="1203"/>
      <c r="H873" s="1203"/>
      <c r="I873" s="1203"/>
      <c r="J873" s="1203"/>
      <c r="K873" s="1203"/>
    </row>
    <row r="874" spans="1:11">
      <c r="F874" s="1205"/>
      <c r="G874" s="1203"/>
      <c r="H874" s="1203"/>
      <c r="I874" s="1203"/>
      <c r="J874" s="1203"/>
      <c r="K874" s="1203"/>
    </row>
    <row r="875" spans="1:11">
      <c r="F875" s="1205"/>
      <c r="G875" s="1203"/>
      <c r="H875" s="1203"/>
      <c r="I875" s="1203"/>
      <c r="J875" s="1203"/>
      <c r="K875" s="1203"/>
    </row>
    <row r="876" spans="1:11">
      <c r="E876" t="str" cm="1">
        <f t="array" ref="E876">_xlfn.LET(_xlpm.c,'RC1_Structure_RE'!C905, _xlpm.b, 'RC1_Structure_RE'!B905, IF(_xlpm.c&lt;&gt;"", _xlpm.c, _xlpm.b))</f>
        <v>โครงสร้าง Support furniture</v>
      </c>
      <c r="F876" s="1205"/>
      <c r="G876" s="1203">
        <f>'RC1_Structure_RE'!F905</f>
        <v>0</v>
      </c>
      <c r="H876" s="1203">
        <f>'RC1_Structure_RE'!E905</f>
        <v>0</v>
      </c>
      <c r="I876" s="1203">
        <f>'RC1_Structure_RE'!I905</f>
        <v>0</v>
      </c>
      <c r="J876" s="1203">
        <f>'RC1_Structure_RE'!L905</f>
        <v>0</v>
      </c>
      <c r="K876" s="1203">
        <f>'RC1_Structure_RE'!M905</f>
        <v>0</v>
      </c>
    </row>
    <row r="877" spans="1:11">
      <c r="A877" t="s">
        <v>10</v>
      </c>
      <c r="B877" t="s">
        <v>27</v>
      </c>
      <c r="C877" t="s">
        <v>65</v>
      </c>
      <c r="D877" t="s">
        <v>66</v>
      </c>
      <c r="E877" t="str" cm="1">
        <f t="array" ref="E877">_xlfn.LET(_xlpm.c,'RC1_Structure_RE'!C906, _xlpm.b, 'RC1_Structure_RE'!B906, IF(_xlpm.c&lt;&gt;"", _xlpm.c, _xlpm.b))</f>
        <v>งานเหล็กโครงสร้าง Support furniture</v>
      </c>
      <c r="F877" s="1205"/>
      <c r="G877" s="1203">
        <f>'RC1_Structure_RE'!F906</f>
        <v>0</v>
      </c>
      <c r="H877" s="1203">
        <f>'RC1_Structure_RE'!E906</f>
        <v>0</v>
      </c>
      <c r="I877" s="1203">
        <f>'RC1_Structure_RE'!I906</f>
        <v>0</v>
      </c>
      <c r="J877" s="1203">
        <f>'RC1_Structure_RE'!L906</f>
        <v>0</v>
      </c>
      <c r="K877" s="1203">
        <f>'RC1_Structure_RE'!M906</f>
        <v>0</v>
      </c>
    </row>
    <row r="878" spans="1:11">
      <c r="A878" t="s">
        <v>10</v>
      </c>
      <c r="B878" t="s">
        <v>27</v>
      </c>
      <c r="C878" t="s">
        <v>65</v>
      </c>
      <c r="D878" t="s">
        <v>66</v>
      </c>
      <c r="E878" t="str" cm="1">
        <f t="array" ref="E878">_xlfn.LET(_xlpm.c,'RC1_Structure_RE'!C907, _xlpm.b, 'RC1_Structure_RE'!B907, IF(_xlpm.c&lt;&gt;"", _xlpm.c, _xlpm.b))</f>
        <v>CH-100x50x5x7.5</v>
      </c>
      <c r="F878" s="1205"/>
      <c r="G878" s="1203" t="str">
        <f>'RC1_Structure_RE'!F907</f>
        <v>กก.</v>
      </c>
      <c r="H878" s="1203">
        <f>'RC1_Structure_RE'!E907</f>
        <v>10.45</v>
      </c>
      <c r="I878" s="1203">
        <f>'RC1_Structure_RE'!I907</f>
        <v>223.23968073277749</v>
      </c>
      <c r="J878" s="1203">
        <f>'RC1_Structure_RE'!L907</f>
        <v>136.77704727609998</v>
      </c>
      <c r="K878" s="1203">
        <f>'RC1_Structure_RE'!M907</f>
        <v>360.01672800887746</v>
      </c>
    </row>
    <row r="879" spans="1:11">
      <c r="A879" t="s">
        <v>10</v>
      </c>
      <c r="B879" t="s">
        <v>27</v>
      </c>
      <c r="C879" t="s">
        <v>65</v>
      </c>
      <c r="D879" t="s">
        <v>66</v>
      </c>
      <c r="E879" t="str" cm="1">
        <f t="array" ref="E879">_xlfn.LET(_xlpm.c,'RC1_Structure_RE'!C908, _xlpm.b, 'RC1_Structure_RE'!B908, IF(_xlpm.c&lt;&gt;"", _xlpm.c, _xlpm.b))</f>
        <v>WF200x200x8x12</v>
      </c>
      <c r="F879" s="1205"/>
      <c r="G879" s="1203" t="str">
        <f>'RC1_Structure_RE'!F908</f>
        <v>กก.</v>
      </c>
      <c r="H879" s="1203">
        <f>'RC1_Structure_RE'!E908</f>
        <v>65.55</v>
      </c>
      <c r="I879" s="1203">
        <f>'RC1_Structure_RE'!I908</f>
        <v>1940.2268237437108</v>
      </c>
      <c r="J879" s="1203">
        <f>'RC1_Structure_RE'!L908</f>
        <v>857.96511473189992</v>
      </c>
      <c r="K879" s="1203">
        <f>'RC1_Structure_RE'!M908</f>
        <v>2798.1919384756106</v>
      </c>
    </row>
    <row r="880" spans="1:11">
      <c r="A880" t="s">
        <v>10</v>
      </c>
      <c r="B880" t="s">
        <v>27</v>
      </c>
      <c r="C880" t="s">
        <v>65</v>
      </c>
      <c r="D880" t="s">
        <v>66</v>
      </c>
      <c r="E880" t="str" cm="1">
        <f t="array" ref="E880">_xlfn.LET(_xlpm.c,'RC1_Structure_RE'!C909, _xlpm.b, 'RC1_Structure_RE'!B909, IF(_xlpm.c&lt;&gt;"", _xlpm.c, _xlpm.b))</f>
        <v>PIPE-60.5x2.3</v>
      </c>
      <c r="F880" s="1205"/>
      <c r="G880" s="1203" t="str">
        <f>'RC1_Structure_RE'!F909</f>
        <v>กก.</v>
      </c>
      <c r="H880" s="1203">
        <f>'RC1_Structure_RE'!E909</f>
        <v>340.1</v>
      </c>
      <c r="I880" s="1203">
        <f>'RC1_Structure_RE'!I909</f>
        <v>7675.6081545826582</v>
      </c>
      <c r="J880" s="1203">
        <f>'RC1_Structure_RE'!L909</f>
        <v>4451.4711749857997</v>
      </c>
      <c r="K880" s="1203">
        <f>'RC1_Structure_RE'!M909</f>
        <v>12127.079329568458</v>
      </c>
    </row>
    <row r="881" spans="1:11">
      <c r="A881" t="s">
        <v>10</v>
      </c>
      <c r="B881" t="s">
        <v>27</v>
      </c>
      <c r="C881" t="s">
        <v>65</v>
      </c>
      <c r="D881" t="s">
        <v>66</v>
      </c>
      <c r="E881" t="str" cm="1">
        <f t="array" ref="E881">_xlfn.LET(_xlpm.c,'RC1_Structure_RE'!C910, _xlpm.b, 'RC1_Structure_RE'!B910, IF(_xlpm.c&lt;&gt;"", _xlpm.c, _xlpm.b))</f>
        <v>TUBE-100x50x3.2</v>
      </c>
      <c r="F881" s="1205"/>
      <c r="G881" s="1203" t="str">
        <f>'RC1_Structure_RE'!F910</f>
        <v>กก.</v>
      </c>
      <c r="H881" s="1203">
        <f>'RC1_Structure_RE'!E910</f>
        <v>281.2</v>
      </c>
      <c r="I881" s="1203">
        <f>'RC1_Structure_RE'!I910</f>
        <v>6977.2636303472555</v>
      </c>
      <c r="J881" s="1203">
        <f>'RC1_Structure_RE'!L910</f>
        <v>3680.5459994295993</v>
      </c>
      <c r="K881" s="1203">
        <f>'RC1_Structure_RE'!M910</f>
        <v>10657.809629776855</v>
      </c>
    </row>
    <row r="882" spans="1:11">
      <c r="A882" t="s">
        <v>10</v>
      </c>
      <c r="B882" t="s">
        <v>27</v>
      </c>
      <c r="C882" t="s">
        <v>65</v>
      </c>
      <c r="D882" t="s">
        <v>66</v>
      </c>
      <c r="E882" t="str" cm="1">
        <f t="array" ref="E882">_xlfn.LET(_xlpm.c,'RC1_Structure_RE'!C911, _xlpm.b, 'RC1_Structure_RE'!B911, IF(_xlpm.c&lt;&gt;"", _xlpm.c, _xlpm.b))</f>
        <v>TUBE-125x50x4.5mm</v>
      </c>
      <c r="F882" s="1205"/>
      <c r="G882" s="1203" t="str">
        <f>'RC1_Structure_RE'!F911</f>
        <v>กก.</v>
      </c>
      <c r="H882" s="1203">
        <f>'RC1_Structure_RE'!E911</f>
        <v>468.35</v>
      </c>
      <c r="I882" s="1203">
        <f>'RC1_Structure_RE'!I911</f>
        <v>12212.032086529231</v>
      </c>
      <c r="J882" s="1203">
        <f>'RC1_Structure_RE'!L911</f>
        <v>6130.0985733743</v>
      </c>
      <c r="K882" s="1203">
        <f>'RC1_Structure_RE'!M911</f>
        <v>18342.130659903531</v>
      </c>
    </row>
    <row r="883" spans="1:11">
      <c r="A883" t="s">
        <v>10</v>
      </c>
      <c r="B883" t="s">
        <v>27</v>
      </c>
      <c r="C883" t="s">
        <v>65</v>
      </c>
      <c r="D883" t="s">
        <v>66</v>
      </c>
      <c r="E883" t="str" cm="1">
        <f t="array" ref="E883">_xlfn.LET(_xlpm.c,'RC1_Structure_RE'!C912, _xlpm.b, 'RC1_Structure_RE'!B912, IF(_xlpm.c&lt;&gt;"", _xlpm.c, _xlpm.b))</f>
        <v>TUBE-100x50x2.3</v>
      </c>
      <c r="F883" s="1205"/>
      <c r="G883" s="1203" t="str">
        <f>'RC1_Structure_RE'!F912</f>
        <v>กก.</v>
      </c>
      <c r="H883" s="1203">
        <f>'RC1_Structure_RE'!E912</f>
        <v>856</v>
      </c>
      <c r="I883" s="1203">
        <f>'RC1_Structure_RE'!I912</f>
        <v>21407.524460205997</v>
      </c>
      <c r="J883" s="1203">
        <f>'RC1_Structure_RE'!L912</f>
        <v>11203.938035247998</v>
      </c>
      <c r="K883" s="1203">
        <f>'RC1_Structure_RE'!M912</f>
        <v>32611.462495453998</v>
      </c>
    </row>
    <row r="884" spans="1:11">
      <c r="A884" t="s">
        <v>10</v>
      </c>
      <c r="B884" t="s">
        <v>27</v>
      </c>
      <c r="C884" t="s">
        <v>65</v>
      </c>
      <c r="D884" t="s">
        <v>66</v>
      </c>
      <c r="E884" t="str" cm="1">
        <f t="array" ref="E884">_xlfn.LET(_xlpm.c,'RC1_Structure_RE'!C913, _xlpm.b, 'RC1_Structure_RE'!B913, IF(_xlpm.c&lt;&gt;"", _xlpm.c, _xlpm.b))</f>
        <v>Steel Plate Support + Bolt/Dowel</v>
      </c>
      <c r="F884" s="1205"/>
      <c r="G884" s="1203" t="str">
        <f>'RC1_Structure_RE'!F913</f>
        <v>กก.</v>
      </c>
      <c r="H884" s="1203">
        <f>'RC1_Structure_RE'!E913</f>
        <v>16761.8</v>
      </c>
      <c r="I884" s="1203">
        <f>'RC1_Structure_RE'!I913</f>
        <v>426244.17429996503</v>
      </c>
      <c r="J884" s="1203">
        <f>'RC1_Structure_RE'!L913</f>
        <v>219390.38383086436</v>
      </c>
      <c r="K884" s="1203">
        <f>'RC1_Structure_RE'!M913</f>
        <v>645634.55813082936</v>
      </c>
    </row>
    <row r="885" spans="1:11">
      <c r="A885" t="s">
        <v>10</v>
      </c>
      <c r="B885" t="s">
        <v>27</v>
      </c>
      <c r="C885" t="s">
        <v>65</v>
      </c>
      <c r="D885" t="s">
        <v>66</v>
      </c>
      <c r="E885" t="str" cm="1">
        <f t="array" ref="E885">_xlfn.LET(_xlpm.c,'RC1_Structure_RE'!C914, _xlpm.b, 'RC1_Structure_RE'!B914, IF(_xlpm.c&lt;&gt;"", _xlpm.c, _xlpm.b))</f>
        <v>งานสีกันสนิม</v>
      </c>
      <c r="F885" s="1205"/>
      <c r="G885" s="1203" t="str">
        <f>'RC1_Structure_RE'!F914</f>
        <v>ตร.ม.</v>
      </c>
      <c r="H885" s="1203">
        <f>'RC1_Structure_RE'!E914</f>
        <v>788.5</v>
      </c>
      <c r="I885" s="1203">
        <f>'RC1_Structure_RE'!I914</f>
        <v>20655.643361567189</v>
      </c>
      <c r="J885" s="1203">
        <f>'RC1_Structure_RE'!L914</f>
        <v>22115.249851785</v>
      </c>
      <c r="K885" s="1203">
        <f>'RC1_Structure_RE'!M914</f>
        <v>42770.893213352188</v>
      </c>
    </row>
    <row r="886" spans="1:11">
      <c r="A886" t="s">
        <v>10</v>
      </c>
      <c r="B886" t="s">
        <v>27</v>
      </c>
      <c r="C886" t="s">
        <v>65</v>
      </c>
      <c r="D886" t="s">
        <v>66</v>
      </c>
      <c r="E886" t="str" cm="1">
        <f t="array" ref="E886">_xlfn.LET(_xlpm.c,'RC1_Structure_RE'!C915, _xlpm.b, 'RC1_Structure_RE'!B915, IF(_xlpm.c&lt;&gt;"", _xlpm.c, _xlpm.b))</f>
        <v>งานสีน้ำมัน</v>
      </c>
      <c r="F886" s="1205"/>
      <c r="G886" s="1203" t="str">
        <f>'RC1_Structure_RE'!F915</f>
        <v>ตร.ม.</v>
      </c>
      <c r="H886" s="1203">
        <f>'RC1_Structure_RE'!E915</f>
        <v>788.5</v>
      </c>
      <c r="I886" s="1203">
        <f>'RC1_Structure_RE'!I915</f>
        <v>23825.495840323041</v>
      </c>
      <c r="J886" s="1203">
        <f>'RC1_Structure_RE'!L915</f>
        <v>25801.124827082502</v>
      </c>
      <c r="K886" s="1203">
        <f>'RC1_Structure_RE'!M915</f>
        <v>49626.620667405543</v>
      </c>
    </row>
    <row r="887" spans="1:11">
      <c r="E887" t="str" cm="1">
        <f t="array" ref="E887">_xlfn.LET(_xlpm.c,'RC1_Arch'!C31, _xlpm.b, 'RC1_Arch'!B31, IF(_xlpm.c&lt;&gt;"", _xlpm.c, _xlpm.b))</f>
        <v>งานผิวพื้น</v>
      </c>
      <c r="F887" s="1205"/>
      <c r="G887" s="1203">
        <f>'RC1_Arch'!F31</f>
        <v>0</v>
      </c>
      <c r="H887" s="1203">
        <f>'RC1_Arch'!E31</f>
        <v>0</v>
      </c>
      <c r="I887" s="1203">
        <f>'RC1_Arch'!I31</f>
        <v>0</v>
      </c>
      <c r="J887" s="1203">
        <f>'RC1_Arch'!L31</f>
        <v>0</v>
      </c>
      <c r="K887" s="1203">
        <f>'RC1_Arch'!M31</f>
        <v>0</v>
      </c>
    </row>
    <row r="888" spans="1:11">
      <c r="E888" cm="1">
        <f t="array" ref="E888">_xlfn.LET(_xlpm.c,'RC1_Arch'!C32, _xlpm.b, 'RC1_Arch'!B32, IF(_xlpm.c&lt;&gt;"", _xlpm.c, _xlpm.b))</f>
        <v>0</v>
      </c>
      <c r="F888" s="1205"/>
      <c r="G888" s="1203">
        <f>'RC1_Arch'!F32</f>
        <v>0</v>
      </c>
      <c r="H888" s="1203">
        <f>'RC1_Arch'!E32</f>
        <v>0</v>
      </c>
      <c r="I888" s="1203">
        <f>'RC1_Arch'!I32</f>
        <v>0</v>
      </c>
      <c r="J888" s="1203">
        <f>'RC1_Arch'!L32</f>
        <v>0</v>
      </c>
      <c r="K888" s="1203">
        <f>'RC1_Arch'!M32</f>
        <v>0</v>
      </c>
    </row>
    <row r="889" spans="1:11">
      <c r="A889" t="s">
        <v>67</v>
      </c>
      <c r="B889" t="s">
        <v>68</v>
      </c>
      <c r="C889" t="s">
        <v>69</v>
      </c>
      <c r="D889" t="s">
        <v>70</v>
      </c>
      <c r="E889" t="str" cm="1">
        <f t="array" ref="E889">_xlfn.LET(_xlpm.c,'RC1_Arch'!C33, _xlpm.b, 'RC1_Arch'!B33, IF(_xlpm.c&lt;&gt;"", _xlpm.c, _xlpm.b))</f>
        <v>พื้น ค.ส.ล. พร้อมปูนทรายปรับระดับ ปรับผิวเรียบ (ดูรายละเอียดงานตกแต่งภายใน)</v>
      </c>
      <c r="F889" s="1205"/>
      <c r="G889" s="1203" t="str">
        <f>'RC1_Arch'!F33</f>
        <v>ตร.ม.</v>
      </c>
      <c r="H889" s="1203">
        <f>'RC1_Arch'!E33</f>
        <v>4755</v>
      </c>
      <c r="I889" s="1203">
        <f>'RC1_Arch'!I33</f>
        <v>355639.02107880003</v>
      </c>
      <c r="J889" s="1203">
        <f>'RC1_Arch'!L33</f>
        <v>0</v>
      </c>
      <c r="K889" s="1203">
        <f>'RC1_Arch'!M33</f>
        <v>355639.02107880003</v>
      </c>
    </row>
    <row r="890" spans="1:11">
      <c r="A890" t="s">
        <v>67</v>
      </c>
      <c r="B890" t="s">
        <v>68</v>
      </c>
      <c r="C890" t="s">
        <v>69</v>
      </c>
      <c r="D890" t="s">
        <v>71</v>
      </c>
      <c r="E890" t="str" cm="1">
        <f t="array" ref="E890">_xlfn.LET(_xlpm.c,'RC1_Arch'!C34, _xlpm.b, 'RC1_Arch'!B34, IF(_xlpm.c&lt;&gt;"", _xlpm.c, _xlpm.b))</f>
        <v>พื้น ค.ส.ล. พร้อมปูนทรายปรับระดับ ผิวขัดมัน หนา 30-50 มม.ตีเส้นแบ่งแนวตามแบบ</v>
      </c>
      <c r="F890" s="1205"/>
      <c r="G890" s="1203" t="str">
        <f>'RC1_Arch'!F34</f>
        <v>ตร.ม.</v>
      </c>
      <c r="H890" s="1203">
        <f>'RC1_Arch'!E34</f>
        <v>465</v>
      </c>
      <c r="I890" s="1203">
        <f>'RC1_Arch'!I34</f>
        <v>41734.295218079998</v>
      </c>
      <c r="J890" s="1203">
        <f>'RC1_Arch'!L34</f>
        <v>37821.705041385001</v>
      </c>
      <c r="K890" s="1203">
        <f>'RC1_Arch'!M34</f>
        <v>79556.000259465</v>
      </c>
    </row>
    <row r="891" spans="1:11">
      <c r="A891" t="s">
        <v>67</v>
      </c>
      <c r="B891" t="s">
        <v>68</v>
      </c>
      <c r="C891" t="s">
        <v>69</v>
      </c>
      <c r="D891" t="s">
        <v>71</v>
      </c>
      <c r="E891" t="str" cm="1">
        <f t="array" ref="E891">_xlfn.LET(_xlpm.c,'RC1_Arch'!C35, _xlpm.b, 'RC1_Arch'!B35, IF(_xlpm.c&lt;&gt;"", _xlpm.c, _xlpm.b))</f>
        <v>ตามระบุในรายการประกอบแบบ</v>
      </c>
      <c r="F891" s="1205"/>
      <c r="G891" s="1203">
        <f>'RC1_Arch'!F35</f>
        <v>0</v>
      </c>
      <c r="H891" s="1203">
        <f>'RC1_Arch'!E35</f>
        <v>0</v>
      </c>
      <c r="I891" s="1203">
        <f>'RC1_Arch'!I35</f>
        <v>0</v>
      </c>
      <c r="J891" s="1203">
        <f>'RC1_Arch'!L35</f>
        <v>0</v>
      </c>
      <c r="K891" s="1203">
        <f>'RC1_Arch'!M35</f>
        <v>0</v>
      </c>
    </row>
    <row r="892" spans="1:11">
      <c r="A892" t="s">
        <v>67</v>
      </c>
      <c r="B892" t="s">
        <v>68</v>
      </c>
      <c r="C892" t="s">
        <v>69</v>
      </c>
      <c r="D892" t="s">
        <v>72</v>
      </c>
      <c r="E892" t="str" cm="1">
        <f t="array" ref="E892">_xlfn.LET(_xlpm.c,'RC1_Arch'!C36, _xlpm.b, 'RC1_Arch'!B36, IF(_xlpm.c&lt;&gt;"", _xlpm.c, _xlpm.b))</f>
        <v>พื้น ค.ส.ล. พร้อมปูนทรายปรับระดับ ผิวขัดเรียบ หนา 30-50 มม.</v>
      </c>
      <c r="F892" s="1205"/>
      <c r="G892" s="1203">
        <f>'RC1_Arch'!F36</f>
        <v>0</v>
      </c>
      <c r="H892" s="1203" t="str">
        <f>'RC1_Arch'!E36</f>
        <v>ยกเลิกรายการ</v>
      </c>
      <c r="I892" s="1203">
        <f>'RC1_Arch'!I36</f>
        <v>0</v>
      </c>
      <c r="J892" s="1203">
        <f>'RC1_Arch'!L36</f>
        <v>0</v>
      </c>
      <c r="K892" s="1203">
        <f>'RC1_Arch'!M36</f>
        <v>0</v>
      </c>
    </row>
    <row r="893" spans="1:11">
      <c r="A893" t="s">
        <v>67</v>
      </c>
      <c r="B893" t="s">
        <v>68</v>
      </c>
      <c r="C893" t="s">
        <v>69</v>
      </c>
      <c r="D893" t="s">
        <v>72</v>
      </c>
      <c r="E893" t="str" cm="1">
        <f t="array" ref="E893">_xlfn.LET(_xlpm.c,'RC1_Arch'!C37, _xlpm.b, 'RC1_Arch'!B37, IF(_xlpm.c&lt;&gt;"", _xlpm.c, _xlpm.b))</f>
        <v>พื้น ค.ส.ล. พร้อมปูนทรายปรับระดับ ผสมน้ำยากันซึม ผิวขัดมัน หนา 30-50 มม.</v>
      </c>
      <c r="F893" s="1205"/>
      <c r="G893" s="1203">
        <f>'RC1_Arch'!F37</f>
        <v>0</v>
      </c>
      <c r="H893" s="1203" t="str">
        <f>'RC1_Arch'!E37</f>
        <v>ยกเลิกรายการ</v>
      </c>
      <c r="I893" s="1203">
        <f>'RC1_Arch'!I37</f>
        <v>0</v>
      </c>
      <c r="J893" s="1203">
        <f>'RC1_Arch'!L37</f>
        <v>0</v>
      </c>
      <c r="K893" s="1203">
        <f>'RC1_Arch'!M37</f>
        <v>0</v>
      </c>
    </row>
    <row r="894" spans="1:11">
      <c r="A894" t="s">
        <v>67</v>
      </c>
      <c r="B894" t="s">
        <v>68</v>
      </c>
      <c r="C894" t="s">
        <v>73</v>
      </c>
      <c r="D894" t="s">
        <v>72</v>
      </c>
      <c r="E894" t="str" cm="1">
        <f t="array" ref="E894">_xlfn.LET(_xlpm.c,'RC1_Arch'!C38, _xlpm.b, 'RC1_Arch'!B38, IF(_xlpm.c&lt;&gt;"", _xlpm.c, _xlpm.b))</f>
        <v>พื้น ค.ส.ล. ผิวโครงสร้างแต่งเรียบทำระบบกันซึม (งานกันซึมดูรายละเอียดงานกันซึม)</v>
      </c>
      <c r="F894" s="1205"/>
      <c r="G894" s="1203" t="str">
        <f>'RC1_Arch'!F38</f>
        <v>ตร.ม.</v>
      </c>
      <c r="H894" s="1203">
        <f>'RC1_Arch'!E38</f>
        <v>1595</v>
      </c>
      <c r="I894" s="1203">
        <f>'RC1_Arch'!I38</f>
        <v>119294.26679720001</v>
      </c>
      <c r="J894" s="1203">
        <f>'RC1_Arch'!L38</f>
        <v>119294.26679720001</v>
      </c>
      <c r="K894" s="1203">
        <f>'RC1_Arch'!M38</f>
        <v>238588.53359440001</v>
      </c>
    </row>
    <row r="895" spans="1:11">
      <c r="A895" t="s">
        <v>67</v>
      </c>
      <c r="B895" t="s">
        <v>68</v>
      </c>
      <c r="C895" t="s">
        <v>74</v>
      </c>
      <c r="D895" t="s">
        <v>74</v>
      </c>
      <c r="E895" t="str" cm="1">
        <f t="array" ref="E895">_xlfn.LET(_xlpm.c,'RC1_Arch'!C39, _xlpm.b, 'RC1_Arch'!B39, IF(_xlpm.c&lt;&gt;"", _xlpm.c, _xlpm.b))</f>
        <v xml:space="preserve">พื้น ค.ส.ล. ทำผิว Floor Hardener สีมาตรฐาน ผิวด้าน </v>
      </c>
      <c r="F895" s="1205"/>
      <c r="G895" s="1203" t="str">
        <f>'RC1_Arch'!F39</f>
        <v>ตร.ม.</v>
      </c>
      <c r="H895" s="1203">
        <f>'RC1_Arch'!E39</f>
        <v>2447</v>
      </c>
      <c r="I895" s="1203">
        <f>'RC1_Arch'!I39</f>
        <v>228771.99910089999</v>
      </c>
      <c r="J895" s="1203">
        <f>'RC1_Arch'!L39</f>
        <v>137263.19946054</v>
      </c>
      <c r="K895" s="1203">
        <f>'RC1_Arch'!M39</f>
        <v>366035.19856143999</v>
      </c>
    </row>
    <row r="896" spans="1:11">
      <c r="A896" t="s">
        <v>67</v>
      </c>
      <c r="B896" t="s">
        <v>68</v>
      </c>
      <c r="C896" t="s">
        <v>75</v>
      </c>
      <c r="D896" t="s">
        <v>75</v>
      </c>
      <c r="E896" t="str" cm="1">
        <f t="array" ref="E896">_xlfn.LET(_xlpm.c,'RC1_Arch'!C40, _xlpm.b, 'RC1_Arch'!B40, IF(_xlpm.c&lt;&gt;"", _xlpm.c, _xlpm.b))</f>
        <v xml:space="preserve">พื้น ค.ส.ล. พร้อมปูนทรายปรับระดับ ผิวขัดมันหนา 30-50 มม. ทาสี Epoxy Coating </v>
      </c>
      <c r="F896" s="1205"/>
      <c r="G896" s="1203" t="str">
        <f>'RC1_Arch'!F40</f>
        <v>ตร.ม.</v>
      </c>
      <c r="H896" s="1203">
        <f>'RC1_Arch'!E40</f>
        <v>597</v>
      </c>
      <c r="I896" s="1203">
        <f>'RC1_Arch'!I40</f>
        <v>195349.03642064999</v>
      </c>
      <c r="J896" s="1203">
        <f>'RC1_Arch'!L40</f>
        <v>83721.015608849993</v>
      </c>
      <c r="K896" s="1203">
        <f>'RC1_Arch'!M40</f>
        <v>279070.05202950002</v>
      </c>
    </row>
    <row r="897" spans="1:11">
      <c r="A897" t="s">
        <v>67</v>
      </c>
      <c r="B897" t="s">
        <v>68</v>
      </c>
      <c r="C897" t="s">
        <v>75</v>
      </c>
      <c r="D897" t="s">
        <v>75</v>
      </c>
      <c r="E897" t="str" cm="1">
        <f t="array" ref="E897">_xlfn.LET(_xlpm.c,'RC1_Arch'!C41, _xlpm.b, 'RC1_Arch'!B41, IF(_xlpm.c&lt;&gt;"", _xlpm.c, _xlpm.b))</f>
        <v xml:space="preserve">ความหนา 500 ไมครอน (ระบุสีภายหลัง) </v>
      </c>
      <c r="F897" s="1205"/>
      <c r="G897" s="1203">
        <f>'RC1_Arch'!F41</f>
        <v>0</v>
      </c>
      <c r="H897" s="1203">
        <f>'RC1_Arch'!E41</f>
        <v>0</v>
      </c>
      <c r="I897" s="1203">
        <f>'RC1_Arch'!I41</f>
        <v>0</v>
      </c>
      <c r="J897" s="1203">
        <f>'RC1_Arch'!L41</f>
        <v>0</v>
      </c>
      <c r="K897" s="1203">
        <f>'RC1_Arch'!M41</f>
        <v>0</v>
      </c>
    </row>
    <row r="898" spans="1:11">
      <c r="A898" t="s">
        <v>67</v>
      </c>
      <c r="B898" t="s">
        <v>68</v>
      </c>
      <c r="C898" t="s">
        <v>75</v>
      </c>
      <c r="D898" t="s">
        <v>75</v>
      </c>
      <c r="E898" t="str" cm="1">
        <f t="array" ref="E898">_xlfn.LET(_xlpm.c,'RC1_Arch'!C42, _xlpm.b, 'RC1_Arch'!B42, IF(_xlpm.c&lt;&gt;"", _xlpm.c, _xlpm.b))</f>
        <v>พื้น ค.ส.ล. พร้อมปูนทรายปรับระดับ ผิวขัดมันหนา 30-50 มม.</v>
      </c>
      <c r="F898" s="1205"/>
      <c r="G898" s="1203" t="str">
        <f>'RC1_Arch'!F42</f>
        <v>ตร.ม.</v>
      </c>
      <c r="H898" s="1203">
        <f>'RC1_Arch'!E42</f>
        <v>210</v>
      </c>
      <c r="I898" s="1203">
        <f>'RC1_Arch'!I42</f>
        <v>127614.94841550001</v>
      </c>
      <c r="J898" s="1203">
        <f>'RC1_Arch'!L42</f>
        <v>27486.296581800001</v>
      </c>
      <c r="K898" s="1203">
        <f>'RC1_Arch'!M42</f>
        <v>155101.2449973</v>
      </c>
    </row>
    <row r="899" spans="1:11">
      <c r="A899" t="s">
        <v>67</v>
      </c>
      <c r="B899" t="s">
        <v>68</v>
      </c>
      <c r="C899" t="s">
        <v>75</v>
      </c>
      <c r="D899" t="s">
        <v>75</v>
      </c>
      <c r="E899" t="str" cm="1">
        <f t="array" ref="E899">_xlfn.LET(_xlpm.c,'RC1_Arch'!C43, _xlpm.b, 'RC1_Arch'!B43, IF(_xlpm.c&lt;&gt;"", _xlpm.c, _xlpm.b))</f>
        <v>ทำผิว Epoxy Self Leveling หนา 2 มม. ( ผิวและสีระบุภายหลัง )</v>
      </c>
      <c r="F899" s="1205"/>
      <c r="G899" s="1203">
        <f>'RC1_Arch'!F43</f>
        <v>0</v>
      </c>
      <c r="H899" s="1203">
        <f>'RC1_Arch'!E43</f>
        <v>0</v>
      </c>
      <c r="I899" s="1203">
        <f>'RC1_Arch'!I43</f>
        <v>0</v>
      </c>
      <c r="J899" s="1203">
        <f>'RC1_Arch'!L43</f>
        <v>0</v>
      </c>
      <c r="K899" s="1203">
        <f>'RC1_Arch'!M43</f>
        <v>0</v>
      </c>
    </row>
    <row r="900" spans="1:11">
      <c r="A900" t="s">
        <v>67</v>
      </c>
      <c r="B900" t="s">
        <v>68</v>
      </c>
      <c r="C900" t="s">
        <v>76</v>
      </c>
      <c r="D900" t="s">
        <v>76</v>
      </c>
      <c r="E900" t="str" cm="1">
        <f t="array" ref="E900">_xlfn.LET(_xlpm.c,'RC1_Arch'!C44, _xlpm.b, 'RC1_Arch'!B44, IF(_xlpm.c&lt;&gt;"", _xlpm.c, _xlpm.b))</f>
        <v xml:space="preserve">พื้น ค.ส.ล. พร้อมปูนทรายปรับระดับ ทำผิวหินขัด (Cement Base) ชนิดคัดเม็ดหิน </v>
      </c>
      <c r="F900" s="1205"/>
      <c r="G900" s="1203" t="str">
        <f>'RC1_Arch'!F44</f>
        <v>ตร.ม.</v>
      </c>
      <c r="H900" s="1203">
        <f>'RC1_Arch'!E44</f>
        <v>3800</v>
      </c>
      <c r="I900" s="1203">
        <f>'RC1_Arch'!I44</f>
        <v>1378428.4244967999</v>
      </c>
      <c r="J900" s="1203">
        <f>'RC1_Arch'!L44</f>
        <v>571976.74315460003</v>
      </c>
      <c r="K900" s="1203">
        <f>'RC1_Arch'!M44</f>
        <v>1950405.1676514</v>
      </c>
    </row>
    <row r="901" spans="1:11">
      <c r="A901" t="s">
        <v>67</v>
      </c>
      <c r="B901" t="s">
        <v>68</v>
      </c>
      <c r="C901" t="s">
        <v>76</v>
      </c>
      <c r="D901" t="s">
        <v>76</v>
      </c>
      <c r="E901" t="str" cm="1">
        <f t="array" ref="E901">_xlfn.LET(_xlpm.c,'RC1_Arch'!C45, _xlpm.b, 'RC1_Arch'!B45, IF(_xlpm.c&lt;&gt;"", _xlpm.c, _xlpm.b))</f>
        <v>สีขาว-เทา เบอร์  4½  หรือขนาดอื่นๆตามแบบระบุภายหลัง พร้อมลงน้ำยาเคลือบผิว</v>
      </c>
      <c r="F901" s="1205"/>
      <c r="G901" s="1203">
        <f>'RC1_Arch'!F45</f>
        <v>0</v>
      </c>
      <c r="H901" s="1203">
        <f>'RC1_Arch'!E45</f>
        <v>0</v>
      </c>
      <c r="I901" s="1203">
        <f>'RC1_Arch'!I45</f>
        <v>0</v>
      </c>
      <c r="J901" s="1203">
        <f>'RC1_Arch'!L45</f>
        <v>0</v>
      </c>
      <c r="K901" s="1203">
        <f>'RC1_Arch'!M45</f>
        <v>0</v>
      </c>
    </row>
    <row r="902" spans="1:11">
      <c r="A902" t="s">
        <v>67</v>
      </c>
      <c r="B902" t="s">
        <v>68</v>
      </c>
      <c r="C902" t="s">
        <v>76</v>
      </c>
      <c r="D902" t="s">
        <v>76</v>
      </c>
      <c r="E902" t="str" cm="1">
        <f t="array" ref="E902">_xlfn.LET(_xlpm.c,'RC1_Arch'!C46, _xlpm.b, 'RC1_Arch'!B46, IF(_xlpm.c&lt;&gt;"", _xlpm.c, _xlpm.b))</f>
        <v xml:space="preserve">พื้น ค.ส.ล. พร้อมปูนทรายปรับระดับ ทำผิวหินขัด (Cement Base) ชนิดคัดเม็ดหิน </v>
      </c>
      <c r="F902" s="1205"/>
      <c r="G902" s="1203" t="str">
        <f>'RC1_Arch'!F46</f>
        <v>ตร.ม.</v>
      </c>
      <c r="H902" s="1203">
        <f>'RC1_Arch'!E46</f>
        <v>1165</v>
      </c>
      <c r="I902" s="1203">
        <f>'RC1_Arch'!I46</f>
        <v>422597.13540493994</v>
      </c>
      <c r="J902" s="1203">
        <f>'RC1_Arch'!L46</f>
        <v>175356.027835555</v>
      </c>
      <c r="K902" s="1203">
        <f>'RC1_Arch'!M46</f>
        <v>597953.16324049491</v>
      </c>
    </row>
    <row r="903" spans="1:11">
      <c r="A903" t="s">
        <v>67</v>
      </c>
      <c r="B903" t="s">
        <v>68</v>
      </c>
      <c r="C903" t="s">
        <v>76</v>
      </c>
      <c r="D903" t="s">
        <v>76</v>
      </c>
      <c r="E903" t="str" cm="1">
        <f t="array" ref="E903">_xlfn.LET(_xlpm.c,'RC1_Arch'!C47, _xlpm.b, 'RC1_Arch'!B47, IF(_xlpm.c&lt;&gt;"", _xlpm.c, _xlpm.b))</f>
        <v>สีดำ เบอร์ 4½ หรือขนาดอื่นๆตามแบบระบุภายหลัง พร้อมลงน้ำยาเคลือบผิว</v>
      </c>
      <c r="F903" s="1205"/>
      <c r="G903" s="1203">
        <f>'RC1_Arch'!F47</f>
        <v>0</v>
      </c>
      <c r="H903" s="1203">
        <f>'RC1_Arch'!E47</f>
        <v>0</v>
      </c>
      <c r="I903" s="1203">
        <f>'RC1_Arch'!I47</f>
        <v>0</v>
      </c>
      <c r="J903" s="1203">
        <f>'RC1_Arch'!L47</f>
        <v>0</v>
      </c>
      <c r="K903" s="1203">
        <f>'RC1_Arch'!M47</f>
        <v>0</v>
      </c>
    </row>
    <row r="904" spans="1:11">
      <c r="A904" t="s">
        <v>67</v>
      </c>
      <c r="B904" t="s">
        <v>68</v>
      </c>
      <c r="C904" t="s">
        <v>76</v>
      </c>
      <c r="D904" t="s">
        <v>76</v>
      </c>
      <c r="E904" t="str" cm="1">
        <f t="array" ref="E904">_xlfn.LET(_xlpm.c,'RC1_Arch'!C48, _xlpm.b, 'RC1_Arch'!B48, IF(_xlpm.c&lt;&gt;"", _xlpm.c, _xlpm.b))</f>
        <v xml:space="preserve">พื้น ค.ส.ล. พร้อมปูนทรายปรับระดับ ผิวหินขัดสำเร็จรูป เม็ดหินขาว – มุก </v>
      </c>
      <c r="F904" s="1205"/>
      <c r="G904" s="1203" t="str">
        <f>'RC1_Arch'!F48</f>
        <v>ตร.ม.</v>
      </c>
      <c r="H904" s="1203">
        <f>'RC1_Arch'!E48</f>
        <v>115</v>
      </c>
      <c r="I904" s="1203">
        <f>'RC1_Arch'!I48</f>
        <v>50424.265514944993</v>
      </c>
      <c r="J904" s="1203">
        <f>'RC1_Arch'!L48</f>
        <v>23868.202439909997</v>
      </c>
      <c r="K904" s="1203">
        <f>'RC1_Arch'!M48</f>
        <v>74292.46795485499</v>
      </c>
    </row>
    <row r="905" spans="1:11">
      <c r="A905" t="s">
        <v>67</v>
      </c>
      <c r="B905" t="s">
        <v>68</v>
      </c>
      <c r="C905" t="s">
        <v>76</v>
      </c>
      <c r="D905" t="s">
        <v>76</v>
      </c>
      <c r="E905" t="str" cm="1">
        <f t="array" ref="E905">_xlfn.LET(_xlpm.c,'RC1_Arch'!C49, _xlpm.b, 'RC1_Arch'!B49, IF(_xlpm.c&lt;&gt;"", _xlpm.c, _xlpm.b))</f>
        <v>เบอร์  4½   ระบุขนาดและลายภายหลัง พร้อมลงน้ำยาเคลือบ</v>
      </c>
      <c r="F905" s="1205"/>
      <c r="G905" s="1203">
        <f>'RC1_Arch'!F49</f>
        <v>0</v>
      </c>
      <c r="H905" s="1203">
        <f>'RC1_Arch'!E49</f>
        <v>0</v>
      </c>
      <c r="I905" s="1203">
        <f>'RC1_Arch'!I49</f>
        <v>0</v>
      </c>
      <c r="J905" s="1203">
        <f>'RC1_Arch'!L49</f>
        <v>0</v>
      </c>
      <c r="K905" s="1203">
        <f>'RC1_Arch'!M49</f>
        <v>0</v>
      </c>
    </row>
    <row r="906" spans="1:11">
      <c r="A906" t="s">
        <v>67</v>
      </c>
      <c r="B906" t="s">
        <v>68</v>
      </c>
      <c r="C906" t="s">
        <v>76</v>
      </c>
      <c r="D906" t="s">
        <v>76</v>
      </c>
      <c r="E906" t="str" cm="1">
        <f t="array" ref="E906">_xlfn.LET(_xlpm.c,'RC1_Arch'!C50, _xlpm.b, 'RC1_Arch'!B50, IF(_xlpm.c&lt;&gt;"", _xlpm.c, _xlpm.b))</f>
        <v>พื้น ค.ส.ล. พร้อมปูนทรายปรับระดับ ผิวหินขัดสำเร็จรูปขนาด 600x600 มม.</v>
      </c>
      <c r="F906" s="1205"/>
      <c r="G906" s="1203" t="str">
        <f>'RC1_Arch'!F50</f>
        <v>ตร.ม.</v>
      </c>
      <c r="H906" s="1203">
        <f>'RC1_Arch'!E50</f>
        <v>555</v>
      </c>
      <c r="I906" s="1203">
        <f>'RC1_Arch'!I50</f>
        <v>243351.89009386499</v>
      </c>
      <c r="J906" s="1203">
        <f>'RC1_Arch'!L50</f>
        <v>115190.02047086999</v>
      </c>
      <c r="K906" s="1203">
        <f>'RC1_Arch'!M50</f>
        <v>358541.91056473495</v>
      </c>
    </row>
    <row r="907" spans="1:11">
      <c r="A907" t="s">
        <v>67</v>
      </c>
      <c r="B907" t="s">
        <v>68</v>
      </c>
      <c r="C907" t="s">
        <v>76</v>
      </c>
      <c r="D907" t="s">
        <v>76</v>
      </c>
      <c r="E907" t="str" cm="1">
        <f t="array" ref="E907">_xlfn.LET(_xlpm.c,'RC1_Arch'!C51, _xlpm.b, 'RC1_Arch'!B51, IF(_xlpm.c&lt;&gt;"", _xlpm.c, _xlpm.b))</f>
        <v>หรือขนาดตามแบบระบุ เม็ดหินสีดำ ระบุขนาดและลายภายหลัง พร้อมลงน้ำยาเคลือบผิว</v>
      </c>
      <c r="F907" s="1205"/>
      <c r="G907" s="1203">
        <f>'RC1_Arch'!F51</f>
        <v>0</v>
      </c>
      <c r="H907" s="1203">
        <f>'RC1_Arch'!E51</f>
        <v>0</v>
      </c>
      <c r="I907" s="1203">
        <f>'RC1_Arch'!I51</f>
        <v>0</v>
      </c>
      <c r="J907" s="1203">
        <f>'RC1_Arch'!L51</f>
        <v>0</v>
      </c>
      <c r="K907" s="1203">
        <f>'RC1_Arch'!M51</f>
        <v>0</v>
      </c>
    </row>
    <row r="908" spans="1:11">
      <c r="A908" t="s">
        <v>67</v>
      </c>
      <c r="B908" t="s">
        <v>68</v>
      </c>
      <c r="C908" t="s">
        <v>77</v>
      </c>
      <c r="D908" t="s">
        <v>77</v>
      </c>
      <c r="E908" t="str" cm="1">
        <f t="array" ref="E908">_xlfn.LET(_xlpm.c,'RC1_Arch'!C52, _xlpm.b, 'RC1_Arch'!B52, IF(_xlpm.c&lt;&gt;"", _xlpm.c, _xlpm.b))</f>
        <v xml:space="preserve">พื้น ค.ส.ล. พร้อมปูนทรายปรับระดับ ผิวหินล้างเบอร์  4½ </v>
      </c>
      <c r="F908" s="1205"/>
      <c r="G908" s="1203" t="str">
        <f>'RC1_Arch'!F52</f>
        <v>ตร.ม.</v>
      </c>
      <c r="H908" s="1203">
        <f>'RC1_Arch'!E52</f>
        <v>70</v>
      </c>
      <c r="I908" s="1203">
        <f>'RC1_Arch'!I52</f>
        <v>20156.617493319998</v>
      </c>
      <c r="J908" s="1203">
        <f>'RC1_Arch'!L52</f>
        <v>6806.1305821599999</v>
      </c>
      <c r="K908" s="1203">
        <f>'RC1_Arch'!M52</f>
        <v>26962.748075479998</v>
      </c>
    </row>
    <row r="909" spans="1:11">
      <c r="A909" t="s">
        <v>67</v>
      </c>
      <c r="B909" t="s">
        <v>68</v>
      </c>
      <c r="C909" t="s">
        <v>77</v>
      </c>
      <c r="D909" t="s">
        <v>77</v>
      </c>
      <c r="E909" t="str" cm="1">
        <f t="array" ref="E909">_xlfn.LET(_xlpm.c,'RC1_Arch'!C53, _xlpm.b, 'RC1_Arch'!B53, IF(_xlpm.c&lt;&gt;"", _xlpm.c, _xlpm.b))</f>
        <v>หรือขนาดอื่นๆตามแบบระบุภายหลัง</v>
      </c>
      <c r="F909" s="1205"/>
      <c r="G909" s="1203">
        <f>'RC1_Arch'!F53</f>
        <v>0</v>
      </c>
      <c r="H909" s="1203">
        <f>'RC1_Arch'!E53</f>
        <v>0</v>
      </c>
      <c r="I909" s="1203">
        <f>'RC1_Arch'!I53</f>
        <v>0</v>
      </c>
      <c r="J909" s="1203">
        <f>'RC1_Arch'!L53</f>
        <v>0</v>
      </c>
      <c r="K909" s="1203">
        <f>'RC1_Arch'!M53</f>
        <v>0</v>
      </c>
    </row>
    <row r="910" spans="1:11">
      <c r="A910" t="s">
        <v>67</v>
      </c>
      <c r="B910" t="s">
        <v>68</v>
      </c>
      <c r="C910" t="s">
        <v>78</v>
      </c>
      <c r="D910" t="s">
        <v>78</v>
      </c>
      <c r="E910" t="str" cm="1">
        <f t="array" ref="E910">_xlfn.LET(_xlpm.c,'RC1_Arch'!C54, _xlpm.b, 'RC1_Arch'!B54, IF(_xlpm.c&lt;&gt;"", _xlpm.c, _xlpm.b))</f>
        <v>พื้น ค.ส.ล. พร้อมปูนทรายปรับระดับ ปูไม้สักประสาน ระบุขนาดและลายภายหลัง</v>
      </c>
      <c r="F910" s="1205"/>
      <c r="G910" s="1203">
        <f>'RC1_Arch'!F54</f>
        <v>0</v>
      </c>
      <c r="H910" s="1203" t="str">
        <f>'RC1_Arch'!E54</f>
        <v>* ดูรายละเอียดงานบันได ST5 และทางเดิน Catwalk</v>
      </c>
      <c r="I910" s="1203">
        <f>'RC1_Arch'!I54</f>
        <v>0</v>
      </c>
      <c r="J910" s="1203">
        <f>'RC1_Arch'!L54</f>
        <v>0</v>
      </c>
      <c r="K910" s="1203">
        <f>'RC1_Arch'!M54</f>
        <v>0</v>
      </c>
    </row>
    <row r="911" spans="1:11">
      <c r="A911" t="s">
        <v>67</v>
      </c>
      <c r="B911" t="s">
        <v>68</v>
      </c>
      <c r="C911" t="s">
        <v>78</v>
      </c>
      <c r="D911" t="s">
        <v>78</v>
      </c>
      <c r="E911" t="str" cm="1">
        <f t="array" ref="E911">_xlfn.LET(_xlpm.c,'RC1_Arch'!C55, _xlpm.b, 'RC1_Arch'!B55, IF(_xlpm.c&lt;&gt;"", _xlpm.c, _xlpm.b))</f>
        <v>ทาน้ำยารักษาเนื้อไม้ ทำสีธรรมชาติ</v>
      </c>
      <c r="F911" s="1205"/>
      <c r="G911" s="1203">
        <f>'RC1_Arch'!F55</f>
        <v>0</v>
      </c>
      <c r="H911" s="1203">
        <f>'RC1_Arch'!E55</f>
        <v>0</v>
      </c>
      <c r="I911" s="1203">
        <f>'RC1_Arch'!I55</f>
        <v>0</v>
      </c>
      <c r="J911" s="1203">
        <f>'RC1_Arch'!L55</f>
        <v>0</v>
      </c>
      <c r="K911" s="1203">
        <f>'RC1_Arch'!M55</f>
        <v>0</v>
      </c>
    </row>
    <row r="912" spans="1:11">
      <c r="A912" t="s">
        <v>67</v>
      </c>
      <c r="B912" t="s">
        <v>68</v>
      </c>
      <c r="C912" t="s">
        <v>79</v>
      </c>
      <c r="D912" t="s">
        <v>79</v>
      </c>
      <c r="E912" t="str" cm="1">
        <f t="array" ref="E912">_xlfn.LET(_xlpm.c,'RC1_Arch'!C56, _xlpm.b, 'RC1_Arch'!B56, IF(_xlpm.c&lt;&gt;"", _xlpm.c, _xlpm.b))</f>
        <v xml:space="preserve">พื้น ค.ส.ล. พร้อมปูนทรายปรับระดับ ผิวปูกระเบื้องหินขัด สีดำ  ขนาด 600x600 มม.  </v>
      </c>
      <c r="F912" s="1205"/>
      <c r="G912" s="1203" t="str">
        <f>'RC1_Arch'!F56</f>
        <v>ตร.ม.</v>
      </c>
      <c r="H912" s="1203">
        <f>'RC1_Arch'!E56</f>
        <v>153</v>
      </c>
      <c r="I912" s="1203">
        <f>'RC1_Arch'!I56</f>
        <v>53926.431059007002</v>
      </c>
      <c r="J912" s="1203">
        <f>'RC1_Arch'!L56</f>
        <v>31755.086724401997</v>
      </c>
      <c r="K912" s="1203">
        <f>'RC1_Arch'!M56</f>
        <v>85681.517783408999</v>
      </c>
    </row>
    <row r="913" spans="1:11">
      <c r="A913" t="s">
        <v>67</v>
      </c>
      <c r="B913" t="s">
        <v>68</v>
      </c>
      <c r="C913" t="s">
        <v>79</v>
      </c>
      <c r="D913" t="s">
        <v>79</v>
      </c>
      <c r="E913" cm="1">
        <f t="array" ref="E913">_xlfn.LET(_xlpm.c,'RC1_Arch'!C57, _xlpm.b, 'RC1_Arch'!B57, IF(_xlpm.c&lt;&gt;"", _xlpm.c, _xlpm.b))</f>
        <v>0</v>
      </c>
      <c r="F913" s="1205"/>
      <c r="G913" s="1203">
        <f>'RC1_Arch'!F57</f>
        <v>0</v>
      </c>
      <c r="H913" s="1203">
        <f>'RC1_Arch'!E57</f>
        <v>0</v>
      </c>
      <c r="I913" s="1203">
        <f>'RC1_Arch'!I57</f>
        <v>0</v>
      </c>
      <c r="J913" s="1203">
        <f>'RC1_Arch'!L57</f>
        <v>0</v>
      </c>
      <c r="K913" s="1203">
        <f>'RC1_Arch'!M57</f>
        <v>0</v>
      </c>
    </row>
    <row r="914" spans="1:11">
      <c r="A914" t="s">
        <v>67</v>
      </c>
      <c r="B914" t="s">
        <v>68</v>
      </c>
      <c r="C914" t="s">
        <v>79</v>
      </c>
      <c r="D914" t="s">
        <v>79</v>
      </c>
      <c r="E914" t="str" cm="1">
        <f t="array" ref="E914">_xlfn.LET(_xlpm.c,'RC1_Arch'!C58, _xlpm.b, 'RC1_Arch'!B58, IF(_xlpm.c&lt;&gt;"", _xlpm.c, _xlpm.b))</f>
        <v xml:space="preserve">พื้น ค.ส.ล. พร้อมปูนทรายปรับระดับ  ผิวปูกระเบื้องหินขัด สีขาว ขนาด 600x600 มม.  </v>
      </c>
      <c r="F914" s="1205"/>
      <c r="G914" s="1203" t="str">
        <f>'RC1_Arch'!F58</f>
        <v>ตร.ม.</v>
      </c>
      <c r="H914" s="1203">
        <f>'RC1_Arch'!E58</f>
        <v>323</v>
      </c>
      <c r="I914" s="1203">
        <f>'RC1_Arch'!I58</f>
        <v>113844.687791237</v>
      </c>
      <c r="J914" s="1203">
        <f>'RC1_Arch'!L58</f>
        <v>67038.516418182</v>
      </c>
      <c r="K914" s="1203">
        <f>'RC1_Arch'!M58</f>
        <v>180883.204209419</v>
      </c>
    </row>
    <row r="915" spans="1:11">
      <c r="A915" t="s">
        <v>67</v>
      </c>
      <c r="B915" t="s">
        <v>68</v>
      </c>
      <c r="C915" t="s">
        <v>80</v>
      </c>
      <c r="D915" t="s">
        <v>80</v>
      </c>
      <c r="E915" t="str" cm="1">
        <f t="array" ref="E915">_xlfn.LET(_xlpm.c,'RC1_Arch'!C59, _xlpm.b, 'RC1_Arch'!B59, IF(_xlpm.c&lt;&gt;"", _xlpm.c, _xlpm.b))</f>
        <v>พื้น ค.ส.ล. พร้อมปูนทรายปรับระดับ ผิวปูกระเบื้องเซรามิค ขนาด 400x400 มม.</v>
      </c>
      <c r="F915" s="1205"/>
      <c r="G915" s="1203" t="str">
        <f>'RC1_Arch'!F59</f>
        <v>ตร.ม.</v>
      </c>
      <c r="H915" s="1203">
        <f>'RC1_Arch'!E59</f>
        <v>102</v>
      </c>
      <c r="I915" s="1203">
        <f>'RC1_Arch'!I59</f>
        <v>28512.825617406001</v>
      </c>
      <c r="J915" s="1203">
        <f>'RC1_Arch'!L59</f>
        <v>15066.978085452</v>
      </c>
      <c r="K915" s="1203">
        <f>'RC1_Arch'!M59</f>
        <v>43579.803702858</v>
      </c>
    </row>
    <row r="916" spans="1:11">
      <c r="A916" t="s">
        <v>67</v>
      </c>
      <c r="B916" t="s">
        <v>68</v>
      </c>
      <c r="C916" t="s">
        <v>81</v>
      </c>
      <c r="D916" t="s">
        <v>81</v>
      </c>
      <c r="E916" t="str" cm="1">
        <f t="array" ref="E916">_xlfn.LET(_xlpm.c,'RC1_Arch'!C60, _xlpm.b, 'RC1_Arch'!B60, IF(_xlpm.c&lt;&gt;"", _xlpm.c, _xlpm.b))</f>
        <v>พื้นกระจกลามิเนต (Sentry Glas Heat Strengthened Laminated)</v>
      </c>
      <c r="F916" s="1205"/>
      <c r="G916" s="1203">
        <f>'RC1_Arch'!F60</f>
        <v>0</v>
      </c>
      <c r="H916" s="1203" t="str">
        <f>'RC1_Arch'!E60</f>
        <v>* ดูรายละเอียดงาน Urban Void</v>
      </c>
      <c r="I916" s="1203">
        <f>'RC1_Arch'!I60</f>
        <v>0</v>
      </c>
      <c r="J916" s="1203">
        <f>'RC1_Arch'!L60</f>
        <v>0</v>
      </c>
      <c r="K916" s="1203">
        <f>'RC1_Arch'!M60</f>
        <v>0</v>
      </c>
    </row>
    <row r="917" spans="1:11">
      <c r="A917" t="s">
        <v>67</v>
      </c>
      <c r="B917" t="s">
        <v>68</v>
      </c>
      <c r="C917" t="s">
        <v>81</v>
      </c>
      <c r="D917" t="s">
        <v>81</v>
      </c>
      <c r="E917" t="str" cm="1">
        <f t="array" ref="E917">_xlfn.LET(_xlpm.c,'RC1_Arch'!C61, _xlpm.b, 'RC1_Arch'!B61, IF(_xlpm.c&lt;&gt;"", _xlpm.c, _xlpm.b))</f>
        <v xml:space="preserve">(10 MM.Clear Hs + SentryGlas +10 MM. Clear Hs ) การติดตั้งเสนออนุมติ </v>
      </c>
      <c r="F917" s="1205"/>
      <c r="G917" s="1203">
        <f>'RC1_Arch'!F61</f>
        <v>0</v>
      </c>
      <c r="H917" s="1203">
        <f>'RC1_Arch'!E61</f>
        <v>0</v>
      </c>
      <c r="I917" s="1203">
        <f>'RC1_Arch'!I61</f>
        <v>0</v>
      </c>
      <c r="J917" s="1203">
        <f>'RC1_Arch'!L61</f>
        <v>0</v>
      </c>
      <c r="K917" s="1203">
        <f>'RC1_Arch'!M61</f>
        <v>0</v>
      </c>
    </row>
    <row r="918" spans="1:11">
      <c r="A918" t="s">
        <v>67</v>
      </c>
      <c r="B918" t="s">
        <v>68</v>
      </c>
      <c r="C918" t="s">
        <v>80</v>
      </c>
      <c r="D918" t="s">
        <v>80</v>
      </c>
      <c r="E918" t="str" cm="1">
        <f t="array" ref="E918">_xlfn.LET(_xlpm.c,'RC1_Arch'!C62, _xlpm.b, 'RC1_Arch'!B62, IF(_xlpm.c&lt;&gt;"", _xlpm.c, _xlpm.b))</f>
        <v xml:space="preserve">พื้น ค.ส.ล. พร้อมปูนทรายปรับระดับ ผิวปูกระเบื้องสีเทา ขนาด 600x600x10 มม. </v>
      </c>
      <c r="F918" s="1205"/>
      <c r="G918" s="1203" t="str">
        <f>'RC1_Arch'!F62</f>
        <v>ตร.ม.</v>
      </c>
      <c r="H918" s="1203">
        <f>'RC1_Arch'!E62</f>
        <v>337</v>
      </c>
      <c r="I918" s="1203">
        <f>'RC1_Arch'!I62</f>
        <v>168559.24633386498</v>
      </c>
      <c r="J918" s="1203">
        <f>'RC1_Arch'!L62</f>
        <v>69944.210628257992</v>
      </c>
      <c r="K918" s="1203">
        <f>'RC1_Arch'!M62</f>
        <v>238503.45696212299</v>
      </c>
    </row>
    <row r="919" spans="1:11">
      <c r="A919" t="s">
        <v>67</v>
      </c>
      <c r="B919" t="s">
        <v>68</v>
      </c>
      <c r="C919" t="s">
        <v>82</v>
      </c>
      <c r="D919" t="s">
        <v>82</v>
      </c>
      <c r="E919" t="str" cm="1">
        <f t="array" ref="E919">_xlfn.LET(_xlpm.c,'RC1_Arch'!C63, _xlpm.b, 'RC1_Arch'!B63, IF(_xlpm.c&lt;&gt;"", _xlpm.c, _xlpm.b))</f>
        <v>พื้นโครงสร้างเหล็ก ปูทับด้วยแผ่นยางปูพื้นกันลื่นลายเหรียญสีเทา</v>
      </c>
      <c r="F919" s="1205"/>
      <c r="G919" s="1203" t="str">
        <f>'RC1_Arch'!F63</f>
        <v>ตร.ม.</v>
      </c>
      <c r="H919" s="1203">
        <f>'RC1_Arch'!E63</f>
        <v>83</v>
      </c>
      <c r="I919" s="1203">
        <f>'RC1_Arch'!I63</f>
        <v>40350.631308520002</v>
      </c>
      <c r="J919" s="1203">
        <f>'RC1_Arch'!L63</f>
        <v>12105.189392556</v>
      </c>
      <c r="K919" s="1203">
        <f>'RC1_Arch'!M63</f>
        <v>52455.820701076002</v>
      </c>
    </row>
    <row r="920" spans="1:11">
      <c r="A920" t="s">
        <v>67</v>
      </c>
      <c r="B920" t="s">
        <v>68</v>
      </c>
      <c r="C920" t="s">
        <v>82</v>
      </c>
      <c r="D920" t="s">
        <v>82</v>
      </c>
      <c r="E920" t="str" cm="1">
        <f t="array" ref="E920">_xlfn.LET(_xlpm.c,'RC1_Arch'!C64, _xlpm.b, 'RC1_Arch'!B64, IF(_xlpm.c&lt;&gt;"", _xlpm.c, _xlpm.b))</f>
        <v>Round Dot — Anti Slip หนา 5 มม.</v>
      </c>
      <c r="F920" s="1205"/>
      <c r="G920" s="1203">
        <f>'RC1_Arch'!F64</f>
        <v>0</v>
      </c>
      <c r="H920" s="1203">
        <f>'RC1_Arch'!E64</f>
        <v>0</v>
      </c>
      <c r="I920" s="1203">
        <f>'RC1_Arch'!I64</f>
        <v>0</v>
      </c>
      <c r="J920" s="1203">
        <f>'RC1_Arch'!L64</f>
        <v>0</v>
      </c>
      <c r="K920" s="1203">
        <f>'RC1_Arch'!M64</f>
        <v>0</v>
      </c>
    </row>
    <row r="921" spans="1:11">
      <c r="A921" t="s">
        <v>67</v>
      </c>
      <c r="B921" t="s">
        <v>68</v>
      </c>
      <c r="C921" t="s">
        <v>82</v>
      </c>
      <c r="D921" t="s">
        <v>82</v>
      </c>
      <c r="E921" t="str" cm="1">
        <f t="array" ref="E921">_xlfn.LET(_xlpm.c,'RC1_Arch'!C65, _xlpm.b, 'RC1_Arch'!B65, IF(_xlpm.c&lt;&gt;"", _xlpm.c, _xlpm.b))</f>
        <v xml:space="preserve">พื้น ค.ส.ล. ขัดมัน พร้อมติดตั้ง Access Floor System ขนาด 600x600x35 mm. </v>
      </c>
      <c r="F921" s="1205"/>
      <c r="G921" s="1203" t="str">
        <f>'RC1_Arch'!F65</f>
        <v>ตร.ม.</v>
      </c>
      <c r="H921" s="1203">
        <f>'RC1_Arch'!E65</f>
        <v>29</v>
      </c>
      <c r="I921" s="1203">
        <f>'RC1_Arch'!I65</f>
        <v>59647.133398600003</v>
      </c>
      <c r="J921" s="1203">
        <f>'RC1_Arch'!L65</f>
        <v>9489.3166770499993</v>
      </c>
      <c r="K921" s="1203">
        <f>'RC1_Arch'!M65</f>
        <v>69136.450075650006</v>
      </c>
    </row>
    <row r="922" spans="1:11">
      <c r="A922" t="s">
        <v>67</v>
      </c>
      <c r="B922" t="s">
        <v>68</v>
      </c>
      <c r="C922" t="s">
        <v>82</v>
      </c>
      <c r="D922" t="s">
        <v>82</v>
      </c>
      <c r="E922" t="str" cm="1">
        <f t="array" ref="E922">_xlfn.LET(_xlpm.c,'RC1_Arch'!C66, _xlpm.b, 'RC1_Arch'!B66, IF(_xlpm.c&lt;&gt;"", _xlpm.c, _xlpm.b))</f>
        <v>ชนิด Light Weight Cement Infilled Steel และกรุด้วยกระเบื้องยาง</v>
      </c>
      <c r="F922" s="1205"/>
      <c r="G922" s="1203">
        <f>'RC1_Arch'!F66</f>
        <v>0</v>
      </c>
      <c r="H922" s="1203">
        <f>'RC1_Arch'!E66</f>
        <v>0</v>
      </c>
      <c r="I922" s="1203">
        <f>'RC1_Arch'!I66</f>
        <v>0</v>
      </c>
      <c r="J922" s="1203">
        <f>'RC1_Arch'!L66</f>
        <v>0</v>
      </c>
      <c r="K922" s="1203">
        <f>'RC1_Arch'!M66</f>
        <v>0</v>
      </c>
    </row>
    <row r="923" spans="1:11">
      <c r="A923" t="s">
        <v>67</v>
      </c>
      <c r="B923" t="s">
        <v>68</v>
      </c>
      <c r="C923" t="s">
        <v>82</v>
      </c>
      <c r="D923" t="s">
        <v>82</v>
      </c>
      <c r="E923" t="str" cm="1">
        <f t="array" ref="E923">_xlfn.LET(_xlpm.c,'RC1_Arch'!C67, _xlpm.b, 'RC1_Arch'!B67, IF(_xlpm.c&lt;&gt;"", _xlpm.c, _xlpm.b))</f>
        <v>พื้นดูรายละเอียดงานภูมิสถาปัตยกรรม</v>
      </c>
      <c r="F923" s="1205"/>
      <c r="G923" s="1203" t="str">
        <f>'RC1_Arch'!F67</f>
        <v>ตร.ม.</v>
      </c>
      <c r="H923" s="1203">
        <f>'RC1_Arch'!E67</f>
        <v>5215</v>
      </c>
      <c r="I923" s="1203">
        <f>'RC1_Arch'!I67</f>
        <v>0</v>
      </c>
      <c r="J923" s="1203">
        <f>'RC1_Arch'!L67</f>
        <v>0</v>
      </c>
      <c r="K923" s="1203">
        <f>'RC1_Arch'!M67</f>
        <v>0</v>
      </c>
    </row>
    <row r="924" spans="1:11">
      <c r="A924" t="s">
        <v>67</v>
      </c>
      <c r="B924" t="s">
        <v>68</v>
      </c>
      <c r="C924" t="s">
        <v>83</v>
      </c>
      <c r="D924" t="s">
        <v>84</v>
      </c>
      <c r="E924" t="str" cm="1">
        <f t="array" ref="E924">_xlfn.LET(_xlpm.c,'RC1_Arch'!C68, _xlpm.b, 'RC1_Arch'!B68, IF(_xlpm.c&lt;&gt;"", _xlpm.c, _xlpm.b))</f>
        <v>งานกันซึมพื้นห้องน้ำ</v>
      </c>
      <c r="F924" s="1205"/>
      <c r="G924" s="1203" t="str">
        <f>'RC1_Arch'!F68</f>
        <v>ตร.ม.</v>
      </c>
      <c r="H924" s="1203">
        <f>'RC1_Arch'!E68</f>
        <v>475</v>
      </c>
      <c r="I924" s="1203">
        <f>'RC1_Arch'!I68</f>
        <v>35526.505786000002</v>
      </c>
      <c r="J924" s="1203">
        <f>'RC1_Arch'!L68</f>
        <v>0</v>
      </c>
      <c r="K924" s="1203">
        <f>'RC1_Arch'!M68</f>
        <v>35526.505786000002</v>
      </c>
    </row>
    <row r="925" spans="1:11">
      <c r="E925" t="str" cm="1">
        <f t="array" ref="E925">_xlfn.LET(_xlpm.c,'RC1_Arch'!C69, _xlpm.b, 'RC1_Arch'!B69, IF(_xlpm.c&lt;&gt;"", _xlpm.c, _xlpm.b))</f>
        <v>งานรอยต่อพื้น</v>
      </c>
      <c r="F925" s="1205"/>
      <c r="G925" s="1203">
        <f>'RC1_Arch'!F69</f>
        <v>0</v>
      </c>
      <c r="H925" s="1203">
        <f>'RC1_Arch'!E69</f>
        <v>0</v>
      </c>
      <c r="I925" s="1203">
        <f>'RC1_Arch'!I69</f>
        <v>0</v>
      </c>
      <c r="J925" s="1203">
        <f>'RC1_Arch'!L69</f>
        <v>0</v>
      </c>
      <c r="K925" s="1203">
        <f>'RC1_Arch'!M69</f>
        <v>0</v>
      </c>
    </row>
    <row r="926" spans="1:11">
      <c r="A926" t="s">
        <v>67</v>
      </c>
      <c r="B926" t="s">
        <v>68</v>
      </c>
      <c r="C926" t="s">
        <v>85</v>
      </c>
      <c r="D926" t="s">
        <v>85</v>
      </c>
      <c r="E926" t="str" cm="1">
        <f t="array" ref="E926">_xlfn.LET(_xlpm.c,'RC1_Arch'!C70, _xlpm.b, 'RC1_Arch'!B70, IF(_xlpm.c&lt;&gt;"", _xlpm.c, _xlpm.b))</f>
        <v>งานรอยต่อพื้น J1  (เส้นแบ่งแนว)</v>
      </c>
      <c r="F926" s="1205"/>
      <c r="G926" s="1203" t="str">
        <f>'RC1_Arch'!F70</f>
        <v>เมตร</v>
      </c>
      <c r="H926" s="1203">
        <f>'RC1_Arch'!E70</f>
        <v>315</v>
      </c>
      <c r="I926" s="1203">
        <f>'RC1_Arch'!I70</f>
        <v>64789.127657099998</v>
      </c>
      <c r="J926" s="1203">
        <f>'RC1_Arch'!L70</f>
        <v>13252.321566224999</v>
      </c>
      <c r="K926" s="1203">
        <f>'RC1_Arch'!M70</f>
        <v>78041.449223324991</v>
      </c>
    </row>
    <row r="927" spans="1:11">
      <c r="A927" t="s">
        <v>67</v>
      </c>
      <c r="B927" t="s">
        <v>68</v>
      </c>
      <c r="C927" t="s">
        <v>85</v>
      </c>
      <c r="D927" t="s">
        <v>85</v>
      </c>
      <c r="E927" t="str" cm="1">
        <f t="array" ref="E927">_xlfn.LET(_xlpm.c,'RC1_Arch'!C71, _xlpm.b, 'RC1_Arch'!B71, IF(_xlpm.c&lt;&gt;"", _xlpm.c, _xlpm.b))</f>
        <v>งานรอยต่อพื้น J2  (เส้นแบ่งแนว)</v>
      </c>
      <c r="F927" s="1205"/>
      <c r="G927" s="1203" t="str">
        <f>'RC1_Arch'!F71</f>
        <v>เมตร</v>
      </c>
      <c r="H927" s="1203">
        <f>'RC1_Arch'!E71</f>
        <v>50</v>
      </c>
      <c r="I927" s="1203">
        <f>'RC1_Arch'!I71</f>
        <v>18698.160939999998</v>
      </c>
      <c r="J927" s="1203">
        <f>'RC1_Arch'!L71</f>
        <v>2103.54310575</v>
      </c>
      <c r="K927" s="1203">
        <f>'RC1_Arch'!M71</f>
        <v>20801.704045749997</v>
      </c>
    </row>
    <row r="928" spans="1:11">
      <c r="A928" t="s">
        <v>67</v>
      </c>
      <c r="B928" t="s">
        <v>68</v>
      </c>
      <c r="C928" t="s">
        <v>85</v>
      </c>
      <c r="D928" t="s">
        <v>85</v>
      </c>
      <c r="E928" t="str" cm="1">
        <f t="array" ref="E928">_xlfn.LET(_xlpm.c,'RC1_Arch'!C72, _xlpm.b, 'RC1_Arch'!B72, IF(_xlpm.c&lt;&gt;"", _xlpm.c, _xlpm.b))</f>
        <v>งานรอยต่อพื้น J3  (เส้นแบ่งแนว)</v>
      </c>
      <c r="F928" s="1205"/>
      <c r="G928" s="1203" t="str">
        <f>'RC1_Arch'!F72</f>
        <v>เมตร</v>
      </c>
      <c r="H928" s="1203">
        <f>'RC1_Arch'!E72</f>
        <v>925</v>
      </c>
      <c r="I928" s="1203">
        <f>'RC1_Arch'!I72</f>
        <v>328620.17852050002</v>
      </c>
      <c r="J928" s="1203">
        <f>'RC1_Arch'!L72</f>
        <v>38915.547456374996</v>
      </c>
      <c r="K928" s="1203">
        <f>'RC1_Arch'!M72</f>
        <v>367535.72597687499</v>
      </c>
    </row>
    <row r="929" spans="1:11">
      <c r="A929" t="s">
        <v>67</v>
      </c>
      <c r="B929" t="s">
        <v>68</v>
      </c>
      <c r="C929" t="s">
        <v>85</v>
      </c>
      <c r="D929" t="s">
        <v>85</v>
      </c>
      <c r="E929" t="str" cm="1">
        <f t="array" ref="E929">_xlfn.LET(_xlpm.c,'RC1_Arch'!C73, _xlpm.b, 'RC1_Arch'!B73, IF(_xlpm.c&lt;&gt;"", _xlpm.c, _xlpm.b))</f>
        <v>งานรอยต่อพื้น J4 (เส้นแบ่งแนว)</v>
      </c>
      <c r="F929" s="1205"/>
      <c r="G929" s="1203" t="str">
        <f>'RC1_Arch'!F73</f>
        <v>เมตร</v>
      </c>
      <c r="H929" s="1203">
        <f>'RC1_Arch'!E73</f>
        <v>460</v>
      </c>
      <c r="I929" s="1203">
        <f>'RC1_Arch'!I73</f>
        <v>163421.92661560001</v>
      </c>
      <c r="J929" s="1203">
        <f>'RC1_Arch'!L73</f>
        <v>19352.596572899998</v>
      </c>
      <c r="K929" s="1203">
        <f>'RC1_Arch'!M73</f>
        <v>182774.5231885</v>
      </c>
    </row>
    <row r="930" spans="1:11">
      <c r="F930" s="1205"/>
      <c r="G930" s="1203"/>
      <c r="H930" s="1203"/>
      <c r="I930" s="1203"/>
      <c r="J930" s="1203"/>
      <c r="K930" s="1203"/>
    </row>
    <row r="931" spans="1:11">
      <c r="F931" s="1205"/>
      <c r="G931" s="1203"/>
      <c r="H931" s="1203"/>
      <c r="I931" s="1203"/>
      <c r="J931" s="1203"/>
      <c r="K931" s="1203"/>
    </row>
    <row r="932" spans="1:11">
      <c r="F932" s="1205"/>
      <c r="G932" s="1203"/>
      <c r="H932" s="1203"/>
      <c r="I932" s="1203"/>
      <c r="J932" s="1203"/>
      <c r="K932" s="1203"/>
    </row>
    <row r="933" spans="1:11">
      <c r="F933" s="1205"/>
      <c r="G933" s="1203"/>
      <c r="H933" s="1203"/>
      <c r="I933" s="1203"/>
      <c r="J933" s="1203"/>
      <c r="K933" s="1203"/>
    </row>
    <row r="934" spans="1:11">
      <c r="F934" s="1205"/>
      <c r="G934" s="1203"/>
      <c r="H934" s="1203"/>
      <c r="I934" s="1203"/>
      <c r="J934" s="1203"/>
      <c r="K934" s="1203"/>
    </row>
    <row r="935" spans="1:11">
      <c r="F935" s="1205"/>
      <c r="G935" s="1203"/>
      <c r="H935" s="1203"/>
      <c r="I935" s="1203"/>
      <c r="J935" s="1203"/>
      <c r="K935" s="1203"/>
    </row>
    <row r="936" spans="1:11">
      <c r="F936" s="1205"/>
      <c r="G936" s="1203"/>
      <c r="H936" s="1203"/>
      <c r="I936" s="1203"/>
      <c r="J936" s="1203"/>
      <c r="K936" s="1203"/>
    </row>
    <row r="937" spans="1:11">
      <c r="F937" s="1205"/>
      <c r="G937" s="1203"/>
      <c r="H937" s="1203"/>
      <c r="I937" s="1203"/>
      <c r="J937" s="1203"/>
      <c r="K937" s="1203"/>
    </row>
    <row r="938" spans="1:11">
      <c r="F938" s="1205"/>
      <c r="G938" s="1203"/>
      <c r="H938" s="1203"/>
      <c r="I938" s="1203"/>
      <c r="J938" s="1203"/>
      <c r="K938" s="1203"/>
    </row>
    <row r="939" spans="1:11">
      <c r="E939" t="str" cm="1">
        <f t="array" ref="E939">_xlfn.LET(_xlpm.c,'RC1_Arch'!C83, _xlpm.b, 'RC1_Arch'!B83, IF(_xlpm.c&lt;&gt;"", _xlpm.c, _xlpm.b))</f>
        <v>งานผนังและผิวผนัง</v>
      </c>
      <c r="F939" s="1205"/>
      <c r="G939" s="1203">
        <f>'RC1_Arch'!F83</f>
        <v>0</v>
      </c>
      <c r="H939" s="1203">
        <f>'RC1_Arch'!E83</f>
        <v>0</v>
      </c>
      <c r="I939" s="1203">
        <f>'RC1_Arch'!I83</f>
        <v>0</v>
      </c>
      <c r="J939" s="1203">
        <f>'RC1_Arch'!L83</f>
        <v>0</v>
      </c>
      <c r="K939" s="1203">
        <f>'RC1_Arch'!M83</f>
        <v>0</v>
      </c>
    </row>
    <row r="940" spans="1:11">
      <c r="A940" t="s">
        <v>67</v>
      </c>
      <c r="B940" t="s">
        <v>86</v>
      </c>
      <c r="C940" t="s">
        <v>87</v>
      </c>
      <c r="D940" t="s">
        <v>87</v>
      </c>
      <c r="E940" t="str" cm="1">
        <f t="array" ref="E940">_xlfn.LET(_xlpm.c,'RC1_Arch'!C84, _xlpm.b, 'RC1_Arch'!B84, IF(_xlpm.c&lt;&gt;"", _xlpm.c, _xlpm.b))</f>
        <v>ผนังก่อคอนกรีตมวลเบา ขนาด 20 x 60 x 10 ซม.</v>
      </c>
      <c r="F940" s="1205"/>
      <c r="G940" s="1203" t="str">
        <f>'RC1_Arch'!F84</f>
        <v>ตร.ม.</v>
      </c>
      <c r="H940" s="1203">
        <f>'RC1_Arch'!E84</f>
        <v>5825</v>
      </c>
      <c r="I940" s="1203">
        <f>'RC1_Arch'!I84</f>
        <v>1307001.4497059998</v>
      </c>
      <c r="J940" s="1203">
        <f>'RC1_Arch'!L84</f>
        <v>326750.36242649995</v>
      </c>
      <c r="K940" s="1203">
        <f>'RC1_Arch'!M84</f>
        <v>1633751.8121324996</v>
      </c>
    </row>
    <row r="941" spans="1:11">
      <c r="A941" t="s">
        <v>67</v>
      </c>
      <c r="B941" t="s">
        <v>86</v>
      </c>
      <c r="C941" t="s">
        <v>87</v>
      </c>
      <c r="D941" t="s">
        <v>87</v>
      </c>
      <c r="E941" t="str" cm="1">
        <f t="array" ref="E941">_xlfn.LET(_xlpm.c,'RC1_Arch'!C85, _xlpm.b, 'RC1_Arch'!B85, IF(_xlpm.c&lt;&gt;"", _xlpm.c, _xlpm.b))</f>
        <v>ผนังก่อคอนกรีตมวลเบา ขนาด 20 x 60 x 15 ซม.</v>
      </c>
      <c r="F941" s="1205"/>
      <c r="G941" s="1203" t="str">
        <f>'RC1_Arch'!F85</f>
        <v>ตร.ม.</v>
      </c>
      <c r="H941" s="1203">
        <f>'RC1_Arch'!E85</f>
        <v>353</v>
      </c>
      <c r="I941" s="1203">
        <f>'RC1_Arch'!I85</f>
        <v>116497.95682862299</v>
      </c>
      <c r="J941" s="1203">
        <f>'RC1_Arch'!L85</f>
        <v>22441.532760187998</v>
      </c>
      <c r="K941" s="1203">
        <f>'RC1_Arch'!M85</f>
        <v>138939.489588811</v>
      </c>
    </row>
    <row r="942" spans="1:11">
      <c r="A942" t="s">
        <v>67</v>
      </c>
      <c r="B942" t="s">
        <v>86</v>
      </c>
      <c r="C942" t="s">
        <v>87</v>
      </c>
      <c r="D942" t="s">
        <v>87</v>
      </c>
      <c r="E942" t="str" cm="1">
        <f t="array" ref="E942">_xlfn.LET(_xlpm.c,'RC1_Arch'!C86, _xlpm.b, 'RC1_Arch'!B86, IF(_xlpm.c&lt;&gt;"", _xlpm.c, _xlpm.b))</f>
        <v>ผนังก่อคอนกรีตมวลเบา ขนาด 20 x 60 x 20 ซม.</v>
      </c>
      <c r="F942" s="1205"/>
      <c r="G942" s="1203" t="str">
        <f>'RC1_Arch'!F86</f>
        <v>ตร.ม.</v>
      </c>
      <c r="H942" s="1203">
        <f>'RC1_Arch'!E86</f>
        <v>445</v>
      </c>
      <c r="I942" s="1203">
        <f>'RC1_Arch'!I86</f>
        <v>195536.01803004998</v>
      </c>
      <c r="J942" s="1203">
        <f>'RC1_Arch'!L86</f>
        <v>32450.65831137</v>
      </c>
      <c r="K942" s="1203">
        <f>'RC1_Arch'!M86</f>
        <v>227986.67634141998</v>
      </c>
    </row>
    <row r="943" spans="1:11">
      <c r="A943" t="s">
        <v>67</v>
      </c>
      <c r="B943" t="s">
        <v>86</v>
      </c>
      <c r="C943" t="s">
        <v>87</v>
      </c>
      <c r="D943" t="s">
        <v>87</v>
      </c>
      <c r="E943" t="str" cm="1">
        <f t="array" ref="E943">_xlfn.LET(_xlpm.c,'RC1_Arch'!C87, _xlpm.b, 'RC1_Arch'!B87, IF(_xlpm.c&lt;&gt;"", _xlpm.c, _xlpm.b))</f>
        <v>ผนังก่อคอนกรีตมวลเบา ขนาด 20 x 60 x 30 ซม.</v>
      </c>
      <c r="F943" s="1205"/>
      <c r="G943" s="1203" t="str">
        <f>'RC1_Arch'!F87</f>
        <v>ตร.ม.</v>
      </c>
      <c r="H943" s="1203">
        <f>'RC1_Arch'!E87</f>
        <v>125</v>
      </c>
      <c r="I943" s="1203">
        <f>'RC1_Arch'!I87</f>
        <v>79934.638018500002</v>
      </c>
      <c r="J943" s="1203">
        <f>'RC1_Arch'!L87</f>
        <v>15893.436798999999</v>
      </c>
      <c r="K943" s="1203">
        <f>'RC1_Arch'!M87</f>
        <v>95828.074817500004</v>
      </c>
    </row>
    <row r="944" spans="1:11">
      <c r="A944" t="s">
        <v>67</v>
      </c>
      <c r="B944" t="s">
        <v>86</v>
      </c>
      <c r="C944" t="s">
        <v>88</v>
      </c>
      <c r="D944" t="s">
        <v>88</v>
      </c>
      <c r="E944" t="str" cm="1">
        <f t="array" ref="E944">_xlfn.LET(_xlpm.c,'RC1_Arch'!C88, _xlpm.b, 'RC1_Arch'!B88, IF(_xlpm.c&lt;&gt;"", _xlpm.c, _xlpm.b))</f>
        <v>งานเสาเอ็นและทับหลัง ผนังก่อคอนกรีตมวลเบา หนา 10 ซม.</v>
      </c>
      <c r="F944" s="1205"/>
      <c r="G944" s="1203" t="str">
        <f>'RC1_Arch'!F88</f>
        <v>ม.</v>
      </c>
      <c r="H944" s="1203">
        <f>'RC1_Arch'!E88</f>
        <v>3885</v>
      </c>
      <c r="I944" s="1203">
        <f>'RC1_Arch'!I88</f>
        <v>286937.30324500496</v>
      </c>
      <c r="J944" s="1203">
        <f>'RC1_Arch'!L88</f>
        <v>167077.41707937</v>
      </c>
      <c r="K944" s="1203">
        <f>'RC1_Arch'!M88</f>
        <v>454014.72032437497</v>
      </c>
    </row>
    <row r="945" spans="1:11">
      <c r="A945" t="s">
        <v>67</v>
      </c>
      <c r="B945" t="s">
        <v>86</v>
      </c>
      <c r="C945" t="s">
        <v>88</v>
      </c>
      <c r="D945" t="s">
        <v>88</v>
      </c>
      <c r="E945" t="str" cm="1">
        <f t="array" ref="E945">_xlfn.LET(_xlpm.c,'RC1_Arch'!C89, _xlpm.b, 'RC1_Arch'!B89, IF(_xlpm.c&lt;&gt;"", _xlpm.c, _xlpm.b))</f>
        <v>งานเสาเอ็นและทับหลัง ผนังก่อคอนกรีตมวลเบา หนา 15 ซม.</v>
      </c>
      <c r="F945" s="1205"/>
      <c r="G945" s="1203" t="str">
        <f>'RC1_Arch'!F89</f>
        <v>ม.</v>
      </c>
      <c r="H945" s="1203">
        <f>'RC1_Arch'!E89</f>
        <v>240</v>
      </c>
      <c r="I945" s="1203">
        <f>'RC1_Arch'!I89</f>
        <v>25579.084165919998</v>
      </c>
      <c r="J945" s="1203">
        <f>'RC1_Arch'!L89</f>
        <v>14360.187601919999</v>
      </c>
      <c r="K945" s="1203">
        <f>'RC1_Arch'!M89</f>
        <v>39939.271767839993</v>
      </c>
    </row>
    <row r="946" spans="1:11">
      <c r="A946" t="s">
        <v>67</v>
      </c>
      <c r="B946" t="s">
        <v>86</v>
      </c>
      <c r="C946" t="s">
        <v>88</v>
      </c>
      <c r="D946" t="s">
        <v>88</v>
      </c>
      <c r="E946" t="str" cm="1">
        <f t="array" ref="E946">_xlfn.LET(_xlpm.c,'RC1_Arch'!C90, _xlpm.b, 'RC1_Arch'!B90, IF(_xlpm.c&lt;&gt;"", _xlpm.c, _xlpm.b))</f>
        <v>งานเสาเอ็นและทับหลัง ผนังก่อคอนกรีตมวลเบา หนา 20 ซม.</v>
      </c>
      <c r="F946" s="1205"/>
      <c r="G946" s="1203" t="str">
        <f>'RC1_Arch'!F90</f>
        <v>ม.</v>
      </c>
      <c r="H946" s="1203">
        <f>'RC1_Arch'!E90</f>
        <v>195</v>
      </c>
      <c r="I946" s="1203">
        <f>'RC1_Arch'!I90</f>
        <v>21512.234161469998</v>
      </c>
      <c r="J946" s="1203">
        <f>'RC1_Arch'!L90</f>
        <v>14766.872602365</v>
      </c>
      <c r="K946" s="1203">
        <f>'RC1_Arch'!M90</f>
        <v>36279.106763835</v>
      </c>
    </row>
    <row r="947" spans="1:11">
      <c r="A947" t="s">
        <v>67</v>
      </c>
      <c r="B947" t="s">
        <v>86</v>
      </c>
      <c r="C947" t="s">
        <v>88</v>
      </c>
      <c r="D947" t="s">
        <v>88</v>
      </c>
      <c r="E947" t="str" cm="1">
        <f t="array" ref="E947">_xlfn.LET(_xlpm.c,'RC1_Arch'!C91, _xlpm.b, 'RC1_Arch'!B91, IF(_xlpm.c&lt;&gt;"", _xlpm.c, _xlpm.b))</f>
        <v>งานเสาเอ็นและทับหลัง ผนังก่อคอนกรีตมวลเบา หนา 30 ซม.</v>
      </c>
      <c r="F947" s="1205"/>
      <c r="G947" s="1203" t="str">
        <f>'RC1_Arch'!F91</f>
        <v>ม.</v>
      </c>
      <c r="H947" s="1203">
        <f>'RC1_Arch'!E91</f>
        <v>125</v>
      </c>
      <c r="I947" s="1203">
        <f>'RC1_Arch'!I91</f>
        <v>25242.517269</v>
      </c>
      <c r="J947" s="1203">
        <f>'RC1_Arch'!L91</f>
        <v>11686.350587499999</v>
      </c>
      <c r="K947" s="1203">
        <f>'RC1_Arch'!M91</f>
        <v>36928.867856500001</v>
      </c>
    </row>
    <row r="948" spans="1:11">
      <c r="A948" t="s">
        <v>67</v>
      </c>
      <c r="B948" t="s">
        <v>86</v>
      </c>
      <c r="C948" t="s">
        <v>89</v>
      </c>
      <c r="D948" t="s">
        <v>89</v>
      </c>
      <c r="E948" t="str" cm="1">
        <f t="array" ref="E948">_xlfn.LET(_xlpm.c,'RC1_Arch'!C92, _xlpm.b, 'RC1_Arch'!B92, IF(_xlpm.c&lt;&gt;"", _xlpm.c, _xlpm.b))</f>
        <v>งานฉาบเรียบผนังคอนกรีตมวลเบา</v>
      </c>
      <c r="F948" s="1205"/>
      <c r="G948" s="1203" t="str">
        <f>'RC1_Arch'!F92</f>
        <v>ตร.ม.</v>
      </c>
      <c r="H948" s="1203">
        <f>'RC1_Arch'!E92</f>
        <v>12533</v>
      </c>
      <c r="I948" s="1203">
        <f>'RC1_Arch'!I92</f>
        <v>339798.87403847894</v>
      </c>
      <c r="J948" s="1203">
        <f>'RC1_Arch'!L92</f>
        <v>1019396.6221154371</v>
      </c>
      <c r="K948" s="1203">
        <f>'RC1_Arch'!M92</f>
        <v>1359195.496153916</v>
      </c>
    </row>
    <row r="949" spans="1:11">
      <c r="A949" t="s">
        <v>67</v>
      </c>
      <c r="B949" t="s">
        <v>86</v>
      </c>
      <c r="C949" t="s">
        <v>89</v>
      </c>
      <c r="D949" t="s">
        <v>89</v>
      </c>
      <c r="E949" t="str" cm="1">
        <f t="array" ref="E949">_xlfn.LET(_xlpm.c,'RC1_Arch'!C93, _xlpm.b, 'RC1_Arch'!B93, IF(_xlpm.c&lt;&gt;"", _xlpm.c, _xlpm.b))</f>
        <v>งานฉาบปูนผนังค.ส.ล.</v>
      </c>
      <c r="F949" s="1205"/>
      <c r="G949" s="1203" t="str">
        <f>'RC1_Arch'!F93</f>
        <v>ตร.ม.</v>
      </c>
      <c r="H949" s="1203">
        <f>'RC1_Arch'!E93</f>
        <v>6798</v>
      </c>
      <c r="I949" s="1203">
        <f>'RC1_Arch'!I93</f>
        <v>432174.33343840798</v>
      </c>
      <c r="J949" s="1203">
        <f>'RC1_Arch'!L93</f>
        <v>667328.01486812998</v>
      </c>
      <c r="K949" s="1203">
        <f>'RC1_Arch'!M93</f>
        <v>1099502.3483065381</v>
      </c>
    </row>
    <row r="950" spans="1:11">
      <c r="E950" t="str" cm="1">
        <f t="array" ref="E950">_xlfn.LET(_xlpm.c,'RC1_Arch'!C94, _xlpm.b, 'RC1_Arch'!B94, IF(_xlpm.c&lt;&gt;"", _xlpm.c, _xlpm.b))</f>
        <v>ผนังก่อฉาบหรือผนังโครงสร้างอื่นๆ งานผิวผนังดูรายละเอียดงานตกแต่งภายใน</v>
      </c>
      <c r="F950" s="1205"/>
      <c r="G950" s="1203" t="str">
        <f>'RC1_Arch'!F94</f>
        <v>ตร.ม.</v>
      </c>
      <c r="H950" s="1203">
        <f>'RC1_Arch'!E94</f>
        <v>0</v>
      </c>
      <c r="I950" s="1203">
        <f>'RC1_Arch'!I94</f>
        <v>0</v>
      </c>
      <c r="J950" s="1203">
        <f>'RC1_Arch'!L94</f>
        <v>0</v>
      </c>
      <c r="K950" s="1203">
        <f>'RC1_Arch'!M94</f>
        <v>0</v>
      </c>
    </row>
    <row r="951" spans="1:11">
      <c r="A951" t="s">
        <v>67</v>
      </c>
      <c r="B951" t="s">
        <v>86</v>
      </c>
      <c r="C951" t="s">
        <v>90</v>
      </c>
      <c r="D951" t="s">
        <v>90</v>
      </c>
      <c r="E951" t="str" cm="1">
        <f t="array" ref="E951">_xlfn.LET(_xlpm.c,'RC1_Arch'!C95, _xlpm.b, 'RC1_Arch'!B95, IF(_xlpm.c&lt;&gt;"", _xlpm.c, _xlpm.b))</f>
        <v xml:space="preserve">ผนังทาสีอะครีลิค ชนิดภายใน </v>
      </c>
      <c r="F951" s="1205"/>
      <c r="G951" s="1203" t="str">
        <f>'RC1_Arch'!F95</f>
        <v>ตร.ม.</v>
      </c>
      <c r="H951" s="1203">
        <f>'RC1_Arch'!E95</f>
        <v>11265</v>
      </c>
      <c r="I951" s="1203">
        <f>'RC1_Arch'!I95</f>
        <v>315952.17448364996</v>
      </c>
      <c r="J951" s="1203">
        <f>'RC1_Arch'!L95</f>
        <v>294888.69618473999</v>
      </c>
      <c r="K951" s="1203">
        <f>'RC1_Arch'!M95</f>
        <v>610840.87066838995</v>
      </c>
    </row>
    <row r="952" spans="1:11">
      <c r="A952" t="s">
        <v>67</v>
      </c>
      <c r="B952" t="s">
        <v>86</v>
      </c>
      <c r="C952" t="s">
        <v>90</v>
      </c>
      <c r="D952" t="s">
        <v>90</v>
      </c>
      <c r="E952" t="str" cm="1">
        <f t="array" ref="E952">_xlfn.LET(_xlpm.c,'RC1_Arch'!C96, _xlpm.b, 'RC1_Arch'!B96, IF(_xlpm.c&lt;&gt;"", _xlpm.c, _xlpm.b))</f>
        <v xml:space="preserve">ผนังทาสีอะครีลิค ชนิดภายนอก </v>
      </c>
      <c r="F952" s="1205"/>
      <c r="G952" s="1203" t="str">
        <f>'RC1_Arch'!F96</f>
        <v>ตร.ม.</v>
      </c>
      <c r="H952" s="1203">
        <f>'RC1_Arch'!E96</f>
        <v>905</v>
      </c>
      <c r="I952" s="1203">
        <f>'RC1_Arch'!I96</f>
        <v>38074.130214074998</v>
      </c>
      <c r="J952" s="1203">
        <f>'RC1_Arch'!L96</f>
        <v>26228.845258584999</v>
      </c>
      <c r="K952" s="1203">
        <f>'RC1_Arch'!M96</f>
        <v>64302.975472659993</v>
      </c>
    </row>
    <row r="953" spans="1:11">
      <c r="A953" t="s">
        <v>67</v>
      </c>
      <c r="B953" t="s">
        <v>86</v>
      </c>
      <c r="C953" t="s">
        <v>90</v>
      </c>
      <c r="D953" t="s">
        <v>90</v>
      </c>
      <c r="E953" t="str" cm="1">
        <f t="array" ref="E953">_xlfn.LET(_xlpm.c,'RC1_Arch'!C97, _xlpm.b, 'RC1_Arch'!B97, IF(_xlpm.c&lt;&gt;"", _xlpm.c, _xlpm.b))</f>
        <v>ผนังทาสีลวดลาย TEXTURE ลายไข่ปลา และทาสีอะครีลิค ชนิดภายนอก</v>
      </c>
      <c r="F953" s="1205"/>
      <c r="G953" s="1203" t="str">
        <f>'RC1_Arch'!F97</f>
        <v>ตร.ม.</v>
      </c>
      <c r="H953" s="1203">
        <f>'RC1_Arch'!E97</f>
        <v>200</v>
      </c>
      <c r="I953" s="1203">
        <f>'RC1_Arch'!I97</f>
        <v>25616.4804878</v>
      </c>
      <c r="J953" s="1203">
        <f>'RC1_Arch'!L97</f>
        <v>25242.517269</v>
      </c>
      <c r="K953" s="1203">
        <f>'RC1_Arch'!M97</f>
        <v>50858.997756800003</v>
      </c>
    </row>
    <row r="954" spans="1:11">
      <c r="A954" t="s">
        <v>67</v>
      </c>
      <c r="B954" t="s">
        <v>86</v>
      </c>
      <c r="C954" t="s">
        <v>91</v>
      </c>
      <c r="D954" t="s">
        <v>91</v>
      </c>
      <c r="E954" t="str" cm="1">
        <f t="array" ref="E954">_xlfn.LET(_xlpm.c,'RC1_Arch'!C98, _xlpm.b, 'RC1_Arch'!B98, IF(_xlpm.c&lt;&gt;"", _xlpm.c, _xlpm.b))</f>
        <v>ผนังคอนกรีตเปลือยผิวเรียบ ลงน้ำยาเคลือบผิว</v>
      </c>
      <c r="F954" s="1205"/>
      <c r="G954" s="1203" t="str">
        <f>'RC1_Arch'!F98</f>
        <v>ตร.ม.</v>
      </c>
      <c r="H954" s="1203">
        <f>'RC1_Arch'!E98</f>
        <v>630</v>
      </c>
      <c r="I954" s="1203">
        <f>'RC1_Arch'!I98</f>
        <v>29449.603480499998</v>
      </c>
      <c r="J954" s="1203">
        <f>'RC1_Arch'!L98</f>
        <v>11779.8413922</v>
      </c>
      <c r="K954" s="1203">
        <f>'RC1_Arch'!M98</f>
        <v>41229.444872699998</v>
      </c>
    </row>
    <row r="955" spans="1:11">
      <c r="A955" t="s">
        <v>67</v>
      </c>
      <c r="B955" t="s">
        <v>86</v>
      </c>
      <c r="C955" t="s">
        <v>91</v>
      </c>
      <c r="D955" t="s">
        <v>91</v>
      </c>
      <c r="E955" t="str" cm="1">
        <f t="array" ref="E955">_xlfn.LET(_xlpm.c,'RC1_Arch'!C99, _xlpm.b, 'RC1_Arch'!B99, IF(_xlpm.c&lt;&gt;"", _xlpm.c, _xlpm.b))</f>
        <v>ผนัง ค.ส.ล.ผิวโครงสร้างแต่งเรียบทำระบบกันซึม (งานกันซึมดูรายละเอียดงานกันซึม)</v>
      </c>
      <c r="F955" s="1205"/>
      <c r="G955" s="1203" t="str">
        <f>'RC1_Arch'!F99</f>
        <v>ตร.ม.</v>
      </c>
      <c r="H955" s="1203">
        <f>'RC1_Arch'!E99</f>
        <v>1170</v>
      </c>
      <c r="I955" s="1203">
        <f>'RC1_Arch'!I99</f>
        <v>0</v>
      </c>
      <c r="J955" s="1203">
        <f>'RC1_Arch'!L99</f>
        <v>43753.6965996</v>
      </c>
      <c r="K955" s="1203">
        <f>'RC1_Arch'!M99</f>
        <v>43753.6965996</v>
      </c>
    </row>
    <row r="956" spans="1:11">
      <c r="A956" t="s">
        <v>67</v>
      </c>
      <c r="B956" t="s">
        <v>86</v>
      </c>
      <c r="C956" t="s">
        <v>91</v>
      </c>
      <c r="D956" t="s">
        <v>91</v>
      </c>
      <c r="E956" t="str" cm="1">
        <f t="array" ref="E956">_xlfn.LET(_xlpm.c,'RC1_Arch'!C100, _xlpm.b, 'RC1_Arch'!B100, IF(_xlpm.c&lt;&gt;"", _xlpm.c, _xlpm.b))</f>
        <v>ผนังเปลือยผิวโครงสร้างแต่งผิวเรียบ</v>
      </c>
      <c r="F956" s="1205"/>
      <c r="G956" s="1203" t="str">
        <f>'RC1_Arch'!F100</f>
        <v>ตร.ม.</v>
      </c>
      <c r="H956" s="1203">
        <f>'RC1_Arch'!E100</f>
        <v>0</v>
      </c>
      <c r="I956" s="1203">
        <f>'RC1_Arch'!I100</f>
        <v>0</v>
      </c>
      <c r="J956" s="1203">
        <f>'RC1_Arch'!L100</f>
        <v>0</v>
      </c>
      <c r="K956" s="1203">
        <f>'RC1_Arch'!M100</f>
        <v>0</v>
      </c>
    </row>
    <row r="957" spans="1:11">
      <c r="A957" t="s">
        <v>67</v>
      </c>
      <c r="B957" t="s">
        <v>86</v>
      </c>
      <c r="C957" t="s">
        <v>91</v>
      </c>
      <c r="D957" t="s">
        <v>91</v>
      </c>
      <c r="E957" t="str" cm="1">
        <f t="array" ref="E957">_xlfn.LET(_xlpm.c,'RC1_Arch'!C101, _xlpm.b, 'RC1_Arch'!B101, IF(_xlpm.c&lt;&gt;"", _xlpm.c, _xlpm.b))</f>
        <v>ผนัง ค.ส.ล. ผิวขัดมัน</v>
      </c>
      <c r="F957" s="1205"/>
      <c r="G957" s="1203" t="str">
        <f>'RC1_Arch'!F101</f>
        <v>ตร.ม.</v>
      </c>
      <c r="H957" s="1203">
        <f>'RC1_Arch'!E101</f>
        <v>0</v>
      </c>
      <c r="I957" s="1203">
        <f>'RC1_Arch'!I101</f>
        <v>0</v>
      </c>
      <c r="J957" s="1203">
        <f>'RC1_Arch'!L101</f>
        <v>0</v>
      </c>
      <c r="K957" s="1203">
        <f>'RC1_Arch'!M101</f>
        <v>0</v>
      </c>
    </row>
    <row r="958" spans="1:11">
      <c r="A958" t="s">
        <v>67</v>
      </c>
      <c r="B958" t="s">
        <v>86</v>
      </c>
      <c r="C958" t="s">
        <v>92</v>
      </c>
      <c r="D958" t="s">
        <v>92</v>
      </c>
      <c r="E958" t="str" cm="1">
        <f t="array" ref="E958">_xlfn.LET(_xlpm.c,'RC1_Arch'!C102, _xlpm.b, 'RC1_Arch'!B102, IF(_xlpm.c&lt;&gt;"", _xlpm.c, _xlpm.b))</f>
        <v xml:space="preserve">ผนังแผ่นคอนกรีตสำเร็จรูป หนา 125 มม. ( Precast Concrete) </v>
      </c>
      <c r="F958" s="1205"/>
      <c r="G958" s="1203" t="str">
        <f>'RC1_Arch'!F102</f>
        <v>ตร.ม.</v>
      </c>
      <c r="H958" s="1203">
        <f>'RC1_Arch'!E102</f>
        <v>1867</v>
      </c>
      <c r="I958" s="1203">
        <f>'RC1_Arch'!I102</f>
        <v>4014588.6446226998</v>
      </c>
      <c r="J958" s="1203">
        <f>'RC1_Arch'!L102</f>
        <v>610915.66331214993</v>
      </c>
      <c r="K958" s="1203">
        <f>'RC1_Arch'!M102</f>
        <v>4625504.3079348495</v>
      </c>
    </row>
    <row r="959" spans="1:11">
      <c r="A959" t="s">
        <v>67</v>
      </c>
      <c r="B959" t="s">
        <v>86</v>
      </c>
      <c r="C959" t="s">
        <v>92</v>
      </c>
      <c r="D959" t="s">
        <v>92</v>
      </c>
      <c r="E959" t="str" cm="1">
        <f t="array" ref="E959">_xlfn.LET(_xlpm.c,'RC1_Arch'!C103, _xlpm.b, 'RC1_Arch'!B103, IF(_xlpm.c&lt;&gt;"", _xlpm.c, _xlpm.b))</f>
        <v>ภายในใส่ฉนวนไมโครไฟเบอร์หนา 25 มม.</v>
      </c>
      <c r="F959" s="1205"/>
      <c r="G959" s="1203">
        <f>'RC1_Arch'!F103</f>
        <v>0</v>
      </c>
      <c r="H959" s="1203">
        <f>'RC1_Arch'!E103</f>
        <v>0</v>
      </c>
      <c r="I959" s="1203">
        <f>'RC1_Arch'!I103</f>
        <v>0</v>
      </c>
      <c r="J959" s="1203">
        <f>'RC1_Arch'!L103</f>
        <v>0</v>
      </c>
      <c r="K959" s="1203">
        <f>'RC1_Arch'!M103</f>
        <v>0</v>
      </c>
    </row>
    <row r="960" spans="1:11">
      <c r="A960" t="s">
        <v>67</v>
      </c>
      <c r="B960" t="s">
        <v>86</v>
      </c>
      <c r="C960" t="s">
        <v>92</v>
      </c>
      <c r="D960" t="s">
        <v>90</v>
      </c>
      <c r="E960" t="str" cm="1">
        <f t="array" ref="E960">_xlfn.LET(_xlpm.c,'RC1_Arch'!C104, _xlpm.b, 'RC1_Arch'!B104, IF(_xlpm.c&lt;&gt;"", _xlpm.c, _xlpm.b))</f>
        <v>ทาสีลวดลาย TEXTURE ลายไข่ปลา และทาสีอะครีลิค ชนิดภายนอก</v>
      </c>
      <c r="F960" s="1205"/>
      <c r="G960" s="1203" t="str">
        <f>'RC1_Arch'!F104</f>
        <v>ตร.ม.</v>
      </c>
      <c r="H960" s="1203">
        <f>'RC1_Arch'!E104</f>
        <v>1876</v>
      </c>
      <c r="I960" s="1203">
        <f>'RC1_Arch'!I104</f>
        <v>240282.58697556399</v>
      </c>
      <c r="J960" s="1203">
        <f>'RC1_Arch'!L104</f>
        <v>236774.81198321999</v>
      </c>
      <c r="K960" s="1203">
        <f>'RC1_Arch'!M104</f>
        <v>477057.39895878395</v>
      </c>
    </row>
    <row r="961" spans="1:11">
      <c r="A961" t="s">
        <v>67</v>
      </c>
      <c r="B961" t="s">
        <v>86</v>
      </c>
      <c r="C961" t="s">
        <v>92</v>
      </c>
      <c r="D961" t="s">
        <v>90</v>
      </c>
      <c r="E961" t="str" cm="1">
        <f t="array" ref="E961">_xlfn.LET(_xlpm.c,'RC1_Arch'!C105, _xlpm.b, 'RC1_Arch'!B105, IF(_xlpm.c&lt;&gt;"", _xlpm.c, _xlpm.b))</f>
        <v xml:space="preserve">ทาสีอะครีลิค ชนิดภายใน </v>
      </c>
      <c r="F961" s="1205"/>
      <c r="G961" s="1203" t="str">
        <f>'RC1_Arch'!F105</f>
        <v>ตร.ม.</v>
      </c>
      <c r="H961" s="1203">
        <f>'RC1_Arch'!E105</f>
        <v>1050</v>
      </c>
      <c r="I961" s="1203">
        <f>'RC1_Arch'!I105</f>
        <v>29449.603480499998</v>
      </c>
      <c r="J961" s="1203">
        <f>'RC1_Arch'!L105</f>
        <v>27486.296581799998</v>
      </c>
      <c r="K961" s="1203">
        <f>'RC1_Arch'!M105</f>
        <v>56935.900062299996</v>
      </c>
    </row>
    <row r="962" spans="1:11">
      <c r="E962" cm="1">
        <f t="array" ref="E962">_xlfn.LET(_xlpm.c,'RC1_Arch'!C106, _xlpm.b, 'RC1_Arch'!B106, IF(_xlpm.c&lt;&gt;"", _xlpm.c, _xlpm.b))</f>
        <v>0</v>
      </c>
      <c r="F962" s="1205"/>
      <c r="G962" s="1203">
        <f>'RC1_Arch'!F106</f>
        <v>0</v>
      </c>
      <c r="H962" s="1203">
        <f>'RC1_Arch'!E106</f>
        <v>0</v>
      </c>
      <c r="I962" s="1203">
        <f>'RC1_Arch'!I106</f>
        <v>0</v>
      </c>
      <c r="J962" s="1203">
        <f>'RC1_Arch'!L106</f>
        <v>0</v>
      </c>
      <c r="K962" s="1203">
        <f>'RC1_Arch'!M106</f>
        <v>0</v>
      </c>
    </row>
    <row r="963" spans="1:11">
      <c r="E963" cm="1">
        <f t="array" ref="E963">_xlfn.LET(_xlpm.c,'RC1_Arch'!C107, _xlpm.b, 'RC1_Arch'!B107, IF(_xlpm.c&lt;&gt;"", _xlpm.c, _xlpm.b))</f>
        <v>0</v>
      </c>
      <c r="F963" s="1205"/>
      <c r="G963" s="1203">
        <f>'RC1_Arch'!F107</f>
        <v>0</v>
      </c>
      <c r="H963" s="1203">
        <f>'RC1_Arch'!E107</f>
        <v>0</v>
      </c>
      <c r="I963" s="1203">
        <f>'RC1_Arch'!I107</f>
        <v>0</v>
      </c>
      <c r="J963" s="1203">
        <f>'RC1_Arch'!L107</f>
        <v>0</v>
      </c>
      <c r="K963" s="1203">
        <f>'RC1_Arch'!M107</f>
        <v>0</v>
      </c>
    </row>
    <row r="964" spans="1:11">
      <c r="A964" t="s">
        <v>67</v>
      </c>
      <c r="B964" t="s">
        <v>86</v>
      </c>
      <c r="C964" t="s">
        <v>93</v>
      </c>
      <c r="D964" t="s">
        <v>93</v>
      </c>
      <c r="E964" t="str" cm="1">
        <f t="array" ref="E964">_xlfn.LET(_xlpm.c,'RC1_Arch'!C108, _xlpm.b, 'RC1_Arch'!B108, IF(_xlpm.c&lt;&gt;"", _xlpm.c, _xlpm.b))</f>
        <v xml:space="preserve">ผนังคอนกรีตเสริมใยแก้ว (G.R.C) หนา 25 มม </v>
      </c>
      <c r="F964" s="1205"/>
      <c r="G964" s="1203" t="str">
        <f>'RC1_Arch'!F108</f>
        <v>ตร.ม.</v>
      </c>
      <c r="H964" s="1203">
        <f>'RC1_Arch'!E108</f>
        <v>875</v>
      </c>
      <c r="I964" s="1203">
        <f>'RC1_Arch'!I108</f>
        <v>1472480.1740250001</v>
      </c>
      <c r="J964" s="1203">
        <f>'RC1_Arch'!L108</f>
        <v>409022.27056249999</v>
      </c>
      <c r="K964" s="1203">
        <f>'RC1_Arch'!M108</f>
        <v>1881502.4445875001</v>
      </c>
    </row>
    <row r="965" spans="1:11">
      <c r="A965" t="s">
        <v>67</v>
      </c>
      <c r="B965" t="s">
        <v>86</v>
      </c>
      <c r="C965" t="s">
        <v>93</v>
      </c>
      <c r="D965" t="s">
        <v>90</v>
      </c>
      <c r="E965" t="str" cm="1">
        <f t="array" ref="E965">_xlfn.LET(_xlpm.c,'RC1_Arch'!C109, _xlpm.b, 'RC1_Arch'!B109, IF(_xlpm.c&lt;&gt;"", _xlpm.c, _xlpm.b))</f>
        <v xml:space="preserve">ทาสีลวดลาย TEXTURE ลายไข่ปลา และทาสีอะครีลิค ชนิดภายนอก </v>
      </c>
      <c r="F965" s="1205"/>
      <c r="G965" s="1203" t="str">
        <f>'RC1_Arch'!F109</f>
        <v>ตร.ม.</v>
      </c>
      <c r="H965" s="1203">
        <f>'RC1_Arch'!E109</f>
        <v>875</v>
      </c>
      <c r="I965" s="1203">
        <f>'RC1_Arch'!I109</f>
        <v>112072.10213412499</v>
      </c>
      <c r="J965" s="1203">
        <f>'RC1_Arch'!L109</f>
        <v>110436.01305187499</v>
      </c>
      <c r="K965" s="1203">
        <f>'RC1_Arch'!M109</f>
        <v>222508.11518599998</v>
      </c>
    </row>
    <row r="966" spans="1:11">
      <c r="A966" t="s">
        <v>67</v>
      </c>
      <c r="B966" t="s">
        <v>86</v>
      </c>
      <c r="C966" t="s">
        <v>94</v>
      </c>
      <c r="D966" t="s">
        <v>94</v>
      </c>
      <c r="E966" t="str" cm="1">
        <f t="array" ref="E966">_xlfn.LET(_xlpm.c,'RC1_Arch'!C110, _xlpm.b, 'RC1_Arch'!B110, IF(_xlpm.c&lt;&gt;"", _xlpm.c, _xlpm.b))</f>
        <v xml:space="preserve">Fin Facade คอนกรีตเสริมใยแก้ว (G.R.C) หนา 25 มม. ขึ้นรูปทรงตามแบบ </v>
      </c>
      <c r="F966" s="1205"/>
      <c r="G966" s="1203">
        <f>'RC1_Arch'!F110</f>
        <v>0</v>
      </c>
      <c r="H966" s="1203" t="str">
        <f>'RC1_Arch'!E110</f>
        <v>*ดูรายละเอียดผนัง FACADE SHADING</v>
      </c>
      <c r="I966" s="1203">
        <f>'RC1_Arch'!I110</f>
        <v>0</v>
      </c>
      <c r="J966" s="1203">
        <f>'RC1_Arch'!L110</f>
        <v>0</v>
      </c>
      <c r="K966" s="1203">
        <f>'RC1_Arch'!M110</f>
        <v>0</v>
      </c>
    </row>
    <row r="967" spans="1:11">
      <c r="A967" t="s">
        <v>67</v>
      </c>
      <c r="B967" t="s">
        <v>86</v>
      </c>
      <c r="C967" t="s">
        <v>94</v>
      </c>
      <c r="D967" t="s">
        <v>90</v>
      </c>
      <c r="E967" t="str" cm="1">
        <f t="array" ref="E967">_xlfn.LET(_xlpm.c,'RC1_Arch'!C111, _xlpm.b, 'RC1_Arch'!B111, IF(_xlpm.c&lt;&gt;"", _xlpm.c, _xlpm.b))</f>
        <v>งานทาสีลวดลาย TEXTURE ลายไข่ปลา และทาสีอะครีลิค ชนิดภายนอก</v>
      </c>
      <c r="F967" s="1205"/>
      <c r="G967" s="1203">
        <f>'RC1_Arch'!F111</f>
        <v>0</v>
      </c>
      <c r="H967" s="1203" t="str">
        <f>'RC1_Arch'!E111</f>
        <v>*ดูรายละเอียดผนัง FACADE SHADING</v>
      </c>
      <c r="I967" s="1203">
        <f>'RC1_Arch'!I111</f>
        <v>0</v>
      </c>
      <c r="J967" s="1203">
        <f>'RC1_Arch'!L111</f>
        <v>0</v>
      </c>
      <c r="K967" s="1203">
        <f>'RC1_Arch'!M111</f>
        <v>0</v>
      </c>
    </row>
    <row r="968" spans="1:11">
      <c r="A968" t="s">
        <v>67</v>
      </c>
      <c r="B968" t="s">
        <v>86</v>
      </c>
      <c r="C968" t="s">
        <v>93</v>
      </c>
      <c r="D968" t="s">
        <v>93</v>
      </c>
      <c r="E968" t="str" cm="1">
        <f t="array" ref="E968">_xlfn.LET(_xlpm.c,'RC1_Arch'!C112, _xlpm.b, 'RC1_Arch'!B112, IF(_xlpm.c&lt;&gt;"", _xlpm.c, _xlpm.b))</f>
        <v xml:space="preserve">ผนังคอนกรีตเสริมใยแก้ว (G.R.C) หนา 25 มม </v>
      </c>
      <c r="F968" s="1205"/>
      <c r="G968" s="1203" t="str">
        <f>'RC1_Arch'!F112</f>
        <v>ตร.ม.</v>
      </c>
      <c r="H968" s="1203">
        <f>'RC1_Arch'!E112</f>
        <v>393</v>
      </c>
      <c r="I968" s="1203">
        <f>'RC1_Arch'!I112</f>
        <v>661353.95244779997</v>
      </c>
      <c r="J968" s="1203">
        <f>'RC1_Arch'!L112</f>
        <v>183709.4312355</v>
      </c>
      <c r="K968" s="1203">
        <f>'RC1_Arch'!M112</f>
        <v>845063.3836833</v>
      </c>
    </row>
    <row r="969" spans="1:11">
      <c r="A969" t="s">
        <v>67</v>
      </c>
      <c r="B969" t="s">
        <v>86</v>
      </c>
      <c r="C969" t="s">
        <v>93</v>
      </c>
      <c r="D969" t="s">
        <v>90</v>
      </c>
      <c r="E969" t="str" cm="1">
        <f t="array" ref="E969">_xlfn.LET(_xlpm.c,'RC1_Arch'!C113, _xlpm.b, 'RC1_Arch'!B113, IF(_xlpm.c&lt;&gt;"", _xlpm.c, _xlpm.b))</f>
        <v xml:space="preserve">ทาสีอะครีลิค ชนิดภายใน </v>
      </c>
      <c r="F969" s="1205"/>
      <c r="G969" s="1203" t="str">
        <f>'RC1_Arch'!F113</f>
        <v>ตร.ม.</v>
      </c>
      <c r="H969" s="1203">
        <f>'RC1_Arch'!E113</f>
        <v>393</v>
      </c>
      <c r="I969" s="1203">
        <f>'RC1_Arch'!I113</f>
        <v>11022.565874129999</v>
      </c>
      <c r="J969" s="1203">
        <f>'RC1_Arch'!L113</f>
        <v>10287.728149187998</v>
      </c>
      <c r="K969" s="1203">
        <f>'RC1_Arch'!M113</f>
        <v>21310.294023317998</v>
      </c>
    </row>
    <row r="970" spans="1:11">
      <c r="A970" t="s">
        <v>67</v>
      </c>
      <c r="B970" t="s">
        <v>86</v>
      </c>
      <c r="C970" t="s">
        <v>95</v>
      </c>
      <c r="D970" t="s">
        <v>95</v>
      </c>
      <c r="E970" t="str" cm="1">
        <f t="array" ref="E970">_xlfn.LET(_xlpm.c,'RC1_Arch'!C114, _xlpm.b, 'RC1_Arch'!B114, IF(_xlpm.c&lt;&gt;"", _xlpm.c, _xlpm.b))</f>
        <v>ผนังกรุกระเบื้องโมเสค  LONG STICK ขนาดแผ่น 300x296 มม.</v>
      </c>
      <c r="F970" s="1205"/>
      <c r="G970" s="1203" t="str">
        <f>'RC1_Arch'!F114</f>
        <v>ตร.ม.</v>
      </c>
      <c r="H970" s="1203">
        <f>'RC1_Arch'!E114</f>
        <v>475</v>
      </c>
      <c r="I970" s="1203">
        <f>'RC1_Arch'!I114</f>
        <v>444081.32232500002</v>
      </c>
      <c r="J970" s="1203">
        <f>'RC1_Arch'!L114</f>
        <v>77270.150084549998</v>
      </c>
      <c r="K970" s="1203">
        <f>'RC1_Arch'!M114</f>
        <v>521351.47240954998</v>
      </c>
    </row>
    <row r="971" spans="1:11">
      <c r="A971" t="s">
        <v>67</v>
      </c>
      <c r="B971" t="s">
        <v>86</v>
      </c>
      <c r="C971" t="s">
        <v>95</v>
      </c>
      <c r="D971" t="s">
        <v>95</v>
      </c>
      <c r="E971" t="str" cm="1">
        <f t="array" ref="E971">_xlfn.LET(_xlpm.c,'RC1_Arch'!C115, _xlpm.b, 'RC1_Arch'!B115, IF(_xlpm.c&lt;&gt;"", _xlpm.c, _xlpm.b))</f>
        <v xml:space="preserve"> (ขนาดต่อชิ้น 22x145 มม.) สีดำ เคลือบซาติน </v>
      </c>
      <c r="F971" s="1205"/>
      <c r="G971" s="1203">
        <f>'RC1_Arch'!F115</f>
        <v>0</v>
      </c>
      <c r="H971" s="1203">
        <f>'RC1_Arch'!E115</f>
        <v>0</v>
      </c>
      <c r="I971" s="1203">
        <f>'RC1_Arch'!I115</f>
        <v>0</v>
      </c>
      <c r="J971" s="1203">
        <f>'RC1_Arch'!L115</f>
        <v>0</v>
      </c>
      <c r="K971" s="1203">
        <f>'RC1_Arch'!M115</f>
        <v>0</v>
      </c>
    </row>
    <row r="972" spans="1:11">
      <c r="A972" t="s">
        <v>67</v>
      </c>
      <c r="B972" t="s">
        <v>86</v>
      </c>
      <c r="C972" t="s">
        <v>95</v>
      </c>
      <c r="D972" t="s">
        <v>95</v>
      </c>
      <c r="E972" t="str" cm="1">
        <f t="array" ref="E972">_xlfn.LET(_xlpm.c,'RC1_Arch'!C116, _xlpm.b, 'RC1_Arch'!B116, IF(_xlpm.c&lt;&gt;"", _xlpm.c, _xlpm.b))</f>
        <v>ผนังกรุกระเบื้องโมเสค  LONG STICK ขนาดแผ่น 300x296 มม.</v>
      </c>
      <c r="F972" s="1205"/>
      <c r="G972" s="1203" t="str">
        <f>'RC1_Arch'!F116</f>
        <v>ตร.ม.</v>
      </c>
      <c r="H972" s="1203">
        <f>'RC1_Arch'!E116</f>
        <v>617</v>
      </c>
      <c r="I972" s="1203">
        <f>'RC1_Arch'!I116</f>
        <v>519154.43849909998</v>
      </c>
      <c r="J972" s="1203">
        <f>'RC1_Arch'!L116</f>
        <v>100369.858109826</v>
      </c>
      <c r="K972" s="1203">
        <f>'RC1_Arch'!M116</f>
        <v>619524.29660892603</v>
      </c>
    </row>
    <row r="973" spans="1:11">
      <c r="A973" t="s">
        <v>67</v>
      </c>
      <c r="B973" t="s">
        <v>86</v>
      </c>
      <c r="C973" t="s">
        <v>95</v>
      </c>
      <c r="D973" t="s">
        <v>95</v>
      </c>
      <c r="E973" t="str" cm="1">
        <f t="array" ref="E973">_xlfn.LET(_xlpm.c,'RC1_Arch'!C117, _xlpm.b, 'RC1_Arch'!B117, IF(_xlpm.c&lt;&gt;"", _xlpm.c, _xlpm.b))</f>
        <v xml:space="preserve"> (ขนาดต่อชิ้น 22x145 มม.) สีขาว เคลือบซาติน </v>
      </c>
      <c r="F973" s="1205"/>
      <c r="G973" s="1203">
        <f>'RC1_Arch'!F117</f>
        <v>0</v>
      </c>
      <c r="H973" s="1203">
        <f>'RC1_Arch'!E117</f>
        <v>0</v>
      </c>
      <c r="I973" s="1203">
        <f>'RC1_Arch'!I117</f>
        <v>0</v>
      </c>
      <c r="J973" s="1203">
        <f>'RC1_Arch'!L117</f>
        <v>0</v>
      </c>
      <c r="K973" s="1203">
        <f>'RC1_Arch'!M117</f>
        <v>0</v>
      </c>
    </row>
    <row r="974" spans="1:11">
      <c r="A974" t="s">
        <v>67</v>
      </c>
      <c r="B974" t="s">
        <v>86</v>
      </c>
      <c r="C974" t="s">
        <v>95</v>
      </c>
      <c r="D974" t="s">
        <v>95</v>
      </c>
      <c r="E974" t="str" cm="1">
        <f t="array" ref="E974">_xlfn.LET(_xlpm.c,'RC1_Arch'!C118, _xlpm.b, 'RC1_Arch'!B118, IF(_xlpm.c&lt;&gt;"", _xlpm.c, _xlpm.b))</f>
        <v>ผนังกรุกระเบื้องโมเสค  ขนาด 12"x12"  จำนวน 36 ชิ้นต่อแผ่น</v>
      </c>
      <c r="F974" s="1205"/>
      <c r="G974" s="1203" t="str">
        <f>'RC1_Arch'!F118</f>
        <v>ตร.ม.</v>
      </c>
      <c r="H974" s="1203">
        <f>'RC1_Arch'!E118</f>
        <v>175</v>
      </c>
      <c r="I974" s="1203">
        <f>'RC1_Arch'!I118</f>
        <v>81804.454112499996</v>
      </c>
      <c r="J974" s="1203">
        <f>'RC1_Arch'!L118</f>
        <v>28467.950031150001</v>
      </c>
      <c r="K974" s="1203">
        <f>'RC1_Arch'!M118</f>
        <v>110272.40414365</v>
      </c>
    </row>
    <row r="975" spans="1:11">
      <c r="A975" t="s">
        <v>67</v>
      </c>
      <c r="B975" t="s">
        <v>86</v>
      </c>
      <c r="C975" t="s">
        <v>96</v>
      </c>
      <c r="D975" t="s">
        <v>97</v>
      </c>
      <c r="E975" t="str" cm="1">
        <f t="array" ref="E975">_xlfn.LET(_xlpm.c,'RC1_Arch'!C119, _xlpm.b, 'RC1_Arch'!B119, IF(_xlpm.c&lt;&gt;"", _xlpm.c, _xlpm.b))</f>
        <v>ผนังกรุแผ่นเหล็ก 6 มม. ขัดรอยต่อเรียบ ดัดโค้งตามแบบ เสนอแบบขออนุมัติก่อนการติดตั้ง</v>
      </c>
      <c r="F975" s="1205"/>
      <c r="G975" s="1203">
        <f>'RC1_Arch'!F119</f>
        <v>0</v>
      </c>
      <c r="H975" s="1203" t="str">
        <f>'RC1_Arch'!E119</f>
        <v>* ดูรายละเอียดงาน Urban Void</v>
      </c>
      <c r="I975" s="1203">
        <f>'RC1_Arch'!I119</f>
        <v>0</v>
      </c>
      <c r="J975" s="1203">
        <f>'RC1_Arch'!L119</f>
        <v>0</v>
      </c>
      <c r="K975" s="1203">
        <f>'RC1_Arch'!M119</f>
        <v>0</v>
      </c>
    </row>
    <row r="976" spans="1:11">
      <c r="A976" t="s">
        <v>67</v>
      </c>
      <c r="B976" t="s">
        <v>86</v>
      </c>
      <c r="C976" t="s">
        <v>96</v>
      </c>
      <c r="D976" t="s">
        <v>97</v>
      </c>
      <c r="E976" t="str" cm="1">
        <f t="array" ref="E976">_xlfn.LET(_xlpm.c,'RC1_Arch'!C120, _xlpm.b, 'RC1_Arch'!B120, IF(_xlpm.c&lt;&gt;"", _xlpm.c, _xlpm.b))</f>
        <v xml:space="preserve">ทำสีพ่น COPPER เทียบสีผนัง P5.4 โครงเคร่าเหล็กติดตั้งตามมาตรฐานผู้ผลิต </v>
      </c>
      <c r="F976" s="1205"/>
      <c r="G976" s="1203">
        <f>'RC1_Arch'!F120</f>
        <v>0</v>
      </c>
      <c r="H976" s="1203">
        <f>'RC1_Arch'!E120</f>
        <v>0</v>
      </c>
      <c r="I976" s="1203">
        <f>'RC1_Arch'!I120</f>
        <v>0</v>
      </c>
      <c r="J976" s="1203">
        <f>'RC1_Arch'!L120</f>
        <v>0</v>
      </c>
      <c r="K976" s="1203">
        <f>'RC1_Arch'!M120</f>
        <v>0</v>
      </c>
    </row>
    <row r="977" spans="1:11">
      <c r="A977" t="s">
        <v>67</v>
      </c>
      <c r="B977" t="s">
        <v>86</v>
      </c>
      <c r="C977" t="s">
        <v>96</v>
      </c>
      <c r="D977" t="s">
        <v>98</v>
      </c>
      <c r="E977" t="str" cm="1">
        <f t="array" ref="E977">_xlfn.LET(_xlpm.c,'RC1_Arch'!C121, _xlpm.b, 'RC1_Arch'!B121, IF(_xlpm.c&lt;&gt;"", _xlpm.c, _xlpm.b))</f>
        <v xml:space="preserve">งานงผนังกรุไม้อัด 10 มม. ปิดแผ่นสแตนเลส ผิวซาติน หนา 1 มม. </v>
      </c>
      <c r="F977" s="1205"/>
      <c r="G977" s="1203" t="str">
        <f>'RC1_Arch'!F121</f>
        <v>ตร.ม.</v>
      </c>
      <c r="H977" s="1203">
        <f>'RC1_Arch'!E121</f>
        <v>526</v>
      </c>
      <c r="I977" s="1203">
        <f>'RC1_Arch'!I121</f>
        <v>1721165.714527</v>
      </c>
      <c r="J977" s="1203">
        <f>'RC1_Arch'!L121</f>
        <v>189328.22859797001</v>
      </c>
      <c r="K977" s="1203">
        <f>'RC1_Arch'!M121</f>
        <v>1910493.94312497</v>
      </c>
    </row>
    <row r="978" spans="1:11">
      <c r="A978" t="s">
        <v>67</v>
      </c>
      <c r="B978" t="s">
        <v>86</v>
      </c>
      <c r="C978" t="s">
        <v>96</v>
      </c>
      <c r="D978" t="s">
        <v>98</v>
      </c>
      <c r="E978" t="str" cm="1">
        <f t="array" ref="E978">_xlfn.LET(_xlpm.c,'RC1_Arch'!C122, _xlpm.b, 'RC1_Arch'!B122, IF(_xlpm.c&lt;&gt;"", _xlpm.c, _xlpm.b))</f>
        <v>เสนอแบบขออนุมัติก่อนดำเนินการติดตั้ง</v>
      </c>
      <c r="F978" s="1205"/>
      <c r="G978" s="1203">
        <f>'RC1_Arch'!F122</f>
        <v>0</v>
      </c>
      <c r="H978" s="1203">
        <f>'RC1_Arch'!E122</f>
        <v>0</v>
      </c>
      <c r="I978" s="1203">
        <f>'RC1_Arch'!I122</f>
        <v>0</v>
      </c>
      <c r="J978" s="1203">
        <f>'RC1_Arch'!L122</f>
        <v>0</v>
      </c>
      <c r="K978" s="1203">
        <f>'RC1_Arch'!M122</f>
        <v>0</v>
      </c>
    </row>
    <row r="979" spans="1:11">
      <c r="A979" t="s">
        <v>67</v>
      </c>
      <c r="B979" t="s">
        <v>86</v>
      </c>
      <c r="C979" t="s">
        <v>96</v>
      </c>
      <c r="D979" t="s">
        <v>98</v>
      </c>
      <c r="E979" t="str" cm="1">
        <f t="array" ref="E979">_xlfn.LET(_xlpm.c,'RC1_Arch'!C123, _xlpm.b, 'RC1_Arch'!B123, IF(_xlpm.c&lt;&gt;"", _xlpm.c, _xlpm.b))</f>
        <v xml:space="preserve">ผนังกรุไม้อัด 10 มม. ปิดลามิเนตผิวสแตนเลส ผิวซาติน </v>
      </c>
      <c r="F979" s="1205"/>
      <c r="G979" s="1203" t="str">
        <f>'RC1_Arch'!F123</f>
        <v>ตร.ม.</v>
      </c>
      <c r="H979" s="1203">
        <f>'RC1_Arch'!E123</f>
        <v>35</v>
      </c>
      <c r="I979" s="1203">
        <f>'RC1_Arch'!I123</f>
        <v>57263.117878750003</v>
      </c>
      <c r="J979" s="1203">
        <f>'RC1_Arch'!L123</f>
        <v>8180.4454112499998</v>
      </c>
      <c r="K979" s="1203">
        <f>'RC1_Arch'!M123</f>
        <v>65443.563290000006</v>
      </c>
    </row>
    <row r="980" spans="1:11">
      <c r="A980" t="s">
        <v>67</v>
      </c>
      <c r="B980" t="s">
        <v>86</v>
      </c>
      <c r="C980" t="s">
        <v>96</v>
      </c>
      <c r="D980" t="s">
        <v>99</v>
      </c>
      <c r="E980" t="str" cm="1">
        <f t="array" ref="E980">_xlfn.LET(_xlpm.c,'RC1_Arch'!C124, _xlpm.b, 'RC1_Arch'!B124, IF(_xlpm.c&lt;&gt;"", _xlpm.c, _xlpm.b))</f>
        <v>ผนัง ALUMINIUM COMPOSITE หนา 4 มม. ชนิดภายนอก สี Copper</v>
      </c>
      <c r="F980" s="1205"/>
      <c r="G980" s="1203">
        <f>'RC1_Arch'!F124</f>
        <v>0</v>
      </c>
      <c r="H980" s="1203" t="str">
        <f>'RC1_Arch'!E124</f>
        <v>*คิดรวมในงานฝ้าเพดาน C3.2</v>
      </c>
      <c r="I980" s="1203">
        <f>'RC1_Arch'!I124</f>
        <v>0</v>
      </c>
      <c r="J980" s="1203">
        <f>'RC1_Arch'!L124</f>
        <v>0</v>
      </c>
      <c r="K980" s="1203">
        <f>'RC1_Arch'!M124</f>
        <v>0</v>
      </c>
    </row>
    <row r="981" spans="1:11">
      <c r="A981" t="s">
        <v>67</v>
      </c>
      <c r="B981" t="s">
        <v>86</v>
      </c>
      <c r="C981" t="s">
        <v>96</v>
      </c>
      <c r="D981" t="s">
        <v>99</v>
      </c>
      <c r="E981" t="str" cm="1">
        <f t="array" ref="E981">_xlfn.LET(_xlpm.c,'RC1_Arch'!C125, _xlpm.b, 'RC1_Arch'!B125, IF(_xlpm.c&lt;&gt;"", _xlpm.c, _xlpm.b))</f>
        <v>โครงเคร่าเหล็กติดตั้งตามมาตรฐานผู้ผลิต เสนอแบบขออนุมัติก่อนดำเนินการติดตั้ง</v>
      </c>
      <c r="F981" s="1205"/>
      <c r="G981" s="1203">
        <f>'RC1_Arch'!F125</f>
        <v>0</v>
      </c>
      <c r="H981" s="1203">
        <f>'RC1_Arch'!E125</f>
        <v>0</v>
      </c>
      <c r="I981" s="1203">
        <f>'RC1_Arch'!I125</f>
        <v>0</v>
      </c>
      <c r="J981" s="1203">
        <f>'RC1_Arch'!L125</f>
        <v>0</v>
      </c>
      <c r="K981" s="1203">
        <f>'RC1_Arch'!M125</f>
        <v>0</v>
      </c>
    </row>
    <row r="982" spans="1:11">
      <c r="A982" t="s">
        <v>67</v>
      </c>
      <c r="B982" t="s">
        <v>86</v>
      </c>
      <c r="C982" t="s">
        <v>96</v>
      </c>
      <c r="D982" t="s">
        <v>100</v>
      </c>
      <c r="E982" t="str" cm="1">
        <f t="array" ref="E982">_xlfn.LET(_xlpm.c,'RC1_Arch'!C126, _xlpm.b, 'RC1_Arch'!B126, IF(_xlpm.c&lt;&gt;"", _xlpm.c, _xlpm.b))</f>
        <v>ผนัง ALUMINIUM COMPOSITE หนา 4 มม. ชนิดภายนอก  สี Silver</v>
      </c>
      <c r="F982" s="1205"/>
      <c r="G982" s="1203">
        <f>'RC1_Arch'!F126</f>
        <v>0</v>
      </c>
      <c r="H982" s="1203" t="str">
        <f>'RC1_Arch'!E126</f>
        <v>*ดูรายละเอียดผนัง FACADE SHADING</v>
      </c>
      <c r="I982" s="1203">
        <f>'RC1_Arch'!I126</f>
        <v>0</v>
      </c>
      <c r="J982" s="1203">
        <f>'RC1_Arch'!L126</f>
        <v>0</v>
      </c>
      <c r="K982" s="1203">
        <f>'RC1_Arch'!M126</f>
        <v>0</v>
      </c>
    </row>
    <row r="983" spans="1:11">
      <c r="A983" t="s">
        <v>67</v>
      </c>
      <c r="B983" t="s">
        <v>86</v>
      </c>
      <c r="C983" t="s">
        <v>96</v>
      </c>
      <c r="D983" t="s">
        <v>100</v>
      </c>
      <c r="E983" t="str" cm="1">
        <f t="array" ref="E983">_xlfn.LET(_xlpm.c,'RC1_Arch'!C127, _xlpm.b, 'RC1_Arch'!B127, IF(_xlpm.c&lt;&gt;"", _xlpm.c, _xlpm.b))</f>
        <v>โครงเคร่าเหล็กติดตั้งตามมาตรฐานผู้ผลิต เสนอแบบขออนุมัติก่อนดำเนินการติดตั้ง</v>
      </c>
      <c r="F983" s="1205"/>
      <c r="G983" s="1203">
        <f>'RC1_Arch'!F127</f>
        <v>0</v>
      </c>
      <c r="H983" s="1203">
        <f>'RC1_Arch'!E127</f>
        <v>0</v>
      </c>
      <c r="I983" s="1203">
        <f>'RC1_Arch'!I127</f>
        <v>0</v>
      </c>
      <c r="J983" s="1203">
        <f>'RC1_Arch'!L127</f>
        <v>0</v>
      </c>
      <c r="K983" s="1203">
        <f>'RC1_Arch'!M127</f>
        <v>0</v>
      </c>
    </row>
    <row r="984" spans="1:11">
      <c r="A984" t="s">
        <v>67</v>
      </c>
      <c r="B984" t="s">
        <v>86</v>
      </c>
      <c r="C984" t="s">
        <v>96</v>
      </c>
      <c r="D984" t="s">
        <v>99</v>
      </c>
      <c r="E984" t="str" cm="1">
        <f t="array" ref="E984">_xlfn.LET(_xlpm.c,'RC1_Arch'!C128, _xlpm.b, 'RC1_Arch'!B128, IF(_xlpm.c&lt;&gt;"", _xlpm.c, _xlpm.b))</f>
        <v xml:space="preserve">งานผนัง ALUMINIUM COMPOSITE และงานผนังกรุไม้อัด 10 มม.ปิดแผ่นสแตนเลส </v>
      </c>
      <c r="F984" s="1205"/>
      <c r="G984" s="1203">
        <f>'RC1_Arch'!F128</f>
        <v>0</v>
      </c>
      <c r="H984" s="1203">
        <f>'RC1_Arch'!E128</f>
        <v>0</v>
      </c>
      <c r="I984" s="1203">
        <f>'RC1_Arch'!I128</f>
        <v>0</v>
      </c>
      <c r="J984" s="1203">
        <f>'RC1_Arch'!L128</f>
        <v>0</v>
      </c>
      <c r="K984" s="1203">
        <f>'RC1_Arch'!M128</f>
        <v>0</v>
      </c>
    </row>
    <row r="985" spans="1:11">
      <c r="A985" t="s">
        <v>67</v>
      </c>
      <c r="B985" t="s">
        <v>86</v>
      </c>
      <c r="C985" t="s">
        <v>96</v>
      </c>
      <c r="D985" t="s">
        <v>99</v>
      </c>
      <c r="E985" t="str" cm="1">
        <f t="array" ref="E985">_xlfn.LET(_xlpm.c,'RC1_Arch'!C129, _xlpm.b, 'RC1_Arch'!B129, IF(_xlpm.c&lt;&gt;"", _xlpm.c, _xlpm.b))</f>
        <v>ผิวซาติน ตกแต่งหน้าประตูลิฟต์</v>
      </c>
      <c r="F985" s="1205"/>
      <c r="G985" s="1203">
        <f>'RC1_Arch'!F129</f>
        <v>0</v>
      </c>
      <c r="H985" s="1203">
        <f>'RC1_Arch'!E129</f>
        <v>0</v>
      </c>
      <c r="I985" s="1203">
        <f>'RC1_Arch'!I129</f>
        <v>0</v>
      </c>
      <c r="J985" s="1203">
        <f>'RC1_Arch'!L129</f>
        <v>0</v>
      </c>
      <c r="K985" s="1203">
        <f>'RC1_Arch'!M129</f>
        <v>0</v>
      </c>
    </row>
    <row r="986" spans="1:11">
      <c r="A986" t="s">
        <v>67</v>
      </c>
      <c r="B986" t="s">
        <v>86</v>
      </c>
      <c r="C986" t="s">
        <v>96</v>
      </c>
      <c r="D986" t="s">
        <v>99</v>
      </c>
      <c r="E986" t="str" cm="1">
        <f t="array" ref="E986">_xlfn.LET(_xlpm.c,'RC1_Arch'!C130, _xlpm.b, 'RC1_Arch'!B130, IF(_xlpm.c&lt;&gt;"", _xlpm.c, _xlpm.b))</f>
        <v>ลิฟต์ L1  (จำนวนชุด/ชั้น)</v>
      </c>
      <c r="F986" s="1205"/>
      <c r="G986" s="1203" t="str">
        <f>'RC1_Arch'!F130</f>
        <v>ชุด</v>
      </c>
      <c r="H986" s="1203">
        <f>'RC1_Arch'!E130</f>
        <v>1</v>
      </c>
      <c r="I986" s="1203">
        <f>'RC1_Arch'!I130</f>
        <v>23372.701174999998</v>
      </c>
      <c r="J986" s="1203">
        <f>'RC1_Arch'!L130</f>
        <v>0</v>
      </c>
      <c r="K986" s="1203">
        <f>'RC1_Arch'!M130</f>
        <v>23372.701174999998</v>
      </c>
    </row>
    <row r="987" spans="1:11">
      <c r="A987" t="s">
        <v>67</v>
      </c>
      <c r="B987" t="s">
        <v>86</v>
      </c>
      <c r="C987" t="s">
        <v>96</v>
      </c>
      <c r="D987" t="s">
        <v>99</v>
      </c>
      <c r="E987" cm="1">
        <f t="array" ref="E987">_xlfn.LET(_xlpm.c,'RC1_Arch'!C131, _xlpm.b, 'RC1_Arch'!B131, IF(_xlpm.c&lt;&gt;"", _xlpm.c, _xlpm.b))</f>
        <v>0</v>
      </c>
      <c r="F987" s="1205"/>
      <c r="G987" s="1203">
        <f>'RC1_Arch'!F131</f>
        <v>0</v>
      </c>
      <c r="H987" s="1203">
        <f>'RC1_Arch'!E131</f>
        <v>0</v>
      </c>
      <c r="I987" s="1203">
        <f>'RC1_Arch'!I131</f>
        <v>0</v>
      </c>
      <c r="J987" s="1203">
        <f>'RC1_Arch'!L131</f>
        <v>0</v>
      </c>
      <c r="K987" s="1203">
        <f>'RC1_Arch'!M131</f>
        <v>0</v>
      </c>
    </row>
    <row r="988" spans="1:11">
      <c r="A988" t="s">
        <v>67</v>
      </c>
      <c r="B988" t="s">
        <v>86</v>
      </c>
      <c r="C988" t="s">
        <v>96</v>
      </c>
      <c r="D988" t="s">
        <v>99</v>
      </c>
      <c r="E988" cm="1">
        <f t="array" ref="E988">_xlfn.LET(_xlpm.c,'RC1_Arch'!C132, _xlpm.b, 'RC1_Arch'!B132, IF(_xlpm.c&lt;&gt;"", _xlpm.c, _xlpm.b))</f>
        <v>0</v>
      </c>
      <c r="F988" s="1205"/>
      <c r="G988" s="1203">
        <f>'RC1_Arch'!F132</f>
        <v>0</v>
      </c>
      <c r="H988" s="1203">
        <f>'RC1_Arch'!E132</f>
        <v>0</v>
      </c>
      <c r="I988" s="1203">
        <f>'RC1_Arch'!I132</f>
        <v>0</v>
      </c>
      <c r="J988" s="1203">
        <f>'RC1_Arch'!L132</f>
        <v>0</v>
      </c>
      <c r="K988" s="1203">
        <f>'RC1_Arch'!M132</f>
        <v>0</v>
      </c>
    </row>
    <row r="989" spans="1:11">
      <c r="A989" t="s">
        <v>67</v>
      </c>
      <c r="B989" t="s">
        <v>86</v>
      </c>
      <c r="C989" t="s">
        <v>96</v>
      </c>
      <c r="D989" t="s">
        <v>99</v>
      </c>
      <c r="E989" t="str" cm="1">
        <f t="array" ref="E989">_xlfn.LET(_xlpm.c,'RC1_Arch'!C133, _xlpm.b, 'RC1_Arch'!B133, IF(_xlpm.c&lt;&gt;"", _xlpm.c, _xlpm.b))</f>
        <v>ลิฟต์ L3 (จำนวนชุด/ชั้น)</v>
      </c>
      <c r="F989" s="1205"/>
      <c r="G989" s="1203" t="str">
        <f>'RC1_Arch'!F133</f>
        <v>ชุด</v>
      </c>
      <c r="H989" s="1203">
        <f>'RC1_Arch'!E133</f>
        <v>5</v>
      </c>
      <c r="I989" s="1203">
        <f>'RC1_Arch'!I133</f>
        <v>116863.50587499999</v>
      </c>
      <c r="J989" s="1203">
        <f>'RC1_Arch'!L133</f>
        <v>0</v>
      </c>
      <c r="K989" s="1203">
        <f>'RC1_Arch'!M133</f>
        <v>116863.50587499999</v>
      </c>
    </row>
    <row r="990" spans="1:11">
      <c r="A990" t="s">
        <v>67</v>
      </c>
      <c r="B990" t="s">
        <v>86</v>
      </c>
      <c r="C990" t="s">
        <v>96</v>
      </c>
      <c r="D990" t="s">
        <v>99</v>
      </c>
      <c r="E990" t="str" cm="1">
        <f t="array" ref="E990">_xlfn.LET(_xlpm.c,'RC1_Arch'!C134, _xlpm.b, 'RC1_Arch'!B134, IF(_xlpm.c&lt;&gt;"", _xlpm.c, _xlpm.b))</f>
        <v>ลิฟต์ L4 (จำนวนชุด/ชั้น)</v>
      </c>
      <c r="F990" s="1205"/>
      <c r="G990" s="1203" t="str">
        <f>'RC1_Arch'!F134</f>
        <v>ชุด</v>
      </c>
      <c r="H990" s="1203">
        <f>'RC1_Arch'!E134</f>
        <v>3</v>
      </c>
      <c r="I990" s="1203">
        <f>'RC1_Arch'!I134</f>
        <v>70118.103524999999</v>
      </c>
      <c r="J990" s="1203">
        <f>'RC1_Arch'!L134</f>
        <v>0</v>
      </c>
      <c r="K990" s="1203">
        <f>'RC1_Arch'!M134</f>
        <v>70118.103524999999</v>
      </c>
    </row>
    <row r="991" spans="1:11">
      <c r="A991" t="s">
        <v>67</v>
      </c>
      <c r="B991" t="s">
        <v>86</v>
      </c>
      <c r="C991" t="s">
        <v>96</v>
      </c>
      <c r="D991" t="s">
        <v>99</v>
      </c>
      <c r="E991" t="str" cm="1">
        <f t="array" ref="E991">_xlfn.LET(_xlpm.c,'RC1_Arch'!C135, _xlpm.b, 'RC1_Arch'!B135, IF(_xlpm.c&lt;&gt;"", _xlpm.c, _xlpm.b))</f>
        <v>ลิฟต์ L6 (จำนวนชุด/ชั้น)</v>
      </c>
      <c r="F991" s="1205"/>
      <c r="G991" s="1203" t="str">
        <f>'RC1_Arch'!F135</f>
        <v>ชุด</v>
      </c>
      <c r="H991" s="1203">
        <f>'RC1_Arch'!E135</f>
        <v>2</v>
      </c>
      <c r="I991" s="1203">
        <f>'RC1_Arch'!I135</f>
        <v>46745.402349999997</v>
      </c>
      <c r="J991" s="1203">
        <f>'RC1_Arch'!L135</f>
        <v>0</v>
      </c>
      <c r="K991" s="1203">
        <f>'RC1_Arch'!M135</f>
        <v>46745.402349999997</v>
      </c>
    </row>
    <row r="992" spans="1:11">
      <c r="E992" t="str" cm="1">
        <f t="array" ref="E992">_xlfn.LET(_xlpm.c,'RC1_Arch'!C136, _xlpm.b, 'RC1_Arch'!B136, IF(_xlpm.c&lt;&gt;"", _xlpm.c, _xlpm.b))</f>
        <v>งานบัวเชิงผนัง</v>
      </c>
      <c r="F992" s="1205"/>
      <c r="G992" s="1203">
        <f>'RC1_Arch'!F136</f>
        <v>0</v>
      </c>
      <c r="H992" s="1203">
        <f>'RC1_Arch'!E136</f>
        <v>0</v>
      </c>
      <c r="I992" s="1203">
        <f>'RC1_Arch'!I136</f>
        <v>0</v>
      </c>
      <c r="J992" s="1203">
        <f>'RC1_Arch'!L136</f>
        <v>0</v>
      </c>
      <c r="K992" s="1203">
        <f>'RC1_Arch'!M136</f>
        <v>0</v>
      </c>
    </row>
    <row r="993" spans="1:11">
      <c r="A993" t="s">
        <v>67</v>
      </c>
      <c r="B993" t="s">
        <v>86</v>
      </c>
      <c r="C993" t="s">
        <v>101</v>
      </c>
      <c r="D993" t="s">
        <v>101</v>
      </c>
      <c r="E993" t="str" cm="1">
        <f t="array" ref="E993">_xlfn.LET(_xlpm.c,'RC1_Arch'!C137, _xlpm.b, 'RC1_Arch'!B137, IF(_xlpm.c&lt;&gt;"", _xlpm.c, _xlpm.b))</f>
        <v>บัวเชิงผนัง 1</v>
      </c>
      <c r="F993" s="1205"/>
      <c r="G993" s="1203" t="str">
        <f>'RC1_Arch'!F137</f>
        <v>เมตร</v>
      </c>
      <c r="H993" s="1203">
        <f>'RC1_Arch'!E137</f>
        <v>95</v>
      </c>
      <c r="I993" s="1203">
        <f>'RC1_Arch'!I137</f>
        <v>13322.43966975</v>
      </c>
      <c r="J993" s="1203">
        <f>'RC1_Arch'!L137</f>
        <v>3996.7319009249995</v>
      </c>
      <c r="K993" s="1203">
        <f>'RC1_Arch'!M137</f>
        <v>17319.171570675</v>
      </c>
    </row>
    <row r="994" spans="1:11">
      <c r="A994" t="s">
        <v>67</v>
      </c>
      <c r="B994" t="s">
        <v>86</v>
      </c>
      <c r="C994" t="s">
        <v>101</v>
      </c>
      <c r="D994" t="s">
        <v>101</v>
      </c>
      <c r="E994" t="str" cm="1">
        <f t="array" ref="E994">_xlfn.LET(_xlpm.c,'RC1_Arch'!C138, _xlpm.b, 'RC1_Arch'!B138, IF(_xlpm.c&lt;&gt;"", _xlpm.c, _xlpm.b))</f>
        <v>บัวเชิงผนัง 2</v>
      </c>
      <c r="F994" s="1205"/>
      <c r="G994" s="1203" t="str">
        <f>'RC1_Arch'!F138</f>
        <v>เมตร</v>
      </c>
      <c r="H994" s="1203">
        <f>'RC1_Arch'!E138</f>
        <v>1295</v>
      </c>
      <c r="I994" s="1203">
        <f>'RC1_Arch'!I138</f>
        <v>108963.53287785</v>
      </c>
      <c r="J994" s="1203">
        <f>'RC1_Arch'!L138</f>
        <v>90802.944064874988</v>
      </c>
      <c r="K994" s="1203">
        <f>'RC1_Arch'!M138</f>
        <v>199766.47694272498</v>
      </c>
    </row>
    <row r="995" spans="1:11">
      <c r="A995" t="s">
        <v>67</v>
      </c>
      <c r="B995" t="s">
        <v>86</v>
      </c>
      <c r="C995" t="s">
        <v>101</v>
      </c>
      <c r="D995" t="s">
        <v>101</v>
      </c>
      <c r="E995" t="str" cm="1">
        <f t="array" ref="E995">_xlfn.LET(_xlpm.c,'RC1_Arch'!C139, _xlpm.b, 'RC1_Arch'!B139, IF(_xlpm.c&lt;&gt;"", _xlpm.c, _xlpm.b))</f>
        <v>บัวเชิงผนัง 3</v>
      </c>
      <c r="F995" s="1205"/>
      <c r="G995" s="1203" t="str">
        <f>'RC1_Arch'!F139</f>
        <v>เมตร</v>
      </c>
      <c r="H995" s="1203">
        <f>'RC1_Arch'!E139</f>
        <v>130</v>
      </c>
      <c r="I995" s="1203">
        <f>'RC1_Arch'!I139</f>
        <v>2430.7609222000001</v>
      </c>
      <c r="J995" s="1203">
        <f>'RC1_Arch'!L139</f>
        <v>2430.7609222000001</v>
      </c>
      <c r="K995" s="1203">
        <f>'RC1_Arch'!M139</f>
        <v>4861.5218444000002</v>
      </c>
    </row>
    <row r="996" spans="1:11">
      <c r="A996" t="s">
        <v>67</v>
      </c>
      <c r="B996" t="s">
        <v>86</v>
      </c>
      <c r="C996" t="s">
        <v>101</v>
      </c>
      <c r="D996" t="s">
        <v>101</v>
      </c>
      <c r="E996" t="str" cm="1">
        <f t="array" ref="E996">_xlfn.LET(_xlpm.c,'RC1_Arch'!C140, _xlpm.b, 'RC1_Arch'!B140, IF(_xlpm.c&lt;&gt;"", _xlpm.c, _xlpm.b))</f>
        <v>บัวเชิงผนัง 4</v>
      </c>
      <c r="F996" s="1205"/>
      <c r="G996" s="1203" t="str">
        <f>'RC1_Arch'!F140</f>
        <v>เมตร</v>
      </c>
      <c r="H996" s="1203">
        <f>'RC1_Arch'!E140</f>
        <v>820</v>
      </c>
      <c r="I996" s="1203">
        <f>'RC1_Arch'!I140</f>
        <v>76662.459854000001</v>
      </c>
      <c r="J996" s="1203">
        <f>'RC1_Arch'!L140</f>
        <v>15332.491970800002</v>
      </c>
      <c r="K996" s="1203">
        <f>'RC1_Arch'!M140</f>
        <v>91994.951824799995</v>
      </c>
    </row>
    <row r="997" spans="1:11">
      <c r="F997" s="1205"/>
      <c r="G997" s="1203"/>
      <c r="H997" s="1203"/>
      <c r="I997" s="1203"/>
      <c r="J997" s="1203"/>
      <c r="K997" s="1203"/>
    </row>
    <row r="998" spans="1:11">
      <c r="F998" s="1205"/>
      <c r="G998" s="1203"/>
      <c r="H998" s="1203"/>
      <c r="I998" s="1203"/>
      <c r="J998" s="1203"/>
      <c r="K998" s="1203"/>
    </row>
    <row r="999" spans="1:11">
      <c r="F999" s="1205"/>
      <c r="G999" s="1203"/>
      <c r="H999" s="1203"/>
      <c r="I999" s="1203"/>
      <c r="J999" s="1203"/>
      <c r="K999" s="1203"/>
    </row>
    <row r="1000" spans="1:11">
      <c r="F1000" s="1205"/>
      <c r="G1000" s="1203"/>
      <c r="H1000" s="1203"/>
      <c r="I1000" s="1203"/>
      <c r="J1000" s="1203"/>
      <c r="K1000" s="1203"/>
    </row>
    <row r="1001" spans="1:11">
      <c r="F1001" s="1205"/>
      <c r="G1001" s="1203"/>
      <c r="H1001" s="1203"/>
      <c r="I1001" s="1203"/>
      <c r="J1001" s="1203"/>
      <c r="K1001" s="1203"/>
    </row>
    <row r="1002" spans="1:11">
      <c r="F1002" s="1205"/>
      <c r="G1002" s="1203"/>
      <c r="H1002" s="1203"/>
      <c r="I1002" s="1203"/>
      <c r="J1002" s="1203"/>
      <c r="K1002" s="1203"/>
    </row>
    <row r="1003" spans="1:11">
      <c r="F1003" s="1205"/>
      <c r="G1003" s="1203"/>
      <c r="H1003" s="1203"/>
      <c r="I1003" s="1203"/>
      <c r="J1003" s="1203"/>
      <c r="K1003" s="1203"/>
    </row>
    <row r="1004" spans="1:11">
      <c r="F1004" s="1205"/>
      <c r="G1004" s="1203"/>
      <c r="H1004" s="1203"/>
      <c r="I1004" s="1203"/>
      <c r="J1004" s="1203"/>
      <c r="K1004" s="1203"/>
    </row>
    <row r="1005" spans="1:11">
      <c r="F1005" s="1205"/>
      <c r="G1005" s="1203"/>
      <c r="H1005" s="1203"/>
      <c r="I1005" s="1203"/>
      <c r="J1005" s="1203"/>
      <c r="K1005" s="1203"/>
    </row>
    <row r="1006" spans="1:11">
      <c r="F1006" s="1205"/>
      <c r="G1006" s="1203"/>
      <c r="H1006" s="1203"/>
      <c r="I1006" s="1203"/>
      <c r="J1006" s="1203"/>
      <c r="K1006" s="1203"/>
    </row>
    <row r="1007" spans="1:11">
      <c r="F1007" s="1205"/>
      <c r="G1007" s="1203"/>
      <c r="H1007" s="1203"/>
      <c r="I1007" s="1203"/>
      <c r="J1007" s="1203"/>
      <c r="K1007" s="1203"/>
    </row>
    <row r="1008" spans="1:11">
      <c r="F1008" s="1205"/>
      <c r="G1008" s="1203"/>
      <c r="H1008" s="1203"/>
      <c r="I1008" s="1203"/>
      <c r="J1008" s="1203"/>
      <c r="K1008" s="1203"/>
    </row>
    <row r="1009" spans="1:11">
      <c r="F1009" s="1205"/>
      <c r="G1009" s="1203"/>
      <c r="H1009" s="1203"/>
      <c r="I1009" s="1203"/>
      <c r="J1009" s="1203"/>
      <c r="K1009" s="1203"/>
    </row>
    <row r="1010" spans="1:11">
      <c r="F1010" s="1205"/>
      <c r="G1010" s="1203"/>
      <c r="H1010" s="1203"/>
      <c r="I1010" s="1203"/>
      <c r="J1010" s="1203"/>
      <c r="K1010" s="1203"/>
    </row>
    <row r="1011" spans="1:11">
      <c r="F1011" s="1205"/>
      <c r="G1011" s="1203"/>
      <c r="H1011" s="1203"/>
      <c r="I1011" s="1203"/>
      <c r="J1011" s="1203"/>
      <c r="K1011" s="1203"/>
    </row>
    <row r="1012" spans="1:11">
      <c r="F1012" s="1205"/>
      <c r="G1012" s="1203"/>
      <c r="H1012" s="1203"/>
      <c r="I1012" s="1203"/>
      <c r="J1012" s="1203"/>
      <c r="K1012" s="1203"/>
    </row>
    <row r="1013" spans="1:11">
      <c r="F1013" s="1205"/>
      <c r="G1013" s="1203"/>
      <c r="H1013" s="1203"/>
      <c r="I1013" s="1203"/>
      <c r="J1013" s="1203"/>
      <c r="K1013" s="1203"/>
    </row>
    <row r="1014" spans="1:11">
      <c r="F1014" s="1205"/>
      <c r="G1014" s="1203"/>
      <c r="H1014" s="1203"/>
      <c r="I1014" s="1203"/>
      <c r="J1014" s="1203"/>
      <c r="K1014" s="1203"/>
    </row>
    <row r="1015" spans="1:11">
      <c r="F1015" s="1205"/>
      <c r="G1015" s="1203"/>
      <c r="H1015" s="1203"/>
      <c r="I1015" s="1203"/>
      <c r="J1015" s="1203"/>
      <c r="K1015" s="1203"/>
    </row>
    <row r="1016" spans="1:11">
      <c r="E1016" t="str" cm="1">
        <f t="array" ref="E1016">_xlfn.LET(_xlpm.c,'RC1_Arch'!C160, _xlpm.b, 'RC1_Arch'!B160, IF(_xlpm.c&lt;&gt;"", _xlpm.c, _xlpm.b))</f>
        <v>งานฝ้าเพดานและส่วนประกอบ</v>
      </c>
      <c r="F1016" s="1205"/>
      <c r="G1016" s="1203">
        <f>'RC1_Arch'!F160</f>
        <v>0</v>
      </c>
      <c r="H1016" s="1203">
        <f>'RC1_Arch'!E160</f>
        <v>0</v>
      </c>
      <c r="I1016" s="1203">
        <f>'RC1_Arch'!I160</f>
        <v>0</v>
      </c>
      <c r="J1016" s="1203">
        <f>'RC1_Arch'!L160</f>
        <v>0</v>
      </c>
      <c r="K1016" s="1203">
        <f>'RC1_Arch'!M160</f>
        <v>0</v>
      </c>
    </row>
    <row r="1017" spans="1:11">
      <c r="F1017" s="1205"/>
      <c r="G1017" s="1203"/>
      <c r="H1017" s="1203"/>
      <c r="I1017" s="1203"/>
      <c r="J1017" s="1203"/>
      <c r="K1017" s="1203"/>
    </row>
    <row r="1018" spans="1:11">
      <c r="A1018" t="s">
        <v>67</v>
      </c>
      <c r="B1018" t="s">
        <v>102</v>
      </c>
      <c r="C1018" t="s">
        <v>103</v>
      </c>
      <c r="D1018" t="s">
        <v>103</v>
      </c>
      <c r="E1018" t="str" cm="1">
        <f t="array" ref="E1018">_xlfn.LET(_xlpm.c,'RC1_Arch'!C162, _xlpm.b, 'RC1_Arch'!B162, IF(_xlpm.c&lt;&gt;"", _xlpm.c, _xlpm.b))</f>
        <v>ฝ้าเพดาน ดูรายละเอียดงานตกแต่งภายใน</v>
      </c>
      <c r="F1018" s="1205"/>
      <c r="G1018" s="1203" t="str">
        <f>'RC1_Arch'!F162</f>
        <v>ตร.ม.</v>
      </c>
      <c r="H1018" s="1203">
        <f>'RC1_Arch'!E162</f>
        <v>2567</v>
      </c>
      <c r="I1018" s="1203">
        <f>'RC1_Arch'!I162</f>
        <v>0</v>
      </c>
      <c r="J1018" s="1203">
        <f>'RC1_Arch'!L162</f>
        <v>0</v>
      </c>
      <c r="K1018" s="1203">
        <f>'RC1_Arch'!M162</f>
        <v>0</v>
      </c>
    </row>
    <row r="1019" spans="1:11">
      <c r="A1019" t="s">
        <v>67</v>
      </c>
      <c r="B1019" t="s">
        <v>102</v>
      </c>
      <c r="C1019" t="s">
        <v>104</v>
      </c>
      <c r="D1019" t="s">
        <v>104</v>
      </c>
      <c r="E1019" t="str" cm="1">
        <f t="array" ref="E1019">_xlfn.LET(_xlpm.c,'RC1_Arch'!C163, _xlpm.b, 'RC1_Arch'!B163, IF(_xlpm.c&lt;&gt;"", _xlpm.c, _xlpm.b))</f>
        <v>ฝ้าเพดานเปลือยผิวโครงสร้าง</v>
      </c>
      <c r="F1019" s="1205"/>
      <c r="G1019" s="1203" t="str">
        <f>'RC1_Arch'!F163</f>
        <v>ตร.ม.</v>
      </c>
      <c r="H1019" s="1203">
        <f>'RC1_Arch'!E163</f>
        <v>375</v>
      </c>
      <c r="I1019" s="1203">
        <f>'RC1_Arch'!I163</f>
        <v>0</v>
      </c>
      <c r="J1019" s="1203">
        <f>'RC1_Arch'!L163</f>
        <v>10517.715528749999</v>
      </c>
      <c r="K1019" s="1203">
        <f>'RC1_Arch'!M163</f>
        <v>10517.715528749999</v>
      </c>
    </row>
    <row r="1020" spans="1:11">
      <c r="A1020" t="s">
        <v>67</v>
      </c>
      <c r="B1020" t="s">
        <v>102</v>
      </c>
      <c r="C1020" t="s">
        <v>104</v>
      </c>
      <c r="D1020" t="s">
        <v>104</v>
      </c>
      <c r="E1020" t="str" cm="1">
        <f t="array" ref="E1020">_xlfn.LET(_xlpm.c,'RC1_Arch'!C164, _xlpm.b, 'RC1_Arch'!B164, IF(_xlpm.c&lt;&gt;"", _xlpm.c, _xlpm.b))</f>
        <v>ฝ้าเพดานโครงสร้างแต่งผิวเรียบ</v>
      </c>
      <c r="F1020" s="1205"/>
      <c r="G1020" s="1203" t="str">
        <f>'RC1_Arch'!F164</f>
        <v>ตร.ม.</v>
      </c>
      <c r="H1020" s="1203">
        <f>'RC1_Arch'!E164</f>
        <v>3080</v>
      </c>
      <c r="I1020" s="1203">
        <f>'RC1_Arch'!I164</f>
        <v>86385.503542799997</v>
      </c>
      <c r="J1020" s="1203">
        <f>'RC1_Arch'!L164</f>
        <v>86385.503542799997</v>
      </c>
      <c r="K1020" s="1203">
        <f>'RC1_Arch'!M164</f>
        <v>172771.00708559999</v>
      </c>
    </row>
    <row r="1021" spans="1:11">
      <c r="A1021" t="s">
        <v>67</v>
      </c>
      <c r="B1021" t="s">
        <v>102</v>
      </c>
      <c r="C1021" t="s">
        <v>104</v>
      </c>
      <c r="D1021" t="s">
        <v>104</v>
      </c>
      <c r="E1021" t="str" cm="1">
        <f t="array" ref="E1021">_xlfn.LET(_xlpm.c,'RC1_Arch'!C165, _xlpm.b, 'RC1_Arch'!B165, IF(_xlpm.c&lt;&gt;"", _xlpm.c, _xlpm.b))</f>
        <v xml:space="preserve">ฝ้าเพดานผิวโครงสร้างฉาบปูนเรียบ </v>
      </c>
      <c r="F1021" s="1205"/>
      <c r="G1021" s="1203" t="str">
        <f>'RC1_Arch'!F165</f>
        <v>ตร.ม.</v>
      </c>
      <c r="H1021" s="1203">
        <f>'RC1_Arch'!E165</f>
        <v>310</v>
      </c>
      <c r="I1021" s="1203">
        <f>'RC1_Arch'!I165</f>
        <v>19707.861630759999</v>
      </c>
      <c r="J1021" s="1203">
        <f>'RC1_Arch'!L165</f>
        <v>28692.327962429998</v>
      </c>
      <c r="K1021" s="1203">
        <f>'RC1_Arch'!M165</f>
        <v>48400.189593189993</v>
      </c>
    </row>
    <row r="1022" spans="1:11">
      <c r="A1022" t="s">
        <v>67</v>
      </c>
      <c r="B1022" t="s">
        <v>102</v>
      </c>
      <c r="C1022" t="s">
        <v>105</v>
      </c>
      <c r="D1022" t="s">
        <v>105</v>
      </c>
      <c r="E1022" t="str" cm="1">
        <f t="array" ref="E1022">_xlfn.LET(_xlpm.c,'RC1_Arch'!C166, _xlpm.b, 'RC1_Arch'!B166, IF(_xlpm.c&lt;&gt;"", _xlpm.c, _xlpm.b))</f>
        <v>ฝ้าเพดาน แผ่นยิปซั่มบอร์ด หนา 12 มม. แต่งผิวเรียบ</v>
      </c>
      <c r="F1022" s="1205"/>
      <c r="G1022" s="1203" t="str">
        <f>'RC1_Arch'!F166</f>
        <v>ตร.ม.</v>
      </c>
      <c r="H1022" s="1203">
        <f>'RC1_Arch'!E166</f>
        <v>960</v>
      </c>
      <c r="I1022" s="1203">
        <f>'RC1_Arch'!I166</f>
        <v>242328.16578239997</v>
      </c>
      <c r="J1022" s="1203">
        <f>'RC1_Arch'!L166</f>
        <v>67313.379384</v>
      </c>
      <c r="K1022" s="1203">
        <f>'RC1_Arch'!M166</f>
        <v>309641.54516639997</v>
      </c>
    </row>
    <row r="1023" spans="1:11">
      <c r="A1023" t="s">
        <v>67</v>
      </c>
      <c r="B1023" t="s">
        <v>102</v>
      </c>
      <c r="C1023" t="s">
        <v>105</v>
      </c>
      <c r="D1023" t="s">
        <v>105</v>
      </c>
      <c r="E1023" t="str" cm="1">
        <f t="array" ref="E1023">_xlfn.LET(_xlpm.c,'RC1_Arch'!C167, _xlpm.b, 'RC1_Arch'!B167, IF(_xlpm.c&lt;&gt;"", _xlpm.c, _xlpm.b))</f>
        <v>ฝ้าเพดาน แผ่นยิปซั่มบอร์ด ชนิดกันชื้น หนา 12 มม. แต่งผิวเรียบ</v>
      </c>
      <c r="F1023" s="1205"/>
      <c r="G1023" s="1203" t="str">
        <f>'RC1_Arch'!F167</f>
        <v>ตร.ม.</v>
      </c>
      <c r="H1023" s="1203">
        <f>'RC1_Arch'!E167</f>
        <v>255</v>
      </c>
      <c r="I1023" s="1203">
        <f>'RC1_Arch'!I167</f>
        <v>88208.574234449989</v>
      </c>
      <c r="J1023" s="1203">
        <f>'RC1_Arch'!L167</f>
        <v>17880.116398874998</v>
      </c>
      <c r="K1023" s="1203">
        <f>'RC1_Arch'!M167</f>
        <v>106088.69063332499</v>
      </c>
    </row>
    <row r="1024" spans="1:11">
      <c r="A1024" t="s">
        <v>67</v>
      </c>
      <c r="B1024" t="s">
        <v>102</v>
      </c>
      <c r="C1024" t="s">
        <v>105</v>
      </c>
      <c r="D1024" t="s">
        <v>105</v>
      </c>
      <c r="E1024" t="str" cm="1">
        <f t="array" ref="E1024">_xlfn.LET(_xlpm.c,'RC1_Arch'!C168, _xlpm.b, 'RC1_Arch'!B168, IF(_xlpm.c&lt;&gt;"", _xlpm.c, _xlpm.b))</f>
        <v>ฝ้าเพดาน แผ่นยิปซั่มกันร้อนพิเศษ  ผลิตจากแผ่นยิปซั่มบอร์ด หนา 9 มม.</v>
      </c>
      <c r="F1024" s="1205"/>
      <c r="G1024" s="1203" t="str">
        <f>'RC1_Arch'!F168</f>
        <v>ตร.ม.</v>
      </c>
      <c r="H1024" s="1203">
        <f>'RC1_Arch'!E168</f>
        <v>58</v>
      </c>
      <c r="I1024" s="1203">
        <f>'RC1_Arch'!I168</f>
        <v>21256.069356592001</v>
      </c>
      <c r="J1024" s="1203">
        <f>'RC1_Arch'!L168</f>
        <v>4066.8500044499997</v>
      </c>
      <c r="K1024" s="1203">
        <f>'RC1_Arch'!M168</f>
        <v>25322.919361042001</v>
      </c>
    </row>
    <row r="1025" spans="1:11">
      <c r="A1025" t="s">
        <v>67</v>
      </c>
      <c r="B1025" t="s">
        <v>102</v>
      </c>
      <c r="C1025" t="s">
        <v>105</v>
      </c>
      <c r="D1025" t="s">
        <v>105</v>
      </c>
      <c r="E1025" t="str" cm="1">
        <f t="array" ref="E1025">_xlfn.LET(_xlpm.c,'RC1_Arch'!C169, _xlpm.b, 'RC1_Arch'!B169, IF(_xlpm.c&lt;&gt;"", _xlpm.c, _xlpm.b))</f>
        <v>ทับหน้าด้วยฉนวนโฟม EPS HI - Dense หนา 50 มม. ขอบลาด</v>
      </c>
      <c r="F1025" s="1205"/>
      <c r="G1025" s="1203">
        <f>'RC1_Arch'!F169</f>
        <v>0</v>
      </c>
      <c r="H1025" s="1203">
        <f>'RC1_Arch'!E169</f>
        <v>0</v>
      </c>
      <c r="I1025" s="1203">
        <f>'RC1_Arch'!I169</f>
        <v>0</v>
      </c>
      <c r="J1025" s="1203">
        <f>'RC1_Arch'!L169</f>
        <v>0</v>
      </c>
      <c r="K1025" s="1203">
        <f>'RC1_Arch'!M169</f>
        <v>0</v>
      </c>
    </row>
    <row r="1026" spans="1:11">
      <c r="A1026" t="s">
        <v>67</v>
      </c>
      <c r="B1026" t="s">
        <v>102</v>
      </c>
      <c r="C1026" t="s">
        <v>105</v>
      </c>
      <c r="D1026" t="s">
        <v>105</v>
      </c>
      <c r="E1026" t="str" cm="1">
        <f t="array" ref="E1026">_xlfn.LET(_xlpm.c,'RC1_Arch'!C170, _xlpm.b, 'RC1_Arch'!B170, IF(_xlpm.c&lt;&gt;"", _xlpm.c, _xlpm.b))</f>
        <v xml:space="preserve">ฝ้าเพดานยิปซั่มบอร์ดอะคูสติก หนา 12 มม. </v>
      </c>
      <c r="F1026" s="1205"/>
      <c r="G1026" s="1203" t="str">
        <f>'RC1_Arch'!F170</f>
        <v>ตร.ม.</v>
      </c>
      <c r="H1026" s="1203">
        <f>'RC1_Arch'!E170</f>
        <v>2210</v>
      </c>
      <c r="I1026" s="1203">
        <f>'RC1_Arch'!I170</f>
        <v>1152909.9053994599</v>
      </c>
      <c r="J1026" s="1203">
        <f>'RC1_Arch'!L170</f>
        <v>154961.00879024999</v>
      </c>
      <c r="K1026" s="1203">
        <f>'RC1_Arch'!M170</f>
        <v>1307870.9141897098</v>
      </c>
    </row>
    <row r="1027" spans="1:11">
      <c r="A1027" t="s">
        <v>67</v>
      </c>
      <c r="B1027" t="s">
        <v>102</v>
      </c>
      <c r="C1027" t="s">
        <v>105</v>
      </c>
      <c r="D1027" t="s">
        <v>105</v>
      </c>
      <c r="E1027" t="str" cm="1">
        <f t="array" ref="E1027">_xlfn.LET(_xlpm.c,'RC1_Arch'!C171, _xlpm.b, 'RC1_Arch'!B171, IF(_xlpm.c&lt;&gt;"", _xlpm.c, _xlpm.b))</f>
        <v>ฉลุลาย STANDARD CIRCULAR 10/23R แต่งผิวเรียบ</v>
      </c>
      <c r="F1027" s="1205"/>
      <c r="G1027" s="1203">
        <f>'RC1_Arch'!F171</f>
        <v>0</v>
      </c>
      <c r="H1027" s="1203">
        <f>'RC1_Arch'!E171</f>
        <v>0</v>
      </c>
      <c r="I1027" s="1203">
        <f>'RC1_Arch'!I171</f>
        <v>0</v>
      </c>
      <c r="J1027" s="1203">
        <f>'RC1_Arch'!L171</f>
        <v>0</v>
      </c>
      <c r="K1027" s="1203">
        <f>'RC1_Arch'!M171</f>
        <v>0</v>
      </c>
    </row>
    <row r="1028" spans="1:11">
      <c r="A1028" t="s">
        <v>67</v>
      </c>
      <c r="B1028" t="s">
        <v>102</v>
      </c>
      <c r="C1028" t="s">
        <v>103</v>
      </c>
      <c r="D1028" t="s">
        <v>106</v>
      </c>
      <c r="E1028" t="str" cm="1">
        <f t="array" ref="E1028">_xlfn.LET(_xlpm.c,'RC1_Arch'!C172, _xlpm.b, 'RC1_Arch'!B172, IF(_xlpm.c&lt;&gt;"", _xlpm.c, _xlpm.b))</f>
        <v>ฝ้าเพดาน Aluminium Composite หนา 4 mm. ชนิดภายนอก สี Silver</v>
      </c>
      <c r="F1028" s="1205"/>
      <c r="G1028" s="1203" t="str">
        <f>'RC1_Arch'!F172</f>
        <v>ตร.ม.</v>
      </c>
      <c r="H1028" s="1203">
        <f>'RC1_Arch'!E172</f>
        <v>350</v>
      </c>
      <c r="I1028" s="1203">
        <f>'RC1_Arch'!I172</f>
        <v>474465.83385249996</v>
      </c>
      <c r="J1028" s="1203">
        <f>'RC1_Arch'!L172</f>
        <v>490826.72467499995</v>
      </c>
      <c r="K1028" s="1203">
        <f>'RC1_Arch'!M172</f>
        <v>965292.5585274999</v>
      </c>
    </row>
    <row r="1029" spans="1:11">
      <c r="A1029" t="s">
        <v>67</v>
      </c>
      <c r="B1029" t="s">
        <v>102</v>
      </c>
      <c r="C1029" t="s">
        <v>103</v>
      </c>
      <c r="D1029" t="s">
        <v>106</v>
      </c>
      <c r="E1029" t="str" cm="1">
        <f t="array" ref="E1029">_xlfn.LET(_xlpm.c,'RC1_Arch'!C173, _xlpm.b, 'RC1_Arch'!B173, IF(_xlpm.c&lt;&gt;"", _xlpm.c, _xlpm.b))</f>
        <v>โครงเคร่าเหล็กติดตั้งตามมาตรฐานผู้ผลิต เสนอแบบขออนุมัติก่อนดำเนินการติดตั้ง</v>
      </c>
      <c r="F1029" s="1205"/>
      <c r="G1029" s="1203">
        <f>'RC1_Arch'!F173</f>
        <v>0</v>
      </c>
      <c r="H1029" s="1203">
        <f>'RC1_Arch'!E173</f>
        <v>0</v>
      </c>
      <c r="I1029" s="1203">
        <f>'RC1_Arch'!I173</f>
        <v>0</v>
      </c>
      <c r="J1029" s="1203">
        <f>'RC1_Arch'!L173</f>
        <v>0</v>
      </c>
      <c r="K1029" s="1203">
        <f>'RC1_Arch'!M173</f>
        <v>0</v>
      </c>
    </row>
    <row r="1030" spans="1:11">
      <c r="A1030" t="s">
        <v>67</v>
      </c>
      <c r="B1030" t="s">
        <v>102</v>
      </c>
      <c r="C1030" t="s">
        <v>103</v>
      </c>
      <c r="D1030" t="s">
        <v>106</v>
      </c>
      <c r="E1030" t="str" cm="1">
        <f t="array" ref="E1030">_xlfn.LET(_xlpm.c,'RC1_Arch'!C174, _xlpm.b, 'RC1_Arch'!B174, IF(_xlpm.c&lt;&gt;"", _xlpm.c, _xlpm.b))</f>
        <v>ฝ้าเพดาน Aluminium Composite หนา 4 mm. ชนิดภายนอก สี Copper</v>
      </c>
      <c r="F1030" s="1205"/>
      <c r="G1030" s="1203">
        <f>'RC1_Arch'!F174</f>
        <v>0</v>
      </c>
      <c r="H1030" s="1203" t="str">
        <f>'RC1_Arch'!E174</f>
        <v>* ดูรายละเอียดงาน Urban Void</v>
      </c>
      <c r="I1030" s="1203">
        <f>'RC1_Arch'!I174</f>
        <v>0</v>
      </c>
      <c r="J1030" s="1203">
        <f>'RC1_Arch'!L174</f>
        <v>0</v>
      </c>
      <c r="K1030" s="1203">
        <f>'RC1_Arch'!M174</f>
        <v>0</v>
      </c>
    </row>
    <row r="1031" spans="1:11">
      <c r="A1031" t="s">
        <v>67</v>
      </c>
      <c r="B1031" t="s">
        <v>102</v>
      </c>
      <c r="C1031" t="s">
        <v>103</v>
      </c>
      <c r="D1031" t="s">
        <v>106</v>
      </c>
      <c r="E1031" t="str" cm="1">
        <f t="array" ref="E1031">_xlfn.LET(_xlpm.c,'RC1_Arch'!C175, _xlpm.b, 'RC1_Arch'!B175, IF(_xlpm.c&lt;&gt;"", _xlpm.c, _xlpm.b))</f>
        <v>โครงเคร่าเหล็กติดตั้งตามมาตรฐานผู้ผลิต เสนอแบบขออนุมัติก่อนดำเนินการติดตั้ง</v>
      </c>
      <c r="F1031" s="1205"/>
      <c r="G1031" s="1203">
        <f>'RC1_Arch'!F175</f>
        <v>0</v>
      </c>
      <c r="H1031" s="1203">
        <f>'RC1_Arch'!E175</f>
        <v>0</v>
      </c>
      <c r="I1031" s="1203">
        <f>'RC1_Arch'!I175</f>
        <v>0</v>
      </c>
      <c r="J1031" s="1203">
        <f>'RC1_Arch'!L175</f>
        <v>0</v>
      </c>
      <c r="K1031" s="1203">
        <f>'RC1_Arch'!M175</f>
        <v>0</v>
      </c>
    </row>
    <row r="1032" spans="1:11">
      <c r="A1032" t="s">
        <v>67</v>
      </c>
      <c r="B1032" t="s">
        <v>102</v>
      </c>
      <c r="C1032" t="s">
        <v>103</v>
      </c>
      <c r="D1032" t="s">
        <v>106</v>
      </c>
      <c r="E1032" t="str" cm="1">
        <f t="array" ref="E1032">_xlfn.LET(_xlpm.c,'RC1_Arch'!C176, _xlpm.b, 'RC1_Arch'!B176, IF(_xlpm.c&lt;&gt;"", _xlpm.c, _xlpm.b))</f>
        <v xml:space="preserve">ฝ้าเพดาน ALUMINIUM แบบ SCREEN ขนาด 100x100 สีขาว และ พับพิเศษขนาด </v>
      </c>
      <c r="F1032" s="1205"/>
      <c r="G1032" s="1203" t="str">
        <f>'RC1_Arch'!F176</f>
        <v>ตร.ม.</v>
      </c>
      <c r="H1032" s="1203">
        <f>'RC1_Arch'!E176</f>
        <v>2335</v>
      </c>
      <c r="I1032" s="1203">
        <f>'RC1_Arch'!I176</f>
        <v>2510461.83320675</v>
      </c>
      <c r="J1032" s="1203">
        <f>'RC1_Arch'!L176</f>
        <v>1091505.1448725001</v>
      </c>
      <c r="K1032" s="1203">
        <f>'RC1_Arch'!M176</f>
        <v>3601966.9780792501</v>
      </c>
    </row>
    <row r="1033" spans="1:11">
      <c r="A1033" t="s">
        <v>67</v>
      </c>
      <c r="B1033" t="s">
        <v>102</v>
      </c>
      <c r="C1033" t="s">
        <v>103</v>
      </c>
      <c r="D1033" t="s">
        <v>106</v>
      </c>
      <c r="E1033" t="str" cm="1">
        <f t="array" ref="E1033">_xlfn.LET(_xlpm.c,'RC1_Arch'!C177, _xlpm.b, 'RC1_Arch'!B177, IF(_xlpm.c&lt;&gt;"", _xlpm.c, _xlpm.b))</f>
        <v>40x100x3000 @2000 มม. สีขาว</v>
      </c>
      <c r="F1033" s="1205"/>
      <c r="G1033" s="1203">
        <f>'RC1_Arch'!F177</f>
        <v>0</v>
      </c>
      <c r="H1033" s="1203">
        <f>'RC1_Arch'!E177</f>
        <v>0</v>
      </c>
      <c r="I1033" s="1203">
        <f>'RC1_Arch'!I177</f>
        <v>0</v>
      </c>
      <c r="J1033" s="1203">
        <f>'RC1_Arch'!L177</f>
        <v>0</v>
      </c>
      <c r="K1033" s="1203">
        <f>'RC1_Arch'!M177</f>
        <v>0</v>
      </c>
    </row>
    <row r="1034" spans="1:11">
      <c r="A1034" t="s">
        <v>67</v>
      </c>
      <c r="B1034" t="s">
        <v>102</v>
      </c>
      <c r="C1034" t="s">
        <v>103</v>
      </c>
      <c r="D1034" t="s">
        <v>107</v>
      </c>
      <c r="E1034" t="str" cm="1">
        <f t="array" ref="E1034">_xlfn.LET(_xlpm.c,'RC1_Arch'!C178, _xlpm.b, 'RC1_Arch'!B178, IF(_xlpm.c&lt;&gt;"", _xlpm.c, _xlpm.b))</f>
        <v>ฝ้าเพดานตะแกรงอลูมิเนียม (Aluminium Cell Ceiling) สีดำ ขนาด 100x100 มม.</v>
      </c>
      <c r="F1034" s="1205"/>
      <c r="G1034" s="1203" t="str">
        <f>'RC1_Arch'!F178</f>
        <v>ตร.ม.</v>
      </c>
      <c r="H1034" s="1203">
        <f>'RC1_Arch'!E178</f>
        <v>2315</v>
      </c>
      <c r="I1034" s="1203">
        <f>'RC1_Arch'!I178</f>
        <v>2597174.5545659997</v>
      </c>
      <c r="J1034" s="1203">
        <f>'RC1_Arch'!L178</f>
        <v>324646.81932074996</v>
      </c>
      <c r="K1034" s="1203">
        <f>'RC1_Arch'!M178</f>
        <v>2921821.3738867496</v>
      </c>
    </row>
    <row r="1035" spans="1:11">
      <c r="A1035" t="s">
        <v>67</v>
      </c>
      <c r="B1035" t="s">
        <v>102</v>
      </c>
      <c r="C1035" t="s">
        <v>103</v>
      </c>
      <c r="D1035" t="s">
        <v>107</v>
      </c>
      <c r="E1035" t="str" cm="1">
        <f t="array" ref="E1035">_xlfn.LET(_xlpm.c,'RC1_Arch'!C179, _xlpm.b, 'RC1_Arch'!B179, IF(_xlpm.c&lt;&gt;"", _xlpm.c, _xlpm.b))</f>
        <v>ฝ้าเพดานตะแกรงอลูมิเนียม (Aluminium Cell Ceiling) สีขาว ขนาด 100x100 มม.</v>
      </c>
      <c r="F1035" s="1205"/>
      <c r="G1035" s="1203" t="str">
        <f>'RC1_Arch'!F179</f>
        <v>ตร.ม.</v>
      </c>
      <c r="H1035" s="1203">
        <f>'RC1_Arch'!E179</f>
        <v>537</v>
      </c>
      <c r="I1035" s="1203">
        <f>'RC1_Arch'!I179</f>
        <v>602454.74548679998</v>
      </c>
      <c r="J1035" s="1203">
        <f>'RC1_Arch'!L179</f>
        <v>75306.843185849997</v>
      </c>
      <c r="K1035" s="1203">
        <f>'RC1_Arch'!M179</f>
        <v>677761.58867264993</v>
      </c>
    </row>
    <row r="1036" spans="1:11">
      <c r="A1036" t="s">
        <v>67</v>
      </c>
      <c r="B1036" t="s">
        <v>102</v>
      </c>
      <c r="C1036" t="s">
        <v>103</v>
      </c>
      <c r="D1036" t="s">
        <v>107</v>
      </c>
      <c r="E1036" t="str" cm="1">
        <f t="array" ref="E1036">_xlfn.LET(_xlpm.c,'RC1_Arch'!C180, _xlpm.b, 'RC1_Arch'!B180, IF(_xlpm.c&lt;&gt;"", _xlpm.c, _xlpm.b))</f>
        <v>ฝ้าเพดานตะแกรงอลูมิเนียม (Aluminium Cell Ceiling) สีขาว ขนาด 50x50 มม.</v>
      </c>
      <c r="F1036" s="1205"/>
      <c r="G1036" s="1203" t="str">
        <f>'RC1_Arch'!F180</f>
        <v>ตร.ม.</v>
      </c>
      <c r="H1036" s="1203">
        <f>'RC1_Arch'!E180</f>
        <v>100</v>
      </c>
      <c r="I1036" s="1203">
        <f>'RC1_Arch'!I180</f>
        <v>210354.31057500001</v>
      </c>
      <c r="J1036" s="1203">
        <f>'RC1_Arch'!L180</f>
        <v>14023.620704999999</v>
      </c>
      <c r="K1036" s="1203">
        <f>'RC1_Arch'!M180</f>
        <v>224377.93128000002</v>
      </c>
    </row>
    <row r="1037" spans="1:11">
      <c r="A1037" t="s">
        <v>67</v>
      </c>
      <c r="B1037" t="s">
        <v>102</v>
      </c>
      <c r="C1037" t="s">
        <v>103</v>
      </c>
      <c r="D1037" t="s">
        <v>97</v>
      </c>
      <c r="E1037" t="str" cm="1">
        <f t="array" ref="E1037">_xlfn.LET(_xlpm.c,'RC1_Arch'!C181, _xlpm.b, 'RC1_Arch'!B181, IF(_xlpm.c&lt;&gt;"", _xlpm.c, _xlpm.b))</f>
        <v>ฝ้าเพดานกรุแผ่นเหล็กหนา 3 มม. ขัดรอยต่อเรียบ ดัดโค้งตามแบบ</v>
      </c>
      <c r="F1037" s="1205"/>
      <c r="G1037" s="1203" t="str">
        <f>'RC1_Arch'!F181</f>
        <v>ตร.ม.</v>
      </c>
      <c r="H1037" s="1203">
        <f>'RC1_Arch'!E181</f>
        <v>40</v>
      </c>
      <c r="I1037" s="1203">
        <f>'RC1_Arch'!I181</f>
        <v>44875.586255999995</v>
      </c>
      <c r="J1037" s="1203">
        <f>'RC1_Arch'!L181</f>
        <v>18698.160940000002</v>
      </c>
      <c r="K1037" s="1203">
        <f>'RC1_Arch'!M181</f>
        <v>63573.747195999997</v>
      </c>
    </row>
    <row r="1038" spans="1:11">
      <c r="A1038" t="s">
        <v>67</v>
      </c>
      <c r="B1038" t="s">
        <v>102</v>
      </c>
      <c r="C1038" t="s">
        <v>103</v>
      </c>
      <c r="D1038" t="s">
        <v>97</v>
      </c>
      <c r="E1038" t="str" cm="1">
        <f t="array" ref="E1038">_xlfn.LET(_xlpm.c,'RC1_Arch'!C182, _xlpm.b, 'RC1_Arch'!B182, IF(_xlpm.c&lt;&gt;"", _xlpm.c, _xlpm.b))</f>
        <v xml:space="preserve"> ทำสีพ่น COPPER (สีเดียวกับ C3.2)</v>
      </c>
      <c r="F1038" s="1205"/>
      <c r="G1038" s="1203" t="str">
        <f>'RC1_Arch'!F182</f>
        <v>ตร.ม.</v>
      </c>
      <c r="H1038" s="1203">
        <f>'RC1_Arch'!E182</f>
        <v>40</v>
      </c>
      <c r="I1038" s="1203">
        <f>'RC1_Arch'!I182</f>
        <v>4487.5586255999997</v>
      </c>
      <c r="J1038" s="1203">
        <f>'RC1_Arch'!L182</f>
        <v>2991.7057504000004</v>
      </c>
      <c r="K1038" s="1203">
        <f>'RC1_Arch'!M182</f>
        <v>7479.2643760000001</v>
      </c>
    </row>
    <row r="1039" spans="1:11">
      <c r="A1039" t="s">
        <v>67</v>
      </c>
      <c r="B1039" t="s">
        <v>102</v>
      </c>
      <c r="C1039" t="s">
        <v>103</v>
      </c>
      <c r="D1039" t="s">
        <v>108</v>
      </c>
      <c r="E1039" t="str" cm="1">
        <f t="array" ref="E1039">_xlfn.LET(_xlpm.c,'RC1_Arch'!C183, _xlpm.b, 'RC1_Arch'!B183, IF(_xlpm.c&lt;&gt;"", _xlpm.c, _xlpm.b))</f>
        <v>งานรางม่าน ตามแบบเลขที่ A705</v>
      </c>
      <c r="F1039" s="1205"/>
      <c r="G1039" s="1203">
        <f>'RC1_Arch'!F183</f>
        <v>0</v>
      </c>
      <c r="H1039" s="1203">
        <f>'RC1_Arch'!E183</f>
        <v>0</v>
      </c>
      <c r="I1039" s="1203">
        <f>'RC1_Arch'!I183</f>
        <v>0</v>
      </c>
      <c r="J1039" s="1203">
        <f>'RC1_Arch'!L183</f>
        <v>0</v>
      </c>
      <c r="K1039" s="1203">
        <f>'RC1_Arch'!M183</f>
        <v>0</v>
      </c>
    </row>
    <row r="1040" spans="1:11">
      <c r="A1040" t="s">
        <v>67</v>
      </c>
      <c r="B1040" t="s">
        <v>102</v>
      </c>
      <c r="C1040" t="s">
        <v>103</v>
      </c>
      <c r="D1040" t="s">
        <v>108</v>
      </c>
      <c r="E1040" t="str" cm="1">
        <f t="array" ref="E1040">_xlfn.LET(_xlpm.c,'RC1_Arch'!C184, _xlpm.b, 'RC1_Arch'!B184, IF(_xlpm.c&lt;&gt;"", _xlpm.c, _xlpm.b))</f>
        <v>ไม้อัด 20 มม. ทาสีอะครีลิค</v>
      </c>
      <c r="F1040" s="1205"/>
      <c r="G1040" s="1203" t="str">
        <f>'RC1_Arch'!F184</f>
        <v>เมตร</v>
      </c>
      <c r="H1040" s="1203">
        <f>'RC1_Arch'!E184</f>
        <v>340</v>
      </c>
      <c r="I1040" s="1203">
        <f>'RC1_Arch'!I184</f>
        <v>63573.747195999997</v>
      </c>
      <c r="J1040" s="1203">
        <f>'RC1_Arch'!L184</f>
        <v>12714.749439200001</v>
      </c>
      <c r="K1040" s="1203">
        <f>'RC1_Arch'!M184</f>
        <v>76288.49663519999</v>
      </c>
    </row>
    <row r="1041" spans="1:11">
      <c r="A1041" t="s">
        <v>67</v>
      </c>
      <c r="B1041" t="s">
        <v>102</v>
      </c>
      <c r="C1041" t="s">
        <v>103</v>
      </c>
      <c r="D1041" t="s">
        <v>108</v>
      </c>
      <c r="E1041" t="str" cm="1">
        <f t="array" ref="E1041">_xlfn.LET(_xlpm.c,'RC1_Arch'!C185, _xlpm.b, 'RC1_Arch'!B185, IF(_xlpm.c&lt;&gt;"", _xlpm.c, _xlpm.b))</f>
        <v xml:space="preserve">Steel Square Tube 32 x 32 x 2.3 มม. </v>
      </c>
      <c r="F1041" s="1205"/>
      <c r="G1041" s="1203" t="str">
        <f>'RC1_Arch'!F185</f>
        <v>กก.</v>
      </c>
      <c r="H1041" s="1203">
        <f>'RC1_Arch'!E185</f>
        <v>760</v>
      </c>
      <c r="I1041" s="1203">
        <f>'RC1_Arch'!I185</f>
        <v>19361.945653369999</v>
      </c>
      <c r="J1041" s="1203">
        <f>'RC1_Arch'!L185</f>
        <v>8526.3613886399999</v>
      </c>
      <c r="K1041" s="1203">
        <f>'RC1_Arch'!M185</f>
        <v>27888.307042009998</v>
      </c>
    </row>
    <row r="1042" spans="1:11">
      <c r="A1042" t="s">
        <v>67</v>
      </c>
      <c r="B1042" t="s">
        <v>102</v>
      </c>
      <c r="C1042" t="s">
        <v>103</v>
      </c>
      <c r="D1042" t="s">
        <v>108</v>
      </c>
      <c r="E1042" t="str" cm="1">
        <f t="array" ref="E1042">_xlfn.LET(_xlpm.c,'RC1_Arch'!C186, _xlpm.b, 'RC1_Arch'!B186, IF(_xlpm.c&lt;&gt;"", _xlpm.c, _xlpm.b))</f>
        <v>ฝาเหล็กพับ สำหรับเปิด Service</v>
      </c>
      <c r="F1042" s="1205"/>
      <c r="G1042" s="1203" t="str">
        <f>'RC1_Arch'!F186</f>
        <v>เมตร</v>
      </c>
      <c r="H1042" s="1203">
        <f>'RC1_Arch'!E186</f>
        <v>340</v>
      </c>
      <c r="I1042" s="1203">
        <f>'RC1_Arch'!I186</f>
        <v>55627.028796499995</v>
      </c>
      <c r="J1042" s="1203">
        <f>'RC1_Arch'!L186</f>
        <v>31786.873597999998</v>
      </c>
      <c r="K1042" s="1203">
        <f>'RC1_Arch'!M186</f>
        <v>87413.902394499994</v>
      </c>
    </row>
    <row r="1043" spans="1:11">
      <c r="E1043" cm="1">
        <f t="array" ref="E1043">_xlfn.LET(_xlpm.c,'RC1_Arch'!C187, _xlpm.b, 'RC1_Arch'!B187, IF(_xlpm.c&lt;&gt;"", _xlpm.c, _xlpm.b))</f>
        <v>0</v>
      </c>
      <c r="F1043" s="1205"/>
      <c r="G1043" s="1203">
        <f>'RC1_Arch'!F187</f>
        <v>0</v>
      </c>
      <c r="H1043" s="1203">
        <f>'RC1_Arch'!E187</f>
        <v>0</v>
      </c>
      <c r="I1043" s="1203">
        <f>'RC1_Arch'!I187</f>
        <v>0</v>
      </c>
      <c r="J1043" s="1203">
        <f>'RC1_Arch'!L187</f>
        <v>0</v>
      </c>
      <c r="K1043" s="1203">
        <f>'RC1_Arch'!M187</f>
        <v>0</v>
      </c>
    </row>
    <row r="1044" spans="1:11">
      <c r="E1044" cm="1">
        <f t="array" ref="E1044">_xlfn.LET(_xlpm.c,'RC1_Arch'!C188, _xlpm.b, 'RC1_Arch'!B188, IF(_xlpm.c&lt;&gt;"", _xlpm.c, _xlpm.b))</f>
        <v>0</v>
      </c>
      <c r="F1044" s="1205"/>
      <c r="G1044" s="1203">
        <f>'RC1_Arch'!F188</f>
        <v>0</v>
      </c>
      <c r="H1044" s="1203">
        <f>'RC1_Arch'!E188</f>
        <v>0</v>
      </c>
      <c r="I1044" s="1203">
        <f>'RC1_Arch'!I188</f>
        <v>0</v>
      </c>
      <c r="J1044" s="1203">
        <f>'RC1_Arch'!L188</f>
        <v>0</v>
      </c>
      <c r="K1044" s="1203">
        <f>'RC1_Arch'!M188</f>
        <v>0</v>
      </c>
    </row>
    <row r="1045" spans="1:11">
      <c r="A1045" t="s">
        <v>67</v>
      </c>
      <c r="B1045" t="s">
        <v>102</v>
      </c>
      <c r="C1045" t="s">
        <v>103</v>
      </c>
      <c r="D1045" t="s">
        <v>108</v>
      </c>
      <c r="E1045" t="str" cm="1">
        <f t="array" ref="E1045">_xlfn.LET(_xlpm.c,'RC1_Arch'!C189, _xlpm.b, 'RC1_Arch'!B189, IF(_xlpm.c&lt;&gt;"", _xlpm.c, _xlpm.b))</f>
        <v>งานทาสีน้ำมันอัลคิดโครงสร้างเหล็ก</v>
      </c>
      <c r="F1045" s="1205"/>
      <c r="G1045" s="1203" t="str">
        <f>'RC1_Arch'!F189</f>
        <v>เมตร</v>
      </c>
      <c r="H1045" s="1203">
        <f>'RC1_Arch'!E189</f>
        <v>340</v>
      </c>
      <c r="I1045" s="1203">
        <f>'RC1_Arch'!I189</f>
        <v>20661.467838699999</v>
      </c>
      <c r="J1045" s="1203">
        <f>'RC1_Arch'!L189</f>
        <v>19072.124158799998</v>
      </c>
      <c r="K1045" s="1203">
        <f>'RC1_Arch'!M189</f>
        <v>39733.5919975</v>
      </c>
    </row>
    <row r="1046" spans="1:11">
      <c r="A1046" t="s">
        <v>67</v>
      </c>
      <c r="B1046" t="s">
        <v>102</v>
      </c>
      <c r="C1046" t="s">
        <v>103</v>
      </c>
      <c r="D1046" t="s">
        <v>109</v>
      </c>
      <c r="E1046" t="str" cm="1">
        <f t="array" ref="E1046">_xlfn.LET(_xlpm.c,'RC1_Arch'!C190, _xlpm.b, 'RC1_Arch'!B190, IF(_xlpm.c&lt;&gt;"", _xlpm.c, _xlpm.b))</f>
        <v>งานรางไฟ กว้างประมาณ 150 ม.ม. ตามแบบเลขที่ A705</v>
      </c>
      <c r="F1046" s="1205"/>
      <c r="G1046" s="1203" t="str">
        <f>'RC1_Arch'!F190</f>
        <v>เมตร</v>
      </c>
      <c r="H1046" s="1203">
        <f>'RC1_Arch'!E190</f>
        <v>750</v>
      </c>
      <c r="I1046" s="1203">
        <f>'RC1_Arch'!I190</f>
        <v>56094.482820000005</v>
      </c>
      <c r="J1046" s="1203">
        <f>'RC1_Arch'!L190</f>
        <v>21035.431057499998</v>
      </c>
      <c r="K1046" s="1203">
        <f>'RC1_Arch'!M190</f>
        <v>77129.913877500003</v>
      </c>
    </row>
    <row r="1047" spans="1:11">
      <c r="A1047" t="s">
        <v>67</v>
      </c>
      <c r="B1047" t="s">
        <v>102</v>
      </c>
      <c r="C1047" t="s">
        <v>103</v>
      </c>
      <c r="D1047" t="s">
        <v>108</v>
      </c>
      <c r="E1047" t="str" cm="1">
        <f t="array" ref="E1047">_xlfn.LET(_xlpm.c,'RC1_Arch'!C191, _xlpm.b, 'RC1_Arch'!B191, IF(_xlpm.c&lt;&gt;"", _xlpm.c, _xlpm.b))</f>
        <v>งานรางม่าน ตามแบบเลขที่ A706</v>
      </c>
      <c r="F1047" s="1205"/>
      <c r="G1047" s="1203">
        <f>'RC1_Arch'!F191</f>
        <v>0</v>
      </c>
      <c r="H1047" s="1203">
        <f>'RC1_Arch'!E191</f>
        <v>0</v>
      </c>
      <c r="I1047" s="1203">
        <f>'RC1_Arch'!I191</f>
        <v>0</v>
      </c>
      <c r="J1047" s="1203">
        <f>'RC1_Arch'!L191</f>
        <v>0</v>
      </c>
      <c r="K1047" s="1203">
        <f>'RC1_Arch'!M191</f>
        <v>0</v>
      </c>
    </row>
    <row r="1048" spans="1:11">
      <c r="A1048" t="s">
        <v>67</v>
      </c>
      <c r="B1048" t="s">
        <v>102</v>
      </c>
      <c r="C1048" t="s">
        <v>103</v>
      </c>
      <c r="D1048" t="s">
        <v>108</v>
      </c>
      <c r="E1048" t="str" cm="1">
        <f t="array" ref="E1048">_xlfn.LET(_xlpm.c,'RC1_Arch'!C192, _xlpm.b, 'RC1_Arch'!B192, IF(_xlpm.c&lt;&gt;"", _xlpm.c, _xlpm.b))</f>
        <v>Aluminium Slot Diffusers 50X100 @50 มม. ตามแบบขยาย A706</v>
      </c>
      <c r="F1048" s="1205"/>
      <c r="G1048" s="1203" t="str">
        <f>'RC1_Arch'!F192</f>
        <v>เมตร</v>
      </c>
      <c r="H1048" s="1203">
        <f>'RC1_Arch'!E192</f>
        <v>230</v>
      </c>
      <c r="I1048" s="1203">
        <f>'RC1_Arch'!I192</f>
        <v>215028.85081</v>
      </c>
      <c r="J1048" s="1203">
        <f>'RC1_Arch'!L192</f>
        <v>43005.770162000001</v>
      </c>
      <c r="K1048" s="1203">
        <f>'RC1_Arch'!M192</f>
        <v>258034.620972</v>
      </c>
    </row>
    <row r="1049" spans="1:11">
      <c r="A1049" t="s">
        <v>67</v>
      </c>
      <c r="B1049" t="s">
        <v>102</v>
      </c>
      <c r="C1049" t="s">
        <v>103</v>
      </c>
      <c r="D1049" t="s">
        <v>108</v>
      </c>
      <c r="E1049" t="str" cm="1">
        <f t="array" ref="E1049">_xlfn.LET(_xlpm.c,'RC1_Arch'!C193, _xlpm.b, 'RC1_Arch'!B193, IF(_xlpm.c&lt;&gt;"", _xlpm.c, _xlpm.b))</f>
        <v>ไม้อัด 20 มม. ทาสีอะครีลิค</v>
      </c>
      <c r="F1049" s="1205"/>
      <c r="G1049" s="1203" t="str">
        <f>'RC1_Arch'!F193</f>
        <v>เมตร</v>
      </c>
      <c r="H1049" s="1203">
        <f>'RC1_Arch'!E193</f>
        <v>325</v>
      </c>
      <c r="I1049" s="1203">
        <f>'RC1_Arch'!I193</f>
        <v>60769.023054999998</v>
      </c>
      <c r="J1049" s="1203">
        <f>'RC1_Arch'!L193</f>
        <v>12153.804611000001</v>
      </c>
      <c r="K1049" s="1203">
        <f>'RC1_Arch'!M193</f>
        <v>72922.827665999997</v>
      </c>
    </row>
    <row r="1050" spans="1:11">
      <c r="A1050" t="s">
        <v>67</v>
      </c>
      <c r="B1050" t="s">
        <v>102</v>
      </c>
      <c r="C1050" t="s">
        <v>103</v>
      </c>
      <c r="D1050" t="s">
        <v>108</v>
      </c>
      <c r="E1050" t="str" cm="1">
        <f t="array" ref="E1050">_xlfn.LET(_xlpm.c,'RC1_Arch'!C194, _xlpm.b, 'RC1_Arch'!B194, IF(_xlpm.c&lt;&gt;"", _xlpm.c, _xlpm.b))</f>
        <v>Steel Plate 3 mm.พับตามแบบ</v>
      </c>
      <c r="F1050" s="1205"/>
      <c r="G1050" s="1203" t="str">
        <f>'RC1_Arch'!F194</f>
        <v>เมตร</v>
      </c>
      <c r="H1050" s="1203">
        <f>'RC1_Arch'!E194</f>
        <v>325</v>
      </c>
      <c r="I1050" s="1203">
        <f>'RC1_Arch'!I194</f>
        <v>60769.023054999998</v>
      </c>
      <c r="J1050" s="1203">
        <f>'RC1_Arch'!L194</f>
        <v>34942.188256624999</v>
      </c>
      <c r="K1050" s="1203">
        <f>'RC1_Arch'!M194</f>
        <v>95711.211311624997</v>
      </c>
    </row>
    <row r="1051" spans="1:11">
      <c r="A1051" t="s">
        <v>67</v>
      </c>
      <c r="B1051" t="s">
        <v>102</v>
      </c>
      <c r="C1051" t="s">
        <v>103</v>
      </c>
      <c r="D1051" t="s">
        <v>108</v>
      </c>
      <c r="E1051" t="str" cm="1">
        <f t="array" ref="E1051">_xlfn.LET(_xlpm.c,'RC1_Arch'!C195, _xlpm.b, 'RC1_Arch'!B195, IF(_xlpm.c&lt;&gt;"", _xlpm.c, _xlpm.b))</f>
        <v>งานทาสีน้ำมันอัลคิดโครงสร้างเหล็ก</v>
      </c>
      <c r="F1051" s="1205"/>
      <c r="G1051" s="1203" t="str">
        <f>'RC1_Arch'!F195</f>
        <v>เมตร</v>
      </c>
      <c r="H1051" s="1203">
        <f>'RC1_Arch'!E195</f>
        <v>322</v>
      </c>
      <c r="I1051" s="1203">
        <f>'RC1_Arch'!I195</f>
        <v>19567.62542371</v>
      </c>
      <c r="J1051" s="1203">
        <f>'RC1_Arch'!L195</f>
        <v>6020.8078226800008</v>
      </c>
      <c r="K1051" s="1203">
        <f>'RC1_Arch'!M195</f>
        <v>25588.433246389999</v>
      </c>
    </row>
    <row r="1052" spans="1:11">
      <c r="A1052" t="s">
        <v>67</v>
      </c>
      <c r="B1052" t="s">
        <v>102</v>
      </c>
      <c r="C1052" t="s">
        <v>103</v>
      </c>
      <c r="D1052" t="s">
        <v>109</v>
      </c>
      <c r="E1052" t="str" cm="1">
        <f t="array" ref="E1052">_xlfn.LET(_xlpm.c,'RC1_Arch'!C196, _xlpm.b, 'RC1_Arch'!B196, IF(_xlpm.c&lt;&gt;"", _xlpm.c, _xlpm.b))</f>
        <v>งานรางไฟ ตามแบบเลขที่ A706</v>
      </c>
      <c r="F1052" s="1205"/>
      <c r="G1052" s="1203">
        <f>'RC1_Arch'!F196</f>
        <v>0</v>
      </c>
      <c r="H1052" s="1203">
        <f>'RC1_Arch'!E196</f>
        <v>0</v>
      </c>
      <c r="I1052" s="1203">
        <f>'RC1_Arch'!I196</f>
        <v>0</v>
      </c>
      <c r="J1052" s="1203">
        <f>'RC1_Arch'!L196</f>
        <v>0</v>
      </c>
      <c r="K1052" s="1203">
        <f>'RC1_Arch'!M196</f>
        <v>0</v>
      </c>
    </row>
    <row r="1053" spans="1:11">
      <c r="A1053" t="s">
        <v>67</v>
      </c>
      <c r="B1053" t="s">
        <v>102</v>
      </c>
      <c r="C1053" t="s">
        <v>103</v>
      </c>
      <c r="D1053" t="s">
        <v>109</v>
      </c>
      <c r="E1053" t="str" cm="1">
        <f t="array" ref="E1053">_xlfn.LET(_xlpm.c,'RC1_Arch'!C197, _xlpm.b, 'RC1_Arch'!B197, IF(_xlpm.c&lt;&gt;"", _xlpm.c, _xlpm.b))</f>
        <v>Steel Plate 3 mm.พับตามแบบ</v>
      </c>
      <c r="F1053" s="1205"/>
      <c r="G1053" s="1203" t="str">
        <f>'RC1_Arch'!F197</f>
        <v>เมตร</v>
      </c>
      <c r="H1053" s="1203">
        <f>'RC1_Arch'!E197</f>
        <v>284</v>
      </c>
      <c r="I1053" s="1203">
        <f>'RC1_Arch'!I197</f>
        <v>70361.179617219997</v>
      </c>
      <c r="J1053" s="1203">
        <f>'RC1_Arch'!L197</f>
        <v>38499.513375459996</v>
      </c>
      <c r="K1053" s="1203">
        <f>'RC1_Arch'!M197</f>
        <v>108860.69299267999</v>
      </c>
    </row>
    <row r="1054" spans="1:11">
      <c r="A1054" t="s">
        <v>67</v>
      </c>
      <c r="B1054" t="s">
        <v>102</v>
      </c>
      <c r="C1054" t="s">
        <v>103</v>
      </c>
      <c r="D1054" t="s">
        <v>109</v>
      </c>
      <c r="E1054" t="str" cm="1">
        <f t="array" ref="E1054">_xlfn.LET(_xlpm.c,'RC1_Arch'!C198, _xlpm.b, 'RC1_Arch'!B198, IF(_xlpm.c&lt;&gt;"", _xlpm.c, _xlpm.b))</f>
        <v>งานทาสีน้ำมันอัลคิดโครงสร้างเหล็ก</v>
      </c>
      <c r="F1054" s="1205"/>
      <c r="G1054" s="1203" t="str">
        <f>'RC1_Arch'!F198</f>
        <v>เมตร</v>
      </c>
      <c r="H1054" s="1203">
        <f>'RC1_Arch'!E198</f>
        <v>284</v>
      </c>
      <c r="I1054" s="1203">
        <f>'RC1_Arch'!I198</f>
        <v>6637.8471337000001</v>
      </c>
      <c r="J1054" s="1203">
        <f>'RC1_Arch'!L198</f>
        <v>6637.8471337000001</v>
      </c>
      <c r="K1054" s="1203">
        <f>'RC1_Arch'!M198</f>
        <v>13275.6942674</v>
      </c>
    </row>
    <row r="1055" spans="1:11">
      <c r="A1055" t="s">
        <v>67</v>
      </c>
      <c r="B1055" t="s">
        <v>102</v>
      </c>
      <c r="C1055" t="s">
        <v>103</v>
      </c>
      <c r="D1055" t="s">
        <v>90</v>
      </c>
      <c r="E1055" t="str" cm="1">
        <f t="array" ref="E1055">_xlfn.LET(_xlpm.c,'RC1_Arch'!C199, _xlpm.b, 'RC1_Arch'!B199, IF(_xlpm.c&lt;&gt;"", _xlpm.c, _xlpm.b))</f>
        <v>งานฝ้าเพดาน ทาสีอะครีลิคชนิดภายนอก</v>
      </c>
      <c r="F1055" s="1205"/>
      <c r="G1055" s="1203" t="str">
        <f>'RC1_Arch'!F199</f>
        <v>ตร.ม.</v>
      </c>
      <c r="H1055" s="1203">
        <f>'RC1_Arch'!E199</f>
        <v>80</v>
      </c>
      <c r="I1055" s="1203">
        <f>'RC1_Arch'!I199</f>
        <v>3365.6689692</v>
      </c>
      <c r="J1055" s="1203">
        <f>'RC1_Arch'!L199</f>
        <v>2318.5719565599998</v>
      </c>
      <c r="K1055" s="1203">
        <f>'RC1_Arch'!M199</f>
        <v>5684.2409257599993</v>
      </c>
    </row>
    <row r="1056" spans="1:11">
      <c r="A1056" t="s">
        <v>67</v>
      </c>
      <c r="B1056" t="s">
        <v>102</v>
      </c>
      <c r="C1056" t="s">
        <v>103</v>
      </c>
      <c r="D1056" t="s">
        <v>90</v>
      </c>
      <c r="E1056" t="str" cm="1">
        <f t="array" ref="E1056">_xlfn.LET(_xlpm.c,'RC1_Arch'!C200, _xlpm.b, 'RC1_Arch'!B200, IF(_xlpm.c&lt;&gt;"", _xlpm.c, _xlpm.b))</f>
        <v>งานฝ้าเพดาน ทาสีอะครีลิคชนิดภายใน C1.2 ,  C1.3 , C2.1 , C2.2 ,  C2.3 , C2.4</v>
      </c>
      <c r="F1056" s="1205"/>
      <c r="G1056" s="1203" t="str">
        <f>'RC1_Arch'!F200</f>
        <v>ตร.ม.</v>
      </c>
      <c r="H1056" s="1203">
        <f>'RC1_Arch'!E200</f>
        <v>8152</v>
      </c>
      <c r="I1056" s="1203">
        <f>'RC1_Arch'!I200</f>
        <v>228641.11197432</v>
      </c>
      <c r="J1056" s="1203">
        <f>'RC1_Arch'!L200</f>
        <v>213398.37117603197</v>
      </c>
      <c r="K1056" s="1203">
        <f>'RC1_Arch'!M200</f>
        <v>442039.48315035197</v>
      </c>
    </row>
    <row r="1057" spans="5:11">
      <c r="F1057" s="1205"/>
      <c r="G1057" s="1203"/>
      <c r="H1057" s="1203"/>
      <c r="I1057" s="1203"/>
      <c r="J1057" s="1203"/>
      <c r="K1057" s="1203"/>
    </row>
    <row r="1058" spans="5:11">
      <c r="F1058" s="1205"/>
      <c r="G1058" s="1203"/>
      <c r="H1058" s="1203"/>
      <c r="I1058" s="1203"/>
      <c r="J1058" s="1203"/>
      <c r="K1058" s="1203"/>
    </row>
    <row r="1059" spans="5:11">
      <c r="F1059" s="1205"/>
      <c r="G1059" s="1203"/>
      <c r="H1059" s="1203"/>
      <c r="I1059" s="1203"/>
      <c r="J1059" s="1203"/>
      <c r="K1059" s="1203"/>
    </row>
    <row r="1060" spans="5:11">
      <c r="F1060" s="1205"/>
      <c r="G1060" s="1203"/>
      <c r="H1060" s="1203"/>
      <c r="I1060" s="1203"/>
      <c r="J1060" s="1203"/>
      <c r="K1060" s="1203"/>
    </row>
    <row r="1061" spans="5:11">
      <c r="F1061" s="1205"/>
      <c r="G1061" s="1203"/>
      <c r="H1061" s="1203"/>
      <c r="I1061" s="1203"/>
      <c r="J1061" s="1203"/>
      <c r="K1061" s="1203"/>
    </row>
    <row r="1062" spans="5:11">
      <c r="F1062" s="1205"/>
      <c r="G1062" s="1203"/>
      <c r="H1062" s="1203"/>
      <c r="I1062" s="1203"/>
      <c r="J1062" s="1203"/>
      <c r="K1062" s="1203"/>
    </row>
    <row r="1063" spans="5:11">
      <c r="F1063" s="1205"/>
      <c r="G1063" s="1203"/>
      <c r="H1063" s="1203"/>
      <c r="I1063" s="1203"/>
      <c r="J1063" s="1203"/>
      <c r="K1063" s="1203"/>
    </row>
    <row r="1064" spans="5:11">
      <c r="F1064" s="1205"/>
      <c r="G1064" s="1203"/>
      <c r="H1064" s="1203"/>
      <c r="I1064" s="1203"/>
      <c r="J1064" s="1203"/>
      <c r="K1064" s="1203"/>
    </row>
    <row r="1065" spans="5:11">
      <c r="F1065" s="1205"/>
      <c r="G1065" s="1203"/>
      <c r="H1065" s="1203"/>
      <c r="I1065" s="1203"/>
      <c r="J1065" s="1203"/>
      <c r="K1065" s="1203"/>
    </row>
    <row r="1066" spans="5:11">
      <c r="F1066" s="1205"/>
      <c r="G1066" s="1203"/>
      <c r="H1066" s="1203"/>
      <c r="I1066" s="1203"/>
      <c r="J1066" s="1203"/>
      <c r="K1066" s="1203"/>
    </row>
    <row r="1067" spans="5:11">
      <c r="F1067" s="1205"/>
      <c r="G1067" s="1203"/>
      <c r="H1067" s="1203"/>
      <c r="I1067" s="1203"/>
      <c r="J1067" s="1203"/>
      <c r="K1067" s="1203"/>
    </row>
    <row r="1068" spans="5:11">
      <c r="F1068" s="1205"/>
      <c r="G1068" s="1203"/>
      <c r="H1068" s="1203"/>
      <c r="I1068" s="1203"/>
      <c r="J1068" s="1203"/>
      <c r="K1068" s="1203"/>
    </row>
    <row r="1069" spans="5:11">
      <c r="F1069" s="1205"/>
      <c r="G1069" s="1203"/>
      <c r="H1069" s="1203"/>
      <c r="I1069" s="1203"/>
      <c r="J1069" s="1203"/>
      <c r="K1069" s="1203"/>
    </row>
    <row r="1070" spans="5:11">
      <c r="F1070" s="1205"/>
      <c r="G1070" s="1203"/>
      <c r="H1070" s="1203"/>
      <c r="I1070" s="1203"/>
      <c r="J1070" s="1203"/>
      <c r="K1070" s="1203"/>
    </row>
    <row r="1071" spans="5:11">
      <c r="F1071" s="1205"/>
      <c r="G1071" s="1203"/>
      <c r="H1071" s="1203"/>
      <c r="I1071" s="1203"/>
      <c r="J1071" s="1203"/>
      <c r="K1071" s="1203"/>
    </row>
    <row r="1072" spans="5:11">
      <c r="E1072" t="str" cm="1">
        <f t="array" ref="E1072">_xlfn.LET(_xlpm.c,'RC1_Arch'!C216, _xlpm.b, 'RC1_Arch'!B216, IF(_xlpm.c&lt;&gt;"", _xlpm.c, _xlpm.b))</f>
        <v>งานประตู</v>
      </c>
      <c r="F1072" s="1205"/>
      <c r="G1072" s="1203">
        <f>'RC1_Arch'!F216</f>
        <v>0</v>
      </c>
      <c r="H1072" s="1203">
        <f>'RC1_Arch'!E216</f>
        <v>0</v>
      </c>
      <c r="I1072" s="1203">
        <f>'RC1_Arch'!I216</f>
        <v>0</v>
      </c>
      <c r="J1072" s="1203">
        <f>'RC1_Arch'!L216</f>
        <v>0</v>
      </c>
      <c r="K1072" s="1203">
        <f>'RC1_Arch'!M216</f>
        <v>0</v>
      </c>
    </row>
    <row r="1073" spans="1:11">
      <c r="A1073" t="s">
        <v>67</v>
      </c>
      <c r="B1073" t="s">
        <v>110</v>
      </c>
      <c r="C1073" t="s">
        <v>111</v>
      </c>
      <c r="D1073" t="s">
        <v>112</v>
      </c>
      <c r="E1073" t="str" cm="1">
        <f t="array" ref="E1073">_xlfn.LET(_xlpm.c,'RC1_Arch'!C217, _xlpm.b, 'RC1_Arch'!B217, IF(_xlpm.c&lt;&gt;"", _xlpm.c, _xlpm.b))</f>
        <v>ประตู ดูรายละเอียดงานตกแต่งภายใน</v>
      </c>
      <c r="F1073" s="1205"/>
      <c r="G1073" s="1203">
        <f>'RC1_Arch'!F217</f>
        <v>0</v>
      </c>
      <c r="H1073" s="1203">
        <f>'RC1_Arch'!E217</f>
        <v>0</v>
      </c>
      <c r="I1073" s="1203">
        <f>'RC1_Arch'!I217</f>
        <v>0</v>
      </c>
      <c r="J1073" s="1203">
        <f>'RC1_Arch'!L217</f>
        <v>0</v>
      </c>
      <c r="K1073" s="1203">
        <f>'RC1_Arch'!M217</f>
        <v>0</v>
      </c>
    </row>
    <row r="1074" spans="1:11">
      <c r="A1074" t="s">
        <v>67</v>
      </c>
      <c r="B1074" t="s">
        <v>110</v>
      </c>
      <c r="C1074" t="s">
        <v>111</v>
      </c>
      <c r="D1074" t="s">
        <v>112</v>
      </c>
      <c r="E1074" t="str" cm="1">
        <f t="array" ref="E1074">_xlfn.LET(_xlpm.c,'RC1_Arch'!C218, _xlpm.b, 'RC1_Arch'!B218, IF(_xlpm.c&lt;&gt;"", _xlpm.c, _xlpm.b))</f>
        <v>บานเปิดเดี่ยว บานประตูเหล็กทนไฟ ลูกฟักกระจกกันไฟ วงกบเหล็ก</v>
      </c>
      <c r="F1074" s="1205"/>
      <c r="G1074" s="1203" t="str">
        <f>'RC1_Arch'!F218</f>
        <v>ชุด</v>
      </c>
      <c r="H1074" s="1203">
        <f>'RC1_Arch'!E218</f>
        <v>9</v>
      </c>
      <c r="I1074" s="1203">
        <f>'RC1_Arch'!I218</f>
        <v>170218.70811728999</v>
      </c>
      <c r="J1074" s="1203">
        <f>'RC1_Arch'!L218</f>
        <v>10938.4241499</v>
      </c>
      <c r="K1074" s="1203">
        <f>'RC1_Arch'!M218</f>
        <v>181157.13226719</v>
      </c>
    </row>
    <row r="1075" spans="1:11">
      <c r="A1075" t="s">
        <v>67</v>
      </c>
      <c r="B1075" t="s">
        <v>110</v>
      </c>
      <c r="C1075" t="s">
        <v>111</v>
      </c>
      <c r="D1075" t="s">
        <v>112</v>
      </c>
      <c r="E1075" t="str" cm="1">
        <f t="array" ref="E1075">_xlfn.LET(_xlpm.c,'RC1_Arch'!C219, _xlpm.b, 'RC1_Arch'!B219, IF(_xlpm.c&lt;&gt;"", _xlpm.c, _xlpm.b))</f>
        <v>พร้อมยางกันควัน ขนาด 0.90 x 2.40 ม.</v>
      </c>
      <c r="F1075" s="1205"/>
      <c r="G1075" s="1203">
        <f>'RC1_Arch'!F219</f>
        <v>0</v>
      </c>
      <c r="H1075" s="1203">
        <f>'RC1_Arch'!E219</f>
        <v>0</v>
      </c>
      <c r="I1075" s="1203">
        <f>'RC1_Arch'!I219</f>
        <v>0</v>
      </c>
      <c r="J1075" s="1203">
        <f>'RC1_Arch'!L219</f>
        <v>0</v>
      </c>
      <c r="K1075" s="1203">
        <f>'RC1_Arch'!M219</f>
        <v>0</v>
      </c>
    </row>
    <row r="1076" spans="1:11">
      <c r="A1076" t="s">
        <v>67</v>
      </c>
      <c r="B1076" t="s">
        <v>110</v>
      </c>
      <c r="C1076" t="s">
        <v>111</v>
      </c>
      <c r="D1076" t="s">
        <v>112</v>
      </c>
      <c r="E1076" t="str" cm="1">
        <f t="array" ref="E1076">_xlfn.LET(_xlpm.c,'RC1_Arch'!C220, _xlpm.b, 'RC1_Arch'!B220, IF(_xlpm.c&lt;&gt;"", _xlpm.c, _xlpm.b))</f>
        <v>บานเปิดคู่ บานประตูเหล็กทนไฟ ลูกฟักกระจกกันไฟ วงกบเหล็ก</v>
      </c>
      <c r="F1076" s="1205"/>
      <c r="G1076" s="1203" t="str">
        <f>'RC1_Arch'!F220</f>
        <v>ชุด</v>
      </c>
      <c r="H1076" s="1203">
        <f>'RC1_Arch'!E220</f>
        <v>18</v>
      </c>
      <c r="I1076" s="1203">
        <f>'RC1_Arch'!I220</f>
        <v>455543.29498121998</v>
      </c>
      <c r="J1076" s="1203">
        <f>'RC1_Arch'!L220</f>
        <v>30291.0207228</v>
      </c>
      <c r="K1076" s="1203">
        <f>'RC1_Arch'!M220</f>
        <v>485834.31570401997</v>
      </c>
    </row>
    <row r="1077" spans="1:11">
      <c r="A1077" t="s">
        <v>67</v>
      </c>
      <c r="B1077" t="s">
        <v>110</v>
      </c>
      <c r="C1077" t="s">
        <v>111</v>
      </c>
      <c r="D1077" t="s">
        <v>112</v>
      </c>
      <c r="E1077" t="str" cm="1">
        <f t="array" ref="E1077">_xlfn.LET(_xlpm.c,'RC1_Arch'!C221, _xlpm.b, 'RC1_Arch'!B221, IF(_xlpm.c&lt;&gt;"", _xlpm.c, _xlpm.b))</f>
        <v>พร้อมยางกันควัน ขนาด 1.40 x 2.40 ม.</v>
      </c>
      <c r="F1077" s="1205"/>
      <c r="G1077" s="1203">
        <f>'RC1_Arch'!F221</f>
        <v>0</v>
      </c>
      <c r="H1077" s="1203">
        <f>'RC1_Arch'!E221</f>
        <v>0</v>
      </c>
      <c r="I1077" s="1203">
        <f>'RC1_Arch'!I221</f>
        <v>0</v>
      </c>
      <c r="J1077" s="1203">
        <f>'RC1_Arch'!L221</f>
        <v>0</v>
      </c>
      <c r="K1077" s="1203">
        <f>'RC1_Arch'!M221</f>
        <v>0</v>
      </c>
    </row>
    <row r="1078" spans="1:11">
      <c r="A1078" t="s">
        <v>67</v>
      </c>
      <c r="B1078" t="s">
        <v>110</v>
      </c>
      <c r="C1078" t="s">
        <v>111</v>
      </c>
      <c r="D1078" t="s">
        <v>112</v>
      </c>
      <c r="E1078" t="str" cm="1">
        <f t="array" ref="E1078">_xlfn.LET(_xlpm.c,'RC1_Arch'!C222, _xlpm.b, 'RC1_Arch'!B222, IF(_xlpm.c&lt;&gt;"", _xlpm.c, _xlpm.b))</f>
        <v>บานเปิดคู่ บานประตูเหล็กทนไฟ ลูกฟักกระจกกันไฟ วงกบเหล็ก</v>
      </c>
      <c r="F1078" s="1205"/>
      <c r="G1078" s="1203" t="str">
        <f>'RC1_Arch'!F222</f>
        <v>ชุด</v>
      </c>
      <c r="H1078" s="1203">
        <f>'RC1_Arch'!E222</f>
        <v>2</v>
      </c>
      <c r="I1078" s="1203">
        <f>'RC1_Arch'!I222</f>
        <v>72866.733183179997</v>
      </c>
      <c r="J1078" s="1203">
        <f>'RC1_Arch'!L222</f>
        <v>3739.632188</v>
      </c>
      <c r="K1078" s="1203">
        <f>'RC1_Arch'!M222</f>
        <v>76606.36537118</v>
      </c>
    </row>
    <row r="1079" spans="1:11">
      <c r="A1079" t="s">
        <v>67</v>
      </c>
      <c r="B1079" t="s">
        <v>110</v>
      </c>
      <c r="C1079" t="s">
        <v>111</v>
      </c>
      <c r="D1079" t="s">
        <v>112</v>
      </c>
      <c r="E1079" t="str" cm="1">
        <f t="array" ref="E1079">_xlfn.LET(_xlpm.c,'RC1_Arch'!C223, _xlpm.b, 'RC1_Arch'!B223, IF(_xlpm.c&lt;&gt;"", _xlpm.c, _xlpm.b))</f>
        <v>พร้อมยางกันควัน ขนาด 1.80 x 2.40 ม.</v>
      </c>
      <c r="F1079" s="1205"/>
      <c r="G1079" s="1203">
        <f>'RC1_Arch'!F223</f>
        <v>0</v>
      </c>
      <c r="H1079" s="1203">
        <f>'RC1_Arch'!E223</f>
        <v>0</v>
      </c>
      <c r="I1079" s="1203">
        <f>'RC1_Arch'!I223</f>
        <v>0</v>
      </c>
      <c r="J1079" s="1203">
        <f>'RC1_Arch'!L223</f>
        <v>0</v>
      </c>
      <c r="K1079" s="1203">
        <f>'RC1_Arch'!M223</f>
        <v>0</v>
      </c>
    </row>
    <row r="1080" spans="1:11">
      <c r="A1080" t="s">
        <v>67</v>
      </c>
      <c r="B1080" t="s">
        <v>110</v>
      </c>
      <c r="C1080" t="s">
        <v>111</v>
      </c>
      <c r="D1080" t="s">
        <v>112</v>
      </c>
      <c r="E1080" t="str" cm="1">
        <f t="array" ref="E1080">_xlfn.LET(_xlpm.c,'RC1_Arch'!C224, _xlpm.b, 'RC1_Arch'!B224, IF(_xlpm.c&lt;&gt;"", _xlpm.c, _xlpm.b))</f>
        <v>บานเปิดคู่ บานประตูเหล็ก วงกบเหล็ก ขนาด 1.80 x 2.40 ม.</v>
      </c>
      <c r="F1080" s="1205"/>
      <c r="G1080" s="1203" t="str">
        <f>'RC1_Arch'!F224</f>
        <v>ชุด</v>
      </c>
      <c r="H1080" s="1203">
        <f>'RC1_Arch'!E224</f>
        <v>5</v>
      </c>
      <c r="I1080" s="1203">
        <f>'RC1_Arch'!I224</f>
        <v>126165.84094264999</v>
      </c>
      <c r="J1080" s="1203">
        <f>'RC1_Arch'!L224</f>
        <v>9349.0804700000008</v>
      </c>
      <c r="K1080" s="1203">
        <f>'RC1_Arch'!M224</f>
        <v>135514.92141264997</v>
      </c>
    </row>
    <row r="1081" spans="1:11">
      <c r="A1081" t="s">
        <v>67</v>
      </c>
      <c r="B1081" t="s">
        <v>110</v>
      </c>
      <c r="C1081" t="s">
        <v>111</v>
      </c>
      <c r="D1081" t="s">
        <v>112</v>
      </c>
      <c r="E1081" t="str" cm="1">
        <f t="array" ref="E1081">_xlfn.LET(_xlpm.c,'RC1_Arch'!C225, _xlpm.b, 'RC1_Arch'!B225, IF(_xlpm.c&lt;&gt;"", _xlpm.c, _xlpm.b))</f>
        <v>บานเปิดคู่ บานประตูเหล็ก วงกบเหล็ก ขนาด 1.40 x 2.40 ม.</v>
      </c>
      <c r="F1081" s="1205"/>
      <c r="G1081" s="1203" t="str">
        <f>'RC1_Arch'!F225</f>
        <v>ชุด</v>
      </c>
      <c r="H1081" s="1203">
        <f>'RC1_Arch'!E225</f>
        <v>6</v>
      </c>
      <c r="I1081" s="1203">
        <f>'RC1_Arch'!I225</f>
        <v>136421.78221824</v>
      </c>
      <c r="J1081" s="1203">
        <f>'RC1_Arch'!L225</f>
        <v>11218.896564000001</v>
      </c>
      <c r="K1081" s="1203">
        <f>'RC1_Arch'!M225</f>
        <v>147640.67878223999</v>
      </c>
    </row>
    <row r="1082" spans="1:11">
      <c r="A1082" t="s">
        <v>67</v>
      </c>
      <c r="B1082" t="s">
        <v>110</v>
      </c>
      <c r="C1082" t="s">
        <v>111</v>
      </c>
      <c r="D1082" t="s">
        <v>112</v>
      </c>
      <c r="E1082" t="str" cm="1">
        <f t="array" ref="E1082">_xlfn.LET(_xlpm.c,'RC1_Arch'!C226, _xlpm.b, 'RC1_Arch'!B226, IF(_xlpm.c&lt;&gt;"", _xlpm.c, _xlpm.b))</f>
        <v>บานเปิดคู่ บานประตูเหล็ก ลูกฟักกระจกลวดขุ่น วงกบเหล็ก ขนาด 1.40 x 2.40 ม.</v>
      </c>
      <c r="F1082" s="1205"/>
      <c r="G1082" s="1203" t="str">
        <f>'RC1_Arch'!F226</f>
        <v>ชุด</v>
      </c>
      <c r="H1082" s="1203">
        <f>'RC1_Arch'!E226</f>
        <v>6</v>
      </c>
      <c r="I1082" s="1203">
        <f>'RC1_Arch'!I226</f>
        <v>139955.73463590001</v>
      </c>
      <c r="J1082" s="1203">
        <f>'RC1_Arch'!L226</f>
        <v>11218.896564000001</v>
      </c>
      <c r="K1082" s="1203">
        <f>'RC1_Arch'!M226</f>
        <v>151174.6311999</v>
      </c>
    </row>
    <row r="1083" spans="1:11">
      <c r="A1083" t="s">
        <v>67</v>
      </c>
      <c r="B1083" t="s">
        <v>110</v>
      </c>
      <c r="C1083" t="s">
        <v>111</v>
      </c>
      <c r="D1083" t="s">
        <v>112</v>
      </c>
      <c r="E1083" t="str" cm="1">
        <f t="array" ref="E1083">_xlfn.LET(_xlpm.c,'RC1_Arch'!C227, _xlpm.b, 'RC1_Arch'!B227, IF(_xlpm.c&lt;&gt;"", _xlpm.c, _xlpm.b))</f>
        <v xml:space="preserve">บานเปิดคู่ ชนิดใช้ภายนอก บานประตูเหล็ก ลูกฟักกระจกลวดขุ่น วงกบเหล็ก </v>
      </c>
      <c r="F1083" s="1205"/>
      <c r="G1083" s="1203" t="str">
        <f>'RC1_Arch'!F227</f>
        <v>ชุด</v>
      </c>
      <c r="H1083" s="1203">
        <f>'RC1_Arch'!E227</f>
        <v>2</v>
      </c>
      <c r="I1083" s="1203">
        <f>'RC1_Arch'!I227</f>
        <v>56524.540521619994</v>
      </c>
      <c r="J1083" s="1203">
        <f>'RC1_Arch'!L227</f>
        <v>3739.632188</v>
      </c>
      <c r="K1083" s="1203">
        <f>'RC1_Arch'!M227</f>
        <v>60264.172709619997</v>
      </c>
    </row>
    <row r="1084" spans="1:11">
      <c r="A1084" t="s">
        <v>67</v>
      </c>
      <c r="B1084" t="s">
        <v>110</v>
      </c>
      <c r="C1084" t="s">
        <v>111</v>
      </c>
      <c r="D1084" t="s">
        <v>112</v>
      </c>
      <c r="E1084" t="str" cm="1">
        <f t="array" ref="E1084">_xlfn.LET(_xlpm.c,'RC1_Arch'!C228, _xlpm.b, 'RC1_Arch'!B228, IF(_xlpm.c&lt;&gt;"", _xlpm.c, _xlpm.b))</f>
        <v>ขนาด 1.80 x 2.40 ม.</v>
      </c>
      <c r="F1084" s="1205"/>
      <c r="G1084" s="1203">
        <f>'RC1_Arch'!F228</f>
        <v>0</v>
      </c>
      <c r="H1084" s="1203">
        <f>'RC1_Arch'!E228</f>
        <v>0</v>
      </c>
      <c r="I1084" s="1203">
        <f>'RC1_Arch'!I228</f>
        <v>0</v>
      </c>
      <c r="J1084" s="1203">
        <f>'RC1_Arch'!L228</f>
        <v>0</v>
      </c>
      <c r="K1084" s="1203">
        <f>'RC1_Arch'!M228</f>
        <v>0</v>
      </c>
    </row>
    <row r="1085" spans="1:11">
      <c r="A1085" t="s">
        <v>67</v>
      </c>
      <c r="B1085" t="s">
        <v>110</v>
      </c>
      <c r="C1085" t="s">
        <v>111</v>
      </c>
      <c r="D1085" t="s">
        <v>112</v>
      </c>
      <c r="E1085" t="str" cm="1">
        <f t="array" ref="E1085">_xlfn.LET(_xlpm.c,'RC1_Arch'!C229, _xlpm.b, 'RC1_Arch'!B229, IF(_xlpm.c&lt;&gt;"", _xlpm.c, _xlpm.b))</f>
        <v>บานเปิดเดี่ยว บานประตูเหล็ก ลูกฟักเกล็ดเหล็ก วงกบเหล็ก ขนาด 0.90 x 2.40 ม.</v>
      </c>
      <c r="F1085" s="1205"/>
      <c r="G1085" s="1203" t="str">
        <f>'RC1_Arch'!F229</f>
        <v>ชุด</v>
      </c>
      <c r="H1085" s="1203">
        <f>'RC1_Arch'!E229</f>
        <v>24</v>
      </c>
      <c r="I1085" s="1203">
        <f>'RC1_Arch'!I229</f>
        <v>380993.72731344</v>
      </c>
      <c r="J1085" s="1203">
        <f>'RC1_Arch'!L229</f>
        <v>22437.793128000001</v>
      </c>
      <c r="K1085" s="1203">
        <f>'RC1_Arch'!M229</f>
        <v>403431.52044143999</v>
      </c>
    </row>
    <row r="1086" spans="1:11">
      <c r="A1086" t="s">
        <v>67</v>
      </c>
      <c r="B1086" t="s">
        <v>110</v>
      </c>
      <c r="C1086" t="s">
        <v>111</v>
      </c>
      <c r="D1086" t="s">
        <v>112</v>
      </c>
      <c r="E1086" t="str" cm="1">
        <f t="array" ref="E1086">_xlfn.LET(_xlpm.c,'RC1_Arch'!C230, _xlpm.b, 'RC1_Arch'!B230, IF(_xlpm.c&lt;&gt;"", _xlpm.c, _xlpm.b))</f>
        <v>บานเลื่อน บานประตูเหล็ก ลูกฟักกระจกลวดขุ่น วงกบเหล็ก ขนาด 1.00 x 2.40 ม.</v>
      </c>
      <c r="F1086" s="1205"/>
      <c r="G1086" s="1203" t="str">
        <f>'RC1_Arch'!F230</f>
        <v>ชุด</v>
      </c>
      <c r="H1086" s="1203">
        <f>'RC1_Arch'!E230</f>
        <v>6</v>
      </c>
      <c r="I1086" s="1203">
        <f>'RC1_Arch'!I230</f>
        <v>103494.32080289999</v>
      </c>
      <c r="J1086" s="1203">
        <f>'RC1_Arch'!L230</f>
        <v>5609.4482820000003</v>
      </c>
      <c r="K1086" s="1203">
        <f>'RC1_Arch'!M230</f>
        <v>109103.76908489999</v>
      </c>
    </row>
    <row r="1087" spans="1:11">
      <c r="A1087" t="s">
        <v>67</v>
      </c>
      <c r="B1087" t="s">
        <v>110</v>
      </c>
      <c r="C1087" t="s">
        <v>111</v>
      </c>
      <c r="D1087" t="s">
        <v>112</v>
      </c>
      <c r="E1087" t="str" cm="1">
        <f t="array" ref="E1087">_xlfn.LET(_xlpm.c,'RC1_Arch'!C231, _xlpm.b, 'RC1_Arch'!B231, IF(_xlpm.c&lt;&gt;"", _xlpm.c, _xlpm.b))</f>
        <v>บานเปิดเดี่ยว บานประตูเหล็ก ลูกฟักกระจกลวดขุ่น วงกบเหล็ก ขนาด 0.90 x 2.40 ม.</v>
      </c>
      <c r="F1087" s="1205"/>
      <c r="G1087" s="1203" t="str">
        <f>'RC1_Arch'!F231</f>
        <v>ชุด</v>
      </c>
      <c r="H1087" s="1203">
        <f>'RC1_Arch'!E231</f>
        <v>5</v>
      </c>
      <c r="I1087" s="1203">
        <f>'RC1_Arch'!I231</f>
        <v>73390.2816895</v>
      </c>
      <c r="J1087" s="1203">
        <f>'RC1_Arch'!L231</f>
        <v>4674.5402350000004</v>
      </c>
      <c r="K1087" s="1203">
        <f>'RC1_Arch'!M231</f>
        <v>78064.821924499993</v>
      </c>
    </row>
    <row r="1088" spans="1:11">
      <c r="A1088" t="s">
        <v>67</v>
      </c>
      <c r="B1088" t="s">
        <v>110</v>
      </c>
      <c r="C1088" t="s">
        <v>111</v>
      </c>
      <c r="D1088" t="s">
        <v>112</v>
      </c>
      <c r="E1088" t="str" cm="1">
        <f t="array" ref="E1088">_xlfn.LET(_xlpm.c,'RC1_Arch'!C232, _xlpm.b, 'RC1_Arch'!B232, IF(_xlpm.c&lt;&gt;"", _xlpm.c, _xlpm.b))</f>
        <v>บานเปิดเดี่ยว บานประตูเหล็ก วงกบเหล็ก ขนาด 0.90 x 2.40 ม.</v>
      </c>
      <c r="F1088" s="1205"/>
      <c r="G1088" s="1203" t="str">
        <f>'RC1_Arch'!F232</f>
        <v>ชุด</v>
      </c>
      <c r="H1088" s="1203">
        <f>'RC1_Arch'!E232</f>
        <v>31</v>
      </c>
      <c r="I1088" s="1203">
        <f>'RC1_Arch'!I232</f>
        <v>436760.99231698998</v>
      </c>
      <c r="J1088" s="1203">
        <f>'RC1_Arch'!L232</f>
        <v>28982.149457</v>
      </c>
      <c r="K1088" s="1203">
        <f>'RC1_Arch'!M232</f>
        <v>465743.14177399001</v>
      </c>
    </row>
    <row r="1089" spans="1:11">
      <c r="A1089" t="s">
        <v>67</v>
      </c>
      <c r="B1089" t="s">
        <v>110</v>
      </c>
      <c r="C1089" t="s">
        <v>111</v>
      </c>
      <c r="D1089" t="s">
        <v>112</v>
      </c>
      <c r="E1089" t="str" cm="1">
        <f t="array" ref="E1089">_xlfn.LET(_xlpm.c,'RC1_Arch'!C233, _xlpm.b, 'RC1_Arch'!B233, IF(_xlpm.c&lt;&gt;"", _xlpm.c, _xlpm.b))</f>
        <v>บานเปิดคู่ บานประตูเหล็ก ลูกฟักกระจกลวดขุ่น วงกบเหล็ก ขนาด 2.00 x 2.40 ม.</v>
      </c>
      <c r="F1089" s="1205"/>
      <c r="G1089" s="1203" t="str">
        <f>'RC1_Arch'!F233</f>
        <v>ชุด</v>
      </c>
      <c r="H1089" s="1203">
        <f>'RC1_Arch'!E233</f>
        <v>4</v>
      </c>
      <c r="I1089" s="1203">
        <f>'RC1_Arch'!I233</f>
        <v>115741.6162186</v>
      </c>
      <c r="J1089" s="1203">
        <f>'RC1_Arch'!L233</f>
        <v>7479.2643760000001</v>
      </c>
      <c r="K1089" s="1203">
        <f>'RC1_Arch'!M233</f>
        <v>123220.88059460001</v>
      </c>
    </row>
    <row r="1090" spans="1:11">
      <c r="A1090" t="s">
        <v>67</v>
      </c>
      <c r="B1090" t="s">
        <v>110</v>
      </c>
      <c r="C1090" t="s">
        <v>111</v>
      </c>
      <c r="D1090" t="s">
        <v>112</v>
      </c>
      <c r="E1090" t="str" cm="1">
        <f t="array" ref="E1090">_xlfn.LET(_xlpm.c,'RC1_Arch'!C234, _xlpm.b, 'RC1_Arch'!B234, IF(_xlpm.c&lt;&gt;"", _xlpm.c, _xlpm.b))</f>
        <v>บานเปิดคู่ บานประตูเหล็กผิวกรุลามิเนต วงกบเหล็ก ขนาด 1.80 x 2.00 ม.</v>
      </c>
      <c r="F1090" s="1205"/>
      <c r="G1090" s="1203" t="str">
        <f>'RC1_Arch'!F234</f>
        <v>ชุด</v>
      </c>
      <c r="H1090" s="1203">
        <f>'RC1_Arch'!E234</f>
        <v>3</v>
      </c>
      <c r="I1090" s="1203">
        <f>'RC1_Arch'!I234</f>
        <v>67621.899039509997</v>
      </c>
      <c r="J1090" s="1203">
        <f>'RC1_Arch'!L234</f>
        <v>5609.4482820000003</v>
      </c>
      <c r="K1090" s="1203">
        <f>'RC1_Arch'!M234</f>
        <v>73231.347321509995</v>
      </c>
    </row>
    <row r="1091" spans="1:11">
      <c r="A1091" t="s">
        <v>67</v>
      </c>
      <c r="B1091" t="s">
        <v>110</v>
      </c>
      <c r="C1091" t="s">
        <v>111</v>
      </c>
      <c r="D1091" t="s">
        <v>112</v>
      </c>
      <c r="E1091" t="str" cm="1">
        <f t="array" ref="E1091">_xlfn.LET(_xlpm.c,'RC1_Arch'!C235, _xlpm.b, 'RC1_Arch'!B235, IF(_xlpm.c&lt;&gt;"", _xlpm.c, _xlpm.b))</f>
        <v>บานเปิดคู่ บานประตูเหล็ก ลูกฟักเกล็ดเหล็ก วงกบเหล็ก ขนาด 1.40 x 2.40 ม.</v>
      </c>
      <c r="F1091" s="1205"/>
      <c r="G1091" s="1203" t="str">
        <f>'RC1_Arch'!F235</f>
        <v>ชุด</v>
      </c>
      <c r="H1091" s="1203">
        <f>'RC1_Arch'!E235</f>
        <v>1</v>
      </c>
      <c r="I1091" s="1203">
        <f>'RC1_Arch'!I235</f>
        <v>24354.354624349999</v>
      </c>
      <c r="J1091" s="1203">
        <f>'RC1_Arch'!L235</f>
        <v>1869.816094</v>
      </c>
      <c r="K1091" s="1203">
        <f>'RC1_Arch'!M235</f>
        <v>26224.17071835</v>
      </c>
    </row>
    <row r="1092" spans="1:11">
      <c r="A1092" t="s">
        <v>67</v>
      </c>
      <c r="B1092" t="s">
        <v>110</v>
      </c>
      <c r="C1092" t="s">
        <v>111</v>
      </c>
      <c r="D1092" t="s">
        <v>112</v>
      </c>
      <c r="E1092" t="str" cm="1">
        <f t="array" ref="E1092">_xlfn.LET(_xlpm.c,'RC1_Arch'!C236, _xlpm.b, 'RC1_Arch'!B236, IF(_xlpm.c&lt;&gt;"", _xlpm.c, _xlpm.b))</f>
        <v>บานเปิดคู่ บานประตูเหล็ก วงกบเหล็ก ขนาด 1.40 x 2.00 ม.</v>
      </c>
      <c r="F1092" s="1205"/>
      <c r="G1092" s="1203" t="str">
        <f>'RC1_Arch'!F236</f>
        <v>ชุด</v>
      </c>
      <c r="H1092" s="1203">
        <f>'RC1_Arch'!E236</f>
        <v>1</v>
      </c>
      <c r="I1092" s="1203">
        <f>'RC1_Arch'!I236</f>
        <v>18903.840710339999</v>
      </c>
      <c r="J1092" s="1203">
        <f>'RC1_Arch'!L236</f>
        <v>1869.816094</v>
      </c>
      <c r="K1092" s="1203">
        <f>'RC1_Arch'!M236</f>
        <v>20773.65680434</v>
      </c>
    </row>
    <row r="1093" spans="1:11">
      <c r="A1093" t="s">
        <v>67</v>
      </c>
      <c r="B1093" t="s">
        <v>110</v>
      </c>
      <c r="C1093" t="s">
        <v>111</v>
      </c>
      <c r="D1093" t="s">
        <v>112</v>
      </c>
      <c r="E1093" t="str" cm="1">
        <f t="array" ref="E1093">_xlfn.LET(_xlpm.c,'RC1_Arch'!C237, _xlpm.b, 'RC1_Arch'!B237, IF(_xlpm.c&lt;&gt;"", _xlpm.c, _xlpm.b))</f>
        <v xml:space="preserve">ชุดบานช่องชาร์ป บานเปิดคู่ บานประตูเหล็ก ลูกฟักเกล็ดเหล็ก วงกบเหล็ก </v>
      </c>
      <c r="F1093" s="1205"/>
      <c r="G1093" s="1203" t="str">
        <f>'RC1_Arch'!F237</f>
        <v>ชุด</v>
      </c>
      <c r="H1093" s="1203">
        <f>'RC1_Arch'!E237</f>
        <v>5</v>
      </c>
      <c r="I1093" s="1203">
        <f>'RC1_Arch'!I237</f>
        <v>130279.43634944998</v>
      </c>
      <c r="J1093" s="1203">
        <f>'RC1_Arch'!L237</f>
        <v>9349.0804700000008</v>
      </c>
      <c r="K1093" s="1203">
        <f>'RC1_Arch'!M237</f>
        <v>139628.51681944999</v>
      </c>
    </row>
    <row r="1094" spans="1:11">
      <c r="A1094" t="s">
        <v>67</v>
      </c>
      <c r="B1094" t="s">
        <v>110</v>
      </c>
      <c r="C1094" t="s">
        <v>111</v>
      </c>
      <c r="D1094" t="s">
        <v>112</v>
      </c>
      <c r="E1094" t="str" cm="1">
        <f t="array" ref="E1094">_xlfn.LET(_xlpm.c,'RC1_Arch'!C238, _xlpm.b, 'RC1_Arch'!B238, IF(_xlpm.c&lt;&gt;"", _xlpm.c, _xlpm.b))</f>
        <v>ขนาด 2.55 x 2.00 ม.</v>
      </c>
      <c r="F1094" s="1205"/>
      <c r="G1094" s="1203">
        <f>'RC1_Arch'!F238</f>
        <v>0</v>
      </c>
      <c r="H1094" s="1203">
        <f>'RC1_Arch'!E238</f>
        <v>0</v>
      </c>
      <c r="I1094" s="1203">
        <f>'RC1_Arch'!I238</f>
        <v>0</v>
      </c>
      <c r="J1094" s="1203">
        <f>'RC1_Arch'!L238</f>
        <v>0</v>
      </c>
      <c r="K1094" s="1203">
        <f>'RC1_Arch'!M238</f>
        <v>0</v>
      </c>
    </row>
    <row r="1095" spans="1:11">
      <c r="A1095" t="s">
        <v>67</v>
      </c>
      <c r="B1095" t="s">
        <v>110</v>
      </c>
      <c r="C1095" t="s">
        <v>111</v>
      </c>
      <c r="D1095" t="s">
        <v>112</v>
      </c>
      <c r="E1095" t="str" cm="1">
        <f t="array" ref="E1095">_xlfn.LET(_xlpm.c,'RC1_Arch'!C239, _xlpm.b, 'RC1_Arch'!B239, IF(_xlpm.c&lt;&gt;"", _xlpm.c, _xlpm.b))</f>
        <v xml:space="preserve">ชุดบานช่องชาร์ป บานเปิดคู่ บานประตูเหล็ก ลูกฟักเกล็ดเหล็ก วงกบเหล็ก </v>
      </c>
      <c r="F1095" s="1205"/>
      <c r="G1095" s="1203" t="str">
        <f>'RC1_Arch'!F239</f>
        <v>ชุด</v>
      </c>
      <c r="H1095" s="1203">
        <f>'RC1_Arch'!E239</f>
        <v>5</v>
      </c>
      <c r="I1095" s="1203">
        <f>'RC1_Arch'!I239</f>
        <v>194180.4013619</v>
      </c>
      <c r="J1095" s="1203">
        <f>'RC1_Arch'!L239</f>
        <v>14023.620704999998</v>
      </c>
      <c r="K1095" s="1203">
        <f>'RC1_Arch'!M239</f>
        <v>208204.02206690001</v>
      </c>
    </row>
    <row r="1096" spans="1:11">
      <c r="A1096" t="s">
        <v>67</v>
      </c>
      <c r="B1096" t="s">
        <v>110</v>
      </c>
      <c r="C1096" t="s">
        <v>111</v>
      </c>
      <c r="D1096" t="s">
        <v>112</v>
      </c>
      <c r="E1096" t="str" cm="1">
        <f t="array" ref="E1096">_xlfn.LET(_xlpm.c,'RC1_Arch'!C240, _xlpm.b, 'RC1_Arch'!B240, IF(_xlpm.c&lt;&gt;"", _xlpm.c, _xlpm.b))</f>
        <v>ขนาด 3.817 x 2.00 ม.</v>
      </c>
      <c r="F1096" s="1205"/>
      <c r="G1096" s="1203">
        <f>'RC1_Arch'!F240</f>
        <v>0</v>
      </c>
      <c r="H1096" s="1203">
        <f>'RC1_Arch'!E240</f>
        <v>0</v>
      </c>
      <c r="I1096" s="1203">
        <f>'RC1_Arch'!I240</f>
        <v>0</v>
      </c>
      <c r="J1096" s="1203">
        <f>'RC1_Arch'!L240</f>
        <v>0</v>
      </c>
      <c r="K1096" s="1203">
        <f>'RC1_Arch'!M240</f>
        <v>0</v>
      </c>
    </row>
    <row r="1097" spans="1:11">
      <c r="A1097" t="s">
        <v>67</v>
      </c>
      <c r="B1097" t="s">
        <v>110</v>
      </c>
      <c r="C1097" t="s">
        <v>111</v>
      </c>
      <c r="D1097" t="s">
        <v>113</v>
      </c>
      <c r="E1097" t="str" cm="1">
        <f t="array" ref="E1097">_xlfn.LET(_xlpm.c,'RC1_Arch'!C241, _xlpm.b, 'RC1_Arch'!B241, IF(_xlpm.c&lt;&gt;"", _xlpm.c, _xlpm.b))</f>
        <v>ประตูบานม้วน ใบโพลีคาร์บอเนต บานม้วนระบบไฟฟ้ามอเตอร์อุตสาหกรรม</v>
      </c>
      <c r="F1097" s="1205"/>
      <c r="G1097" s="1203" t="str">
        <f>'RC1_Arch'!F241</f>
        <v>ชุด</v>
      </c>
      <c r="H1097" s="1203">
        <f>'RC1_Arch'!E241</f>
        <v>1</v>
      </c>
      <c r="I1097" s="1203">
        <f>'RC1_Arch'!I241</f>
        <v>113123.873687</v>
      </c>
      <c r="J1097" s="1203">
        <f>'RC1_Arch'!L241</f>
        <v>0</v>
      </c>
      <c r="K1097" s="1203">
        <f>'RC1_Arch'!M241</f>
        <v>113123.873687</v>
      </c>
    </row>
    <row r="1098" spans="1:11">
      <c r="A1098" t="s">
        <v>67</v>
      </c>
      <c r="B1098" t="s">
        <v>110</v>
      </c>
      <c r="C1098" t="s">
        <v>111</v>
      </c>
      <c r="D1098" t="s">
        <v>113</v>
      </c>
      <c r="E1098" t="str" cm="1">
        <f t="array" ref="E1098">_xlfn.LET(_xlpm.c,'RC1_Arch'!C242, _xlpm.b, 'RC1_Arch'!B242, IF(_xlpm.c&lt;&gt;"", _xlpm.c, _xlpm.b))</f>
        <v>ขนาด 7.10 x 3.50 ม.</v>
      </c>
      <c r="F1098" s="1205"/>
      <c r="G1098" s="1203">
        <f>'RC1_Arch'!F242</f>
        <v>0</v>
      </c>
      <c r="H1098" s="1203">
        <f>'RC1_Arch'!E242</f>
        <v>0</v>
      </c>
      <c r="I1098" s="1203">
        <f>'RC1_Arch'!I242</f>
        <v>0</v>
      </c>
      <c r="J1098" s="1203">
        <f>'RC1_Arch'!L242</f>
        <v>0</v>
      </c>
      <c r="K1098" s="1203">
        <f>'RC1_Arch'!M242</f>
        <v>0</v>
      </c>
    </row>
    <row r="1099" spans="1:11">
      <c r="A1099" t="s">
        <v>67</v>
      </c>
      <c r="B1099" t="s">
        <v>110</v>
      </c>
      <c r="C1099" t="s">
        <v>111</v>
      </c>
      <c r="D1099" t="s">
        <v>113</v>
      </c>
      <c r="E1099" cm="1">
        <f t="array" ref="E1099">_xlfn.LET(_xlpm.c,'RC1_Arch'!C243, _xlpm.b, 'RC1_Arch'!B243, IF(_xlpm.c&lt;&gt;"", _xlpm.c, _xlpm.b))</f>
        <v>0</v>
      </c>
      <c r="F1099" s="1205"/>
      <c r="G1099" s="1203">
        <f>'RC1_Arch'!F243</f>
        <v>0</v>
      </c>
      <c r="H1099" s="1203">
        <f>'RC1_Arch'!E243</f>
        <v>0</v>
      </c>
      <c r="I1099" s="1203">
        <f>'RC1_Arch'!I243</f>
        <v>0</v>
      </c>
      <c r="J1099" s="1203">
        <f>'RC1_Arch'!L243</f>
        <v>0</v>
      </c>
      <c r="K1099" s="1203">
        <f>'RC1_Arch'!M243</f>
        <v>0</v>
      </c>
    </row>
    <row r="1100" spans="1:11">
      <c r="A1100" t="s">
        <v>67</v>
      </c>
      <c r="B1100" t="s">
        <v>110</v>
      </c>
      <c r="C1100" t="s">
        <v>111</v>
      </c>
      <c r="D1100" t="s">
        <v>113</v>
      </c>
      <c r="E1100" cm="1">
        <f t="array" ref="E1100">_xlfn.LET(_xlpm.c,'RC1_Arch'!C244, _xlpm.b, 'RC1_Arch'!B244, IF(_xlpm.c&lt;&gt;"", _xlpm.c, _xlpm.b))</f>
        <v>0</v>
      </c>
      <c r="F1100" s="1205"/>
      <c r="G1100" s="1203">
        <f>'RC1_Arch'!F244</f>
        <v>0</v>
      </c>
      <c r="H1100" s="1203">
        <f>'RC1_Arch'!E244</f>
        <v>0</v>
      </c>
      <c r="I1100" s="1203">
        <f>'RC1_Arch'!I244</f>
        <v>0</v>
      </c>
      <c r="J1100" s="1203">
        <f>'RC1_Arch'!L244</f>
        <v>0</v>
      </c>
      <c r="K1100" s="1203">
        <f>'RC1_Arch'!M244</f>
        <v>0</v>
      </c>
    </row>
    <row r="1101" spans="1:11">
      <c r="A1101" t="s">
        <v>67</v>
      </c>
      <c r="B1101" t="s">
        <v>110</v>
      </c>
      <c r="C1101" t="s">
        <v>111</v>
      </c>
      <c r="D1101" t="s">
        <v>113</v>
      </c>
      <c r="E1101" t="str" cm="1">
        <f t="array" ref="E1101">_xlfn.LET(_xlpm.c,'RC1_Arch'!C245, _xlpm.b, 'RC1_Arch'!B245, IF(_xlpm.c&lt;&gt;"", _xlpm.c, _xlpm.b))</f>
        <v>ประตูบานม้วน ใบ Blue Scope ชนิด Colour Bond บานม้วนระบบสปริง</v>
      </c>
      <c r="F1101" s="1205"/>
      <c r="G1101" s="1203" t="str">
        <f>'RC1_Arch'!F245</f>
        <v>ชุด</v>
      </c>
      <c r="H1101" s="1203">
        <f>'RC1_Arch'!E245</f>
        <v>1</v>
      </c>
      <c r="I1101" s="1203">
        <f>'RC1_Arch'!I245</f>
        <v>16828.344846</v>
      </c>
      <c r="J1101" s="1203">
        <f>'RC1_Arch'!L245</f>
        <v>0</v>
      </c>
      <c r="K1101" s="1203">
        <f>'RC1_Arch'!M245</f>
        <v>16828.344846</v>
      </c>
    </row>
    <row r="1102" spans="1:11">
      <c r="A1102" t="s">
        <v>67</v>
      </c>
      <c r="B1102" t="s">
        <v>110</v>
      </c>
      <c r="C1102" t="s">
        <v>111</v>
      </c>
      <c r="D1102" t="s">
        <v>113</v>
      </c>
      <c r="E1102" t="str" cm="1">
        <f t="array" ref="E1102">_xlfn.LET(_xlpm.c,'RC1_Arch'!C246, _xlpm.b, 'RC1_Arch'!B246, IF(_xlpm.c&lt;&gt;"", _xlpm.c, _xlpm.b))</f>
        <v>ขนาด 1.80 x 3.50 ม.</v>
      </c>
      <c r="F1102" s="1205"/>
      <c r="G1102" s="1203">
        <f>'RC1_Arch'!F246</f>
        <v>0</v>
      </c>
      <c r="H1102" s="1203">
        <f>'RC1_Arch'!E246</f>
        <v>0</v>
      </c>
      <c r="I1102" s="1203">
        <f>'RC1_Arch'!I246</f>
        <v>0</v>
      </c>
      <c r="J1102" s="1203">
        <f>'RC1_Arch'!L246</f>
        <v>0</v>
      </c>
      <c r="K1102" s="1203">
        <f>'RC1_Arch'!M246</f>
        <v>0</v>
      </c>
    </row>
    <row r="1103" spans="1:11">
      <c r="A1103" t="s">
        <v>67</v>
      </c>
      <c r="B1103" t="s">
        <v>110</v>
      </c>
      <c r="C1103" t="s">
        <v>111</v>
      </c>
      <c r="D1103" t="s">
        <v>113</v>
      </c>
      <c r="E1103" t="str" cm="1">
        <f t="array" ref="E1103">_xlfn.LET(_xlpm.c,'RC1_Arch'!C247, _xlpm.b, 'RC1_Arch'!B247, IF(_xlpm.c&lt;&gt;"", _xlpm.c, _xlpm.b))</f>
        <v>ประตูบานม้วน ใบโพลีคาร์บอเนต บานม้วนระบบไฟฟ้ามอเตอร์อุตสาหกรรม</v>
      </c>
      <c r="F1103" s="1205"/>
      <c r="G1103" s="1203" t="str">
        <f>'RC1_Arch'!F247</f>
        <v>ชุด</v>
      </c>
      <c r="H1103" s="1203">
        <f>'RC1_Arch'!E247</f>
        <v>1</v>
      </c>
      <c r="I1103" s="1203">
        <f>'RC1_Arch'!I247</f>
        <v>38798.683950499995</v>
      </c>
      <c r="J1103" s="1203">
        <f>'RC1_Arch'!L247</f>
        <v>0</v>
      </c>
      <c r="K1103" s="1203">
        <f>'RC1_Arch'!M247</f>
        <v>38798.683950499995</v>
      </c>
    </row>
    <row r="1104" spans="1:11">
      <c r="A1104" t="s">
        <v>67</v>
      </c>
      <c r="B1104" t="s">
        <v>110</v>
      </c>
      <c r="C1104" t="s">
        <v>111</v>
      </c>
      <c r="D1104" t="s">
        <v>113</v>
      </c>
      <c r="E1104" t="str" cm="1">
        <f t="array" ref="E1104">_xlfn.LET(_xlpm.c,'RC1_Arch'!C248, _xlpm.b, 'RC1_Arch'!B248, IF(_xlpm.c&lt;&gt;"", _xlpm.c, _xlpm.b))</f>
        <v>ขนาด 2.40 x 3.00 ม.</v>
      </c>
      <c r="F1104" s="1205"/>
      <c r="G1104" s="1203">
        <f>'RC1_Arch'!F248</f>
        <v>0</v>
      </c>
      <c r="H1104" s="1203">
        <f>'RC1_Arch'!E248</f>
        <v>0</v>
      </c>
      <c r="I1104" s="1203">
        <f>'RC1_Arch'!I248</f>
        <v>0</v>
      </c>
      <c r="J1104" s="1203">
        <f>'RC1_Arch'!L248</f>
        <v>0</v>
      </c>
      <c r="K1104" s="1203">
        <f>'RC1_Arch'!M248</f>
        <v>0</v>
      </c>
    </row>
    <row r="1105" spans="1:11">
      <c r="A1105" t="s">
        <v>67</v>
      </c>
      <c r="B1105" t="s">
        <v>110</v>
      </c>
      <c r="C1105" t="s">
        <v>111</v>
      </c>
      <c r="D1105" t="s">
        <v>112</v>
      </c>
      <c r="E1105" t="str" cm="1">
        <f t="array" ref="E1105">_xlfn.LET(_xlpm.c,'RC1_Arch'!C249, _xlpm.b, 'RC1_Arch'!B249, IF(_xlpm.c&lt;&gt;"", _xlpm.c, _xlpm.b))</f>
        <v>บานเปิดคู่ บานประตูเหล็ก วงกบเหล็ก</v>
      </c>
      <c r="F1105" s="1205"/>
      <c r="G1105" s="1203" t="str">
        <f>'RC1_Arch'!F249</f>
        <v>ชุด</v>
      </c>
      <c r="H1105" s="1203">
        <f>'RC1_Arch'!E249</f>
        <v>1</v>
      </c>
      <c r="I1105" s="1203">
        <f>'RC1_Arch'!I249</f>
        <v>27084.286121589997</v>
      </c>
      <c r="J1105" s="1203">
        <f>'RC1_Arch'!L249</f>
        <v>0</v>
      </c>
      <c r="K1105" s="1203">
        <f>'RC1_Arch'!M249</f>
        <v>27084.286121589997</v>
      </c>
    </row>
    <row r="1106" spans="1:11">
      <c r="A1106" t="s">
        <v>67</v>
      </c>
      <c r="B1106" t="s">
        <v>110</v>
      </c>
      <c r="C1106" t="s">
        <v>111</v>
      </c>
      <c r="D1106" t="s">
        <v>112</v>
      </c>
      <c r="E1106" t="str" cm="1">
        <f t="array" ref="E1106">_xlfn.LET(_xlpm.c,'RC1_Arch'!C250, _xlpm.b, 'RC1_Arch'!B250, IF(_xlpm.c&lt;&gt;"", _xlpm.c, _xlpm.b))</f>
        <v>ขนาด 1.80 x 2.40 ม.</v>
      </c>
      <c r="F1106" s="1205"/>
      <c r="G1106" s="1203">
        <f>'RC1_Arch'!F250</f>
        <v>0</v>
      </c>
      <c r="H1106" s="1203">
        <f>'RC1_Arch'!E250</f>
        <v>0</v>
      </c>
      <c r="I1106" s="1203">
        <f>'RC1_Arch'!I250</f>
        <v>0</v>
      </c>
      <c r="J1106" s="1203">
        <f>'RC1_Arch'!L250</f>
        <v>0</v>
      </c>
      <c r="K1106" s="1203">
        <f>'RC1_Arch'!M250</f>
        <v>0</v>
      </c>
    </row>
    <row r="1107" spans="1:11">
      <c r="A1107" t="s">
        <v>67</v>
      </c>
      <c r="B1107" t="s">
        <v>110</v>
      </c>
      <c r="C1107" t="s">
        <v>111</v>
      </c>
      <c r="D1107" t="s">
        <v>113</v>
      </c>
      <c r="E1107" t="str" cm="1">
        <f t="array" ref="E1107">_xlfn.LET(_xlpm.c,'RC1_Arch'!C251, _xlpm.b, 'RC1_Arch'!B251, IF(_xlpm.c&lt;&gt;"", _xlpm.c, _xlpm.b))</f>
        <v>ประตูบานม้วน ใบ Blue Scope ชนิด Colour Bond บานม้วนระบบสปริง</v>
      </c>
      <c r="F1107" s="1205"/>
      <c r="G1107" s="1203" t="str">
        <f>'RC1_Arch'!F251</f>
        <v>ชุด</v>
      </c>
      <c r="H1107" s="1203">
        <f>'RC1_Arch'!E251</f>
        <v>1</v>
      </c>
      <c r="I1107" s="1203">
        <f>'RC1_Arch'!I251</f>
        <v>29917.057504</v>
      </c>
      <c r="J1107" s="1203">
        <f>'RC1_Arch'!L251</f>
        <v>0</v>
      </c>
      <c r="K1107" s="1203">
        <f>'RC1_Arch'!M251</f>
        <v>29917.057504</v>
      </c>
    </row>
    <row r="1108" spans="1:11">
      <c r="A1108" t="s">
        <v>67</v>
      </c>
      <c r="B1108" t="s">
        <v>110</v>
      </c>
      <c r="C1108" t="s">
        <v>111</v>
      </c>
      <c r="D1108" t="s">
        <v>113</v>
      </c>
      <c r="E1108" t="str" cm="1">
        <f t="array" ref="E1108">_xlfn.LET(_xlpm.c,'RC1_Arch'!C252, _xlpm.b, 'RC1_Arch'!B252, IF(_xlpm.c&lt;&gt;"", _xlpm.c, _xlpm.b))</f>
        <v>ขนาด 3.80 x 3.80 ม.</v>
      </c>
      <c r="F1108" s="1205"/>
      <c r="G1108" s="1203">
        <f>'RC1_Arch'!F252</f>
        <v>0</v>
      </c>
      <c r="H1108" s="1203">
        <f>'RC1_Arch'!E252</f>
        <v>0</v>
      </c>
      <c r="I1108" s="1203">
        <f>'RC1_Arch'!I252</f>
        <v>0</v>
      </c>
      <c r="J1108" s="1203">
        <f>'RC1_Arch'!L252</f>
        <v>0</v>
      </c>
      <c r="K1108" s="1203">
        <f>'RC1_Arch'!M252</f>
        <v>0</v>
      </c>
    </row>
    <row r="1109" spans="1:11">
      <c r="A1109" t="s">
        <v>67</v>
      </c>
      <c r="B1109" t="s">
        <v>110</v>
      </c>
      <c r="C1109" t="s">
        <v>111</v>
      </c>
      <c r="D1109" t="s">
        <v>112</v>
      </c>
      <c r="E1109" s="1204" t="str" cm="1">
        <f t="array" ref="E1109">_xlfn.LET(_xlpm.c,'RC1_Arch'!C253, _xlpm.b, 'RC1_Arch'!B253, IF(_xlpm.c&lt;&gt;"", _xlpm.c, _xlpm.b))</f>
        <v xml:space="preserve">ชุดบานช่องชาร์ป บานเปิดคู่ บานประตูเหล็ก ลูกฟักเกล็ดเหล็ก วงกบเหล็ก </v>
      </c>
      <c r="F1109" s="1205"/>
      <c r="G1109" s="1203" t="str">
        <f>'RC1_Arch'!F253</f>
        <v>ชุด</v>
      </c>
      <c r="H1109" s="1203">
        <f>'RC1_Arch'!E253</f>
        <v>3</v>
      </c>
      <c r="I1109" s="1203">
        <f>'RC1_Arch'!I253</f>
        <v>22269.509679540002</v>
      </c>
      <c r="J1109" s="1203">
        <f>'RC1_Arch'!L253</f>
        <v>1402.3620705000001</v>
      </c>
      <c r="K1109" s="1203">
        <f>'RC1_Arch'!M253</f>
        <v>23671.871750040002</v>
      </c>
    </row>
    <row r="1110" spans="1:11">
      <c r="A1110" t="s">
        <v>67</v>
      </c>
      <c r="B1110" t="s">
        <v>110</v>
      </c>
      <c r="C1110" t="s">
        <v>111</v>
      </c>
      <c r="D1110" t="s">
        <v>112</v>
      </c>
      <c r="E1110" t="str" cm="1">
        <f t="array" ref="E1110">_xlfn.LET(_xlpm.c,'RC1_Arch'!C254, _xlpm.b, 'RC1_Arch'!B254, IF(_xlpm.c&lt;&gt;"", _xlpm.c, _xlpm.b))</f>
        <v>ขนาด 0.60 x 2.00 ม.</v>
      </c>
      <c r="F1110" s="1205"/>
      <c r="G1110" s="1203">
        <f>'RC1_Arch'!F254</f>
        <v>0</v>
      </c>
      <c r="H1110" s="1203">
        <f>'RC1_Arch'!E254</f>
        <v>0</v>
      </c>
      <c r="I1110" s="1203">
        <f>'RC1_Arch'!I254</f>
        <v>0</v>
      </c>
      <c r="J1110" s="1203">
        <f>'RC1_Arch'!L254</f>
        <v>0</v>
      </c>
      <c r="K1110" s="1203">
        <f>'RC1_Arch'!M254</f>
        <v>0</v>
      </c>
    </row>
    <row r="1111" spans="1:11">
      <c r="A1111" t="s">
        <v>67</v>
      </c>
      <c r="B1111" t="s">
        <v>110</v>
      </c>
      <c r="C1111" t="s">
        <v>111</v>
      </c>
      <c r="D1111" t="s">
        <v>98</v>
      </c>
      <c r="E1111" t="str" cm="1">
        <f t="array" ref="E1111">_xlfn.LET(_xlpm.c,'RC1_Arch'!C255, _xlpm.b, 'RC1_Arch'!B255, IF(_xlpm.c&lt;&gt;"", _xlpm.c, _xlpm.b))</f>
        <v>ชุดประตูถังเก็บน้ำ วงกบแสตนเลส บานประตูสแตนเลส ขนาด 0.80 x 0.70 ม.</v>
      </c>
      <c r="F1111" s="1205"/>
      <c r="G1111" s="1203" t="str">
        <f>'RC1_Arch'!F255</f>
        <v>ชุด</v>
      </c>
      <c r="H1111" s="1203">
        <f>'RC1_Arch'!E255</f>
        <v>5</v>
      </c>
      <c r="I1111" s="1203">
        <f>'RC1_Arch'!I255</f>
        <v>49737.108100400001</v>
      </c>
      <c r="J1111" s="1203">
        <f>'RC1_Arch'!L255</f>
        <v>2337.2701175000002</v>
      </c>
      <c r="K1111" s="1203">
        <f>'RC1_Arch'!M255</f>
        <v>52074.378217899997</v>
      </c>
    </row>
    <row r="1112" spans="1:11">
      <c r="A1112" t="s">
        <v>67</v>
      </c>
      <c r="B1112" t="s">
        <v>110</v>
      </c>
      <c r="C1112" t="s">
        <v>111</v>
      </c>
      <c r="D1112" t="s">
        <v>113</v>
      </c>
      <c r="E1112" t="str" cm="1">
        <f t="array" ref="E1112">_xlfn.LET(_xlpm.c,'RC1_Arch'!C256, _xlpm.b, 'RC1_Arch'!B256, IF(_xlpm.c&lt;&gt;"", _xlpm.c, _xlpm.b))</f>
        <v>ประตูบานม้วน ใบ Blue Scope ชนิด Colour Bond บานม้วนระบบสปริง</v>
      </c>
      <c r="F1112" s="1205"/>
      <c r="G1112" s="1203" t="str">
        <f>'RC1_Arch'!F256</f>
        <v>ชุด</v>
      </c>
      <c r="H1112" s="1203">
        <f>'RC1_Arch'!E256</f>
        <v>1</v>
      </c>
      <c r="I1112" s="1203">
        <f>'RC1_Arch'!I256</f>
        <v>18698.160939999998</v>
      </c>
      <c r="J1112" s="1203">
        <f>'RC1_Arch'!L256</f>
        <v>0</v>
      </c>
      <c r="K1112" s="1203">
        <f>'RC1_Arch'!M256</f>
        <v>18698.160939999998</v>
      </c>
    </row>
    <row r="1113" spans="1:11">
      <c r="A1113" t="s">
        <v>67</v>
      </c>
      <c r="B1113" t="s">
        <v>110</v>
      </c>
      <c r="C1113" t="s">
        <v>111</v>
      </c>
      <c r="D1113" t="s">
        <v>113</v>
      </c>
      <c r="E1113" t="str" cm="1">
        <f t="array" ref="E1113">_xlfn.LET(_xlpm.c,'RC1_Arch'!C257, _xlpm.b, 'RC1_Arch'!B257, IF(_xlpm.c&lt;&gt;"", _xlpm.c, _xlpm.b))</f>
        <v>ขนาด 1.70 x 2.45 ม.</v>
      </c>
      <c r="F1113" s="1205"/>
      <c r="G1113" s="1203">
        <f>'RC1_Arch'!F257</f>
        <v>0</v>
      </c>
      <c r="H1113" s="1203">
        <f>'RC1_Arch'!E257</f>
        <v>0</v>
      </c>
      <c r="I1113" s="1203">
        <f>'RC1_Arch'!I257</f>
        <v>0</v>
      </c>
      <c r="J1113" s="1203">
        <f>'RC1_Arch'!L257</f>
        <v>0</v>
      </c>
      <c r="K1113" s="1203">
        <f>'RC1_Arch'!M257</f>
        <v>0</v>
      </c>
    </row>
    <row r="1114" spans="1:11">
      <c r="A1114" t="s">
        <v>67</v>
      </c>
      <c r="B1114" t="s">
        <v>110</v>
      </c>
      <c r="C1114" t="s">
        <v>111</v>
      </c>
      <c r="D1114" t="s">
        <v>98</v>
      </c>
      <c r="E1114" t="str" cm="1">
        <f t="array" ref="E1114">_xlfn.LET(_xlpm.c,'RC1_Arch'!C258, _xlpm.b, 'RC1_Arch'!B258, IF(_xlpm.c&lt;&gt;"", _xlpm.c, _xlpm.b))</f>
        <v xml:space="preserve">บานเปิดเลื่อนอัตโนมัติ/บานติดตาย วงกบ U สเตนเลส ขนาด 25 มม. </v>
      </c>
      <c r="F1114" s="1205"/>
      <c r="G1114" s="1203" t="str">
        <f>'RC1_Arch'!F258</f>
        <v>ชุด</v>
      </c>
      <c r="H1114" s="1203">
        <f>'RC1_Arch'!E258</f>
        <v>1</v>
      </c>
      <c r="I1114" s="1203">
        <f>'RC1_Arch'!I258</f>
        <v>183428.95882139998</v>
      </c>
      <c r="J1114" s="1203">
        <f>'RC1_Arch'!L258</f>
        <v>50952.488561499995</v>
      </c>
      <c r="K1114" s="1203">
        <f>'RC1_Arch'!M258</f>
        <v>234381.44738289999</v>
      </c>
    </row>
    <row r="1115" spans="1:11">
      <c r="A1115" t="s">
        <v>67</v>
      </c>
      <c r="B1115" t="s">
        <v>110</v>
      </c>
      <c r="C1115" t="s">
        <v>111</v>
      </c>
      <c r="D1115" t="s">
        <v>98</v>
      </c>
      <c r="E1115" t="str" cm="1">
        <f t="array" ref="E1115">_xlfn.LET(_xlpm.c,'RC1_Arch'!C259, _xlpm.b, 'RC1_Arch'!B259, IF(_xlpm.c&lt;&gt;"", _xlpm.c, _xlpm.b))</f>
        <v>ฝังเสมอ FINISHING โดยรอบ ลูกฟักกระจกเทมเปอร์ลามิเนต ขนาด 10.40 x 2.80 ม.</v>
      </c>
      <c r="F1115" s="1205"/>
      <c r="G1115" s="1203">
        <f>'RC1_Arch'!F259</f>
        <v>0</v>
      </c>
      <c r="H1115" s="1203">
        <f>'RC1_Arch'!E259</f>
        <v>0</v>
      </c>
      <c r="I1115" s="1203">
        <f>'RC1_Arch'!I259</f>
        <v>0</v>
      </c>
      <c r="J1115" s="1203">
        <f>'RC1_Arch'!L259</f>
        <v>0</v>
      </c>
      <c r="K1115" s="1203">
        <f>'RC1_Arch'!M259</f>
        <v>0</v>
      </c>
    </row>
    <row r="1116" spans="1:11">
      <c r="A1116" t="s">
        <v>67</v>
      </c>
      <c r="B1116" t="s">
        <v>110</v>
      </c>
      <c r="C1116" t="s">
        <v>111</v>
      </c>
      <c r="D1116" t="s">
        <v>98</v>
      </c>
      <c r="E1116" t="str" cm="1">
        <f t="array" ref="E1116">_xlfn.LET(_xlpm.c,'RC1_Arch'!C260, _xlpm.b, 'RC1_Arch'!B260, IF(_xlpm.c&lt;&gt;"", _xlpm.c, _xlpm.b))</f>
        <v xml:space="preserve">บานเปิดคู่ วงกบ U สเตนเลส ขนาด 25 มม. ฝังเสมอ FINISHING โดยรอบ </v>
      </c>
      <c r="F1116" s="1205"/>
      <c r="G1116" s="1203" t="str">
        <f>'RC1_Arch'!F260</f>
        <v>ชุด</v>
      </c>
      <c r="H1116" s="1203">
        <f>'RC1_Arch'!E260</f>
        <v>1</v>
      </c>
      <c r="I1116" s="1203">
        <f>'RC1_Arch'!I260</f>
        <v>141825.55072989999</v>
      </c>
      <c r="J1116" s="1203">
        <f>'RC1_Arch'!L260</f>
        <v>36769.933488509996</v>
      </c>
      <c r="K1116" s="1203">
        <f>'RC1_Arch'!M260</f>
        <v>178595.48421840998</v>
      </c>
    </row>
    <row r="1117" spans="1:11">
      <c r="A1117" t="s">
        <v>67</v>
      </c>
      <c r="B1117" t="s">
        <v>110</v>
      </c>
      <c r="C1117" t="s">
        <v>111</v>
      </c>
      <c r="D1117" t="s">
        <v>98</v>
      </c>
      <c r="E1117" t="str" cm="1">
        <f t="array" ref="E1117">_xlfn.LET(_xlpm.c,'RC1_Arch'!C261, _xlpm.b, 'RC1_Arch'!B261, IF(_xlpm.c&lt;&gt;"", _xlpm.c, _xlpm.b))</f>
        <v>ลูกฟักกระจกเทมเปอร์ลามิเนต ขนาด 3.65 x 4.00 ม.</v>
      </c>
      <c r="F1117" s="1205"/>
      <c r="G1117" s="1203">
        <f>'RC1_Arch'!F261</f>
        <v>0</v>
      </c>
      <c r="H1117" s="1203">
        <f>'RC1_Arch'!E261</f>
        <v>0</v>
      </c>
      <c r="I1117" s="1203">
        <f>'RC1_Arch'!I261</f>
        <v>0</v>
      </c>
      <c r="J1117" s="1203">
        <f>'RC1_Arch'!L261</f>
        <v>0</v>
      </c>
      <c r="K1117" s="1203">
        <f>'RC1_Arch'!M261</f>
        <v>0</v>
      </c>
    </row>
    <row r="1118" spans="1:11">
      <c r="A1118" t="s">
        <v>67</v>
      </c>
      <c r="B1118" t="s">
        <v>110</v>
      </c>
      <c r="C1118" t="s">
        <v>111</v>
      </c>
      <c r="D1118" t="s">
        <v>99</v>
      </c>
      <c r="E1118" t="str" cm="1">
        <f t="array" ref="E1118">_xlfn.LET(_xlpm.c,'RC1_Arch'!C262, _xlpm.b, 'RC1_Arch'!B262, IF(_xlpm.c&lt;&gt;"", _xlpm.c, _xlpm.b))</f>
        <v>บานเปิดคู่ วงกบอะลูมิเนียม ลูกฟักกระจกเทมเปอร์ลามิเนต ขนาด 2.30 x 2.40 ม.</v>
      </c>
      <c r="F1118" s="1205"/>
      <c r="G1118" s="1203" t="str">
        <f>'RC1_Arch'!F262</f>
        <v>ชุด</v>
      </c>
      <c r="H1118" s="1203">
        <f>'RC1_Arch'!E262</f>
        <v>1</v>
      </c>
      <c r="I1118" s="1203">
        <f>'RC1_Arch'!I262</f>
        <v>75119.861576449999</v>
      </c>
      <c r="J1118" s="1203">
        <f>'RC1_Arch'!L262</f>
        <v>20773.65680434</v>
      </c>
      <c r="K1118" s="1203">
        <f>'RC1_Arch'!M262</f>
        <v>95893.518380790003</v>
      </c>
    </row>
    <row r="1119" spans="1:11">
      <c r="A1119" t="s">
        <v>67</v>
      </c>
      <c r="B1119" t="s">
        <v>110</v>
      </c>
      <c r="C1119" t="s">
        <v>111</v>
      </c>
      <c r="D1119" t="s">
        <v>99</v>
      </c>
      <c r="E1119" t="str" cm="1">
        <f t="array" ref="E1119">_xlfn.LET(_xlpm.c,'RC1_Arch'!C263, _xlpm.b, 'RC1_Arch'!B263, IF(_xlpm.c&lt;&gt;"", _xlpm.c, _xlpm.b))</f>
        <v>บานเปิดเดี่ยว/บานติดตาย วงกบอะลูมิเนียม ลูกฟักกระจกเทมเปอร์ลามิเนต และ</v>
      </c>
      <c r="F1119" s="1205"/>
      <c r="G1119" s="1203" t="str">
        <f>'RC1_Arch'!F263</f>
        <v>ชุด</v>
      </c>
      <c r="H1119" s="1203">
        <f>'RC1_Arch'!E263</f>
        <v>1</v>
      </c>
      <c r="I1119" s="1203">
        <f>'RC1_Arch'!I263</f>
        <v>130513.1633612</v>
      </c>
      <c r="J1119" s="1203">
        <f>'RC1_Arch'!L263</f>
        <v>33993.256588919998</v>
      </c>
      <c r="K1119" s="1203">
        <f>'RC1_Arch'!M263</f>
        <v>164506.41995012001</v>
      </c>
    </row>
    <row r="1120" spans="1:11">
      <c r="A1120" t="s">
        <v>67</v>
      </c>
      <c r="B1120" t="s">
        <v>110</v>
      </c>
      <c r="C1120" t="s">
        <v>111</v>
      </c>
      <c r="D1120" t="s">
        <v>99</v>
      </c>
      <c r="E1120" t="str" cm="1">
        <f t="array" ref="E1120">_xlfn.LET(_xlpm.c,'RC1_Arch'!C264, _xlpm.b, 'RC1_Arch'!B264, IF(_xlpm.c&lt;&gt;"", _xlpm.c, _xlpm.b))</f>
        <v>กระจกลามิเนต ขนาด 6.70 x 3.00 ม.</v>
      </c>
      <c r="F1120" s="1205"/>
      <c r="G1120" s="1203">
        <f>'RC1_Arch'!F264</f>
        <v>0</v>
      </c>
      <c r="H1120" s="1203">
        <f>'RC1_Arch'!E264</f>
        <v>0</v>
      </c>
      <c r="I1120" s="1203">
        <f>'RC1_Arch'!I264</f>
        <v>0</v>
      </c>
      <c r="J1120" s="1203">
        <f>'RC1_Arch'!L264</f>
        <v>0</v>
      </c>
      <c r="K1120" s="1203">
        <f>'RC1_Arch'!M264</f>
        <v>0</v>
      </c>
    </row>
    <row r="1121" spans="1:11">
      <c r="A1121" t="s">
        <v>67</v>
      </c>
      <c r="B1121" t="s">
        <v>110</v>
      </c>
      <c r="C1121" t="s">
        <v>111</v>
      </c>
      <c r="D1121" t="s">
        <v>99</v>
      </c>
      <c r="E1121" t="str" cm="1">
        <f t="array" ref="E1121">_xlfn.LET(_xlpm.c,'RC1_Arch'!C265, _xlpm.b, 'RC1_Arch'!B265, IF(_xlpm.c&lt;&gt;"", _xlpm.c, _xlpm.b))</f>
        <v>บานเปิดคู่/บานติดตาย  วงกบอะลูมิเนียม ลูกฟักกระจกโฟลทใส ขนาด 5.60 x 3.00 ม.</v>
      </c>
      <c r="F1121" s="1205"/>
      <c r="G1121" s="1203" t="str">
        <f>'RC1_Arch'!F265</f>
        <v>ชุด</v>
      </c>
      <c r="H1121" s="1203">
        <f>'RC1_Arch'!E265</f>
        <v>1</v>
      </c>
      <c r="I1121" s="1203">
        <f>'RC1_Arch'!I265</f>
        <v>67117.048694130004</v>
      </c>
      <c r="J1121" s="1203">
        <f>'RC1_Arch'!L265</f>
        <v>24307.609221999999</v>
      </c>
      <c r="K1121" s="1203">
        <f>'RC1_Arch'!M265</f>
        <v>91424.657916130003</v>
      </c>
    </row>
    <row r="1122" spans="1:11">
      <c r="A1122" t="s">
        <v>67</v>
      </c>
      <c r="B1122" t="s">
        <v>110</v>
      </c>
      <c r="C1122" t="s">
        <v>111</v>
      </c>
      <c r="D1122" t="s">
        <v>99</v>
      </c>
      <c r="E1122" t="str" cm="1">
        <f t="array" ref="E1122">_xlfn.LET(_xlpm.c,'RC1_Arch'!C266, _xlpm.b, 'RC1_Arch'!B266, IF(_xlpm.c&lt;&gt;"", _xlpm.c, _xlpm.b))</f>
        <v>บานเปิดคู่/บานติดตาย  วงกบอะลูมิเนียม ลูกฟักกระจกโฟลทใส ขนาด 1.80 x 3.00 ม.</v>
      </c>
      <c r="F1122" s="1205"/>
      <c r="G1122" s="1203" t="str">
        <f>'RC1_Arch'!F266</f>
        <v>ชุด</v>
      </c>
      <c r="H1122" s="1203">
        <f>'RC1_Arch'!E266</f>
        <v>1</v>
      </c>
      <c r="I1122" s="1203">
        <f>'RC1_Arch'!I266</f>
        <v>27645.230949789999</v>
      </c>
      <c r="J1122" s="1203">
        <f>'RC1_Arch'!L266</f>
        <v>12686.70219779</v>
      </c>
      <c r="K1122" s="1203">
        <f>'RC1_Arch'!M266</f>
        <v>40331.933147579999</v>
      </c>
    </row>
    <row r="1123" spans="1:11">
      <c r="A1123" t="s">
        <v>67</v>
      </c>
      <c r="B1123" t="s">
        <v>110</v>
      </c>
      <c r="C1123" t="s">
        <v>111</v>
      </c>
      <c r="D1123" t="s">
        <v>99</v>
      </c>
      <c r="E1123" t="str" cm="1">
        <f t="array" ref="E1123">_xlfn.LET(_xlpm.c,'RC1_Arch'!C267, _xlpm.b, 'RC1_Arch'!B267, IF(_xlpm.c&lt;&gt;"", _xlpm.c, _xlpm.b))</f>
        <v>บานเปิดคู่/บานติดตาย  วงกบอะลูมิเนียม ลูกฟักกระจกโฟลทใส ขนาด 3.00 x 3.00 ม.</v>
      </c>
      <c r="F1123" s="1205"/>
      <c r="G1123" s="1203" t="str">
        <f>'RC1_Arch'!F267</f>
        <v>ชุด</v>
      </c>
      <c r="H1123" s="1203">
        <f>'RC1_Arch'!E267</f>
        <v>1</v>
      </c>
      <c r="I1123" s="1203">
        <f>'RC1_Arch'!I267</f>
        <v>37396.321879999996</v>
      </c>
      <c r="J1123" s="1203">
        <f>'RC1_Arch'!L267</f>
        <v>15902.785879469999</v>
      </c>
      <c r="K1123" s="1203">
        <f>'RC1_Arch'!M267</f>
        <v>53299.107759469996</v>
      </c>
    </row>
    <row r="1124" spans="1:11">
      <c r="A1124" t="s">
        <v>67</v>
      </c>
      <c r="B1124" t="s">
        <v>110</v>
      </c>
      <c r="C1124" t="s">
        <v>111</v>
      </c>
      <c r="D1124" t="s">
        <v>99</v>
      </c>
      <c r="E1124" t="str" cm="1">
        <f t="array" ref="E1124">_xlfn.LET(_xlpm.c,'RC1_Arch'!C268, _xlpm.b, 'RC1_Arch'!B268, IF(_xlpm.c&lt;&gt;"", _xlpm.c, _xlpm.b))</f>
        <v xml:space="preserve">บานเปิดเดี่ยว/บานติดตาย  วงกบอะลูมิเนียม ลูกฟักกระจกโฟลทใส </v>
      </c>
      <c r="F1124" s="1205"/>
      <c r="G1124" s="1203" t="str">
        <f>'RC1_Arch'!F268</f>
        <v>ชุด</v>
      </c>
      <c r="H1124" s="1203">
        <f>'RC1_Arch'!E268</f>
        <v>4</v>
      </c>
      <c r="I1124" s="1203">
        <f>'RC1_Arch'!I268</f>
        <v>63573.747195999997</v>
      </c>
      <c r="J1124" s="1203">
        <f>'RC1_Arch'!L268</f>
        <v>28832.56416948</v>
      </c>
      <c r="K1124" s="1203">
        <f>'RC1_Arch'!M268</f>
        <v>92406.311365479996</v>
      </c>
    </row>
    <row r="1125" spans="1:11">
      <c r="A1125" t="s">
        <v>67</v>
      </c>
      <c r="B1125" t="s">
        <v>110</v>
      </c>
      <c r="C1125" t="s">
        <v>111</v>
      </c>
      <c r="D1125" t="s">
        <v>99</v>
      </c>
      <c r="E1125" t="str" cm="1">
        <f t="array" ref="E1125">_xlfn.LET(_xlpm.c,'RC1_Arch'!C269, _xlpm.b, 'RC1_Arch'!B269, IF(_xlpm.c&lt;&gt;"", _xlpm.c, _xlpm.b))</f>
        <v>ขนาด 0.90 x 3.00 ม.</v>
      </c>
      <c r="F1125" s="1205"/>
      <c r="G1125" s="1203">
        <f>'RC1_Arch'!F269</f>
        <v>0</v>
      </c>
      <c r="H1125" s="1203">
        <f>'RC1_Arch'!E269</f>
        <v>0</v>
      </c>
      <c r="I1125" s="1203">
        <f>'RC1_Arch'!I269</f>
        <v>0</v>
      </c>
      <c r="J1125" s="1203">
        <f>'RC1_Arch'!L269</f>
        <v>0</v>
      </c>
      <c r="K1125" s="1203">
        <f>'RC1_Arch'!M269</f>
        <v>0</v>
      </c>
    </row>
    <row r="1126" spans="1:11">
      <c r="A1126" t="s">
        <v>67</v>
      </c>
      <c r="B1126" t="s">
        <v>110</v>
      </c>
      <c r="C1126" t="s">
        <v>111</v>
      </c>
      <c r="D1126" t="s">
        <v>99</v>
      </c>
      <c r="E1126" t="str" cm="1">
        <f t="array" ref="E1126">_xlfn.LET(_xlpm.c,'RC1_Arch'!C270, _xlpm.b, 'RC1_Arch'!B270, IF(_xlpm.c&lt;&gt;"", _xlpm.c, _xlpm.b))</f>
        <v xml:space="preserve">บานเปิดเลื่อนอัตโนมัติ/บานติดตาย วงกบอะลูมิเนียม ลูกฟักกระจกโฟลทใส </v>
      </c>
      <c r="F1126" s="1205"/>
      <c r="G1126" s="1203" t="str">
        <f>'RC1_Arch'!F270</f>
        <v>ชุด</v>
      </c>
      <c r="H1126" s="1203">
        <f>'RC1_Arch'!E270</f>
        <v>1</v>
      </c>
      <c r="I1126" s="1203">
        <f>'RC1_Arch'!I270</f>
        <v>56561.9368435</v>
      </c>
      <c r="J1126" s="1203">
        <f>'RC1_Arch'!L270</f>
        <v>22428.44404753</v>
      </c>
      <c r="K1126" s="1203">
        <f>'RC1_Arch'!M270</f>
        <v>78990.380891029999</v>
      </c>
    </row>
    <row r="1127" spans="1:11">
      <c r="A1127" t="s">
        <v>67</v>
      </c>
      <c r="B1127" t="s">
        <v>110</v>
      </c>
      <c r="C1127" t="s">
        <v>111</v>
      </c>
      <c r="D1127" t="s">
        <v>99</v>
      </c>
      <c r="E1127" t="str" cm="1">
        <f t="array" ref="E1127">_xlfn.LET(_xlpm.c,'RC1_Arch'!C271, _xlpm.b, 'RC1_Arch'!B271, IF(_xlpm.c&lt;&gt;"", _xlpm.c, _xlpm.b))</f>
        <v>ขนาด 3.815 x 2.475 ม.</v>
      </c>
      <c r="F1127" s="1205"/>
      <c r="G1127" s="1203">
        <f>'RC1_Arch'!F271</f>
        <v>0</v>
      </c>
      <c r="H1127" s="1203">
        <f>'RC1_Arch'!E271</f>
        <v>0</v>
      </c>
      <c r="I1127" s="1203">
        <f>'RC1_Arch'!I271</f>
        <v>0</v>
      </c>
      <c r="J1127" s="1203">
        <f>'RC1_Arch'!L271</f>
        <v>0</v>
      </c>
      <c r="K1127" s="1203">
        <f>'RC1_Arch'!M271</f>
        <v>0</v>
      </c>
    </row>
    <row r="1128" spans="1:11">
      <c r="A1128" t="s">
        <v>67</v>
      </c>
      <c r="B1128" t="s">
        <v>110</v>
      </c>
      <c r="C1128" t="s">
        <v>111</v>
      </c>
      <c r="D1128" t="s">
        <v>99</v>
      </c>
      <c r="E1128" cm="1">
        <f t="array" ref="E1128">_xlfn.LET(_xlpm.c,'RC1_Arch'!C272, _xlpm.b, 'RC1_Arch'!B272, IF(_xlpm.c&lt;&gt;"", _xlpm.c, _xlpm.b))</f>
        <v>0</v>
      </c>
      <c r="F1128" s="1205"/>
      <c r="G1128" s="1203">
        <f>'RC1_Arch'!F272</f>
        <v>0</v>
      </c>
      <c r="H1128" s="1203">
        <f>'RC1_Arch'!E272</f>
        <v>0</v>
      </c>
      <c r="I1128" s="1203">
        <f>'RC1_Arch'!I272</f>
        <v>0</v>
      </c>
      <c r="J1128" s="1203">
        <f>'RC1_Arch'!L272</f>
        <v>0</v>
      </c>
      <c r="K1128" s="1203">
        <f>'RC1_Arch'!M272</f>
        <v>0</v>
      </c>
    </row>
    <row r="1129" spans="1:11">
      <c r="A1129" t="s">
        <v>67</v>
      </c>
      <c r="B1129" t="s">
        <v>110</v>
      </c>
      <c r="C1129" t="s">
        <v>111</v>
      </c>
      <c r="D1129" t="s">
        <v>99</v>
      </c>
      <c r="E1129" t="str" cm="1">
        <f t="array" ref="E1129">_xlfn.LET(_xlpm.c,'RC1_Arch'!C273, _xlpm.b, 'RC1_Arch'!B273, IF(_xlpm.c&lt;&gt;"", _xlpm.c, _xlpm.b))</f>
        <v xml:space="preserve">บานเปิดเลื่อนอัตโนมัติ/บานติดตาย วงกบอะลูมิเนียม ลูกฟักกระจกโฟลทใส </v>
      </c>
      <c r="F1129" s="1205"/>
      <c r="G1129" s="1203" t="str">
        <f>'RC1_Arch'!F273</f>
        <v>ชุด</v>
      </c>
      <c r="H1129" s="1203">
        <f>'RC1_Arch'!E273</f>
        <v>1</v>
      </c>
      <c r="I1129" s="1203">
        <f>'RC1_Arch'!I273</f>
        <v>61142.986273800001</v>
      </c>
      <c r="J1129" s="1203">
        <f>'RC1_Arch'!L273</f>
        <v>22344.302323299999</v>
      </c>
      <c r="K1129" s="1203">
        <f>'RC1_Arch'!M273</f>
        <v>83487.288597100007</v>
      </c>
    </row>
    <row r="1130" spans="1:11">
      <c r="A1130" t="s">
        <v>67</v>
      </c>
      <c r="B1130" t="s">
        <v>110</v>
      </c>
      <c r="C1130" t="s">
        <v>111</v>
      </c>
      <c r="D1130" t="s">
        <v>99</v>
      </c>
      <c r="E1130" t="str" cm="1">
        <f t="array" ref="E1130">_xlfn.LET(_xlpm.c,'RC1_Arch'!C274, _xlpm.b, 'RC1_Arch'!B274, IF(_xlpm.c&lt;&gt;"", _xlpm.c, _xlpm.b))</f>
        <v>ขนาด 5.70 x 2.40 ม.</v>
      </c>
      <c r="F1130" s="1205"/>
      <c r="G1130" s="1203">
        <f>'RC1_Arch'!F274</f>
        <v>0</v>
      </c>
      <c r="H1130" s="1203">
        <f>'RC1_Arch'!E274</f>
        <v>0</v>
      </c>
      <c r="I1130" s="1203">
        <f>'RC1_Arch'!I274</f>
        <v>0</v>
      </c>
      <c r="J1130" s="1203">
        <f>'RC1_Arch'!L274</f>
        <v>0</v>
      </c>
      <c r="K1130" s="1203">
        <f>'RC1_Arch'!M274</f>
        <v>0</v>
      </c>
    </row>
    <row r="1131" spans="1:11">
      <c r="A1131" t="s">
        <v>67</v>
      </c>
      <c r="B1131" t="s">
        <v>110</v>
      </c>
      <c r="C1131" t="s">
        <v>111</v>
      </c>
      <c r="D1131" t="s">
        <v>99</v>
      </c>
      <c r="E1131" t="str" cm="1">
        <f t="array" ref="E1131">_xlfn.LET(_xlpm.c,'RC1_Arch'!C275, _xlpm.b, 'RC1_Arch'!B275, IF(_xlpm.c&lt;&gt;"", _xlpm.c, _xlpm.b))</f>
        <v>บานเปิดคู่ วงกบอะลูมิเนียม ลูกฟักกระจกเทมเปอร์ ขนาด 1.775 x 1.90 ม.</v>
      </c>
      <c r="F1131" s="1205"/>
      <c r="G1131" s="1203" t="str">
        <f>'RC1_Arch'!F275</f>
        <v>ชุด</v>
      </c>
      <c r="H1131" s="1203">
        <f>'RC1_Arch'!E275</f>
        <v>2</v>
      </c>
      <c r="I1131" s="1203">
        <f>'RC1_Arch'!I275</f>
        <v>93023.350676499991</v>
      </c>
      <c r="J1131" s="1203">
        <f>'RC1_Arch'!L275</f>
        <v>33909.114864689996</v>
      </c>
      <c r="K1131" s="1203">
        <f>'RC1_Arch'!M275</f>
        <v>126932.46554118999</v>
      </c>
    </row>
    <row r="1132" spans="1:11">
      <c r="A1132" t="s">
        <v>67</v>
      </c>
      <c r="B1132" t="s">
        <v>110</v>
      </c>
      <c r="C1132" t="s">
        <v>111</v>
      </c>
      <c r="D1132" t="s">
        <v>99</v>
      </c>
      <c r="E1132" t="str" cm="1">
        <f t="array" ref="E1132">_xlfn.LET(_xlpm.c,'RC1_Arch'!C276, _xlpm.b, 'RC1_Arch'!B276, IF(_xlpm.c&lt;&gt;"", _xlpm.c, _xlpm.b))</f>
        <v xml:space="preserve">บานเปิดเดี่ยว/บานติดตาย  วงกบอะลูมิเนียม ลูกฟักกระจกโฟลทใส </v>
      </c>
      <c r="F1132" s="1205"/>
      <c r="G1132" s="1203" t="str">
        <f>'RC1_Arch'!F276</f>
        <v>ชุด</v>
      </c>
      <c r="H1132" s="1203">
        <f>'RC1_Arch'!E276</f>
        <v>0</v>
      </c>
      <c r="I1132" s="1203">
        <f>'RC1_Arch'!I276</f>
        <v>0</v>
      </c>
      <c r="J1132" s="1203">
        <f>'RC1_Arch'!L276</f>
        <v>0</v>
      </c>
      <c r="K1132" s="1203">
        <f>'RC1_Arch'!M276</f>
        <v>0</v>
      </c>
    </row>
    <row r="1133" spans="1:11">
      <c r="A1133" t="s">
        <v>67</v>
      </c>
      <c r="B1133" t="s">
        <v>110</v>
      </c>
      <c r="C1133" t="s">
        <v>111</v>
      </c>
      <c r="D1133" t="s">
        <v>99</v>
      </c>
      <c r="E1133" t="str" cm="1">
        <f t="array" ref="E1133">_xlfn.LET(_xlpm.c,'RC1_Arch'!C277, _xlpm.b, 'RC1_Arch'!B277, IF(_xlpm.c&lt;&gt;"", _xlpm.c, _xlpm.b))</f>
        <v>ขนาด 1.60 x 2.40 ม.</v>
      </c>
      <c r="F1133" s="1205"/>
      <c r="G1133" s="1203">
        <f>'RC1_Arch'!F277</f>
        <v>0</v>
      </c>
      <c r="H1133" s="1203">
        <f>'RC1_Arch'!E277</f>
        <v>0</v>
      </c>
      <c r="I1133" s="1203">
        <f>'RC1_Arch'!I277</f>
        <v>0</v>
      </c>
      <c r="J1133" s="1203">
        <f>'RC1_Arch'!L277</f>
        <v>0</v>
      </c>
      <c r="K1133" s="1203">
        <f>'RC1_Arch'!M277</f>
        <v>0</v>
      </c>
    </row>
    <row r="1134" spans="1:11">
      <c r="A1134" t="s">
        <v>67</v>
      </c>
      <c r="B1134" t="s">
        <v>110</v>
      </c>
      <c r="C1134" t="s">
        <v>111</v>
      </c>
      <c r="D1134" t="s">
        <v>99</v>
      </c>
      <c r="E1134" t="str" cm="1">
        <f t="array" ref="E1134">_xlfn.LET(_xlpm.c,'RC1_Arch'!C278, _xlpm.b, 'RC1_Arch'!B278, IF(_xlpm.c&lt;&gt;"", _xlpm.c, _xlpm.b))</f>
        <v xml:space="preserve">บานเปิดเดี่ยว/บานติดตาย  วงกบอะลูมิเนียม ลูกฟักกระจกโฟลทใส </v>
      </c>
      <c r="F1134" s="1205"/>
      <c r="G1134" s="1203" t="str">
        <f>'RC1_Arch'!F278</f>
        <v>ชุด</v>
      </c>
      <c r="H1134" s="1203">
        <f>'RC1_Arch'!E278</f>
        <v>1</v>
      </c>
      <c r="I1134" s="1203">
        <f>'RC1_Arch'!I278</f>
        <v>12607.235013795</v>
      </c>
      <c r="J1134" s="1203">
        <f>'RC1_Arch'!L278</f>
        <v>5043.8289135650002</v>
      </c>
      <c r="K1134" s="1203">
        <f>'RC1_Arch'!M278</f>
        <v>17651.063927359999</v>
      </c>
    </row>
    <row r="1135" spans="1:11">
      <c r="A1135" t="s">
        <v>67</v>
      </c>
      <c r="B1135" t="s">
        <v>110</v>
      </c>
      <c r="C1135" t="s">
        <v>111</v>
      </c>
      <c r="D1135" t="s">
        <v>99</v>
      </c>
      <c r="E1135" t="str" cm="1">
        <f t="array" ref="E1135">_xlfn.LET(_xlpm.c,'RC1_Arch'!C279, _xlpm.b, 'RC1_Arch'!B279, IF(_xlpm.c&lt;&gt;"", _xlpm.c, _xlpm.b))</f>
        <v>ขนาด 1.50 x 2.40 ม.</v>
      </c>
      <c r="F1135" s="1205"/>
      <c r="G1135" s="1203">
        <f>'RC1_Arch'!F279</f>
        <v>0</v>
      </c>
      <c r="H1135" s="1203">
        <f>'RC1_Arch'!E279</f>
        <v>0</v>
      </c>
      <c r="I1135" s="1203">
        <f>'RC1_Arch'!I279</f>
        <v>0</v>
      </c>
      <c r="J1135" s="1203">
        <f>'RC1_Arch'!L279</f>
        <v>0</v>
      </c>
      <c r="K1135" s="1203">
        <f>'RC1_Arch'!M279</f>
        <v>0</v>
      </c>
    </row>
    <row r="1136" spans="1:11">
      <c r="A1136" t="s">
        <v>67</v>
      </c>
      <c r="B1136" t="s">
        <v>110</v>
      </c>
      <c r="C1136" t="s">
        <v>111</v>
      </c>
      <c r="D1136" t="s">
        <v>99</v>
      </c>
      <c r="E1136" t="str" cm="1">
        <f t="array" ref="E1136">_xlfn.LET(_xlpm.c,'RC1_Arch'!C280, _xlpm.b, 'RC1_Arch'!B280, IF(_xlpm.c&lt;&gt;"", _xlpm.c, _xlpm.b))</f>
        <v xml:space="preserve">บานเปิดเดี่ยว/บานติดตาย  วงกบอะลูมิเนียม ลูกฟักกระจกโฟลทใส </v>
      </c>
      <c r="F1136" s="1205"/>
      <c r="G1136" s="1203" t="str">
        <f>'RC1_Arch'!F280</f>
        <v>ชุด</v>
      </c>
      <c r="H1136" s="1203">
        <f>'RC1_Arch'!E280</f>
        <v>1</v>
      </c>
      <c r="I1136" s="1203">
        <f>'RC1_Arch'!I280</f>
        <v>12200.550013349999</v>
      </c>
      <c r="J1136" s="1203">
        <f>'RC1_Arch'!L280</f>
        <v>4955.0126491000001</v>
      </c>
      <c r="K1136" s="1203">
        <f>'RC1_Arch'!M280</f>
        <v>17155.56266245</v>
      </c>
    </row>
    <row r="1137" spans="1:11">
      <c r="A1137" t="s">
        <v>67</v>
      </c>
      <c r="B1137" t="s">
        <v>110</v>
      </c>
      <c r="C1137" t="s">
        <v>111</v>
      </c>
      <c r="D1137" t="s">
        <v>99</v>
      </c>
      <c r="E1137" t="str" cm="1">
        <f t="array" ref="E1137">_xlfn.LET(_xlpm.c,'RC1_Arch'!C281, _xlpm.b, 'RC1_Arch'!B281, IF(_xlpm.c&lt;&gt;"", _xlpm.c, _xlpm.b))</f>
        <v>ขนาด 1.10 x 3.00 ม.</v>
      </c>
      <c r="F1137" s="1205"/>
      <c r="G1137" s="1203">
        <f>'RC1_Arch'!F281</f>
        <v>0</v>
      </c>
      <c r="H1137" s="1203">
        <f>'RC1_Arch'!E281</f>
        <v>0</v>
      </c>
      <c r="I1137" s="1203">
        <f>'RC1_Arch'!I281</f>
        <v>0</v>
      </c>
      <c r="J1137" s="1203">
        <f>'RC1_Arch'!L281</f>
        <v>0</v>
      </c>
      <c r="K1137" s="1203">
        <f>'RC1_Arch'!M281</f>
        <v>0</v>
      </c>
    </row>
    <row r="1138" spans="1:11">
      <c r="E1138" t="str" cm="1">
        <f t="array" ref="E1138">_xlfn.LET(_xlpm.c,'RC1_Arch'!C282, _xlpm.b, 'RC1_Arch'!B282, IF(_xlpm.c&lt;&gt;"", _xlpm.c, _xlpm.b))</f>
        <v>งานอุปกรณ์ประตู</v>
      </c>
      <c r="F1138" s="1205"/>
      <c r="G1138" s="1203">
        <f>'RC1_Arch'!F282</f>
        <v>0</v>
      </c>
      <c r="H1138" s="1203">
        <f>'RC1_Arch'!E282</f>
        <v>0</v>
      </c>
      <c r="I1138" s="1203">
        <f>'RC1_Arch'!I282</f>
        <v>0</v>
      </c>
      <c r="J1138" s="1203">
        <f>'RC1_Arch'!L282</f>
        <v>0</v>
      </c>
      <c r="K1138" s="1203">
        <f>'RC1_Arch'!M282</f>
        <v>0</v>
      </c>
    </row>
    <row r="1139" spans="1:11">
      <c r="A1139" t="s">
        <v>67</v>
      </c>
      <c r="B1139" t="s">
        <v>110</v>
      </c>
      <c r="C1139" t="s">
        <v>111</v>
      </c>
      <c r="D1139" t="s">
        <v>114</v>
      </c>
      <c r="E1139" t="str" cm="1">
        <f t="array" ref="E1139">_xlfn.LET(_xlpm.c,'RC1_Arch'!C283, _xlpm.b, 'RC1_Arch'!B283, IF(_xlpm.c&lt;&gt;"", _xlpm.c, _xlpm.b))</f>
        <v>HW1</v>
      </c>
      <c r="F1139" s="1205"/>
      <c r="G1139" s="1203" t="str">
        <f>'RC1_Arch'!F283</f>
        <v>ชุด</v>
      </c>
      <c r="H1139" s="1203">
        <f>'RC1_Arch'!E283</f>
        <v>9</v>
      </c>
      <c r="I1139" s="1203">
        <f>'RC1_Arch'!I283</f>
        <v>87928.101820349999</v>
      </c>
      <c r="J1139" s="1203">
        <f>'RC1_Arch'!L283</f>
        <v>0</v>
      </c>
      <c r="K1139" s="1203">
        <f>'RC1_Arch'!M283</f>
        <v>87928.101820349999</v>
      </c>
    </row>
    <row r="1140" spans="1:11">
      <c r="A1140" t="s">
        <v>67</v>
      </c>
      <c r="B1140" t="s">
        <v>110</v>
      </c>
      <c r="C1140" t="s">
        <v>111</v>
      </c>
      <c r="D1140" t="s">
        <v>114</v>
      </c>
      <c r="E1140" t="str" cm="1">
        <f t="array" ref="E1140">_xlfn.LET(_xlpm.c,'RC1_Arch'!C284, _xlpm.b, 'RC1_Arch'!B284, IF(_xlpm.c&lt;&gt;"", _xlpm.c, _xlpm.b))</f>
        <v>HW2</v>
      </c>
      <c r="F1140" s="1205"/>
      <c r="G1140" s="1203" t="str">
        <f>'RC1_Arch'!F284</f>
        <v>ชุด</v>
      </c>
      <c r="H1140" s="1203">
        <f>'RC1_Arch'!E284</f>
        <v>18</v>
      </c>
      <c r="I1140" s="1203">
        <f>'RC1_Arch'!I284</f>
        <v>204969.24022427999</v>
      </c>
      <c r="J1140" s="1203">
        <f>'RC1_Arch'!L284</f>
        <v>0</v>
      </c>
      <c r="K1140" s="1203">
        <f>'RC1_Arch'!M284</f>
        <v>204969.24022427999</v>
      </c>
    </row>
    <row r="1141" spans="1:11">
      <c r="A1141" t="s">
        <v>67</v>
      </c>
      <c r="B1141" t="s">
        <v>110</v>
      </c>
      <c r="C1141" t="s">
        <v>111</v>
      </c>
      <c r="D1141" t="s">
        <v>114</v>
      </c>
      <c r="E1141" t="str" cm="1">
        <f t="array" ref="E1141">_xlfn.LET(_xlpm.c,'RC1_Arch'!C285, _xlpm.b, 'RC1_Arch'!B285, IF(_xlpm.c&lt;&gt;"", _xlpm.c, _xlpm.b))</f>
        <v>HW3</v>
      </c>
      <c r="F1141" s="1205"/>
      <c r="G1141" s="1203" t="str">
        <f>'RC1_Arch'!F285</f>
        <v>ชุด</v>
      </c>
      <c r="H1141" s="1203">
        <f>'RC1_Arch'!E285</f>
        <v>2</v>
      </c>
      <c r="I1141" s="1203">
        <f>'RC1_Arch'!I285</f>
        <v>41509.917286799995</v>
      </c>
      <c r="J1141" s="1203">
        <f>'RC1_Arch'!L285</f>
        <v>0</v>
      </c>
      <c r="K1141" s="1203">
        <f>'RC1_Arch'!M285</f>
        <v>41509.917286799995</v>
      </c>
    </row>
    <row r="1142" spans="1:11">
      <c r="A1142" t="s">
        <v>67</v>
      </c>
      <c r="B1142" t="s">
        <v>110</v>
      </c>
      <c r="C1142" t="s">
        <v>111</v>
      </c>
      <c r="D1142" t="s">
        <v>114</v>
      </c>
      <c r="E1142" t="str" cm="1">
        <f t="array" ref="E1142">_xlfn.LET(_xlpm.c,'RC1_Arch'!C286, _xlpm.b, 'RC1_Arch'!B286, IF(_xlpm.c&lt;&gt;"", _xlpm.c, _xlpm.b))</f>
        <v>HW4</v>
      </c>
      <c r="F1142" s="1205"/>
      <c r="G1142" s="1203" t="str">
        <f>'RC1_Arch'!F286</f>
        <v>ชุด</v>
      </c>
      <c r="H1142" s="1203">
        <f>'RC1_Arch'!E286</f>
        <v>16</v>
      </c>
      <c r="I1142" s="1203">
        <f>'RC1_Arch'!I286</f>
        <v>157363.72247104</v>
      </c>
      <c r="J1142" s="1203">
        <f>'RC1_Arch'!L286</f>
        <v>0</v>
      </c>
      <c r="K1142" s="1203">
        <f>'RC1_Arch'!M286</f>
        <v>157363.72247104</v>
      </c>
    </row>
    <row r="1143" spans="1:11">
      <c r="A1143" t="s">
        <v>67</v>
      </c>
      <c r="B1143" t="s">
        <v>110</v>
      </c>
      <c r="C1143" t="s">
        <v>111</v>
      </c>
      <c r="D1143" t="s">
        <v>114</v>
      </c>
      <c r="E1143" t="str" cm="1">
        <f t="array" ref="E1143">_xlfn.LET(_xlpm.c,'RC1_Arch'!C287, _xlpm.b, 'RC1_Arch'!B287, IF(_xlpm.c&lt;&gt;"", _xlpm.c, _xlpm.b))</f>
        <v>HW5</v>
      </c>
      <c r="F1143" s="1205"/>
      <c r="G1143" s="1203" t="str">
        <f>'RC1_Arch'!F287</f>
        <v>ชุด</v>
      </c>
      <c r="H1143" s="1203">
        <f>'RC1_Arch'!E287</f>
        <v>11</v>
      </c>
      <c r="I1143" s="1203">
        <f>'RC1_Arch'!I287</f>
        <v>69211.242719410002</v>
      </c>
      <c r="J1143" s="1203">
        <f>'RC1_Arch'!L287</f>
        <v>0</v>
      </c>
      <c r="K1143" s="1203">
        <f>'RC1_Arch'!M287</f>
        <v>69211.242719410002</v>
      </c>
    </row>
    <row r="1144" spans="1:11">
      <c r="A1144" t="s">
        <v>67</v>
      </c>
      <c r="B1144" t="s">
        <v>110</v>
      </c>
      <c r="C1144" t="s">
        <v>111</v>
      </c>
      <c r="D1144" t="s">
        <v>114</v>
      </c>
      <c r="E1144" t="str" cm="1">
        <f t="array" ref="E1144">_xlfn.LET(_xlpm.c,'RC1_Arch'!C288, _xlpm.b, 'RC1_Arch'!B288, IF(_xlpm.c&lt;&gt;"", _xlpm.c, _xlpm.b))</f>
        <v>HW6</v>
      </c>
      <c r="F1144" s="1205"/>
      <c r="G1144" s="1203" t="str">
        <f>'RC1_Arch'!F288</f>
        <v>ชุด</v>
      </c>
      <c r="H1144" s="1203">
        <f>'RC1_Arch'!E288</f>
        <v>6</v>
      </c>
      <c r="I1144" s="1203">
        <f>'RC1_Arch'!I288</f>
        <v>46390.137292139996</v>
      </c>
      <c r="J1144" s="1203">
        <f>'RC1_Arch'!L288</f>
        <v>0</v>
      </c>
      <c r="K1144" s="1203">
        <f>'RC1_Arch'!M288</f>
        <v>46390.137292139996</v>
      </c>
    </row>
    <row r="1145" spans="1:11">
      <c r="A1145" t="s">
        <v>67</v>
      </c>
      <c r="B1145" t="s">
        <v>110</v>
      </c>
      <c r="C1145" t="s">
        <v>111</v>
      </c>
      <c r="D1145" t="s">
        <v>114</v>
      </c>
      <c r="E1145" t="str" cm="1">
        <f t="array" ref="E1145">_xlfn.LET(_xlpm.c,'RC1_Arch'!C289, _xlpm.b, 'RC1_Arch'!B289, IF(_xlpm.c&lt;&gt;"", _xlpm.c, _xlpm.b))</f>
        <v>HW7</v>
      </c>
      <c r="F1145" s="1205"/>
      <c r="G1145" s="1203" t="str">
        <f>'RC1_Arch'!F289</f>
        <v>ชุด</v>
      </c>
      <c r="H1145" s="1203">
        <f>'RC1_Arch'!E289</f>
        <v>46</v>
      </c>
      <c r="I1145" s="1203">
        <f>'RC1_Arch'!I289</f>
        <v>235241.56278613998</v>
      </c>
      <c r="J1145" s="1203">
        <f>'RC1_Arch'!L289</f>
        <v>0</v>
      </c>
      <c r="K1145" s="1203">
        <f>'RC1_Arch'!M289</f>
        <v>235241.56278613998</v>
      </c>
    </row>
    <row r="1146" spans="1:11">
      <c r="A1146" t="s">
        <v>67</v>
      </c>
      <c r="B1146" t="s">
        <v>110</v>
      </c>
      <c r="C1146" t="s">
        <v>111</v>
      </c>
      <c r="D1146" t="s">
        <v>114</v>
      </c>
      <c r="E1146" t="str" cm="1">
        <f t="array" ref="E1146">_xlfn.LET(_xlpm.c,'RC1_Arch'!C290, _xlpm.b, 'RC1_Arch'!B290, IF(_xlpm.c&lt;&gt;"", _xlpm.c, _xlpm.b))</f>
        <v>HW8</v>
      </c>
      <c r="F1146" s="1205"/>
      <c r="G1146" s="1203" t="str">
        <f>'RC1_Arch'!F290</f>
        <v>ชุด</v>
      </c>
      <c r="H1146" s="1203">
        <f>'RC1_Arch'!E290</f>
        <v>20</v>
      </c>
      <c r="I1146" s="1203">
        <f>'RC1_Arch'!I290</f>
        <v>287016.77042899997</v>
      </c>
      <c r="J1146" s="1203">
        <f>'RC1_Arch'!L290</f>
        <v>0</v>
      </c>
      <c r="K1146" s="1203">
        <f>'RC1_Arch'!M290</f>
        <v>287016.77042899997</v>
      </c>
    </row>
    <row r="1147" spans="1:11">
      <c r="A1147" t="s">
        <v>67</v>
      </c>
      <c r="B1147" t="s">
        <v>110</v>
      </c>
      <c r="C1147" t="s">
        <v>111</v>
      </c>
      <c r="D1147" t="s">
        <v>114</v>
      </c>
      <c r="E1147" t="str" cm="1">
        <f t="array" ref="E1147">_xlfn.LET(_xlpm.c,'RC1_Arch'!C291, _xlpm.b, 'RC1_Arch'!B291, IF(_xlpm.c&lt;&gt;"", _xlpm.c, _xlpm.b))</f>
        <v>HW9</v>
      </c>
      <c r="F1147" s="1205"/>
      <c r="G1147" s="1203" t="str">
        <f>'RC1_Arch'!F291</f>
        <v>ชุด</v>
      </c>
      <c r="H1147" s="1203">
        <f>'RC1_Arch'!E291</f>
        <v>6</v>
      </c>
      <c r="I1147" s="1203">
        <f>'RC1_Arch'!I291</f>
        <v>28832.56416948</v>
      </c>
      <c r="J1147" s="1203">
        <f>'RC1_Arch'!L291</f>
        <v>0</v>
      </c>
      <c r="K1147" s="1203">
        <f>'RC1_Arch'!M291</f>
        <v>28832.56416948</v>
      </c>
    </row>
    <row r="1148" spans="1:11">
      <c r="A1148" t="s">
        <v>67</v>
      </c>
      <c r="B1148" t="s">
        <v>110</v>
      </c>
      <c r="C1148" t="s">
        <v>111</v>
      </c>
      <c r="D1148" t="s">
        <v>114</v>
      </c>
      <c r="E1148" t="str" cm="1">
        <f t="array" ref="E1148">_xlfn.LET(_xlpm.c,'RC1_Arch'!C292, _xlpm.b, 'RC1_Arch'!B292, IF(_xlpm.c&lt;&gt;"", _xlpm.c, _xlpm.b))</f>
        <v>HW10</v>
      </c>
      <c r="F1148" s="1205"/>
      <c r="G1148" s="1203" t="str">
        <f>'RC1_Arch'!F292</f>
        <v>ชุด</v>
      </c>
      <c r="H1148" s="1203">
        <f>'RC1_Arch'!E292</f>
        <v>5</v>
      </c>
      <c r="I1148" s="1203">
        <f>'RC1_Arch'!I292</f>
        <v>25149.026464300001</v>
      </c>
      <c r="J1148" s="1203">
        <f>'RC1_Arch'!L292</f>
        <v>0</v>
      </c>
      <c r="K1148" s="1203">
        <f>'RC1_Arch'!M292</f>
        <v>25149.026464300001</v>
      </c>
    </row>
    <row r="1149" spans="1:11">
      <c r="A1149" t="s">
        <v>67</v>
      </c>
      <c r="B1149" t="s">
        <v>110</v>
      </c>
      <c r="C1149" t="s">
        <v>111</v>
      </c>
      <c r="D1149" t="s">
        <v>114</v>
      </c>
      <c r="E1149" t="str" cm="1">
        <f t="array" ref="E1149">_xlfn.LET(_xlpm.c,'RC1_Arch'!C293, _xlpm.b, 'RC1_Arch'!B293, IF(_xlpm.c&lt;&gt;"", _xlpm.c, _xlpm.b))</f>
        <v>HW11</v>
      </c>
      <c r="F1149" s="1205"/>
      <c r="G1149" s="1203" t="str">
        <f>'RC1_Arch'!F293</f>
        <v>ชุด</v>
      </c>
      <c r="H1149" s="1203">
        <f>'RC1_Arch'!E293</f>
        <v>3</v>
      </c>
      <c r="I1149" s="1203">
        <f>'RC1_Arch'!I293</f>
        <v>15193.190671796998</v>
      </c>
      <c r="J1149" s="1203">
        <f>'RC1_Arch'!L293</f>
        <v>0</v>
      </c>
      <c r="K1149" s="1203">
        <f>'RC1_Arch'!M293</f>
        <v>15193.190671796998</v>
      </c>
    </row>
    <row r="1150" spans="1:11">
      <c r="A1150" t="s">
        <v>67</v>
      </c>
      <c r="B1150" t="s">
        <v>110</v>
      </c>
      <c r="C1150" t="s">
        <v>111</v>
      </c>
      <c r="D1150" t="s">
        <v>114</v>
      </c>
      <c r="E1150" t="str" cm="1">
        <f t="array" ref="E1150">_xlfn.LET(_xlpm.c,'RC1_Arch'!C294, _xlpm.b, 'RC1_Arch'!B294, IF(_xlpm.c&lt;&gt;"", _xlpm.c, _xlpm.b))</f>
        <v>HW12</v>
      </c>
      <c r="F1150" s="1205"/>
      <c r="G1150" s="1203" t="str">
        <f>'RC1_Arch'!F294</f>
        <v>ชุด</v>
      </c>
      <c r="H1150" s="1203">
        <f>'RC1_Arch'!E294</f>
        <v>5</v>
      </c>
      <c r="I1150" s="1203">
        <f>'RC1_Arch'!I294</f>
        <v>11920.077599249998</v>
      </c>
      <c r="J1150" s="1203">
        <f>'RC1_Arch'!L294</f>
        <v>0</v>
      </c>
      <c r="K1150" s="1203">
        <f>'RC1_Arch'!M294</f>
        <v>11920.077599249998</v>
      </c>
    </row>
    <row r="1151" spans="1:11">
      <c r="A1151" t="s">
        <v>67</v>
      </c>
      <c r="B1151" t="s">
        <v>110</v>
      </c>
      <c r="C1151" t="s">
        <v>111</v>
      </c>
      <c r="D1151" t="s">
        <v>114</v>
      </c>
      <c r="E1151" t="str" cm="1">
        <f t="array" ref="E1151">_xlfn.LET(_xlpm.c,'RC1_Arch'!C295, _xlpm.b, 'RC1_Arch'!B295, IF(_xlpm.c&lt;&gt;"", _xlpm.c, _xlpm.b))</f>
        <v>HW13</v>
      </c>
      <c r="F1151" s="1205"/>
      <c r="G1151" s="1203" t="str">
        <f>'RC1_Arch'!F295</f>
        <v>ชุด</v>
      </c>
      <c r="H1151" s="1203">
        <f>'RC1_Arch'!E295</f>
        <v>6</v>
      </c>
      <c r="I1151" s="1203">
        <f>'RC1_Arch'!I295</f>
        <v>21456.139678650001</v>
      </c>
      <c r="J1151" s="1203">
        <f>'RC1_Arch'!L295</f>
        <v>0</v>
      </c>
      <c r="K1151" s="1203">
        <f>'RC1_Arch'!M295</f>
        <v>21456.139678650001</v>
      </c>
    </row>
    <row r="1152" spans="1:11">
      <c r="A1152" t="s">
        <v>67</v>
      </c>
      <c r="B1152" t="s">
        <v>110</v>
      </c>
      <c r="C1152" t="s">
        <v>111</v>
      </c>
      <c r="D1152" t="s">
        <v>114</v>
      </c>
      <c r="E1152" t="str" cm="1">
        <f t="array" ref="E1152">_xlfn.LET(_xlpm.c,'RC1_Arch'!C296, _xlpm.b, 'RC1_Arch'!B296, IF(_xlpm.c&lt;&gt;"", _xlpm.c, _xlpm.b))</f>
        <v>HW14</v>
      </c>
      <c r="F1152" s="1205"/>
      <c r="G1152" s="1203" t="str">
        <f>'RC1_Arch'!F296</f>
        <v>ชุด</v>
      </c>
      <c r="H1152" s="1203">
        <f>'RC1_Arch'!E296</f>
        <v>3</v>
      </c>
      <c r="I1152" s="1203">
        <f>'RC1_Arch'!I296</f>
        <v>967.62982864499998</v>
      </c>
      <c r="J1152" s="1203">
        <f>'RC1_Arch'!L296</f>
        <v>0</v>
      </c>
      <c r="K1152" s="1203">
        <f>'RC1_Arch'!M296</f>
        <v>967.62982864499998</v>
      </c>
    </row>
    <row r="1153" spans="1:11">
      <c r="A1153" t="s">
        <v>67</v>
      </c>
      <c r="B1153" t="s">
        <v>110</v>
      </c>
      <c r="C1153" t="s">
        <v>111</v>
      </c>
      <c r="D1153" t="s">
        <v>114</v>
      </c>
      <c r="E1153" t="str" cm="1">
        <f t="array" ref="E1153">_xlfn.LET(_xlpm.c,'RC1_Arch'!C297, _xlpm.b, 'RC1_Arch'!B297, IF(_xlpm.c&lt;&gt;"", _xlpm.c, _xlpm.b))</f>
        <v>HW15</v>
      </c>
      <c r="F1153" s="1205"/>
      <c r="G1153" s="1203" t="str">
        <f>'RC1_Arch'!F297</f>
        <v>ชุด</v>
      </c>
      <c r="H1153" s="1203">
        <f>'RC1_Arch'!E297</f>
        <v>3</v>
      </c>
      <c r="I1153" s="1203">
        <f>'RC1_Arch'!I297</f>
        <v>364614.13832999999</v>
      </c>
      <c r="J1153" s="1203">
        <f>'RC1_Arch'!L297</f>
        <v>0</v>
      </c>
      <c r="K1153" s="1203">
        <f>'RC1_Arch'!M297</f>
        <v>364614.13832999999</v>
      </c>
    </row>
    <row r="1154" spans="1:11">
      <c r="A1154" t="s">
        <v>67</v>
      </c>
      <c r="B1154" t="s">
        <v>110</v>
      </c>
      <c r="C1154" t="s">
        <v>111</v>
      </c>
      <c r="D1154" t="s">
        <v>114</v>
      </c>
      <c r="E1154" t="str" cm="1">
        <f t="array" ref="E1154">_xlfn.LET(_xlpm.c,'RC1_Arch'!C298, _xlpm.b, 'RC1_Arch'!B298, IF(_xlpm.c&lt;&gt;"", _xlpm.c, _xlpm.b))</f>
        <v>HW16</v>
      </c>
      <c r="F1154" s="1205"/>
      <c r="G1154" s="1203" t="str">
        <f>'RC1_Arch'!F298</f>
        <v>ชุด</v>
      </c>
      <c r="H1154" s="1203">
        <f>'RC1_Arch'!E298</f>
        <v>1</v>
      </c>
      <c r="I1154" s="1203">
        <f>'RC1_Arch'!I298</f>
        <v>40780.689010139999</v>
      </c>
      <c r="J1154" s="1203">
        <f>'RC1_Arch'!L298</f>
        <v>0</v>
      </c>
      <c r="K1154" s="1203">
        <f>'RC1_Arch'!M298</f>
        <v>40780.689010139999</v>
      </c>
    </row>
    <row r="1155" spans="1:11">
      <c r="A1155" t="s">
        <v>67</v>
      </c>
      <c r="B1155" t="s">
        <v>110</v>
      </c>
      <c r="C1155" t="s">
        <v>111</v>
      </c>
      <c r="D1155" t="s">
        <v>114</v>
      </c>
      <c r="E1155" cm="1">
        <f t="array" ref="E1155">_xlfn.LET(_xlpm.c,'RC1_Arch'!C299, _xlpm.b, 'RC1_Arch'!B299, IF(_xlpm.c&lt;&gt;"", _xlpm.c, _xlpm.b))</f>
        <v>0</v>
      </c>
      <c r="F1155" s="1205"/>
      <c r="G1155" s="1203">
        <f>'RC1_Arch'!F299</f>
        <v>0</v>
      </c>
      <c r="H1155" s="1203">
        <f>'RC1_Arch'!E299</f>
        <v>0</v>
      </c>
      <c r="I1155" s="1203">
        <f>'RC1_Arch'!I299</f>
        <v>0</v>
      </c>
      <c r="J1155" s="1203">
        <f>'RC1_Arch'!L299</f>
        <v>0</v>
      </c>
      <c r="K1155" s="1203">
        <f>'RC1_Arch'!M299</f>
        <v>0</v>
      </c>
    </row>
    <row r="1156" spans="1:11">
      <c r="A1156" t="s">
        <v>67</v>
      </c>
      <c r="B1156" t="s">
        <v>110</v>
      </c>
      <c r="C1156" t="s">
        <v>111</v>
      </c>
      <c r="D1156" t="s">
        <v>114</v>
      </c>
      <c r="E1156" cm="1">
        <f t="array" ref="E1156">_xlfn.LET(_xlpm.c,'RC1_Arch'!C300, _xlpm.b, 'RC1_Arch'!B300, IF(_xlpm.c&lt;&gt;"", _xlpm.c, _xlpm.b))</f>
        <v>0</v>
      </c>
      <c r="F1156" s="1205"/>
      <c r="G1156" s="1203">
        <f>'RC1_Arch'!F300</f>
        <v>0</v>
      </c>
      <c r="H1156" s="1203">
        <f>'RC1_Arch'!E300</f>
        <v>0</v>
      </c>
      <c r="I1156" s="1203">
        <f>'RC1_Arch'!I300</f>
        <v>0</v>
      </c>
      <c r="J1156" s="1203">
        <f>'RC1_Arch'!L300</f>
        <v>0</v>
      </c>
      <c r="K1156" s="1203">
        <f>'RC1_Arch'!M300</f>
        <v>0</v>
      </c>
    </row>
    <row r="1157" spans="1:11">
      <c r="A1157" t="s">
        <v>67</v>
      </c>
      <c r="B1157" t="s">
        <v>110</v>
      </c>
      <c r="C1157" t="s">
        <v>111</v>
      </c>
      <c r="D1157" t="s">
        <v>114</v>
      </c>
      <c r="E1157" t="str" cm="1">
        <f t="array" ref="E1157">_xlfn.LET(_xlpm.c,'RC1_Arch'!C301, _xlpm.b, 'RC1_Arch'!B301, IF(_xlpm.c&lt;&gt;"", _xlpm.c, _xlpm.b))</f>
        <v>HW17</v>
      </c>
      <c r="F1157" s="1205"/>
      <c r="G1157" s="1203" t="str">
        <f>'RC1_Arch'!F301</f>
        <v>ชุด</v>
      </c>
      <c r="H1157" s="1203">
        <f>'RC1_Arch'!E301</f>
        <v>1</v>
      </c>
      <c r="I1157" s="1203">
        <f>'RC1_Arch'!I301</f>
        <v>35713.4873954</v>
      </c>
      <c r="J1157" s="1203">
        <f>'RC1_Arch'!L301</f>
        <v>0</v>
      </c>
      <c r="K1157" s="1203">
        <f>'RC1_Arch'!M301</f>
        <v>35713.4873954</v>
      </c>
    </row>
    <row r="1158" spans="1:11">
      <c r="A1158" t="s">
        <v>67</v>
      </c>
      <c r="B1158" t="s">
        <v>110</v>
      </c>
      <c r="C1158" t="s">
        <v>111</v>
      </c>
      <c r="D1158" t="s">
        <v>114</v>
      </c>
      <c r="E1158" t="str" cm="1">
        <f t="array" ref="E1158">_xlfn.LET(_xlpm.c,'RC1_Arch'!C302, _xlpm.b, 'RC1_Arch'!B302, IF(_xlpm.c&lt;&gt;"", _xlpm.c, _xlpm.b))</f>
        <v>HW18</v>
      </c>
      <c r="F1158" s="1205"/>
      <c r="G1158" s="1203" t="str">
        <f>'RC1_Arch'!F302</f>
        <v>ชุด</v>
      </c>
      <c r="H1158" s="1203">
        <f>'RC1_Arch'!E302</f>
        <v>1</v>
      </c>
      <c r="I1158" s="1203">
        <f>'RC1_Arch'!I302</f>
        <v>39546.610388100002</v>
      </c>
      <c r="J1158" s="1203">
        <f>'RC1_Arch'!L302</f>
        <v>0</v>
      </c>
      <c r="K1158" s="1203">
        <f>'RC1_Arch'!M302</f>
        <v>39546.610388100002</v>
      </c>
    </row>
    <row r="1159" spans="1:11">
      <c r="A1159" t="s">
        <v>67</v>
      </c>
      <c r="B1159" t="s">
        <v>110</v>
      </c>
      <c r="C1159" t="s">
        <v>111</v>
      </c>
      <c r="D1159" t="s">
        <v>114</v>
      </c>
      <c r="E1159" t="str" cm="1">
        <f t="array" ref="E1159">_xlfn.LET(_xlpm.c,'RC1_Arch'!C303, _xlpm.b, 'RC1_Arch'!B303, IF(_xlpm.c&lt;&gt;"", _xlpm.c, _xlpm.b))</f>
        <v>HW19</v>
      </c>
      <c r="F1159" s="1205"/>
      <c r="G1159" s="1203" t="str">
        <f>'RC1_Arch'!F303</f>
        <v>ชุด</v>
      </c>
      <c r="H1159" s="1203">
        <f>'RC1_Arch'!E303</f>
        <v>1</v>
      </c>
      <c r="I1159" s="1203">
        <f>'RC1_Arch'!I303</f>
        <v>37415.020040939999</v>
      </c>
      <c r="J1159" s="1203">
        <f>'RC1_Arch'!L303</f>
        <v>0</v>
      </c>
      <c r="K1159" s="1203">
        <f>'RC1_Arch'!M303</f>
        <v>37415.020040939999</v>
      </c>
    </row>
    <row r="1160" spans="1:11">
      <c r="A1160" t="s">
        <v>67</v>
      </c>
      <c r="B1160" t="s">
        <v>110</v>
      </c>
      <c r="C1160" t="s">
        <v>111</v>
      </c>
      <c r="D1160" t="s">
        <v>114</v>
      </c>
      <c r="E1160" t="str" cm="1">
        <f t="array" ref="E1160">_xlfn.LET(_xlpm.c,'RC1_Arch'!C304, _xlpm.b, 'RC1_Arch'!B304, IF(_xlpm.c&lt;&gt;"", _xlpm.c, _xlpm.b))</f>
        <v>HW20</v>
      </c>
      <c r="F1160" s="1205"/>
      <c r="G1160" s="1203" t="str">
        <f>'RC1_Arch'!F304</f>
        <v>ชุด</v>
      </c>
      <c r="H1160" s="1203">
        <f>'RC1_Arch'!E304</f>
        <v>2</v>
      </c>
      <c r="I1160" s="1203">
        <f>'RC1_Arch'!I304</f>
        <v>37396.321879999996</v>
      </c>
      <c r="J1160" s="1203">
        <f>'RC1_Arch'!L304</f>
        <v>0</v>
      </c>
      <c r="K1160" s="1203">
        <f>'RC1_Arch'!M304</f>
        <v>37396.321879999996</v>
      </c>
    </row>
    <row r="1161" spans="1:11">
      <c r="A1161" t="s">
        <v>67</v>
      </c>
      <c r="B1161" t="s">
        <v>110</v>
      </c>
      <c r="C1161" t="s">
        <v>111</v>
      </c>
      <c r="D1161" t="s">
        <v>114</v>
      </c>
      <c r="E1161" t="str" cm="1">
        <f t="array" ref="E1161">_xlfn.LET(_xlpm.c,'RC1_Arch'!C305, _xlpm.b, 'RC1_Arch'!B305, IF(_xlpm.c&lt;&gt;"", _xlpm.c, _xlpm.b))</f>
        <v>HW21</v>
      </c>
      <c r="F1161" s="1205"/>
      <c r="G1161" s="1203" t="str">
        <f>'RC1_Arch'!F305</f>
        <v>ชุด</v>
      </c>
      <c r="H1161" s="1203">
        <f>'RC1_Arch'!E305</f>
        <v>5</v>
      </c>
      <c r="I1161" s="1203">
        <f>'RC1_Arch'!I305</f>
        <v>48615.218443999998</v>
      </c>
      <c r="J1161" s="1203">
        <f>'RC1_Arch'!L305</f>
        <v>0</v>
      </c>
      <c r="K1161" s="1203">
        <f>'RC1_Arch'!M305</f>
        <v>48615.218443999998</v>
      </c>
    </row>
    <row r="1162" spans="1:11">
      <c r="A1162" t="s">
        <v>67</v>
      </c>
      <c r="B1162" t="s">
        <v>110</v>
      </c>
      <c r="C1162" t="s">
        <v>111</v>
      </c>
      <c r="D1162" t="s">
        <v>114</v>
      </c>
      <c r="E1162" t="str" cm="1">
        <f t="array" ref="E1162">_xlfn.LET(_xlpm.c,'RC1_Arch'!C306, _xlpm.b, 'RC1_Arch'!B306, IF(_xlpm.c&lt;&gt;"", _xlpm.c, _xlpm.b))</f>
        <v>HW22</v>
      </c>
      <c r="F1162" s="1205"/>
      <c r="G1162" s="1203" t="str">
        <f>'RC1_Arch'!F306</f>
        <v>ชุด</v>
      </c>
      <c r="H1162" s="1203">
        <f>'RC1_Arch'!E306</f>
        <v>1</v>
      </c>
      <c r="I1162" s="1203">
        <f>'RC1_Arch'!I306</f>
        <v>35713.4873954</v>
      </c>
      <c r="J1162" s="1203">
        <f>'RC1_Arch'!L306</f>
        <v>0</v>
      </c>
      <c r="K1162" s="1203">
        <f>'RC1_Arch'!M306</f>
        <v>35713.4873954</v>
      </c>
    </row>
    <row r="1163" spans="1:11">
      <c r="A1163" t="s">
        <v>67</v>
      </c>
      <c r="B1163" t="s">
        <v>110</v>
      </c>
      <c r="C1163" t="s">
        <v>111</v>
      </c>
      <c r="D1163" t="s">
        <v>114</v>
      </c>
      <c r="E1163" t="str" cm="1">
        <f t="array" ref="E1163">_xlfn.LET(_xlpm.c,'RC1_Arch'!C307, _xlpm.b, 'RC1_Arch'!B307, IF(_xlpm.c&lt;&gt;"", _xlpm.c, _xlpm.b))</f>
        <v>HW23</v>
      </c>
      <c r="F1163" s="1205"/>
      <c r="G1163" s="1203" t="str">
        <f>'RC1_Arch'!F307</f>
        <v>ชุด</v>
      </c>
      <c r="H1163" s="1203">
        <f>'RC1_Arch'!E307</f>
        <v>7</v>
      </c>
      <c r="I1163" s="1203">
        <f>'RC1_Arch'!I307</f>
        <v>3272.1781645000001</v>
      </c>
      <c r="J1163" s="1203">
        <f>'RC1_Arch'!L307</f>
        <v>0</v>
      </c>
      <c r="K1163" s="1203">
        <f>'RC1_Arch'!M307</f>
        <v>3272.1781645000001</v>
      </c>
    </row>
    <row r="1164" spans="1:11">
      <c r="F1164" s="1205"/>
      <c r="G1164" s="1203"/>
      <c r="H1164" s="1203"/>
      <c r="I1164" s="1203"/>
      <c r="J1164" s="1203"/>
      <c r="K1164" s="1203"/>
    </row>
    <row r="1165" spans="1:11">
      <c r="F1165" s="1205"/>
      <c r="G1165" s="1203"/>
      <c r="H1165" s="1203"/>
      <c r="I1165" s="1203"/>
      <c r="J1165" s="1203"/>
      <c r="K1165" s="1203"/>
    </row>
    <row r="1166" spans="1:11">
      <c r="F1166" s="1205"/>
      <c r="G1166" s="1203"/>
      <c r="H1166" s="1203"/>
      <c r="I1166" s="1203"/>
      <c r="J1166" s="1203"/>
      <c r="K1166" s="1203"/>
    </row>
    <row r="1167" spans="1:11">
      <c r="F1167" s="1205"/>
      <c r="G1167" s="1203"/>
      <c r="H1167" s="1203"/>
      <c r="I1167" s="1203"/>
      <c r="J1167" s="1203"/>
      <c r="K1167" s="1203"/>
    </row>
    <row r="1168" spans="1:11">
      <c r="F1168" s="1205"/>
      <c r="G1168" s="1203"/>
      <c r="H1168" s="1203"/>
      <c r="I1168" s="1203"/>
      <c r="J1168" s="1203"/>
      <c r="K1168" s="1203"/>
    </row>
    <row r="1169" spans="5:11">
      <c r="F1169" s="1205"/>
      <c r="G1169" s="1203"/>
      <c r="H1169" s="1203"/>
      <c r="I1169" s="1203"/>
      <c r="J1169" s="1203"/>
      <c r="K1169" s="1203"/>
    </row>
    <row r="1170" spans="5:11">
      <c r="F1170" s="1205"/>
      <c r="G1170" s="1203"/>
      <c r="H1170" s="1203"/>
      <c r="I1170" s="1203"/>
      <c r="J1170" s="1203"/>
      <c r="K1170" s="1203"/>
    </row>
    <row r="1171" spans="5:11">
      <c r="F1171" s="1205"/>
      <c r="G1171" s="1203"/>
      <c r="H1171" s="1203"/>
      <c r="I1171" s="1203"/>
      <c r="J1171" s="1203"/>
      <c r="K1171" s="1203"/>
    </row>
    <row r="1172" spans="5:11">
      <c r="F1172" s="1205"/>
      <c r="G1172" s="1203"/>
      <c r="H1172" s="1203"/>
      <c r="I1172" s="1203"/>
      <c r="J1172" s="1203"/>
      <c r="K1172" s="1203"/>
    </row>
    <row r="1173" spans="5:11">
      <c r="F1173" s="1205"/>
      <c r="G1173" s="1203"/>
      <c r="H1173" s="1203"/>
      <c r="I1173" s="1203"/>
      <c r="J1173" s="1203"/>
      <c r="K1173" s="1203"/>
    </row>
    <row r="1174" spans="5:11">
      <c r="F1174" s="1205"/>
      <c r="G1174" s="1203"/>
      <c r="H1174" s="1203"/>
      <c r="I1174" s="1203"/>
      <c r="J1174" s="1203"/>
      <c r="K1174" s="1203"/>
    </row>
    <row r="1175" spans="5:11">
      <c r="F1175" s="1205"/>
      <c r="G1175" s="1203"/>
      <c r="H1175" s="1203"/>
      <c r="I1175" s="1203"/>
      <c r="J1175" s="1203"/>
      <c r="K1175" s="1203"/>
    </row>
    <row r="1176" spans="5:11">
      <c r="F1176" s="1205"/>
      <c r="G1176" s="1203"/>
      <c r="H1176" s="1203"/>
      <c r="I1176" s="1203"/>
      <c r="J1176" s="1203"/>
      <c r="K1176" s="1203"/>
    </row>
    <row r="1177" spans="5:11">
      <c r="F1177" s="1205"/>
      <c r="G1177" s="1203"/>
      <c r="H1177" s="1203"/>
      <c r="I1177" s="1203"/>
      <c r="J1177" s="1203"/>
      <c r="K1177" s="1203"/>
    </row>
    <row r="1178" spans="5:11">
      <c r="F1178" s="1205"/>
      <c r="G1178" s="1203"/>
      <c r="H1178" s="1203"/>
      <c r="I1178" s="1203"/>
      <c r="J1178" s="1203"/>
      <c r="K1178" s="1203"/>
    </row>
    <row r="1179" spans="5:11">
      <c r="F1179" s="1205"/>
      <c r="G1179" s="1203"/>
      <c r="H1179" s="1203"/>
      <c r="I1179" s="1203"/>
      <c r="J1179" s="1203"/>
      <c r="K1179" s="1203"/>
    </row>
    <row r="1180" spans="5:11">
      <c r="F1180" s="1205"/>
      <c r="G1180" s="1203"/>
      <c r="H1180" s="1203"/>
      <c r="I1180" s="1203"/>
      <c r="J1180" s="1203"/>
      <c r="K1180" s="1203"/>
    </row>
    <row r="1181" spans="5:11">
      <c r="F1181" s="1205"/>
      <c r="G1181" s="1203"/>
      <c r="H1181" s="1203"/>
      <c r="I1181" s="1203"/>
      <c r="J1181" s="1203"/>
      <c r="K1181" s="1203"/>
    </row>
    <row r="1182" spans="5:11">
      <c r="F1182" s="1205"/>
      <c r="G1182" s="1203"/>
      <c r="H1182" s="1203"/>
      <c r="I1182" s="1203"/>
      <c r="J1182" s="1203"/>
      <c r="K1182" s="1203"/>
    </row>
    <row r="1183" spans="5:11">
      <c r="F1183" s="1205"/>
      <c r="G1183" s="1203"/>
      <c r="H1183" s="1203"/>
      <c r="I1183" s="1203"/>
      <c r="J1183" s="1203"/>
      <c r="K1183" s="1203"/>
    </row>
    <row r="1184" spans="5:11">
      <c r="E1184" t="str" cm="1">
        <f t="array" ref="E1184">_xlfn.LET(_xlpm.c,'RC1_Arch'!C328, _xlpm.b, 'RC1_Arch'!B328, IF(_xlpm.c&lt;&gt;"", _xlpm.c, _xlpm.b))</f>
        <v>งานหน้าต่างและ Curtain Wall</v>
      </c>
      <c r="F1184" s="1205"/>
      <c r="G1184" s="1203">
        <f>'RC1_Arch'!F328</f>
        <v>0</v>
      </c>
      <c r="H1184" s="1203">
        <f>'RC1_Arch'!E328</f>
        <v>0</v>
      </c>
      <c r="I1184" s="1203">
        <f>'RC1_Arch'!I328</f>
        <v>0</v>
      </c>
      <c r="J1184" s="1203">
        <f>'RC1_Arch'!L328</f>
        <v>0</v>
      </c>
      <c r="K1184" s="1203">
        <f>'RC1_Arch'!M328</f>
        <v>0</v>
      </c>
    </row>
    <row r="1185" spans="1:11">
      <c r="E1185" cm="1">
        <f t="array" ref="E1185">_xlfn.LET(_xlpm.c,'RC1_Arch'!C329, _xlpm.b, 'RC1_Arch'!B329, IF(_xlpm.c&lt;&gt;"", _xlpm.c, _xlpm.b))</f>
        <v>0</v>
      </c>
      <c r="F1185" s="1205"/>
      <c r="G1185" s="1203">
        <f>'RC1_Arch'!F329</f>
        <v>0</v>
      </c>
      <c r="H1185" s="1203">
        <f>'RC1_Arch'!E329</f>
        <v>0</v>
      </c>
      <c r="I1185" s="1203">
        <f>'RC1_Arch'!I329</f>
        <v>0</v>
      </c>
      <c r="J1185" s="1203">
        <f>'RC1_Arch'!L329</f>
        <v>0</v>
      </c>
      <c r="K1185" s="1203">
        <f>'RC1_Arch'!M329</f>
        <v>0</v>
      </c>
    </row>
    <row r="1186" spans="1:11">
      <c r="A1186" t="s">
        <v>67</v>
      </c>
      <c r="B1186" t="s">
        <v>110</v>
      </c>
      <c r="C1186" t="s">
        <v>115</v>
      </c>
      <c r="D1186" t="s">
        <v>99</v>
      </c>
      <c r="E1186" t="str" cm="1">
        <f t="array" ref="E1186">_xlfn.LET(_xlpm.c,'RC1_Arch'!C330, _xlpm.b, 'RC1_Arch'!B330, IF(_xlpm.c&lt;&gt;"", _xlpm.c, _xlpm.b))</f>
        <v>บานติดตาย วงกบอะลูมิเนียม  ขนาด 5.20 x 2.00 ม.</v>
      </c>
      <c r="F1186" s="1205"/>
      <c r="G1186" s="1203" t="str">
        <f>'RC1_Arch'!F330</f>
        <v>ชุด</v>
      </c>
      <c r="H1186" s="1203">
        <f>'RC1_Arch'!E330</f>
        <v>6</v>
      </c>
      <c r="I1186" s="1203">
        <f>'RC1_Arch'!I330</f>
        <v>101727.34459406999</v>
      </c>
      <c r="J1186" s="1203">
        <f>'RC1_Arch'!L330</f>
        <v>33376.217277899996</v>
      </c>
      <c r="K1186" s="1203">
        <f>'RC1_Arch'!M330</f>
        <v>135103.56187196999</v>
      </c>
    </row>
    <row r="1187" spans="1:11">
      <c r="A1187" t="s">
        <v>67</v>
      </c>
      <c r="B1187" t="s">
        <v>110</v>
      </c>
      <c r="C1187" t="s">
        <v>115</v>
      </c>
      <c r="D1187" t="s">
        <v>99</v>
      </c>
      <c r="E1187" t="str" cm="1">
        <f t="array" ref="E1187">_xlfn.LET(_xlpm.c,'RC1_Arch'!C331, _xlpm.b, 'RC1_Arch'!B331, IF(_xlpm.c&lt;&gt;"", _xlpm.c, _xlpm.b))</f>
        <v>บานเกล็ดอะลูมิเนียมกันน้ำ 100% รุ่น RHP 2500 วงกบอะลูมิเนียม</v>
      </c>
      <c r="F1187" s="1205"/>
      <c r="G1187" s="1203" t="str">
        <f>'RC1_Arch'!F331</f>
        <v>ชุด</v>
      </c>
      <c r="H1187" s="1203">
        <f>'RC1_Arch'!E331</f>
        <v>1</v>
      </c>
      <c r="I1187" s="1203">
        <f>'RC1_Arch'!I331</f>
        <v>56515.191441149997</v>
      </c>
      <c r="J1187" s="1203">
        <f>'RC1_Arch'!L331</f>
        <v>2608.3934511299999</v>
      </c>
      <c r="K1187" s="1203">
        <f>'RC1_Arch'!M331</f>
        <v>59123.58489228</v>
      </c>
    </row>
    <row r="1188" spans="1:11">
      <c r="A1188" t="s">
        <v>67</v>
      </c>
      <c r="B1188" t="s">
        <v>110</v>
      </c>
      <c r="C1188" t="s">
        <v>115</v>
      </c>
      <c r="D1188" t="s">
        <v>99</v>
      </c>
      <c r="E1188" t="str" cm="1">
        <f t="array" ref="E1188">_xlfn.LET(_xlpm.c,'RC1_Arch'!C332, _xlpm.b, 'RC1_Arch'!B332, IF(_xlpm.c&lt;&gt;"", _xlpm.c, _xlpm.b))</f>
        <v>ขนาด 1.70 x 2.70 ม.</v>
      </c>
      <c r="F1188" s="1205"/>
      <c r="G1188" s="1203">
        <f>'RC1_Arch'!F332</f>
        <v>0</v>
      </c>
      <c r="H1188" s="1203">
        <f>'RC1_Arch'!E332</f>
        <v>0</v>
      </c>
      <c r="I1188" s="1203">
        <f>'RC1_Arch'!I332</f>
        <v>0</v>
      </c>
      <c r="J1188" s="1203">
        <f>'RC1_Arch'!L332</f>
        <v>0</v>
      </c>
      <c r="K1188" s="1203">
        <f>'RC1_Arch'!M332</f>
        <v>0</v>
      </c>
    </row>
    <row r="1189" spans="1:11">
      <c r="A1189" t="s">
        <v>67</v>
      </c>
      <c r="B1189" t="s">
        <v>110</v>
      </c>
      <c r="C1189" t="s">
        <v>115</v>
      </c>
      <c r="D1189" t="s">
        <v>99</v>
      </c>
      <c r="E1189" t="str" cm="1">
        <f t="array" ref="E1189">_xlfn.LET(_xlpm.c,'RC1_Arch'!C333, _xlpm.b, 'RC1_Arch'!B333, IF(_xlpm.c&lt;&gt;"", _xlpm.c, _xlpm.b))</f>
        <v xml:space="preserve">บานเปิด/บานติดตาย วงกบอะลูมิเนียม ลูกฟักกระจกLaminated Glass + LOW - E  </v>
      </c>
      <c r="F1189" s="1205"/>
      <c r="G1189" s="1203" t="str">
        <f>'RC1_Arch'!F333</f>
        <v>ชุด</v>
      </c>
      <c r="H1189" s="1203">
        <f>'RC1_Arch'!E333</f>
        <v>2</v>
      </c>
      <c r="I1189" s="1203">
        <f>'RC1_Arch'!I333</f>
        <v>60675.532250299999</v>
      </c>
      <c r="J1189" s="1203">
        <f>'RC1_Arch'!L333</f>
        <v>14416.28208474</v>
      </c>
      <c r="K1189" s="1203">
        <f>'RC1_Arch'!M333</f>
        <v>75091.814335039991</v>
      </c>
    </row>
    <row r="1190" spans="1:11">
      <c r="A1190" t="s">
        <v>67</v>
      </c>
      <c r="B1190" t="s">
        <v>110</v>
      </c>
      <c r="C1190" t="s">
        <v>115</v>
      </c>
      <c r="D1190" t="s">
        <v>99</v>
      </c>
      <c r="E1190" t="str" cm="1">
        <f t="array" ref="E1190">_xlfn.LET(_xlpm.c,'RC1_Arch'!C334, _xlpm.b, 'RC1_Arch'!B334, IF(_xlpm.c&lt;&gt;"", _xlpm.c, _xlpm.b))</f>
        <v>ขนาด 1.40 x 2.90 ม.</v>
      </c>
      <c r="F1190" s="1205"/>
      <c r="G1190" s="1203">
        <f>'RC1_Arch'!F334</f>
        <v>0</v>
      </c>
      <c r="H1190" s="1203">
        <f>'RC1_Arch'!E334</f>
        <v>0</v>
      </c>
      <c r="I1190" s="1203">
        <f>'RC1_Arch'!I334</f>
        <v>0</v>
      </c>
      <c r="J1190" s="1203">
        <f>'RC1_Arch'!L334</f>
        <v>0</v>
      </c>
      <c r="K1190" s="1203">
        <f>'RC1_Arch'!M334</f>
        <v>0</v>
      </c>
    </row>
    <row r="1191" spans="1:11">
      <c r="A1191" t="s">
        <v>67</v>
      </c>
      <c r="B1191" t="s">
        <v>110</v>
      </c>
      <c r="C1191" t="s">
        <v>115</v>
      </c>
      <c r="D1191" t="s">
        <v>99</v>
      </c>
      <c r="E1191" t="str" cm="1">
        <f t="array" ref="E1191">_xlfn.LET(_xlpm.c,'RC1_Arch'!C335, _xlpm.b, 'RC1_Arch'!B335, IF(_xlpm.c&lt;&gt;"", _xlpm.c, _xlpm.b))</f>
        <v xml:space="preserve">บานเปิด/บานติดตาย วงกบอะลูมิเนียม ลูกฟักกระจกLaminated Glass + LOW - E  </v>
      </c>
      <c r="F1191" s="1205"/>
      <c r="G1191" s="1203" t="str">
        <f>'RC1_Arch'!F335</f>
        <v>ชุด</v>
      </c>
      <c r="H1191" s="1203">
        <f>'RC1_Arch'!E335</f>
        <v>1</v>
      </c>
      <c r="I1191" s="1203">
        <f>'RC1_Arch'!I335</f>
        <v>29127.060204285001</v>
      </c>
      <c r="J1191" s="1203">
        <f>'RC1_Arch'!L335</f>
        <v>6955.7158696799997</v>
      </c>
      <c r="K1191" s="1203">
        <f>'RC1_Arch'!M335</f>
        <v>36082.776073964997</v>
      </c>
    </row>
    <row r="1192" spans="1:11">
      <c r="A1192" t="s">
        <v>67</v>
      </c>
      <c r="B1192" t="s">
        <v>110</v>
      </c>
      <c r="C1192" t="s">
        <v>115</v>
      </c>
      <c r="D1192" t="s">
        <v>99</v>
      </c>
      <c r="E1192" t="str" cm="1">
        <f t="array" ref="E1192">_xlfn.LET(_xlpm.c,'RC1_Arch'!C336, _xlpm.b, 'RC1_Arch'!B336, IF(_xlpm.c&lt;&gt;"", _xlpm.c, _xlpm.b))</f>
        <v>ขนาด 1.25 x 2.90 ม.</v>
      </c>
      <c r="F1192" s="1205"/>
      <c r="G1192" s="1203">
        <f>'RC1_Arch'!F336</f>
        <v>0</v>
      </c>
      <c r="H1192" s="1203">
        <f>'RC1_Arch'!E336</f>
        <v>0</v>
      </c>
      <c r="I1192" s="1203">
        <f>'RC1_Arch'!I336</f>
        <v>0</v>
      </c>
      <c r="J1192" s="1203">
        <f>'RC1_Arch'!L336</f>
        <v>0</v>
      </c>
      <c r="K1192" s="1203">
        <f>'RC1_Arch'!M336</f>
        <v>0</v>
      </c>
    </row>
    <row r="1193" spans="1:11">
      <c r="A1193" t="s">
        <v>67</v>
      </c>
      <c r="B1193" t="s">
        <v>110</v>
      </c>
      <c r="C1193" t="s">
        <v>115</v>
      </c>
      <c r="D1193" t="s">
        <v>99</v>
      </c>
      <c r="E1193" t="str" cm="1">
        <f t="array" ref="E1193">_xlfn.LET(_xlpm.c,'RC1_Arch'!C337, _xlpm.b, 'RC1_Arch'!B337, IF(_xlpm.c&lt;&gt;"", _xlpm.c, _xlpm.b))</f>
        <v xml:space="preserve">บานเปิด/บานติดตาย วงกบอะลูมิเนียม ลูกฟักกระจกLaminated Glass + LOW - E  </v>
      </c>
      <c r="F1193" s="1205"/>
      <c r="G1193" s="1203" t="str">
        <f>'RC1_Arch'!F337</f>
        <v>ชุด</v>
      </c>
      <c r="H1193" s="1203">
        <f>'RC1_Arch'!E337</f>
        <v>2</v>
      </c>
      <c r="I1193" s="1203">
        <f>'RC1_Arch'!I337</f>
        <v>56515.191441149997</v>
      </c>
      <c r="J1193" s="1203">
        <f>'RC1_Arch'!L337</f>
        <v>13556.166681499999</v>
      </c>
      <c r="K1193" s="1203">
        <f>'RC1_Arch'!M337</f>
        <v>70071.358122649995</v>
      </c>
    </row>
    <row r="1194" spans="1:11">
      <c r="A1194" t="s">
        <v>67</v>
      </c>
      <c r="B1194" t="s">
        <v>110</v>
      </c>
      <c r="C1194" t="s">
        <v>115</v>
      </c>
      <c r="D1194" t="s">
        <v>99</v>
      </c>
      <c r="E1194" t="str" cm="1">
        <f t="array" ref="E1194">_xlfn.LET(_xlpm.c,'RC1_Arch'!C338, _xlpm.b, 'RC1_Arch'!B338, IF(_xlpm.c&lt;&gt;"", _xlpm.c, _xlpm.b))</f>
        <v>ขนาด 1.15 x 2.90 ม.</v>
      </c>
      <c r="F1194" s="1205"/>
      <c r="G1194" s="1203">
        <f>'RC1_Arch'!F338</f>
        <v>0</v>
      </c>
      <c r="H1194" s="1203">
        <f>'RC1_Arch'!E338</f>
        <v>0</v>
      </c>
      <c r="I1194" s="1203">
        <f>'RC1_Arch'!I338</f>
        <v>0</v>
      </c>
      <c r="J1194" s="1203">
        <f>'RC1_Arch'!L338</f>
        <v>0</v>
      </c>
      <c r="K1194" s="1203">
        <f>'RC1_Arch'!M338</f>
        <v>0</v>
      </c>
    </row>
    <row r="1195" spans="1:11">
      <c r="A1195" t="s">
        <v>67</v>
      </c>
      <c r="B1195" t="s">
        <v>110</v>
      </c>
      <c r="C1195" t="s">
        <v>115</v>
      </c>
      <c r="D1195" t="s">
        <v>99</v>
      </c>
      <c r="E1195" t="str" cm="1">
        <f t="array" ref="E1195">_xlfn.LET(_xlpm.c,'RC1_Arch'!C339, _xlpm.b, 'RC1_Arch'!B339, IF(_xlpm.c&lt;&gt;"", _xlpm.c, _xlpm.b))</f>
        <v xml:space="preserve">บานเปิด/บานติดตาย วงกบอะลูมิเนียม ลูกฟักกระจกLaminated Glass + LOW - E  </v>
      </c>
      <c r="F1195" s="1205"/>
      <c r="G1195" s="1203" t="str">
        <f>'RC1_Arch'!F339</f>
        <v>ชุด</v>
      </c>
      <c r="H1195" s="1203">
        <f>'RC1_Arch'!E339</f>
        <v>2</v>
      </c>
      <c r="I1195" s="1203">
        <f>'RC1_Arch'!I339</f>
        <v>54075.081438479996</v>
      </c>
      <c r="J1195" s="1203">
        <f>'RC1_Arch'!L339</f>
        <v>12864.334726719999</v>
      </c>
      <c r="K1195" s="1203">
        <f>'RC1_Arch'!M339</f>
        <v>66939.416165199989</v>
      </c>
    </row>
    <row r="1196" spans="1:11">
      <c r="A1196" t="s">
        <v>67</v>
      </c>
      <c r="B1196" t="s">
        <v>110</v>
      </c>
      <c r="C1196" t="s">
        <v>115</v>
      </c>
      <c r="D1196" t="s">
        <v>99</v>
      </c>
      <c r="E1196" t="str" cm="1">
        <f t="array" ref="E1196">_xlfn.LET(_xlpm.c,'RC1_Arch'!C340, _xlpm.b, 'RC1_Arch'!B340, IF(_xlpm.c&lt;&gt;"", _xlpm.c, _xlpm.b))</f>
        <v>ขนาด 1.10 x 2.90 ม.</v>
      </c>
      <c r="F1196" s="1205"/>
      <c r="G1196" s="1203">
        <f>'RC1_Arch'!F340</f>
        <v>0</v>
      </c>
      <c r="H1196" s="1203">
        <f>'RC1_Arch'!E340</f>
        <v>0</v>
      </c>
      <c r="I1196" s="1203">
        <f>'RC1_Arch'!I340</f>
        <v>0</v>
      </c>
      <c r="J1196" s="1203">
        <f>'RC1_Arch'!L340</f>
        <v>0</v>
      </c>
      <c r="K1196" s="1203">
        <f>'RC1_Arch'!M340</f>
        <v>0</v>
      </c>
    </row>
    <row r="1197" spans="1:11">
      <c r="A1197" t="s">
        <v>67</v>
      </c>
      <c r="B1197" t="s">
        <v>110</v>
      </c>
      <c r="C1197" t="s">
        <v>115</v>
      </c>
      <c r="D1197" t="s">
        <v>99</v>
      </c>
      <c r="E1197" t="str" cm="1">
        <f t="array" ref="E1197">_xlfn.LET(_xlpm.c,'RC1_Arch'!C341, _xlpm.b, 'RC1_Arch'!B341, IF(_xlpm.c&lt;&gt;"", _xlpm.c, _xlpm.b))</f>
        <v xml:space="preserve">บานเปิด/บานติดตาย วงกบอะลูมิเนียม ลูกฟักกระจกLaminated Glass + LOW - E  </v>
      </c>
      <c r="F1197" s="1205"/>
      <c r="G1197" s="1203" t="str">
        <f>'RC1_Arch'!F341</f>
        <v>ชุด</v>
      </c>
      <c r="H1197" s="1203">
        <f>'RC1_Arch'!E341</f>
        <v>2</v>
      </c>
      <c r="I1197" s="1203">
        <f>'RC1_Arch'!I341</f>
        <v>48858.294536219997</v>
      </c>
      <c r="J1197" s="1203">
        <f>'RC1_Arch'!L341</f>
        <v>11985.521162539999</v>
      </c>
      <c r="K1197" s="1203">
        <f>'RC1_Arch'!M341</f>
        <v>60843.815698759994</v>
      </c>
    </row>
    <row r="1198" spans="1:11">
      <c r="A1198" t="s">
        <v>67</v>
      </c>
      <c r="B1198" t="s">
        <v>110</v>
      </c>
      <c r="C1198" t="s">
        <v>115</v>
      </c>
      <c r="D1198" t="s">
        <v>99</v>
      </c>
      <c r="E1198" t="str" cm="1">
        <f t="array" ref="E1198">_xlfn.LET(_xlpm.c,'RC1_Arch'!C342, _xlpm.b, 'RC1_Arch'!B342, IF(_xlpm.c&lt;&gt;"", _xlpm.c, _xlpm.b))</f>
        <v>ขนาด 0.85 x 2.90 ม.</v>
      </c>
      <c r="F1198" s="1205"/>
      <c r="G1198" s="1203">
        <f>'RC1_Arch'!F342</f>
        <v>0</v>
      </c>
      <c r="H1198" s="1203">
        <f>'RC1_Arch'!E342</f>
        <v>0</v>
      </c>
      <c r="I1198" s="1203">
        <f>'RC1_Arch'!I342</f>
        <v>0</v>
      </c>
      <c r="J1198" s="1203">
        <f>'RC1_Arch'!L342</f>
        <v>0</v>
      </c>
      <c r="K1198" s="1203">
        <f>'RC1_Arch'!M342</f>
        <v>0</v>
      </c>
    </row>
    <row r="1199" spans="1:11">
      <c r="A1199" t="s">
        <v>67</v>
      </c>
      <c r="B1199" t="s">
        <v>110</v>
      </c>
      <c r="C1199" t="s">
        <v>115</v>
      </c>
      <c r="D1199" t="s">
        <v>99</v>
      </c>
      <c r="E1199" t="str" cm="1">
        <f t="array" ref="E1199">_xlfn.LET(_xlpm.c,'RC1_Arch'!C343, _xlpm.b, 'RC1_Arch'!B343, IF(_xlpm.c&lt;&gt;"", _xlpm.c, _xlpm.b))</f>
        <v>บานติดตาย วงกบอะลูมิเนียม ลูกฟักกระจก Temper Laminate Clear - Clear</v>
      </c>
      <c r="F1199" s="1205"/>
      <c r="G1199" s="1203" t="str">
        <f>'RC1_Arch'!F343</f>
        <v>ชุด</v>
      </c>
      <c r="H1199" s="1203">
        <f>'RC1_Arch'!E343</f>
        <v>1</v>
      </c>
      <c r="I1199" s="1203">
        <f>'RC1_Arch'!I343</f>
        <v>327610.47782973998</v>
      </c>
      <c r="J1199" s="1203">
        <f>'RC1_Arch'!L343</f>
        <v>126418.26611534</v>
      </c>
      <c r="K1199" s="1203">
        <f>'RC1_Arch'!M343</f>
        <v>454028.74394507997</v>
      </c>
    </row>
    <row r="1200" spans="1:11">
      <c r="A1200" t="s">
        <v>67</v>
      </c>
      <c r="B1200" t="s">
        <v>110</v>
      </c>
      <c r="C1200" t="s">
        <v>115</v>
      </c>
      <c r="D1200" t="s">
        <v>99</v>
      </c>
      <c r="E1200" t="str" cm="1">
        <f t="array" ref="E1200">_xlfn.LET(_xlpm.c,'RC1_Arch'!C344, _xlpm.b, 'RC1_Arch'!B344, IF(_xlpm.c&lt;&gt;"", _xlpm.c, _xlpm.b))</f>
        <v>ขนาด 6.00 + 6.00 + 6.00 +6.00 + 1.76  x 2.90 ม.</v>
      </c>
      <c r="F1200" s="1205"/>
      <c r="G1200" s="1203">
        <f>'RC1_Arch'!F344</f>
        <v>0</v>
      </c>
      <c r="H1200" s="1203">
        <f>'RC1_Arch'!E344</f>
        <v>0</v>
      </c>
      <c r="I1200" s="1203">
        <f>'RC1_Arch'!I344</f>
        <v>0</v>
      </c>
      <c r="J1200" s="1203">
        <f>'RC1_Arch'!L344</f>
        <v>0</v>
      </c>
      <c r="K1200" s="1203">
        <f>'RC1_Arch'!M344</f>
        <v>0</v>
      </c>
    </row>
    <row r="1201" spans="1:11">
      <c r="A1201" t="s">
        <v>67</v>
      </c>
      <c r="B1201" t="s">
        <v>110</v>
      </c>
      <c r="C1201" t="s">
        <v>115</v>
      </c>
      <c r="D1201" t="s">
        <v>99</v>
      </c>
      <c r="E1201" t="str" cm="1">
        <f t="array" ref="E1201">_xlfn.LET(_xlpm.c,'RC1_Arch'!C345, _xlpm.b, 'RC1_Arch'!B345, IF(_xlpm.c&lt;&gt;"", _xlpm.c, _xlpm.b))</f>
        <v>บานกระทุ้ง/บานติดตาย วงกบอะลูมิเนียม ลูกฟักกระจก Laminated Glass + LOW-E</v>
      </c>
      <c r="F1201" s="1205"/>
      <c r="G1201" s="1203" t="str">
        <f>'RC1_Arch'!F345</f>
        <v>ชุด</v>
      </c>
      <c r="H1201" s="1203">
        <f>'RC1_Arch'!E345</f>
        <v>1</v>
      </c>
      <c r="I1201" s="1203">
        <f>'RC1_Arch'!I345</f>
        <v>36162.243257959999</v>
      </c>
      <c r="J1201" s="1203">
        <f>'RC1_Arch'!L345</f>
        <v>10171.79955136</v>
      </c>
      <c r="K1201" s="1203">
        <f>'RC1_Arch'!M345</f>
        <v>46334.042809320003</v>
      </c>
    </row>
    <row r="1202" spans="1:11">
      <c r="A1202" t="s">
        <v>67</v>
      </c>
      <c r="B1202" t="s">
        <v>110</v>
      </c>
      <c r="C1202" t="s">
        <v>115</v>
      </c>
      <c r="D1202" t="s">
        <v>99</v>
      </c>
      <c r="E1202" t="str" cm="1">
        <f t="array" ref="E1202">_xlfn.LET(_xlpm.c,'RC1_Arch'!C346, _xlpm.b, 'RC1_Arch'!B346, IF(_xlpm.c&lt;&gt;"", _xlpm.c, _xlpm.b))</f>
        <v>ขนาด 2.50 x 2.40 ม.</v>
      </c>
      <c r="F1202" s="1205"/>
      <c r="G1202" s="1203">
        <f>'RC1_Arch'!F346</f>
        <v>0</v>
      </c>
      <c r="H1202" s="1203">
        <f>'RC1_Arch'!E346</f>
        <v>0</v>
      </c>
      <c r="I1202" s="1203">
        <f>'RC1_Arch'!I346</f>
        <v>0</v>
      </c>
      <c r="J1202" s="1203">
        <f>'RC1_Arch'!L346</f>
        <v>0</v>
      </c>
      <c r="K1202" s="1203">
        <f>'RC1_Arch'!M346</f>
        <v>0</v>
      </c>
    </row>
    <row r="1203" spans="1:11">
      <c r="A1203" t="s">
        <v>67</v>
      </c>
      <c r="B1203" t="s">
        <v>110</v>
      </c>
      <c r="C1203" t="s">
        <v>115</v>
      </c>
      <c r="D1203" t="s">
        <v>99</v>
      </c>
      <c r="E1203" t="str" cm="1">
        <f t="array" ref="E1203">_xlfn.LET(_xlpm.c,'RC1_Arch'!C347, _xlpm.b, 'RC1_Arch'!B347, IF(_xlpm.c&lt;&gt;"", _xlpm.c, _xlpm.b))</f>
        <v>บานติดตาย วงกบอะลูมิเนียม ลูกฟักกระจก Laminated Glass + LOW-E</v>
      </c>
      <c r="F1203" s="1205"/>
      <c r="G1203" s="1203" t="str">
        <f>'RC1_Arch'!F347</f>
        <v>ชุด</v>
      </c>
      <c r="H1203" s="1203">
        <f>'RC1_Arch'!E347</f>
        <v>1</v>
      </c>
      <c r="I1203" s="1203">
        <f>'RC1_Arch'!I347</f>
        <v>52513.784999989999</v>
      </c>
      <c r="J1203" s="1203">
        <f>'RC1_Arch'!L347</f>
        <v>15033.32139576</v>
      </c>
      <c r="K1203" s="1203">
        <f>'RC1_Arch'!M347</f>
        <v>67547.106395750001</v>
      </c>
    </row>
    <row r="1204" spans="1:11">
      <c r="A1204" t="s">
        <v>67</v>
      </c>
      <c r="B1204" t="s">
        <v>110</v>
      </c>
      <c r="C1204" t="s">
        <v>115</v>
      </c>
      <c r="D1204" t="s">
        <v>99</v>
      </c>
      <c r="E1204" t="str" cm="1">
        <f t="array" ref="E1204">_xlfn.LET(_xlpm.c,'RC1_Arch'!C348, _xlpm.b, 'RC1_Arch'!B348, IF(_xlpm.c&lt;&gt;"", _xlpm.c, _xlpm.b))</f>
        <v>ขนาด 6.00 x 2.75 ม.</v>
      </c>
      <c r="F1204" s="1205"/>
      <c r="G1204" s="1203">
        <f>'RC1_Arch'!F348</f>
        <v>0</v>
      </c>
      <c r="H1204" s="1203">
        <f>'RC1_Arch'!E348</f>
        <v>0</v>
      </c>
      <c r="I1204" s="1203">
        <f>'RC1_Arch'!I348</f>
        <v>0</v>
      </c>
      <c r="J1204" s="1203">
        <f>'RC1_Arch'!L348</f>
        <v>0</v>
      </c>
      <c r="K1204" s="1203">
        <f>'RC1_Arch'!M348</f>
        <v>0</v>
      </c>
    </row>
    <row r="1205" spans="1:11">
      <c r="A1205" t="s">
        <v>67</v>
      </c>
      <c r="B1205" t="s">
        <v>110</v>
      </c>
      <c r="C1205" t="s">
        <v>115</v>
      </c>
      <c r="D1205" t="s">
        <v>99</v>
      </c>
      <c r="E1205" t="str" cm="1">
        <f t="array" ref="E1205">_xlfn.LET(_xlpm.c,'RC1_Arch'!C349, _xlpm.b, 'RC1_Arch'!B349, IF(_xlpm.c&lt;&gt;"", _xlpm.c, _xlpm.b))</f>
        <v xml:space="preserve">บานเปิด/บานติดตาย วงกบอะลูมิเนียม ลูกฟักกระจกLaminated Glass + LOW - E  </v>
      </c>
      <c r="F1205" s="1205"/>
      <c r="G1205" s="1203" t="str">
        <f>'RC1_Arch'!F349</f>
        <v>ชุด</v>
      </c>
      <c r="H1205" s="1203">
        <f>'RC1_Arch'!E349</f>
        <v>1</v>
      </c>
      <c r="I1205" s="1203">
        <f>'RC1_Arch'!I349</f>
        <v>28327.713824099999</v>
      </c>
      <c r="J1205" s="1203">
        <f>'RC1_Arch'!L349</f>
        <v>6955.7158696799997</v>
      </c>
      <c r="K1205" s="1203">
        <f>'RC1_Arch'!M349</f>
        <v>35283.429693779995</v>
      </c>
    </row>
    <row r="1206" spans="1:11">
      <c r="A1206" t="s">
        <v>67</v>
      </c>
      <c r="B1206" t="s">
        <v>110</v>
      </c>
      <c r="C1206" t="s">
        <v>115</v>
      </c>
      <c r="D1206" t="s">
        <v>99</v>
      </c>
      <c r="E1206" t="str" cm="1">
        <f t="array" ref="E1206">_xlfn.LET(_xlpm.c,'RC1_Arch'!C350, _xlpm.b, 'RC1_Arch'!B350, IF(_xlpm.c&lt;&gt;"", _xlpm.c, _xlpm.b))</f>
        <v>ขนาด 1.70 x 2.45 ม.</v>
      </c>
      <c r="F1206" s="1205"/>
      <c r="G1206" s="1203">
        <f>'RC1_Arch'!F350</f>
        <v>0</v>
      </c>
      <c r="H1206" s="1203">
        <f>'RC1_Arch'!E350</f>
        <v>0</v>
      </c>
      <c r="I1206" s="1203">
        <f>'RC1_Arch'!I350</f>
        <v>0</v>
      </c>
      <c r="J1206" s="1203">
        <f>'RC1_Arch'!L350</f>
        <v>0</v>
      </c>
      <c r="K1206" s="1203">
        <f>'RC1_Arch'!M350</f>
        <v>0</v>
      </c>
    </row>
    <row r="1207" spans="1:11">
      <c r="A1207" t="s">
        <v>67</v>
      </c>
      <c r="B1207" t="s">
        <v>110</v>
      </c>
      <c r="C1207" t="s">
        <v>115</v>
      </c>
      <c r="D1207" t="s">
        <v>99</v>
      </c>
      <c r="E1207" t="str" cm="1">
        <f t="array" ref="E1207">_xlfn.LET(_xlpm.c,'RC1_Arch'!C351, _xlpm.b, 'RC1_Arch'!B351, IF(_xlpm.c&lt;&gt;"", _xlpm.c, _xlpm.b))</f>
        <v xml:space="preserve">บานเปิด/บานติดตาย วงกบอะลูมิเนียม ลูกฟักกระจกLaminated Glass + LOW - E  </v>
      </c>
      <c r="F1207" s="1205"/>
      <c r="G1207" s="1203" t="str">
        <f>'RC1_Arch'!F351</f>
        <v>ชุด</v>
      </c>
      <c r="H1207" s="1203">
        <f>'RC1_Arch'!E351</f>
        <v>4</v>
      </c>
      <c r="I1207" s="1203">
        <f>'RC1_Arch'!I351</f>
        <v>104335.73804519999</v>
      </c>
      <c r="J1207" s="1203">
        <f>'RC1_Arch'!L351</f>
        <v>25728.669453439998</v>
      </c>
      <c r="K1207" s="1203">
        <f>'RC1_Arch'!M351</f>
        <v>130064.40749863999</v>
      </c>
    </row>
    <row r="1208" spans="1:11">
      <c r="A1208" t="s">
        <v>67</v>
      </c>
      <c r="B1208" t="s">
        <v>110</v>
      </c>
      <c r="C1208" t="s">
        <v>115</v>
      </c>
      <c r="D1208" t="s">
        <v>99</v>
      </c>
      <c r="E1208" t="str" cm="1">
        <f t="array" ref="E1208">_xlfn.LET(_xlpm.c,'RC1_Arch'!C352, _xlpm.b, 'RC1_Arch'!B352, IF(_xlpm.c&lt;&gt;"", _xlpm.c, _xlpm.b))</f>
        <v>ขนาด 1.40 x 2.45 ม.</v>
      </c>
      <c r="F1208" s="1205"/>
      <c r="G1208" s="1203">
        <f>'RC1_Arch'!F352</f>
        <v>0</v>
      </c>
      <c r="H1208" s="1203">
        <f>'RC1_Arch'!E352</f>
        <v>0</v>
      </c>
      <c r="I1208" s="1203">
        <f>'RC1_Arch'!I352</f>
        <v>0</v>
      </c>
      <c r="J1208" s="1203">
        <f>'RC1_Arch'!L352</f>
        <v>0</v>
      </c>
      <c r="K1208" s="1203">
        <f>'RC1_Arch'!M352</f>
        <v>0</v>
      </c>
    </row>
    <row r="1209" spans="1:11">
      <c r="A1209" t="s">
        <v>67</v>
      </c>
      <c r="B1209" t="s">
        <v>110</v>
      </c>
      <c r="C1209" t="s">
        <v>115</v>
      </c>
      <c r="D1209" t="s">
        <v>99</v>
      </c>
      <c r="E1209" t="str" cm="1">
        <f t="array" ref="E1209">_xlfn.LET(_xlpm.c,'RC1_Arch'!C353, _xlpm.b, 'RC1_Arch'!B353, IF(_xlpm.c&lt;&gt;"", _xlpm.c, _xlpm.b))</f>
        <v xml:space="preserve">บานเปิด/บานติดตาย วงกบอะลูมิเนียม ลูกฟักกระจกLaminated Glass + LOW - E  </v>
      </c>
      <c r="F1209" s="1205"/>
      <c r="G1209" s="1203" t="str">
        <f>'RC1_Arch'!F353</f>
        <v>ชุด</v>
      </c>
      <c r="H1209" s="1203">
        <f>'RC1_Arch'!E353</f>
        <v>4</v>
      </c>
      <c r="I1209" s="1203">
        <f>'RC1_Arch'!I353</f>
        <v>99436.819878919996</v>
      </c>
      <c r="J1209" s="1203">
        <f>'RC1_Arch'!L353</f>
        <v>24681.572440799999</v>
      </c>
      <c r="K1209" s="1203">
        <f>'RC1_Arch'!M353</f>
        <v>124118.39231971999</v>
      </c>
    </row>
    <row r="1210" spans="1:11">
      <c r="A1210" t="s">
        <v>67</v>
      </c>
      <c r="B1210" t="s">
        <v>110</v>
      </c>
      <c r="C1210" t="s">
        <v>115</v>
      </c>
      <c r="D1210" t="s">
        <v>99</v>
      </c>
      <c r="E1210" t="str" cm="1">
        <f t="array" ref="E1210">_xlfn.LET(_xlpm.c,'RC1_Arch'!C354, _xlpm.b, 'RC1_Arch'!B354, IF(_xlpm.c&lt;&gt;"", _xlpm.c, _xlpm.b))</f>
        <v>ขนาด 1.25 x 2.45 ม.</v>
      </c>
      <c r="F1210" s="1205"/>
      <c r="G1210" s="1203">
        <f>'RC1_Arch'!F354</f>
        <v>0</v>
      </c>
      <c r="H1210" s="1203">
        <f>'RC1_Arch'!E354</f>
        <v>0</v>
      </c>
      <c r="I1210" s="1203">
        <f>'RC1_Arch'!I354</f>
        <v>0</v>
      </c>
      <c r="J1210" s="1203">
        <f>'RC1_Arch'!L354</f>
        <v>0</v>
      </c>
      <c r="K1210" s="1203">
        <f>'RC1_Arch'!M354</f>
        <v>0</v>
      </c>
    </row>
    <row r="1211" spans="1:11">
      <c r="A1211" t="s">
        <v>67</v>
      </c>
      <c r="B1211" t="s">
        <v>110</v>
      </c>
      <c r="C1211" t="s">
        <v>115</v>
      </c>
      <c r="D1211" t="s">
        <v>99</v>
      </c>
      <c r="E1211" cm="1">
        <f t="array" ref="E1211">_xlfn.LET(_xlpm.c,'RC1_Arch'!C355, _xlpm.b, 'RC1_Arch'!B355, IF(_xlpm.c&lt;&gt;"", _xlpm.c, _xlpm.b))</f>
        <v>0</v>
      </c>
      <c r="F1211" s="1205"/>
      <c r="G1211" s="1203">
        <f>'RC1_Arch'!F355</f>
        <v>0</v>
      </c>
      <c r="H1211" s="1203">
        <f>'RC1_Arch'!E355</f>
        <v>0</v>
      </c>
      <c r="I1211" s="1203">
        <f>'RC1_Arch'!I355</f>
        <v>0</v>
      </c>
      <c r="J1211" s="1203">
        <f>'RC1_Arch'!L355</f>
        <v>0</v>
      </c>
      <c r="K1211" s="1203">
        <f>'RC1_Arch'!M355</f>
        <v>0</v>
      </c>
    </row>
    <row r="1212" spans="1:11">
      <c r="A1212" t="s">
        <v>67</v>
      </c>
      <c r="B1212" t="s">
        <v>110</v>
      </c>
      <c r="C1212" t="s">
        <v>115</v>
      </c>
      <c r="D1212" t="s">
        <v>99</v>
      </c>
      <c r="E1212" cm="1">
        <f t="array" ref="E1212">_xlfn.LET(_xlpm.c,'RC1_Arch'!C356, _xlpm.b, 'RC1_Arch'!B356, IF(_xlpm.c&lt;&gt;"", _xlpm.c, _xlpm.b))</f>
        <v>0</v>
      </c>
      <c r="F1212" s="1205"/>
      <c r="G1212" s="1203">
        <f>'RC1_Arch'!F356</f>
        <v>0</v>
      </c>
      <c r="H1212" s="1203">
        <f>'RC1_Arch'!E356</f>
        <v>0</v>
      </c>
      <c r="I1212" s="1203">
        <f>'RC1_Arch'!I356</f>
        <v>0</v>
      </c>
      <c r="J1212" s="1203">
        <f>'RC1_Arch'!L356</f>
        <v>0</v>
      </c>
      <c r="K1212" s="1203">
        <f>'RC1_Arch'!M356</f>
        <v>0</v>
      </c>
    </row>
    <row r="1213" spans="1:11">
      <c r="A1213" t="s">
        <v>67</v>
      </c>
      <c r="B1213" t="s">
        <v>110</v>
      </c>
      <c r="C1213" t="s">
        <v>115</v>
      </c>
      <c r="D1213" t="s">
        <v>99</v>
      </c>
      <c r="E1213" t="str" cm="1">
        <f t="array" ref="E1213">_xlfn.LET(_xlpm.c,'RC1_Arch'!C357, _xlpm.b, 'RC1_Arch'!B357, IF(_xlpm.c&lt;&gt;"", _xlpm.c, _xlpm.b))</f>
        <v xml:space="preserve">บานเปิด/บานติดตาย วงกบอะลูมิเนียม ลูกฟักกระจกLaminated Glass + LOW - E  </v>
      </c>
      <c r="F1213" s="1205"/>
      <c r="G1213" s="1203" t="str">
        <f>'RC1_Arch'!F357</f>
        <v>ชุด</v>
      </c>
      <c r="H1213" s="1203">
        <f>'RC1_Arch'!E357</f>
        <v>4</v>
      </c>
      <c r="I1213" s="1203">
        <f>'RC1_Arch'!I357</f>
        <v>96669.492059800003</v>
      </c>
      <c r="J1213" s="1203">
        <f>'RC1_Arch'!L357</f>
        <v>23971.042325079998</v>
      </c>
      <c r="K1213" s="1203">
        <f>'RC1_Arch'!M357</f>
        <v>120640.53438488</v>
      </c>
    </row>
    <row r="1214" spans="1:11">
      <c r="A1214" t="s">
        <v>67</v>
      </c>
      <c r="B1214" t="s">
        <v>110</v>
      </c>
      <c r="C1214" t="s">
        <v>115</v>
      </c>
      <c r="D1214" t="s">
        <v>99</v>
      </c>
      <c r="E1214" t="str" cm="1">
        <f t="array" ref="E1214">_xlfn.LET(_xlpm.c,'RC1_Arch'!C358, _xlpm.b, 'RC1_Arch'!B358, IF(_xlpm.c&lt;&gt;"", _xlpm.c, _xlpm.b))</f>
        <v>ขนาด 1.15 x 2.45 ม.</v>
      </c>
      <c r="F1214" s="1205"/>
      <c r="G1214" s="1203">
        <f>'RC1_Arch'!F358</f>
        <v>0</v>
      </c>
      <c r="H1214" s="1203">
        <f>'RC1_Arch'!E358</f>
        <v>0</v>
      </c>
      <c r="I1214" s="1203">
        <f>'RC1_Arch'!I358</f>
        <v>0</v>
      </c>
      <c r="J1214" s="1203">
        <f>'RC1_Arch'!L358</f>
        <v>0</v>
      </c>
      <c r="K1214" s="1203">
        <f>'RC1_Arch'!M358</f>
        <v>0</v>
      </c>
    </row>
    <row r="1215" spans="1:11">
      <c r="A1215" t="s">
        <v>67</v>
      </c>
      <c r="B1215" t="s">
        <v>110</v>
      </c>
      <c r="C1215" t="s">
        <v>115</v>
      </c>
      <c r="D1215" t="s">
        <v>99</v>
      </c>
      <c r="E1215" t="str" cm="1">
        <f t="array" ref="E1215">_xlfn.LET(_xlpm.c,'RC1_Arch'!C359, _xlpm.b, 'RC1_Arch'!B359, IF(_xlpm.c&lt;&gt;"", _xlpm.c, _xlpm.b))</f>
        <v xml:space="preserve">บานเปิด/บานติดตาย วงกบอะลูมิเนียม ลูกฟักกระจกLaminated Glass + LOW - E  </v>
      </c>
      <c r="F1215" s="1205"/>
      <c r="G1215" s="1203" t="str">
        <f>'RC1_Arch'!F359</f>
        <v>ชุด</v>
      </c>
      <c r="H1215" s="1203">
        <f>'RC1_Arch'!E359</f>
        <v>4</v>
      </c>
      <c r="I1215" s="1203">
        <f>'RC1_Arch'!I359</f>
        <v>89713.776190119999</v>
      </c>
      <c r="J1215" s="1203">
        <f>'RC1_Arch'!L359</f>
        <v>22606.07657646</v>
      </c>
      <c r="K1215" s="1203">
        <f>'RC1_Arch'!M359</f>
        <v>112319.85276658001</v>
      </c>
    </row>
    <row r="1216" spans="1:11">
      <c r="A1216" t="s">
        <v>67</v>
      </c>
      <c r="B1216" t="s">
        <v>110</v>
      </c>
      <c r="C1216" t="s">
        <v>115</v>
      </c>
      <c r="D1216" t="s">
        <v>99</v>
      </c>
      <c r="E1216" t="str" cm="1">
        <f t="array" ref="E1216">_xlfn.LET(_xlpm.c,'RC1_Arch'!C360, _xlpm.b, 'RC1_Arch'!B360, IF(_xlpm.c&lt;&gt;"", _xlpm.c, _xlpm.b))</f>
        <v>ขนาด 1.10 x 2.45 ม.</v>
      </c>
      <c r="F1216" s="1205"/>
      <c r="G1216" s="1203">
        <f>'RC1_Arch'!F360</f>
        <v>0</v>
      </c>
      <c r="H1216" s="1203">
        <f>'RC1_Arch'!E360</f>
        <v>0</v>
      </c>
      <c r="I1216" s="1203">
        <f>'RC1_Arch'!I360</f>
        <v>0</v>
      </c>
      <c r="J1216" s="1203">
        <f>'RC1_Arch'!L360</f>
        <v>0</v>
      </c>
      <c r="K1216" s="1203">
        <f>'RC1_Arch'!M360</f>
        <v>0</v>
      </c>
    </row>
    <row r="1217" spans="1:11">
      <c r="A1217" t="s">
        <v>67</v>
      </c>
      <c r="B1217" t="s">
        <v>110</v>
      </c>
      <c r="C1217" t="s">
        <v>115</v>
      </c>
      <c r="D1217" t="s">
        <v>99</v>
      </c>
      <c r="E1217" t="str" cm="1">
        <f t="array" ref="E1217">_xlfn.LET(_xlpm.c,'RC1_Arch'!C361, _xlpm.b, 'RC1_Arch'!B361, IF(_xlpm.c&lt;&gt;"", _xlpm.c, _xlpm.b))</f>
        <v xml:space="preserve">บานเปิด/บานติดตาย วงกบอะลูมิเนียม ลูกฟักกระจกLaminated Glass + LOW - E  </v>
      </c>
      <c r="F1217" s="1205"/>
      <c r="G1217" s="1203" t="str">
        <f>'RC1_Arch'!F361</f>
        <v>ชุด</v>
      </c>
      <c r="H1217" s="1203">
        <f>'RC1_Arch'!E361</f>
        <v>4</v>
      </c>
      <c r="I1217" s="1203">
        <f>'RC1_Arch'!I361</f>
        <v>82421.493423519991</v>
      </c>
      <c r="J1217" s="1203">
        <f>'RC1_Arch'!L361</f>
        <v>21203.714505960001</v>
      </c>
      <c r="K1217" s="1203">
        <f>'RC1_Arch'!M361</f>
        <v>103625.20792947999</v>
      </c>
    </row>
    <row r="1218" spans="1:11">
      <c r="A1218" t="s">
        <v>67</v>
      </c>
      <c r="B1218" t="s">
        <v>110</v>
      </c>
      <c r="C1218" t="s">
        <v>115</v>
      </c>
      <c r="D1218" t="s">
        <v>99</v>
      </c>
      <c r="E1218" t="str" cm="1">
        <f t="array" ref="E1218">_xlfn.LET(_xlpm.c,'RC1_Arch'!C362, _xlpm.b, 'RC1_Arch'!B362, IF(_xlpm.c&lt;&gt;"", _xlpm.c, _xlpm.b))</f>
        <v>ขนาด 0.85 x 2.45 ม.</v>
      </c>
      <c r="F1218" s="1205"/>
      <c r="G1218" s="1203">
        <f>'RC1_Arch'!F362</f>
        <v>0</v>
      </c>
      <c r="H1218" s="1203">
        <f>'RC1_Arch'!E362</f>
        <v>0</v>
      </c>
      <c r="I1218" s="1203">
        <f>'RC1_Arch'!I362</f>
        <v>0</v>
      </c>
      <c r="J1218" s="1203">
        <f>'RC1_Arch'!L362</f>
        <v>0</v>
      </c>
      <c r="K1218" s="1203">
        <f>'RC1_Arch'!M362</f>
        <v>0</v>
      </c>
    </row>
    <row r="1219" spans="1:11">
      <c r="A1219" t="s">
        <v>67</v>
      </c>
      <c r="B1219" t="s">
        <v>110</v>
      </c>
      <c r="C1219" t="s">
        <v>115</v>
      </c>
      <c r="D1219" t="s">
        <v>99</v>
      </c>
      <c r="E1219" t="str" cm="1">
        <f t="array" ref="E1219">_xlfn.LET(_xlpm.c,'RC1_Arch'!C363, _xlpm.b, 'RC1_Arch'!B363, IF(_xlpm.c&lt;&gt;"", _xlpm.c, _xlpm.b))</f>
        <v xml:space="preserve">บานเปิด/บานติดตาย วงกบอะลูมิเนียม ลูกฟักกระจกLaminated Glass + LOW - E  </v>
      </c>
      <c r="F1219" s="1205"/>
      <c r="G1219" s="1203" t="str">
        <f>'RC1_Arch'!F363</f>
        <v>ชุด</v>
      </c>
      <c r="H1219" s="1203">
        <f>'RC1_Arch'!E363</f>
        <v>5</v>
      </c>
      <c r="I1219" s="1203">
        <f>'RC1_Arch'!I363</f>
        <v>99100.252982000005</v>
      </c>
      <c r="J1219" s="1203">
        <f>'RC1_Arch'!L363</f>
        <v>25639.853188974997</v>
      </c>
      <c r="K1219" s="1203">
        <f>'RC1_Arch'!M363</f>
        <v>124740.10617097501</v>
      </c>
    </row>
    <row r="1220" spans="1:11">
      <c r="A1220" t="s">
        <v>67</v>
      </c>
      <c r="B1220" t="s">
        <v>110</v>
      </c>
      <c r="C1220" t="s">
        <v>115</v>
      </c>
      <c r="D1220" t="s">
        <v>99</v>
      </c>
      <c r="E1220" t="str" cm="1">
        <f t="array" ref="E1220">_xlfn.LET(_xlpm.c,'RC1_Arch'!C364, _xlpm.b, 'RC1_Arch'!B364, IF(_xlpm.c&lt;&gt;"", _xlpm.c, _xlpm.b))</f>
        <v>ขนาด 0.75 x 2.45 ม.</v>
      </c>
      <c r="F1220" s="1205"/>
      <c r="G1220" s="1203">
        <f>'RC1_Arch'!F364</f>
        <v>0</v>
      </c>
      <c r="H1220" s="1203">
        <f>'RC1_Arch'!E364</f>
        <v>0</v>
      </c>
      <c r="I1220" s="1203">
        <f>'RC1_Arch'!I364</f>
        <v>0</v>
      </c>
      <c r="J1220" s="1203">
        <f>'RC1_Arch'!L364</f>
        <v>0</v>
      </c>
      <c r="K1220" s="1203">
        <f>'RC1_Arch'!M364</f>
        <v>0</v>
      </c>
    </row>
    <row r="1221" spans="1:11">
      <c r="A1221" t="s">
        <v>67</v>
      </c>
      <c r="B1221" t="s">
        <v>110</v>
      </c>
      <c r="C1221" t="s">
        <v>115</v>
      </c>
      <c r="D1221" t="s">
        <v>99</v>
      </c>
      <c r="E1221" t="str" cm="1">
        <f t="array" ref="E1221">_xlfn.LET(_xlpm.c,'RC1_Arch'!C365, _xlpm.b, 'RC1_Arch'!B365, IF(_xlpm.c&lt;&gt;"", _xlpm.c, _xlpm.b))</f>
        <v xml:space="preserve">บานเปิด/บานติดตาย วงกบอะลูมิเนียม ลูกฟักกระจกLaminated Glass + LOW - E  </v>
      </c>
      <c r="F1221" s="1205"/>
      <c r="G1221" s="1203" t="str">
        <f>'RC1_Arch'!F365</f>
        <v>ชุด</v>
      </c>
      <c r="H1221" s="1203">
        <f>'RC1_Arch'!E365</f>
        <v>4</v>
      </c>
      <c r="I1221" s="1203">
        <f>'RC1_Arch'!I365</f>
        <v>76138.911347679998</v>
      </c>
      <c r="J1221" s="1203">
        <f>'RC1_Arch'!L365</f>
        <v>19820.0505964</v>
      </c>
      <c r="K1221" s="1203">
        <f>'RC1_Arch'!M365</f>
        <v>95958.961944080002</v>
      </c>
    </row>
    <row r="1222" spans="1:11">
      <c r="A1222" t="s">
        <v>67</v>
      </c>
      <c r="B1222" t="s">
        <v>110</v>
      </c>
      <c r="C1222" t="s">
        <v>115</v>
      </c>
      <c r="D1222" t="s">
        <v>99</v>
      </c>
      <c r="E1222" t="str" cm="1">
        <f t="array" ref="E1222">_xlfn.LET(_xlpm.c,'RC1_Arch'!C366, _xlpm.b, 'RC1_Arch'!B366, IF(_xlpm.c&lt;&gt;"", _xlpm.c, _xlpm.b))</f>
        <v>ขนาด 0.65 x 2.45 ม.</v>
      </c>
      <c r="F1222" s="1205"/>
      <c r="G1222" s="1203">
        <f>'RC1_Arch'!F366</f>
        <v>0</v>
      </c>
      <c r="H1222" s="1203">
        <f>'RC1_Arch'!E366</f>
        <v>0</v>
      </c>
      <c r="I1222" s="1203">
        <f>'RC1_Arch'!I366</f>
        <v>0</v>
      </c>
      <c r="J1222" s="1203">
        <f>'RC1_Arch'!L366</f>
        <v>0</v>
      </c>
      <c r="K1222" s="1203">
        <f>'RC1_Arch'!M366</f>
        <v>0</v>
      </c>
    </row>
    <row r="1223" spans="1:11">
      <c r="A1223" t="s">
        <v>67</v>
      </c>
      <c r="B1223" t="s">
        <v>110</v>
      </c>
      <c r="C1223" t="s">
        <v>115</v>
      </c>
      <c r="D1223" t="s">
        <v>99</v>
      </c>
      <c r="E1223" t="str" cm="1">
        <f t="array" ref="E1223">_xlfn.LET(_xlpm.c,'RC1_Arch'!C367, _xlpm.b, 'RC1_Arch'!B367, IF(_xlpm.c&lt;&gt;"", _xlpm.c, _xlpm.b))</f>
        <v xml:space="preserve">บานเปิด/บานติดตาย วงกบอะลูมิเนียม ลูกฟักกระจกLaminated Glass + LOW - E  </v>
      </c>
      <c r="F1223" s="1205"/>
      <c r="G1223" s="1203" t="str">
        <f>'RC1_Arch'!F367</f>
        <v>ชุด</v>
      </c>
      <c r="H1223" s="1203">
        <f>'RC1_Arch'!E367</f>
        <v>2</v>
      </c>
      <c r="I1223" s="1203">
        <f>'RC1_Arch'!I367</f>
        <v>36854.075212739997</v>
      </c>
      <c r="J1223" s="1203">
        <f>'RC1_Arch'!L367</f>
        <v>9723.0436888000004</v>
      </c>
      <c r="K1223" s="1203">
        <f>'RC1_Arch'!M367</f>
        <v>46577.118901540001</v>
      </c>
    </row>
    <row r="1224" spans="1:11">
      <c r="A1224" t="s">
        <v>67</v>
      </c>
      <c r="B1224" t="s">
        <v>110</v>
      </c>
      <c r="C1224" t="s">
        <v>115</v>
      </c>
      <c r="D1224" t="s">
        <v>99</v>
      </c>
      <c r="E1224" t="str" cm="1">
        <f t="array" ref="E1224">_xlfn.LET(_xlpm.c,'RC1_Arch'!C368, _xlpm.b, 'RC1_Arch'!B368, IF(_xlpm.c&lt;&gt;"", _xlpm.c, _xlpm.b))</f>
        <v>ขนาด 0.50 x 2.45 ม.</v>
      </c>
      <c r="F1224" s="1205"/>
      <c r="G1224" s="1203">
        <f>'RC1_Arch'!F368</f>
        <v>0</v>
      </c>
      <c r="H1224" s="1203">
        <f>'RC1_Arch'!E368</f>
        <v>0</v>
      </c>
      <c r="I1224" s="1203">
        <f>'RC1_Arch'!I368</f>
        <v>0</v>
      </c>
      <c r="J1224" s="1203">
        <f>'RC1_Arch'!L368</f>
        <v>0</v>
      </c>
      <c r="K1224" s="1203">
        <f>'RC1_Arch'!M368</f>
        <v>0</v>
      </c>
    </row>
    <row r="1225" spans="1:11">
      <c r="A1225" t="s">
        <v>67</v>
      </c>
      <c r="B1225" t="s">
        <v>110</v>
      </c>
      <c r="C1225" t="s">
        <v>115</v>
      </c>
      <c r="D1225" t="s">
        <v>99</v>
      </c>
      <c r="E1225" t="str" cm="1">
        <f t="array" ref="E1225">_xlfn.LET(_xlpm.c,'RC1_Arch'!C369, _xlpm.b, 'RC1_Arch'!B369, IF(_xlpm.c&lt;&gt;"", _xlpm.c, _xlpm.b))</f>
        <v xml:space="preserve">บานเปิด/บานติดตาย วงกบอะลูมิเนียม ลูกฟักกระจกLaminated Glass + LOW - E  </v>
      </c>
      <c r="F1225" s="1205"/>
      <c r="G1225" s="1203" t="str">
        <f>'RC1_Arch'!F369</f>
        <v>ชุด</v>
      </c>
      <c r="H1225" s="1203">
        <f>'RC1_Arch'!E369</f>
        <v>1</v>
      </c>
      <c r="I1225" s="1203">
        <f>'RC1_Arch'!I369</f>
        <v>18165.263353210001</v>
      </c>
      <c r="J1225" s="1203">
        <f>'RC1_Arch'!L369</f>
        <v>4777.3801201699998</v>
      </c>
      <c r="K1225" s="1203">
        <f>'RC1_Arch'!M369</f>
        <v>22942.643473380002</v>
      </c>
    </row>
    <row r="1226" spans="1:11">
      <c r="A1226" t="s">
        <v>67</v>
      </c>
      <c r="B1226" t="s">
        <v>110</v>
      </c>
      <c r="C1226" t="s">
        <v>115</v>
      </c>
      <c r="D1226" t="s">
        <v>99</v>
      </c>
      <c r="E1226" t="str" cm="1">
        <f t="array" ref="E1226">_xlfn.LET(_xlpm.c,'RC1_Arch'!C370, _xlpm.b, 'RC1_Arch'!B370, IF(_xlpm.c&lt;&gt;"", _xlpm.c, _xlpm.b))</f>
        <v>ขนาด 0.45 x 2.45 ม.</v>
      </c>
      <c r="F1226" s="1205"/>
      <c r="G1226" s="1203">
        <f>'RC1_Arch'!F370</f>
        <v>0</v>
      </c>
      <c r="H1226" s="1203">
        <f>'RC1_Arch'!E370</f>
        <v>0</v>
      </c>
      <c r="I1226" s="1203">
        <f>'RC1_Arch'!I370</f>
        <v>0</v>
      </c>
      <c r="J1226" s="1203">
        <f>'RC1_Arch'!L370</f>
        <v>0</v>
      </c>
      <c r="K1226" s="1203">
        <f>'RC1_Arch'!M370</f>
        <v>0</v>
      </c>
    </row>
    <row r="1227" spans="1:11">
      <c r="A1227" t="s">
        <v>67</v>
      </c>
      <c r="B1227" t="s">
        <v>110</v>
      </c>
      <c r="C1227" t="s">
        <v>115</v>
      </c>
      <c r="D1227" t="s">
        <v>99</v>
      </c>
      <c r="E1227" t="str" cm="1">
        <f t="array" ref="E1227">_xlfn.LET(_xlpm.c,'RC1_Arch'!C371, _xlpm.b, 'RC1_Arch'!B371, IF(_xlpm.c&lt;&gt;"", _xlpm.c, _xlpm.b))</f>
        <v>บานกระทุ้ง วงกบอะลูมิเนียม ลูกฟักกระจก Laminated Glass + LOW-E</v>
      </c>
      <c r="F1227" s="1205"/>
      <c r="G1227" s="1203" t="str">
        <f>'RC1_Arch'!F371</f>
        <v>ชุด</v>
      </c>
      <c r="H1227" s="1203">
        <f>'RC1_Arch'!E371</f>
        <v>1</v>
      </c>
      <c r="I1227" s="1203">
        <f>'RC1_Arch'!I371</f>
        <v>11387.180012459999</v>
      </c>
      <c r="J1227" s="1203">
        <f>'RC1_Arch'!L371</f>
        <v>3043.1256929849997</v>
      </c>
      <c r="K1227" s="1203">
        <f>'RC1_Arch'!M371</f>
        <v>14430.305705445</v>
      </c>
    </row>
    <row r="1228" spans="1:11">
      <c r="A1228" t="s">
        <v>67</v>
      </c>
      <c r="B1228" t="s">
        <v>110</v>
      </c>
      <c r="C1228" t="s">
        <v>115</v>
      </c>
      <c r="D1228" t="s">
        <v>99</v>
      </c>
      <c r="E1228" t="str" cm="1">
        <f t="array" ref="E1228">_xlfn.LET(_xlpm.c,'RC1_Arch'!C372, _xlpm.b, 'RC1_Arch'!B372, IF(_xlpm.c&lt;&gt;"", _xlpm.c, _xlpm.b))</f>
        <v>ขนาด 1.60 x 0.50 ม.</v>
      </c>
      <c r="F1228" s="1205"/>
      <c r="G1228" s="1203">
        <f>'RC1_Arch'!F372</f>
        <v>0</v>
      </c>
      <c r="H1228" s="1203">
        <f>'RC1_Arch'!E372</f>
        <v>0</v>
      </c>
      <c r="I1228" s="1203">
        <f>'RC1_Arch'!I372</f>
        <v>0</v>
      </c>
      <c r="J1228" s="1203">
        <f>'RC1_Arch'!L372</f>
        <v>0</v>
      </c>
      <c r="K1228" s="1203">
        <f>'RC1_Arch'!M372</f>
        <v>0</v>
      </c>
    </row>
    <row r="1229" spans="1:11">
      <c r="A1229" t="s">
        <v>67</v>
      </c>
      <c r="B1229" t="s">
        <v>110</v>
      </c>
      <c r="C1229" t="s">
        <v>115</v>
      </c>
      <c r="D1229" t="s">
        <v>99</v>
      </c>
      <c r="E1229" t="str" cm="1">
        <f t="array" ref="E1229">_xlfn.LET(_xlpm.c,'RC1_Arch'!C373, _xlpm.b, 'RC1_Arch'!B373, IF(_xlpm.c&lt;&gt;"", _xlpm.c, _xlpm.b))</f>
        <v>บานกระทุ้ง วงกบอะลูมิเนียม ลูกฟักกระจก Laminated Glass + LOW-E</v>
      </c>
      <c r="F1229" s="1205"/>
      <c r="G1229" s="1203" t="str">
        <f>'RC1_Arch'!F373</f>
        <v>ชุด</v>
      </c>
      <c r="H1229" s="1203">
        <f>'RC1_Arch'!E373</f>
        <v>1</v>
      </c>
      <c r="I1229" s="1203">
        <f>'RC1_Arch'!I373</f>
        <v>11387.180012459999</v>
      </c>
      <c r="J1229" s="1203">
        <f>'RC1_Arch'!L373</f>
        <v>3043.1256929849997</v>
      </c>
      <c r="K1229" s="1203">
        <f>'RC1_Arch'!M373</f>
        <v>14430.305705445</v>
      </c>
    </row>
    <row r="1230" spans="1:11">
      <c r="A1230" t="s">
        <v>67</v>
      </c>
      <c r="B1230" t="s">
        <v>110</v>
      </c>
      <c r="C1230" t="s">
        <v>115</v>
      </c>
      <c r="D1230" t="s">
        <v>99</v>
      </c>
      <c r="E1230" t="str" cm="1">
        <f t="array" ref="E1230">_xlfn.LET(_xlpm.c,'RC1_Arch'!C374, _xlpm.b, 'RC1_Arch'!B374, IF(_xlpm.c&lt;&gt;"", _xlpm.c, _xlpm.b))</f>
        <v>ขนาด 1.60 x 0.50 ม.</v>
      </c>
      <c r="F1230" s="1205"/>
      <c r="G1230" s="1203">
        <f>'RC1_Arch'!F374</f>
        <v>0</v>
      </c>
      <c r="H1230" s="1203">
        <f>'RC1_Arch'!E374</f>
        <v>0</v>
      </c>
      <c r="I1230" s="1203">
        <f>'RC1_Arch'!I374</f>
        <v>0</v>
      </c>
      <c r="J1230" s="1203">
        <f>'RC1_Arch'!L374</f>
        <v>0</v>
      </c>
      <c r="K1230" s="1203">
        <f>'RC1_Arch'!M374</f>
        <v>0</v>
      </c>
    </row>
    <row r="1231" spans="1:11">
      <c r="A1231" t="s">
        <v>67</v>
      </c>
      <c r="B1231" t="s">
        <v>110</v>
      </c>
      <c r="C1231" t="s">
        <v>115</v>
      </c>
      <c r="D1231" t="s">
        <v>99</v>
      </c>
      <c r="E1231" t="str" cm="1">
        <f t="array" ref="E1231">_xlfn.LET(_xlpm.c,'RC1_Arch'!C375, _xlpm.b, 'RC1_Arch'!B375, IF(_xlpm.c&lt;&gt;"", _xlpm.c, _xlpm.b))</f>
        <v>บานกระทุ้ง วงกบอะลูมิเนียม ลูกฟักกระจก Laminated Glass + LOW-E</v>
      </c>
      <c r="F1231" s="1205"/>
      <c r="G1231" s="1203" t="str">
        <f>'RC1_Arch'!F375</f>
        <v>ชุด</v>
      </c>
      <c r="H1231" s="1203">
        <f>'RC1_Arch'!E375</f>
        <v>2</v>
      </c>
      <c r="I1231" s="1203">
        <f>'RC1_Arch'!I375</f>
        <v>22774.360024919999</v>
      </c>
      <c r="J1231" s="1203">
        <f>'RC1_Arch'!L375</f>
        <v>6086.2513859699993</v>
      </c>
      <c r="K1231" s="1203">
        <f>'RC1_Arch'!M375</f>
        <v>28860.61141089</v>
      </c>
    </row>
    <row r="1232" spans="1:11">
      <c r="A1232" t="s">
        <v>67</v>
      </c>
      <c r="B1232" t="s">
        <v>110</v>
      </c>
      <c r="C1232" t="s">
        <v>115</v>
      </c>
      <c r="D1232" t="s">
        <v>99</v>
      </c>
      <c r="E1232" t="str" cm="1">
        <f t="array" ref="E1232">_xlfn.LET(_xlpm.c,'RC1_Arch'!C376, _xlpm.b, 'RC1_Arch'!B376, IF(_xlpm.c&lt;&gt;"", _xlpm.c, _xlpm.b))</f>
        <v>ขนาด 1.60 x 0.50 ม.</v>
      </c>
      <c r="F1232" s="1205"/>
      <c r="G1232" s="1203">
        <f>'RC1_Arch'!F376</f>
        <v>0</v>
      </c>
      <c r="H1232" s="1203">
        <f>'RC1_Arch'!E376</f>
        <v>0</v>
      </c>
      <c r="I1232" s="1203">
        <f>'RC1_Arch'!I376</f>
        <v>0</v>
      </c>
      <c r="J1232" s="1203">
        <f>'RC1_Arch'!L376</f>
        <v>0</v>
      </c>
      <c r="K1232" s="1203">
        <f>'RC1_Arch'!M376</f>
        <v>0</v>
      </c>
    </row>
    <row r="1233" spans="1:11">
      <c r="A1233" t="s">
        <v>67</v>
      </c>
      <c r="B1233" t="s">
        <v>110</v>
      </c>
      <c r="C1233" t="s">
        <v>115</v>
      </c>
      <c r="D1233" t="s">
        <v>99</v>
      </c>
      <c r="E1233" t="str" cm="1">
        <f t="array" ref="E1233">_xlfn.LET(_xlpm.c,'RC1_Arch'!C377, _xlpm.b, 'RC1_Arch'!B377, IF(_xlpm.c&lt;&gt;"", _xlpm.c, _xlpm.b))</f>
        <v>บานกระทุ้ง วงกบอะลูมิเนียม ลูกฟักกระจก Laminated Glass + LOW-E</v>
      </c>
      <c r="F1233" s="1205"/>
      <c r="G1233" s="1203" t="str">
        <f>'RC1_Arch'!F377</f>
        <v>ชุด</v>
      </c>
      <c r="H1233" s="1203">
        <f>'RC1_Arch'!E377</f>
        <v>1</v>
      </c>
      <c r="I1233" s="1203">
        <f>'RC1_Arch'!I377</f>
        <v>11387.180012459999</v>
      </c>
      <c r="J1233" s="1203">
        <f>'RC1_Arch'!L377</f>
        <v>3043.1256929849997</v>
      </c>
      <c r="K1233" s="1203">
        <f>'RC1_Arch'!M377</f>
        <v>14430.305705445</v>
      </c>
    </row>
    <row r="1234" spans="1:11">
      <c r="A1234" t="s">
        <v>67</v>
      </c>
      <c r="B1234" t="s">
        <v>110</v>
      </c>
      <c r="C1234" t="s">
        <v>115</v>
      </c>
      <c r="D1234" t="s">
        <v>99</v>
      </c>
      <c r="E1234" t="str" cm="1">
        <f t="array" ref="E1234">_xlfn.LET(_xlpm.c,'RC1_Arch'!C378, _xlpm.b, 'RC1_Arch'!B378, IF(_xlpm.c&lt;&gt;"", _xlpm.c, _xlpm.b))</f>
        <v>ขนาด 1.60 x 0.50 ม.</v>
      </c>
      <c r="F1234" s="1205"/>
      <c r="G1234" s="1203">
        <f>'RC1_Arch'!F378</f>
        <v>0</v>
      </c>
      <c r="H1234" s="1203">
        <f>'RC1_Arch'!E378</f>
        <v>0</v>
      </c>
      <c r="I1234" s="1203">
        <f>'RC1_Arch'!I378</f>
        <v>0</v>
      </c>
      <c r="J1234" s="1203">
        <f>'RC1_Arch'!L378</f>
        <v>0</v>
      </c>
      <c r="K1234" s="1203">
        <f>'RC1_Arch'!M378</f>
        <v>0</v>
      </c>
    </row>
    <row r="1235" spans="1:11">
      <c r="A1235" t="s">
        <v>67</v>
      </c>
      <c r="B1235" t="s">
        <v>110</v>
      </c>
      <c r="C1235" t="s">
        <v>115</v>
      </c>
      <c r="D1235" t="s">
        <v>99</v>
      </c>
      <c r="E1235" t="str" cm="1">
        <f t="array" ref="E1235">_xlfn.LET(_xlpm.c,'RC1_Arch'!C379, _xlpm.b, 'RC1_Arch'!B379, IF(_xlpm.c&lt;&gt;"", _xlpm.c, _xlpm.b))</f>
        <v>บานกระทุ้ง วงกบอะลูมิเนียม ลูกฟักกระจก Laminated Glass + LOW-E</v>
      </c>
      <c r="F1235" s="1205"/>
      <c r="G1235" s="1203" t="str">
        <f>'RC1_Arch'!F379</f>
        <v>ชุด</v>
      </c>
      <c r="H1235" s="1203">
        <f>'RC1_Arch'!E379</f>
        <v>1</v>
      </c>
      <c r="I1235" s="1203">
        <f>'RC1_Arch'!I379</f>
        <v>11387.180012459999</v>
      </c>
      <c r="J1235" s="1203">
        <f>'RC1_Arch'!L379</f>
        <v>3043.1256929849997</v>
      </c>
      <c r="K1235" s="1203">
        <f>'RC1_Arch'!M379</f>
        <v>14430.305705445</v>
      </c>
    </row>
    <row r="1236" spans="1:11">
      <c r="A1236" t="s">
        <v>67</v>
      </c>
      <c r="B1236" t="s">
        <v>110</v>
      </c>
      <c r="C1236" t="s">
        <v>115</v>
      </c>
      <c r="D1236" t="s">
        <v>99</v>
      </c>
      <c r="E1236" t="str" cm="1">
        <f t="array" ref="E1236">_xlfn.LET(_xlpm.c,'RC1_Arch'!C380, _xlpm.b, 'RC1_Arch'!B380, IF(_xlpm.c&lt;&gt;"", _xlpm.c, _xlpm.b))</f>
        <v>ขนาด 1.60 x 0.50 ม.</v>
      </c>
      <c r="F1236" s="1205"/>
      <c r="G1236" s="1203">
        <f>'RC1_Arch'!F380</f>
        <v>0</v>
      </c>
      <c r="H1236" s="1203">
        <f>'RC1_Arch'!E380</f>
        <v>0</v>
      </c>
      <c r="I1236" s="1203">
        <f>'RC1_Arch'!I380</f>
        <v>0</v>
      </c>
      <c r="J1236" s="1203">
        <f>'RC1_Arch'!L380</f>
        <v>0</v>
      </c>
      <c r="K1236" s="1203">
        <f>'RC1_Arch'!M380</f>
        <v>0</v>
      </c>
    </row>
    <row r="1237" spans="1:11">
      <c r="A1237" t="s">
        <v>67</v>
      </c>
      <c r="B1237" t="s">
        <v>110</v>
      </c>
      <c r="C1237" t="s">
        <v>115</v>
      </c>
      <c r="D1237" t="s">
        <v>99</v>
      </c>
      <c r="E1237" t="str" cm="1">
        <f t="array" ref="E1237">_xlfn.LET(_xlpm.c,'RC1_Arch'!C381, _xlpm.b, 'RC1_Arch'!B381, IF(_xlpm.c&lt;&gt;"", _xlpm.c, _xlpm.b))</f>
        <v>บานกระทุ้ง วงกบอะลูมิเนียม ลูกฟักกระจก Laminated Glass + LOW-E</v>
      </c>
      <c r="F1237" s="1205"/>
      <c r="G1237" s="1203" t="str">
        <f>'RC1_Arch'!F381</f>
        <v>ชุด</v>
      </c>
      <c r="H1237" s="1203">
        <f>'RC1_Arch'!E381</f>
        <v>2</v>
      </c>
      <c r="I1237" s="1203">
        <f>'RC1_Arch'!I381</f>
        <v>22774.360024919999</v>
      </c>
      <c r="J1237" s="1203">
        <f>'RC1_Arch'!L381</f>
        <v>6086.2513859699993</v>
      </c>
      <c r="K1237" s="1203">
        <f>'RC1_Arch'!M381</f>
        <v>28860.61141089</v>
      </c>
    </row>
    <row r="1238" spans="1:11">
      <c r="A1238" t="s">
        <v>67</v>
      </c>
      <c r="B1238" t="s">
        <v>110</v>
      </c>
      <c r="C1238" t="s">
        <v>115</v>
      </c>
      <c r="D1238" t="s">
        <v>99</v>
      </c>
      <c r="E1238" t="str" cm="1">
        <f t="array" ref="E1238">_xlfn.LET(_xlpm.c,'RC1_Arch'!C382, _xlpm.b, 'RC1_Arch'!B382, IF(_xlpm.c&lt;&gt;"", _xlpm.c, _xlpm.b))</f>
        <v>ขนาด 1.60 x 0.50 ม.</v>
      </c>
      <c r="F1238" s="1205"/>
      <c r="G1238" s="1203">
        <f>'RC1_Arch'!F382</f>
        <v>0</v>
      </c>
      <c r="H1238" s="1203">
        <f>'RC1_Arch'!E382</f>
        <v>0</v>
      </c>
      <c r="I1238" s="1203">
        <f>'RC1_Arch'!I382</f>
        <v>0</v>
      </c>
      <c r="J1238" s="1203">
        <f>'RC1_Arch'!L382</f>
        <v>0</v>
      </c>
      <c r="K1238" s="1203">
        <f>'RC1_Arch'!M382</f>
        <v>0</v>
      </c>
    </row>
    <row r="1239" spans="1:11">
      <c r="A1239" t="s">
        <v>67</v>
      </c>
      <c r="B1239" t="s">
        <v>110</v>
      </c>
      <c r="C1239" t="s">
        <v>115</v>
      </c>
      <c r="D1239" t="s">
        <v>99</v>
      </c>
      <c r="E1239" cm="1">
        <f t="array" ref="E1239">_xlfn.LET(_xlpm.c,'RC1_Arch'!C383, _xlpm.b, 'RC1_Arch'!B383, IF(_xlpm.c&lt;&gt;"", _xlpm.c, _xlpm.b))</f>
        <v>0</v>
      </c>
      <c r="F1239" s="1205"/>
      <c r="G1239" s="1203">
        <f>'RC1_Arch'!F383</f>
        <v>0</v>
      </c>
      <c r="H1239" s="1203">
        <f>'RC1_Arch'!E383</f>
        <v>0</v>
      </c>
      <c r="I1239" s="1203">
        <f>'RC1_Arch'!I383</f>
        <v>0</v>
      </c>
      <c r="J1239" s="1203">
        <f>'RC1_Arch'!L383</f>
        <v>0</v>
      </c>
      <c r="K1239" s="1203">
        <f>'RC1_Arch'!M383</f>
        <v>0</v>
      </c>
    </row>
    <row r="1240" spans="1:11">
      <c r="A1240" t="s">
        <v>67</v>
      </c>
      <c r="B1240" t="s">
        <v>110</v>
      </c>
      <c r="C1240" t="s">
        <v>115</v>
      </c>
      <c r="D1240" t="s">
        <v>99</v>
      </c>
      <c r="E1240" t="str" cm="1">
        <f t="array" ref="E1240">_xlfn.LET(_xlpm.c,'RC1_Arch'!C384, _xlpm.b, 'RC1_Arch'!B384, IF(_xlpm.c&lt;&gt;"", _xlpm.c, _xlpm.b))</f>
        <v>บานกระทุ้ง วงกบอะลูมิเนียม ลูกฟักกระจก Laminated Glass + LOW-E</v>
      </c>
      <c r="F1240" s="1205"/>
      <c r="G1240" s="1203" t="str">
        <f>'RC1_Arch'!F384</f>
        <v>ชุด</v>
      </c>
      <c r="H1240" s="1203">
        <f>'RC1_Arch'!E384</f>
        <v>1</v>
      </c>
      <c r="I1240" s="1203">
        <f>'RC1_Arch'!I384</f>
        <v>15734.50243101</v>
      </c>
      <c r="J1240" s="1203">
        <f>'RC1_Arch'!L384</f>
        <v>3912.5901766949996</v>
      </c>
      <c r="K1240" s="1203">
        <f>'RC1_Arch'!M384</f>
        <v>19647.092607704999</v>
      </c>
    </row>
    <row r="1241" spans="1:11">
      <c r="A1241" t="s">
        <v>67</v>
      </c>
      <c r="B1241" t="s">
        <v>110</v>
      </c>
      <c r="C1241" t="s">
        <v>115</v>
      </c>
      <c r="D1241" t="s">
        <v>99</v>
      </c>
      <c r="E1241" t="str" cm="1">
        <f t="array" ref="E1241">_xlfn.LET(_xlpm.c,'RC1_Arch'!C385, _xlpm.b, 'RC1_Arch'!B385, IF(_xlpm.c&lt;&gt;"", _xlpm.c, _xlpm.b))</f>
        <v>ขนาด 1.60 x 1.00 ม.</v>
      </c>
      <c r="F1241" s="1205"/>
      <c r="G1241" s="1203">
        <f>'RC1_Arch'!F385</f>
        <v>0</v>
      </c>
      <c r="H1241" s="1203">
        <f>'RC1_Arch'!E385</f>
        <v>0</v>
      </c>
      <c r="I1241" s="1203">
        <f>'RC1_Arch'!I385</f>
        <v>0</v>
      </c>
      <c r="J1241" s="1203">
        <f>'RC1_Arch'!L385</f>
        <v>0</v>
      </c>
      <c r="K1241" s="1203">
        <f>'RC1_Arch'!M385</f>
        <v>0</v>
      </c>
    </row>
    <row r="1242" spans="1:11">
      <c r="A1242" t="s">
        <v>67</v>
      </c>
      <c r="B1242" t="s">
        <v>110</v>
      </c>
      <c r="C1242" t="s">
        <v>115</v>
      </c>
      <c r="D1242" t="s">
        <v>99</v>
      </c>
      <c r="E1242" t="str" cm="1">
        <f t="array" ref="E1242">_xlfn.LET(_xlpm.c,'RC1_Arch'!C386, _xlpm.b, 'RC1_Arch'!B386, IF(_xlpm.c&lt;&gt;"", _xlpm.c, _xlpm.b))</f>
        <v>บานกระทุ้ง วงกบอะลูมิเนียม ลูกฟักกระจก Laminated Glass + LOW-E</v>
      </c>
      <c r="F1242" s="1205"/>
      <c r="G1242" s="1203" t="str">
        <f>'RC1_Arch'!F386</f>
        <v>ชุด</v>
      </c>
      <c r="H1242" s="1203">
        <f>'RC1_Arch'!E386</f>
        <v>2</v>
      </c>
      <c r="I1242" s="1203">
        <f>'RC1_Arch'!I386</f>
        <v>31469.00486202</v>
      </c>
      <c r="J1242" s="1203">
        <f>'RC1_Arch'!L386</f>
        <v>7825.1803533899993</v>
      </c>
      <c r="K1242" s="1203">
        <f>'RC1_Arch'!M386</f>
        <v>39294.185215409998</v>
      </c>
    </row>
    <row r="1243" spans="1:11">
      <c r="A1243" t="s">
        <v>67</v>
      </c>
      <c r="B1243" t="s">
        <v>110</v>
      </c>
      <c r="C1243" t="s">
        <v>115</v>
      </c>
      <c r="D1243" t="s">
        <v>99</v>
      </c>
      <c r="E1243" t="str" cm="1">
        <f t="array" ref="E1243">_xlfn.LET(_xlpm.c,'RC1_Arch'!C387, _xlpm.b, 'RC1_Arch'!B387, IF(_xlpm.c&lt;&gt;"", _xlpm.c, _xlpm.b))</f>
        <v>ขนาด 1.60 x 1.00 ม.</v>
      </c>
      <c r="F1243" s="1205"/>
      <c r="G1243" s="1203">
        <f>'RC1_Arch'!F387</f>
        <v>0</v>
      </c>
      <c r="H1243" s="1203">
        <f>'RC1_Arch'!E387</f>
        <v>0</v>
      </c>
      <c r="I1243" s="1203">
        <f>'RC1_Arch'!I387</f>
        <v>0</v>
      </c>
      <c r="J1243" s="1203">
        <f>'RC1_Arch'!L387</f>
        <v>0</v>
      </c>
      <c r="K1243" s="1203">
        <f>'RC1_Arch'!M387</f>
        <v>0</v>
      </c>
    </row>
    <row r="1244" spans="1:11">
      <c r="A1244" t="s">
        <v>67</v>
      </c>
      <c r="B1244" t="s">
        <v>110</v>
      </c>
      <c r="C1244" t="s">
        <v>115</v>
      </c>
      <c r="D1244" t="s">
        <v>99</v>
      </c>
      <c r="E1244" t="str" cm="1">
        <f t="array" ref="E1244">_xlfn.LET(_xlpm.c,'RC1_Arch'!C388, _xlpm.b, 'RC1_Arch'!B388, IF(_xlpm.c&lt;&gt;"", _xlpm.c, _xlpm.b))</f>
        <v>บานกระทุ้ง วงกบอะลูมิเนียม ลูกฟักกระจก Laminated Glass + LOW-E</v>
      </c>
      <c r="F1244" s="1205"/>
      <c r="G1244" s="1203" t="str">
        <f>'RC1_Arch'!F388</f>
        <v>ชุด</v>
      </c>
      <c r="H1244" s="1203">
        <f>'RC1_Arch'!E388</f>
        <v>2</v>
      </c>
      <c r="I1244" s="1203">
        <f>'RC1_Arch'!I388</f>
        <v>31469.00486202</v>
      </c>
      <c r="J1244" s="1203">
        <f>'RC1_Arch'!L388</f>
        <v>7825.1803533899993</v>
      </c>
      <c r="K1244" s="1203">
        <f>'RC1_Arch'!M388</f>
        <v>39294.185215409998</v>
      </c>
    </row>
    <row r="1245" spans="1:11">
      <c r="A1245" t="s">
        <v>67</v>
      </c>
      <c r="B1245" t="s">
        <v>110</v>
      </c>
      <c r="C1245" t="s">
        <v>115</v>
      </c>
      <c r="D1245" t="s">
        <v>99</v>
      </c>
      <c r="E1245" t="str" cm="1">
        <f t="array" ref="E1245">_xlfn.LET(_xlpm.c,'RC1_Arch'!C389, _xlpm.b, 'RC1_Arch'!B389, IF(_xlpm.c&lt;&gt;"", _xlpm.c, _xlpm.b))</f>
        <v>ขนาด 1.60 x 1.00 ม.</v>
      </c>
      <c r="F1245" s="1205"/>
      <c r="G1245" s="1203">
        <f>'RC1_Arch'!F389</f>
        <v>0</v>
      </c>
      <c r="H1245" s="1203">
        <f>'RC1_Arch'!E389</f>
        <v>0</v>
      </c>
      <c r="I1245" s="1203">
        <f>'RC1_Arch'!I389</f>
        <v>0</v>
      </c>
      <c r="J1245" s="1203">
        <f>'RC1_Arch'!L389</f>
        <v>0</v>
      </c>
      <c r="K1245" s="1203">
        <f>'RC1_Arch'!M389</f>
        <v>0</v>
      </c>
    </row>
    <row r="1246" spans="1:11">
      <c r="A1246" t="s">
        <v>67</v>
      </c>
      <c r="B1246" t="s">
        <v>110</v>
      </c>
      <c r="C1246" t="s">
        <v>115</v>
      </c>
      <c r="D1246" t="s">
        <v>99</v>
      </c>
      <c r="E1246" t="str" cm="1">
        <f t="array" ref="E1246">_xlfn.LET(_xlpm.c,'RC1_Arch'!C390, _xlpm.b, 'RC1_Arch'!B390, IF(_xlpm.c&lt;&gt;"", _xlpm.c, _xlpm.b))</f>
        <v>บานกระทุ้ง วงกบอะลูมิเนียม ลูกฟักกระจก Laminated Glass + LOW-E</v>
      </c>
      <c r="F1246" s="1205"/>
      <c r="G1246" s="1203" t="str">
        <f>'RC1_Arch'!F390</f>
        <v>ชุด</v>
      </c>
      <c r="H1246" s="1203">
        <f>'RC1_Arch'!E390</f>
        <v>2</v>
      </c>
      <c r="I1246" s="1203">
        <f>'RC1_Arch'!I390</f>
        <v>31469.00486202</v>
      </c>
      <c r="J1246" s="1203">
        <f>'RC1_Arch'!L390</f>
        <v>7825.1803533899993</v>
      </c>
      <c r="K1246" s="1203">
        <f>'RC1_Arch'!M390</f>
        <v>39294.185215409998</v>
      </c>
    </row>
    <row r="1247" spans="1:11">
      <c r="A1247" t="s">
        <v>67</v>
      </c>
      <c r="B1247" t="s">
        <v>110</v>
      </c>
      <c r="C1247" t="s">
        <v>115</v>
      </c>
      <c r="D1247" t="s">
        <v>99</v>
      </c>
      <c r="E1247" t="str" cm="1">
        <f t="array" ref="E1247">_xlfn.LET(_xlpm.c,'RC1_Arch'!C391, _xlpm.b, 'RC1_Arch'!B391, IF(_xlpm.c&lt;&gt;"", _xlpm.c, _xlpm.b))</f>
        <v>ขนาด 4.00 x 1.00 ม.</v>
      </c>
      <c r="F1247" s="1205"/>
      <c r="G1247" s="1203">
        <f>'RC1_Arch'!F391</f>
        <v>0</v>
      </c>
      <c r="H1247" s="1203">
        <f>'RC1_Arch'!E391</f>
        <v>0</v>
      </c>
      <c r="I1247" s="1203">
        <f>'RC1_Arch'!I391</f>
        <v>0</v>
      </c>
      <c r="J1247" s="1203">
        <f>'RC1_Arch'!L391</f>
        <v>0</v>
      </c>
      <c r="K1247" s="1203">
        <f>'RC1_Arch'!M391</f>
        <v>0</v>
      </c>
    </row>
    <row r="1248" spans="1:11">
      <c r="A1248" t="s">
        <v>67</v>
      </c>
      <c r="B1248" t="s">
        <v>110</v>
      </c>
      <c r="C1248" t="s">
        <v>115</v>
      </c>
      <c r="D1248" t="s">
        <v>99</v>
      </c>
      <c r="E1248" t="str" cm="1">
        <f t="array" ref="E1248">_xlfn.LET(_xlpm.c,'RC1_Arch'!C392, _xlpm.b, 'RC1_Arch'!B392, IF(_xlpm.c&lt;&gt;"", _xlpm.c, _xlpm.b))</f>
        <v>ขนาด 1.60 x 1.00 ม.</v>
      </c>
      <c r="F1248" s="1205"/>
      <c r="G1248" s="1203">
        <f>'RC1_Arch'!F392</f>
        <v>0</v>
      </c>
      <c r="H1248" s="1203">
        <f>'RC1_Arch'!E392</f>
        <v>0</v>
      </c>
      <c r="I1248" s="1203">
        <f>'RC1_Arch'!I392</f>
        <v>0</v>
      </c>
      <c r="J1248" s="1203">
        <f>'RC1_Arch'!L392</f>
        <v>0</v>
      </c>
      <c r="K1248" s="1203">
        <f>'RC1_Arch'!M392</f>
        <v>0</v>
      </c>
    </row>
    <row r="1249" spans="1:11">
      <c r="A1249" t="s">
        <v>67</v>
      </c>
      <c r="B1249" t="s">
        <v>110</v>
      </c>
      <c r="C1249" t="s">
        <v>115</v>
      </c>
      <c r="D1249" t="s">
        <v>99</v>
      </c>
      <c r="E1249" t="str" cm="1">
        <f t="array" ref="E1249">_xlfn.LET(_xlpm.c,'RC1_Arch'!C393, _xlpm.b, 'RC1_Arch'!B393, IF(_xlpm.c&lt;&gt;"", _xlpm.c, _xlpm.b))</f>
        <v>บานติดตาย วงกบอะลูมิเนียม ลูกฟักกระจกโฟลท ขนาด 3.80 x 2.45 ม.</v>
      </c>
      <c r="F1249" s="1205"/>
      <c r="G1249" s="1203" t="str">
        <f>'RC1_Arch'!F393</f>
        <v>ชุด</v>
      </c>
      <c r="H1249" s="1203">
        <f>'RC1_Arch'!E393</f>
        <v>1</v>
      </c>
      <c r="I1249" s="1203">
        <f>'RC1_Arch'!I393</f>
        <v>14079.71518782</v>
      </c>
      <c r="J1249" s="1203">
        <f>'RC1_Arch'!L393</f>
        <v>4347.3224185499994</v>
      </c>
      <c r="K1249" s="1203">
        <f>'RC1_Arch'!M393</f>
        <v>18427.037606369999</v>
      </c>
    </row>
    <row r="1250" spans="1:11">
      <c r="A1250" t="s">
        <v>67</v>
      </c>
      <c r="B1250" t="s">
        <v>110</v>
      </c>
      <c r="C1250" t="s">
        <v>116</v>
      </c>
      <c r="D1250" t="s">
        <v>116</v>
      </c>
      <c r="E1250" t="str" cm="1">
        <f t="array" ref="E1250">_xlfn.LET(_xlpm.c,'RC1_Arch'!C394, _xlpm.b, 'RC1_Arch'!B394, IF(_xlpm.c&lt;&gt;"", _xlpm.c, _xlpm.b))</f>
        <v xml:space="preserve">Curtain Wall - Insulated Glass </v>
      </c>
      <c r="F1250" s="1205"/>
      <c r="G1250" s="1203" t="str">
        <f>'RC1_Arch'!F394</f>
        <v>ตร.ม.</v>
      </c>
      <c r="H1250" s="1203">
        <f>'RC1_Arch'!E394</f>
        <v>390</v>
      </c>
      <c r="I1250" s="1203">
        <f>'RC1_Arch'!I394</f>
        <v>4616014.9912577998</v>
      </c>
      <c r="J1250" s="1203">
        <f>'RC1_Arch'!L394</f>
        <v>1483614.9288647699</v>
      </c>
      <c r="K1250" s="1203">
        <f>'RC1_Arch'!M394</f>
        <v>6099629.9201225694</v>
      </c>
    </row>
    <row r="1251" spans="1:11">
      <c r="A1251" t="s">
        <v>67</v>
      </c>
      <c r="B1251" t="s">
        <v>110</v>
      </c>
      <c r="C1251" t="s">
        <v>116</v>
      </c>
      <c r="D1251" t="s">
        <v>116</v>
      </c>
      <c r="E1251" t="str" cm="1">
        <f t="array" ref="E1251">_xlfn.LET(_xlpm.c,'RC1_Arch'!C395, _xlpm.b, 'RC1_Arch'!B395, IF(_xlpm.c&lt;&gt;"", _xlpm.c, _xlpm.b))</f>
        <v>(HS 8 mm.+PVB0.38 + PVB 1.14 + LOW-E 6 mm.+Air 12 mm.+HS 8 mm.)</v>
      </c>
      <c r="F1251" s="1205"/>
      <c r="G1251" s="1203">
        <f>'RC1_Arch'!F395</f>
        <v>0</v>
      </c>
      <c r="H1251" s="1203">
        <f>'RC1_Arch'!E395</f>
        <v>0</v>
      </c>
      <c r="I1251" s="1203">
        <f>'RC1_Arch'!I395</f>
        <v>0</v>
      </c>
      <c r="J1251" s="1203">
        <f>'RC1_Arch'!L395</f>
        <v>0</v>
      </c>
      <c r="K1251" s="1203">
        <f>'RC1_Arch'!M395</f>
        <v>0</v>
      </c>
    </row>
    <row r="1252" spans="1:11">
      <c r="A1252" t="s">
        <v>67</v>
      </c>
      <c r="B1252" t="s">
        <v>110</v>
      </c>
      <c r="C1252" t="s">
        <v>116</v>
      </c>
      <c r="D1252" t="s">
        <v>116</v>
      </c>
      <c r="E1252" t="str" cm="1">
        <f t="array" ref="E1252">_xlfn.LET(_xlpm.c,'RC1_Arch'!C396, _xlpm.b, 'RC1_Arch'!B396, IF(_xlpm.c&lt;&gt;"", _xlpm.c, _xlpm.b))</f>
        <v>Curtain Wall - Laminated Glass (HS 6 mm.++1.52 PVB + LOW-E 6 mm. )</v>
      </c>
      <c r="F1252" s="1205"/>
      <c r="G1252" s="1203" t="str">
        <f>'RC1_Arch'!F396</f>
        <v>ตร.ม.</v>
      </c>
      <c r="H1252" s="1203">
        <f>'RC1_Arch'!E396</f>
        <v>525</v>
      </c>
      <c r="I1252" s="1203">
        <f>'RC1_Arch'!I396</f>
        <v>3214915.04662125</v>
      </c>
      <c r="J1252" s="1203">
        <f>'RC1_Arch'!L396</f>
        <v>1063130.6856460499</v>
      </c>
      <c r="K1252" s="1203">
        <f>'RC1_Arch'!M396</f>
        <v>4278045.7322672997</v>
      </c>
    </row>
    <row r="1253" spans="1:11">
      <c r="A1253" t="s">
        <v>67</v>
      </c>
      <c r="B1253" t="s">
        <v>110</v>
      </c>
      <c r="C1253" t="s">
        <v>116</v>
      </c>
      <c r="D1253" t="s">
        <v>116</v>
      </c>
      <c r="E1253" t="str" cm="1">
        <f t="array" ref="E1253">_xlfn.LET(_xlpm.c,'RC1_Arch'!C397, _xlpm.b, 'RC1_Arch'!B397, IF(_xlpm.c&lt;&gt;"", _xlpm.c, _xlpm.b))</f>
        <v>Curtain Wall - Laminated Glass (HS 6 mm.++1.52 PVB + LOW-E 6 mm. )</v>
      </c>
      <c r="F1253" s="1205"/>
      <c r="G1253" s="1203" t="str">
        <f>'RC1_Arch'!F397</f>
        <v>ตร.ม.</v>
      </c>
      <c r="H1253" s="1203">
        <f>'RC1_Arch'!E397</f>
        <v>187</v>
      </c>
      <c r="I1253" s="1203">
        <f>'RC1_Arch'!I397</f>
        <v>1395300.710021009</v>
      </c>
      <c r="J1253" s="1203">
        <f>'RC1_Arch'!L397</f>
        <v>461020.92122859304</v>
      </c>
      <c r="K1253" s="1203">
        <f>'RC1_Arch'!M397</f>
        <v>1856321.631249602</v>
      </c>
    </row>
    <row r="1254" spans="1:11">
      <c r="A1254" t="s">
        <v>67</v>
      </c>
      <c r="B1254" t="s">
        <v>110</v>
      </c>
      <c r="C1254" t="s">
        <v>116</v>
      </c>
      <c r="D1254" t="s">
        <v>116</v>
      </c>
      <c r="E1254" t="str" cm="1">
        <f t="array" ref="E1254">_xlfn.LET(_xlpm.c,'RC1_Arch'!C398, _xlpm.b, 'RC1_Arch'!B398, IF(_xlpm.c&lt;&gt;"", _xlpm.c, _xlpm.b))</f>
        <v>Curtain Wall - Laminated Glass (HS 6 mm.++1.52 PVB + LOW-E 6 mm. )</v>
      </c>
      <c r="F1254" s="1205"/>
      <c r="G1254" s="1203" t="str">
        <f>'RC1_Arch'!F398</f>
        <v>ตร.ม.</v>
      </c>
      <c r="H1254" s="1203">
        <f>'RC1_Arch'!E398</f>
        <v>445</v>
      </c>
      <c r="I1254" s="1203">
        <f>'RC1_Arch'!I398</f>
        <v>2608533.6873370497</v>
      </c>
      <c r="J1254" s="1203">
        <f>'RC1_Arch'!L398</f>
        <v>884072.42194437492</v>
      </c>
      <c r="K1254" s="1203">
        <f>'RC1_Arch'!M398</f>
        <v>3492606.1092814244</v>
      </c>
    </row>
    <row r="1255" spans="1:11">
      <c r="A1255" t="s">
        <v>67</v>
      </c>
      <c r="B1255" t="s">
        <v>110</v>
      </c>
      <c r="C1255" t="s">
        <v>116</v>
      </c>
      <c r="D1255" t="s">
        <v>116</v>
      </c>
      <c r="E1255" t="str" cm="1">
        <f t="array" ref="E1255">_xlfn.LET(_xlpm.c,'RC1_Arch'!C399, _xlpm.b, 'RC1_Arch'!B399, IF(_xlpm.c&lt;&gt;"", _xlpm.c, _xlpm.b))</f>
        <v>Curtain Wall - Laminated Glass (HS 6 mm.++1.52 PVB + LOW-E 6 mm. )</v>
      </c>
      <c r="F1255" s="1205"/>
      <c r="G1255" s="1203" t="str">
        <f>'RC1_Arch'!F399</f>
        <v>ตร.ม.</v>
      </c>
      <c r="H1255" s="1203">
        <f>'RC1_Arch'!E399</f>
        <v>94</v>
      </c>
      <c r="I1255" s="1203">
        <f>'RC1_Arch'!I399</f>
        <v>746552.12277091003</v>
      </c>
      <c r="J1255" s="1203">
        <f>'RC1_Arch'!L399</f>
        <v>242552.54371368</v>
      </c>
      <c r="K1255" s="1203">
        <f>'RC1_Arch'!M399</f>
        <v>989104.66648459004</v>
      </c>
    </row>
    <row r="1256" spans="1:11">
      <c r="A1256" t="s">
        <v>67</v>
      </c>
      <c r="B1256" t="s">
        <v>110</v>
      </c>
      <c r="C1256" t="s">
        <v>116</v>
      </c>
      <c r="D1256" t="s">
        <v>116</v>
      </c>
      <c r="E1256" t="str" cm="1">
        <f t="array" ref="E1256">_xlfn.LET(_xlpm.c,'RC1_Arch'!C400, _xlpm.b, 'RC1_Arch'!B400, IF(_xlpm.c&lt;&gt;"", _xlpm.c, _xlpm.b))</f>
        <v xml:space="preserve">Curtain Wall - Insulated Glass </v>
      </c>
      <c r="F1256" s="1205"/>
      <c r="G1256" s="1203" t="str">
        <f>'RC1_Arch'!F400</f>
        <v>ตร.ม.</v>
      </c>
      <c r="H1256" s="1203">
        <f>'RC1_Arch'!E400</f>
        <v>715</v>
      </c>
      <c r="I1256" s="1203">
        <f>'RC1_Arch'!I400</f>
        <v>4612368.8498744993</v>
      </c>
      <c r="J1256" s="1203">
        <f>'RC1_Arch'!L400</f>
        <v>1572884.623732565</v>
      </c>
      <c r="K1256" s="1203">
        <f>'RC1_Arch'!M400</f>
        <v>6185253.4736070642</v>
      </c>
    </row>
    <row r="1257" spans="1:11">
      <c r="A1257" t="s">
        <v>67</v>
      </c>
      <c r="B1257" t="s">
        <v>110</v>
      </c>
      <c r="C1257" t="s">
        <v>116</v>
      </c>
      <c r="D1257" t="s">
        <v>116</v>
      </c>
      <c r="E1257" t="str" cm="1">
        <f t="array" ref="E1257">_xlfn.LET(_xlpm.c,'RC1_Arch'!C401, _xlpm.b, 'RC1_Arch'!B401, IF(_xlpm.c&lt;&gt;"", _xlpm.c, _xlpm.b))</f>
        <v>(HS 6 mm.+PVB0.38 + PVB 1.14 + LOW-E 6 mm.+Air 12 mm.+HS 6 mm.)</v>
      </c>
      <c r="F1257" s="1205"/>
      <c r="G1257" s="1203">
        <f>'RC1_Arch'!F401</f>
        <v>0</v>
      </c>
      <c r="H1257" s="1203">
        <f>'RC1_Arch'!E401</f>
        <v>0</v>
      </c>
      <c r="I1257" s="1203">
        <f>'RC1_Arch'!I401</f>
        <v>0</v>
      </c>
      <c r="J1257" s="1203">
        <f>'RC1_Arch'!L401</f>
        <v>0</v>
      </c>
      <c r="K1257" s="1203">
        <f>'RC1_Arch'!M401</f>
        <v>0</v>
      </c>
    </row>
    <row r="1258" spans="1:11">
      <c r="A1258" t="s">
        <v>67</v>
      </c>
      <c r="B1258" t="s">
        <v>110</v>
      </c>
      <c r="C1258" t="s">
        <v>116</v>
      </c>
      <c r="D1258" t="s">
        <v>116</v>
      </c>
      <c r="E1258" t="str" cm="1">
        <f t="array" ref="E1258">_xlfn.LET(_xlpm.c,'RC1_Arch'!C402, _xlpm.b, 'RC1_Arch'!B402, IF(_xlpm.c&lt;&gt;"", _xlpm.c, _xlpm.b))</f>
        <v xml:space="preserve">Curtain Wall - Insulated Glass </v>
      </c>
      <c r="F1258" s="1205"/>
      <c r="G1258" s="1203" t="str">
        <f>'RC1_Arch'!F402</f>
        <v>ตร.ม.</v>
      </c>
      <c r="H1258" s="1203">
        <f>'RC1_Arch'!E402</f>
        <v>44</v>
      </c>
      <c r="I1258" s="1203">
        <f>'RC1_Arch'!I402</f>
        <v>331967.14932875999</v>
      </c>
      <c r="J1258" s="1203">
        <f>'RC1_Arch'!L402</f>
        <v>105308.04241408</v>
      </c>
      <c r="K1258" s="1203">
        <f>'RC1_Arch'!M402</f>
        <v>437275.19174283999</v>
      </c>
    </row>
    <row r="1259" spans="1:11">
      <c r="A1259" t="s">
        <v>67</v>
      </c>
      <c r="B1259" t="s">
        <v>110</v>
      </c>
      <c r="C1259" t="s">
        <v>116</v>
      </c>
      <c r="D1259" t="s">
        <v>116</v>
      </c>
      <c r="E1259" t="str" cm="1">
        <f t="array" ref="E1259">_xlfn.LET(_xlpm.c,'RC1_Arch'!C403, _xlpm.b, 'RC1_Arch'!B403, IF(_xlpm.c&lt;&gt;"", _xlpm.c, _xlpm.b))</f>
        <v>(HS 6 mm.+PVB0.38 + PVB 1.14 + LOW-E 6 mm.+Air 12 mm.+HS 6 mm.)</v>
      </c>
      <c r="F1259" s="1205"/>
      <c r="G1259" s="1203">
        <f>'RC1_Arch'!F403</f>
        <v>0</v>
      </c>
      <c r="H1259" s="1203">
        <f>'RC1_Arch'!E403</f>
        <v>0</v>
      </c>
      <c r="I1259" s="1203">
        <f>'RC1_Arch'!I403</f>
        <v>0</v>
      </c>
      <c r="J1259" s="1203">
        <f>'RC1_Arch'!L403</f>
        <v>0</v>
      </c>
      <c r="K1259" s="1203">
        <f>'RC1_Arch'!M403</f>
        <v>0</v>
      </c>
    </row>
    <row r="1260" spans="1:11">
      <c r="A1260" t="s">
        <v>67</v>
      </c>
      <c r="B1260" t="s">
        <v>110</v>
      </c>
      <c r="C1260" t="s">
        <v>116</v>
      </c>
      <c r="D1260" t="s">
        <v>116</v>
      </c>
      <c r="E1260" t="str" cm="1">
        <f t="array" ref="E1260">_xlfn.LET(_xlpm.c,'RC1_Arch'!C404, _xlpm.b, 'RC1_Arch'!B404, IF(_xlpm.c&lt;&gt;"", _xlpm.c, _xlpm.b))</f>
        <v xml:space="preserve">Curtain Wall - Insulated Glass </v>
      </c>
      <c r="F1260" s="1205"/>
      <c r="G1260" s="1203" t="str">
        <f>'RC1_Arch'!F404</f>
        <v>ตร.ม.</v>
      </c>
      <c r="H1260" s="1203">
        <f>'RC1_Arch'!E404</f>
        <v>66</v>
      </c>
      <c r="I1260" s="1203">
        <f>'RC1_Arch'!I404</f>
        <v>410331.14182830002</v>
      </c>
      <c r="J1260" s="1203">
        <f>'RC1_Arch'!L404</f>
        <v>136982.72704644001</v>
      </c>
      <c r="K1260" s="1203">
        <f>'RC1_Arch'!M404</f>
        <v>547313.86887474009</v>
      </c>
    </row>
    <row r="1261" spans="1:11">
      <c r="A1261" t="s">
        <v>67</v>
      </c>
      <c r="B1261" t="s">
        <v>110</v>
      </c>
      <c r="C1261" t="s">
        <v>116</v>
      </c>
      <c r="D1261" t="s">
        <v>116</v>
      </c>
      <c r="E1261" t="str" cm="1">
        <f t="array" ref="E1261">_xlfn.LET(_xlpm.c,'RC1_Arch'!C405, _xlpm.b, 'RC1_Arch'!B405, IF(_xlpm.c&lt;&gt;"", _xlpm.c, _xlpm.b))</f>
        <v>(HS 6 mm.+PVB0.38 + PVB 1.14 + LOW-E 6 mm.+Air 12 mm.+HS 6 mm.)</v>
      </c>
      <c r="F1261" s="1205"/>
      <c r="G1261" s="1203">
        <f>'RC1_Arch'!F405</f>
        <v>0</v>
      </c>
      <c r="H1261" s="1203">
        <f>'RC1_Arch'!E405</f>
        <v>0</v>
      </c>
      <c r="I1261" s="1203">
        <f>'RC1_Arch'!I405</f>
        <v>0</v>
      </c>
      <c r="J1261" s="1203">
        <f>'RC1_Arch'!L405</f>
        <v>0</v>
      </c>
      <c r="K1261" s="1203">
        <f>'RC1_Arch'!M405</f>
        <v>0</v>
      </c>
    </row>
    <row r="1262" spans="1:11">
      <c r="A1262" t="s">
        <v>67</v>
      </c>
      <c r="B1262" t="s">
        <v>110</v>
      </c>
      <c r="C1262" t="s">
        <v>116</v>
      </c>
      <c r="D1262" t="s">
        <v>116</v>
      </c>
      <c r="E1262" t="str" cm="1">
        <f t="array" ref="E1262">_xlfn.LET(_xlpm.c,'RC1_Arch'!C406, _xlpm.b, 'RC1_Arch'!B406, IF(_xlpm.c&lt;&gt;"", _xlpm.c, _xlpm.b))</f>
        <v>Curtain Wall - Laminated Glass (HS 6 mm.++1.52 PVB + LOW-E 6 mm. )</v>
      </c>
      <c r="F1262" s="1205"/>
      <c r="G1262" s="1203" t="str">
        <f>'RC1_Arch'!F406</f>
        <v>ตร.ม.</v>
      </c>
      <c r="H1262" s="1203">
        <f>'RC1_Arch'!E406</f>
        <v>219</v>
      </c>
      <c r="I1262" s="1203">
        <f>'RC1_Arch'!I406</f>
        <v>1606428.189550878</v>
      </c>
      <c r="J1262" s="1203">
        <f>'RC1_Arch'!L406</f>
        <v>550763.67956816999</v>
      </c>
      <c r="K1262" s="1203">
        <f>'RC1_Arch'!M406</f>
        <v>2157191.8691190481</v>
      </c>
    </row>
    <row r="1263" spans="1:11">
      <c r="A1263" t="s">
        <v>67</v>
      </c>
      <c r="B1263" t="s">
        <v>110</v>
      </c>
      <c r="C1263" t="s">
        <v>116</v>
      </c>
      <c r="D1263" t="s">
        <v>116</v>
      </c>
      <c r="E1263" t="str" cm="1">
        <f t="array" ref="E1263">_xlfn.LET(_xlpm.c,'RC1_Arch'!C407, _xlpm.b, 'RC1_Arch'!B407, IF(_xlpm.c&lt;&gt;"", _xlpm.c, _xlpm.b))</f>
        <v>Curtain Wall - Laminated Glass (HS 6 mm.++1.52 PVB + LOW-E 6 mm. )</v>
      </c>
      <c r="F1263" s="1205"/>
      <c r="G1263" s="1203" t="str">
        <f>'RC1_Arch'!F407</f>
        <v>ตร.ม.</v>
      </c>
      <c r="H1263" s="1203">
        <f>'RC1_Arch'!E407</f>
        <v>115</v>
      </c>
      <c r="I1263" s="1203">
        <f>'RC1_Arch'!I407</f>
        <v>953867.98219315987</v>
      </c>
      <c r="J1263" s="1203">
        <f>'RC1_Arch'!L407</f>
        <v>322005.70408797497</v>
      </c>
      <c r="K1263" s="1203">
        <f>'RC1_Arch'!M407</f>
        <v>1275873.6862811348</v>
      </c>
    </row>
    <row r="1264" spans="1:11">
      <c r="A1264" t="s">
        <v>67</v>
      </c>
      <c r="B1264" t="s">
        <v>110</v>
      </c>
      <c r="C1264" t="s">
        <v>116</v>
      </c>
      <c r="D1264" t="s">
        <v>116</v>
      </c>
      <c r="E1264" t="str" cm="1">
        <f t="array" ref="E1264">_xlfn.LET(_xlpm.c,'RC1_Arch'!C408, _xlpm.b, 'RC1_Arch'!B408, IF(_xlpm.c&lt;&gt;"", _xlpm.c, _xlpm.b))</f>
        <v>Curtain Wall - Laminated Glass (HS 6 mm.++1.52 PVB + LOW-E 6 mm. )</v>
      </c>
      <c r="F1264" s="1205"/>
      <c r="G1264" s="1203" t="str">
        <f>'RC1_Arch'!F408</f>
        <v>ตร.ม.</v>
      </c>
      <c r="H1264" s="1203">
        <f>'RC1_Arch'!E408</f>
        <v>316</v>
      </c>
      <c r="I1264" s="1203">
        <f>'RC1_Arch'!I408</f>
        <v>2205982.8502758839</v>
      </c>
      <c r="J1264" s="1203">
        <f>'RC1_Arch'!L408</f>
        <v>741531.66655851994</v>
      </c>
      <c r="K1264" s="1203">
        <f>'RC1_Arch'!M408</f>
        <v>2947514.5168344039</v>
      </c>
    </row>
    <row r="1265" spans="1:11">
      <c r="F1265" s="1205"/>
      <c r="G1265" s="1203"/>
      <c r="H1265" s="1203"/>
      <c r="I1265" s="1203"/>
      <c r="J1265" s="1203"/>
      <c r="K1265" s="1203"/>
    </row>
    <row r="1266" spans="1:11">
      <c r="F1266" s="1205"/>
      <c r="G1266" s="1203"/>
      <c r="H1266" s="1203"/>
      <c r="I1266" s="1203"/>
      <c r="J1266" s="1203"/>
      <c r="K1266" s="1203"/>
    </row>
    <row r="1267" spans="1:11">
      <c r="F1267" s="1205"/>
      <c r="G1267" s="1203"/>
      <c r="H1267" s="1203"/>
      <c r="I1267" s="1203"/>
      <c r="J1267" s="1203"/>
      <c r="K1267" s="1203"/>
    </row>
    <row r="1268" spans="1:11">
      <c r="F1268" s="1205"/>
      <c r="G1268" s="1203"/>
      <c r="H1268" s="1203"/>
      <c r="I1268" s="1203"/>
      <c r="J1268" s="1203"/>
      <c r="K1268" s="1203"/>
    </row>
    <row r="1269" spans="1:11">
      <c r="E1269" t="str" cm="1">
        <f t="array" ref="E1269">_xlfn.LET(_xlpm.c,'RC1_Arch'!C413, _xlpm.b, 'RC1_Arch'!B413, IF(_xlpm.c&lt;&gt;"", _xlpm.c, _xlpm.b))</f>
        <v>งานห้องน้ำและสุขภัณฑ์</v>
      </c>
      <c r="F1269" s="1205"/>
      <c r="G1269" s="1203">
        <f>'RC1_Arch'!F413</f>
        <v>0</v>
      </c>
      <c r="H1269" s="1203">
        <f>'RC1_Arch'!E413</f>
        <v>0</v>
      </c>
      <c r="I1269" s="1203">
        <f>'RC1_Arch'!I413</f>
        <v>0</v>
      </c>
      <c r="J1269" s="1203">
        <f>'RC1_Arch'!L413</f>
        <v>0</v>
      </c>
      <c r="K1269" s="1203">
        <f>'RC1_Arch'!M413</f>
        <v>0</v>
      </c>
    </row>
    <row r="1270" spans="1:11">
      <c r="A1270" t="s">
        <v>67</v>
      </c>
      <c r="B1270" t="s">
        <v>117</v>
      </c>
      <c r="C1270" t="s">
        <v>117</v>
      </c>
      <c r="D1270" t="s">
        <v>118</v>
      </c>
      <c r="E1270" t="str" cm="1">
        <f t="array" ref="E1270">_xlfn.LET(_xlpm.c,'RC1_Arch'!C414, _xlpm.b, 'RC1_Arch'!B414, IF(_xlpm.c&lt;&gt;"", _xlpm.c, _xlpm.b))</f>
        <v>ผนังห้องน้ำสำเร็จรูป</v>
      </c>
      <c r="F1270" s="1205"/>
      <c r="G1270" s="1203" t="str">
        <f>'RC1_Arch'!F414</f>
        <v>ชุด</v>
      </c>
      <c r="H1270" s="1203">
        <f>'RC1_Arch'!E414</f>
        <v>57</v>
      </c>
      <c r="I1270" s="1203">
        <f>'RC1_Arch'!I414</f>
        <v>740727.64563809999</v>
      </c>
      <c r="J1270" s="1203">
        <f>'RC1_Arch'!L414</f>
        <v>39967.319009249994</v>
      </c>
      <c r="K1270" s="1203">
        <f>'RC1_Arch'!M414</f>
        <v>780694.96464735002</v>
      </c>
    </row>
    <row r="1271" spans="1:11">
      <c r="A1271" t="s">
        <v>67</v>
      </c>
      <c r="B1271" t="s">
        <v>117</v>
      </c>
      <c r="C1271" t="s">
        <v>117</v>
      </c>
      <c r="D1271" t="s">
        <v>119</v>
      </c>
      <c r="E1271" t="str" cm="1">
        <f t="array" ref="E1271">_xlfn.LET(_xlpm.c,'RC1_Arch'!C415, _xlpm.b, 'RC1_Arch'!B415, IF(_xlpm.c&lt;&gt;"", _xlpm.c, _xlpm.b))</f>
        <v>อ่างล้างหน้าฝังชนิดใต้เคาน์เตอร์ พร้อมก๊อก และอุปกรณ์ครบชุด</v>
      </c>
      <c r="F1271" s="1205"/>
      <c r="G1271" s="1203" t="str">
        <f>'RC1_Arch'!F415</f>
        <v>ชุด</v>
      </c>
      <c r="H1271" s="1203">
        <f>'RC1_Arch'!E415</f>
        <v>55</v>
      </c>
      <c r="I1271" s="1203">
        <f>'RC1_Arch'!I415</f>
        <v>483476.01015546243</v>
      </c>
      <c r="J1271" s="1203">
        <f>'RC1_Arch'!L415</f>
        <v>24938.672153724998</v>
      </c>
      <c r="K1271" s="1203">
        <f>'RC1_Arch'!M415</f>
        <v>508414.68230918742</v>
      </c>
    </row>
    <row r="1272" spans="1:11">
      <c r="A1272" t="s">
        <v>67</v>
      </c>
      <c r="B1272" t="s">
        <v>117</v>
      </c>
      <c r="C1272" t="s">
        <v>117</v>
      </c>
      <c r="D1272" t="s">
        <v>119</v>
      </c>
      <c r="E1272" t="str" cm="1">
        <f t="array" ref="E1272">_xlfn.LET(_xlpm.c,'RC1_Arch'!C416, _xlpm.b, 'RC1_Arch'!B416, IF(_xlpm.c&lt;&gt;"", _xlpm.c, _xlpm.b))</f>
        <v xml:space="preserve">อ่างล้างหน้าชนิดแขวน พร้อมก๊อกและอุปกรณ์ครบชุด </v>
      </c>
      <c r="F1272" s="1205"/>
      <c r="G1272" s="1203" t="str">
        <f>'RC1_Arch'!F416</f>
        <v>ชุด</v>
      </c>
      <c r="H1272" s="1203">
        <f>'RC1_Arch'!E416</f>
        <v>5</v>
      </c>
      <c r="I1272" s="1203">
        <f>'RC1_Arch'!I416</f>
        <v>81243.509284300002</v>
      </c>
      <c r="J1272" s="1203">
        <f>'RC1_Arch'!L416</f>
        <v>2267.152013975</v>
      </c>
      <c r="K1272" s="1203">
        <f>'RC1_Arch'!M416</f>
        <v>83510.661298275008</v>
      </c>
    </row>
    <row r="1273" spans="1:11">
      <c r="A1273" t="s">
        <v>67</v>
      </c>
      <c r="B1273" t="s">
        <v>117</v>
      </c>
      <c r="C1273" t="s">
        <v>117</v>
      </c>
      <c r="D1273" t="s">
        <v>119</v>
      </c>
      <c r="E1273" t="str" cm="1">
        <f t="array" ref="E1273">_xlfn.LET(_xlpm.c,'RC1_Arch'!C417, _xlpm.b, 'RC1_Arch'!B417, IF(_xlpm.c&lt;&gt;"", _xlpm.c, _xlpm.b))</f>
        <v>(ห้องน้ำผู้พิการ- BT03,1T05,2T03,2T06,3T03)</v>
      </c>
      <c r="F1273" s="1205"/>
      <c r="G1273" s="1203">
        <f>'RC1_Arch'!F417</f>
        <v>0</v>
      </c>
      <c r="H1273" s="1203">
        <f>'RC1_Arch'!E417</f>
        <v>0</v>
      </c>
      <c r="I1273" s="1203">
        <f>'RC1_Arch'!I417</f>
        <v>0</v>
      </c>
      <c r="J1273" s="1203">
        <f>'RC1_Arch'!L417</f>
        <v>0</v>
      </c>
      <c r="K1273" s="1203">
        <f>'RC1_Arch'!M417</f>
        <v>0</v>
      </c>
    </row>
    <row r="1274" spans="1:11">
      <c r="A1274" t="s">
        <v>67</v>
      </c>
      <c r="B1274" t="s">
        <v>117</v>
      </c>
      <c r="C1274" t="s">
        <v>117</v>
      </c>
      <c r="D1274" t="s">
        <v>119</v>
      </c>
      <c r="E1274" t="str" cm="1">
        <f t="array" ref="E1274">_xlfn.LET(_xlpm.c,'RC1_Arch'!C418, _xlpm.b, 'RC1_Arch'!B418, IF(_xlpm.c&lt;&gt;"", _xlpm.c, _xlpm.b))</f>
        <v>อ่างล้างหน้าชนิดแขวน พร้อมก๊อกและอุปกรณ์ครบชุด (ห้องน้ำ BT06,3T04,Prayer Rm. 306-307)</v>
      </c>
      <c r="F1274" s="1205"/>
      <c r="G1274" s="1203" t="str">
        <f>'RC1_Arch'!F418</f>
        <v>ชุด</v>
      </c>
      <c r="H1274" s="1203">
        <f>'RC1_Arch'!E418</f>
        <v>2</v>
      </c>
      <c r="I1274" s="1203">
        <f>'RC1_Arch'!I418</f>
        <v>26116.656292944997</v>
      </c>
      <c r="J1274" s="1203">
        <f>'RC1_Arch'!L418</f>
        <v>906.86080558999993</v>
      </c>
      <c r="K1274" s="1203">
        <f>'RC1_Arch'!M418</f>
        <v>27023.517098534998</v>
      </c>
    </row>
    <row r="1275" spans="1:11">
      <c r="A1275" t="s">
        <v>67</v>
      </c>
      <c r="B1275" t="s">
        <v>117</v>
      </c>
      <c r="C1275" t="s">
        <v>117</v>
      </c>
      <c r="D1275" t="s">
        <v>119</v>
      </c>
      <c r="E1275" t="str" cm="1">
        <f t="array" ref="E1275">_xlfn.LET(_xlpm.c,'RC1_Arch'!C419, _xlpm.b, 'RC1_Arch'!B419, IF(_xlpm.c&lt;&gt;"", _xlpm.c, _xlpm.b))</f>
        <v xml:space="preserve">โถสุขภัณฑ์แบบฟลัชวาล์ว พร้อมฟลัชวาล์วอุปกรณ์ครบชุด </v>
      </c>
      <c r="F1275" s="1205"/>
      <c r="G1275" s="1203" t="str">
        <f>'RC1_Arch'!F419</f>
        <v>ชุด</v>
      </c>
      <c r="H1275" s="1203">
        <f>'RC1_Arch'!E419</f>
        <v>60</v>
      </c>
      <c r="I1275" s="1203">
        <f>'RC1_Arch'!I419</f>
        <v>417903.89700900001</v>
      </c>
      <c r="J1275" s="1203">
        <f>'RC1_Arch'!L419</f>
        <v>25242.517269</v>
      </c>
      <c r="K1275" s="1203">
        <f>'RC1_Arch'!M419</f>
        <v>443146.41427800001</v>
      </c>
    </row>
    <row r="1276" spans="1:11">
      <c r="A1276" t="s">
        <v>67</v>
      </c>
      <c r="B1276" t="s">
        <v>117</v>
      </c>
      <c r="C1276" t="s">
        <v>117</v>
      </c>
      <c r="D1276" t="s">
        <v>119</v>
      </c>
      <c r="E1276" t="str" cm="1">
        <f t="array" ref="E1276">_xlfn.LET(_xlpm.c,'RC1_Arch'!C420, _xlpm.b, 'RC1_Arch'!B420, IF(_xlpm.c&lt;&gt;"", _xlpm.c, _xlpm.b))</f>
        <v xml:space="preserve">โถสุขภัณฑ์แบบฟลัชแทงก์ พร้อมอุปกรณ์ครบชุด </v>
      </c>
      <c r="F1276" s="1205"/>
      <c r="G1276" s="1203" t="str">
        <f>'RC1_Arch'!F420</f>
        <v>ชุด</v>
      </c>
      <c r="H1276" s="1203">
        <f>'RC1_Arch'!E420</f>
        <v>7</v>
      </c>
      <c r="I1276" s="1203">
        <f>'RC1_Arch'!I420</f>
        <v>40182.347860059999</v>
      </c>
      <c r="J1276" s="1203">
        <f>'RC1_Arch'!L420</f>
        <v>2944.96034805</v>
      </c>
      <c r="K1276" s="1203">
        <f>'RC1_Arch'!M420</f>
        <v>43127.30820811</v>
      </c>
    </row>
    <row r="1277" spans="1:11">
      <c r="A1277" t="s">
        <v>67</v>
      </c>
      <c r="B1277" t="s">
        <v>117</v>
      </c>
      <c r="C1277" t="s">
        <v>117</v>
      </c>
      <c r="D1277" t="s">
        <v>119</v>
      </c>
      <c r="E1277" t="str" cm="1">
        <f t="array" ref="E1277">_xlfn.LET(_xlpm.c,'RC1_Arch'!C421, _xlpm.b, 'RC1_Arch'!B421, IF(_xlpm.c&lt;&gt;"", _xlpm.c, _xlpm.b))</f>
        <v>(ห้องน้ำผู้พิการ- BT03,1T01,1T02,1T05,2T03,2T06,3T03)</v>
      </c>
      <c r="F1277" s="1205"/>
      <c r="G1277" s="1203">
        <f>'RC1_Arch'!F421</f>
        <v>0</v>
      </c>
      <c r="H1277" s="1203">
        <f>'RC1_Arch'!E421</f>
        <v>0</v>
      </c>
      <c r="I1277" s="1203">
        <f>'RC1_Arch'!I421</f>
        <v>0</v>
      </c>
      <c r="J1277" s="1203">
        <f>'RC1_Arch'!L421</f>
        <v>0</v>
      </c>
      <c r="K1277" s="1203">
        <f>'RC1_Arch'!M421</f>
        <v>0</v>
      </c>
    </row>
    <row r="1278" spans="1:11">
      <c r="A1278" t="s">
        <v>67</v>
      </c>
      <c r="B1278" t="s">
        <v>117</v>
      </c>
      <c r="C1278" t="s">
        <v>117</v>
      </c>
      <c r="D1278" t="s">
        <v>119</v>
      </c>
      <c r="E1278" t="str" cm="1">
        <f t="array" ref="E1278">_xlfn.LET(_xlpm.c,'RC1_Arch'!C422, _xlpm.b, 'RC1_Arch'!B422, IF(_xlpm.c&lt;&gt;"", _xlpm.c, _xlpm.b))</f>
        <v>โถสุขภัณฑ์แบบฟลัชแทงก์ สำหรับเด็กพร้อมอุปกรณ์ครบชุด (ห้องน้ำ 2T01,2T02)</v>
      </c>
      <c r="F1278" s="1205"/>
      <c r="G1278" s="1203" t="str">
        <f>'RC1_Arch'!F422</f>
        <v>ชุด</v>
      </c>
      <c r="H1278" s="1203">
        <f>'RC1_Arch'!E422</f>
        <v>2</v>
      </c>
      <c r="I1278" s="1203">
        <f>'RC1_Arch'!I422</f>
        <v>4674.5402349999995</v>
      </c>
      <c r="J1278" s="1203">
        <f>'RC1_Arch'!L422</f>
        <v>906.86080558999993</v>
      </c>
      <c r="K1278" s="1203">
        <f>'RC1_Arch'!M422</f>
        <v>5581.401040589999</v>
      </c>
    </row>
    <row r="1279" spans="1:11">
      <c r="A1279" t="s">
        <v>67</v>
      </c>
      <c r="B1279" t="s">
        <v>117</v>
      </c>
      <c r="C1279" t="s">
        <v>117</v>
      </c>
      <c r="D1279" t="s">
        <v>119</v>
      </c>
      <c r="E1279" t="str" cm="1">
        <f t="array" ref="E1279">_xlfn.LET(_xlpm.c,'RC1_Arch'!C423, _xlpm.b, 'RC1_Arch'!B423, IF(_xlpm.c&lt;&gt;"", _xlpm.c, _xlpm.b))</f>
        <v xml:space="preserve">โถปัสสาวะชาย พร้อมฟลัชวาล์วและอุปกรณ์ครบชุด </v>
      </c>
      <c r="F1279" s="1205"/>
      <c r="G1279" s="1203" t="str">
        <f>'RC1_Arch'!F423</f>
        <v>ชุด</v>
      </c>
      <c r="H1279" s="1203">
        <f>'RC1_Arch'!E423</f>
        <v>34</v>
      </c>
      <c r="I1279" s="1203">
        <f>'RC1_Arch'!I423</f>
        <v>409097.06320625998</v>
      </c>
      <c r="J1279" s="1203">
        <f>'RC1_Arch'!L423</f>
        <v>15416.633695029999</v>
      </c>
      <c r="K1279" s="1203">
        <f>'RC1_Arch'!M423</f>
        <v>424513.69690128998</v>
      </c>
    </row>
    <row r="1280" spans="1:11">
      <c r="A1280" t="s">
        <v>67</v>
      </c>
      <c r="B1280" t="s">
        <v>117</v>
      </c>
      <c r="C1280" t="s">
        <v>117</v>
      </c>
      <c r="D1280" t="s">
        <v>119</v>
      </c>
      <c r="E1280" t="str" cm="1">
        <f t="array" ref="E1280">_xlfn.LET(_xlpm.c,'RC1_Arch'!C424, _xlpm.b, 'RC1_Arch'!B424, IF(_xlpm.c&lt;&gt;"", _xlpm.c, _xlpm.b))</f>
        <v>(ห้องน้ำ BT02,BT04,1T01,1T03,1T07,2T01,2T05,3T01,3T05,3MT01)</v>
      </c>
      <c r="F1280" s="1205"/>
      <c r="G1280" s="1203">
        <f>'RC1_Arch'!F424</f>
        <v>0</v>
      </c>
      <c r="H1280" s="1203">
        <f>'RC1_Arch'!E424</f>
        <v>0</v>
      </c>
      <c r="I1280" s="1203">
        <f>'RC1_Arch'!I424</f>
        <v>0</v>
      </c>
      <c r="J1280" s="1203">
        <f>'RC1_Arch'!L424</f>
        <v>0</v>
      </c>
      <c r="K1280" s="1203">
        <f>'RC1_Arch'!M424</f>
        <v>0</v>
      </c>
    </row>
    <row r="1281" spans="1:11">
      <c r="A1281" t="s">
        <v>67</v>
      </c>
      <c r="B1281" t="s">
        <v>117</v>
      </c>
      <c r="C1281" t="s">
        <v>117</v>
      </c>
      <c r="D1281" t="s">
        <v>119</v>
      </c>
      <c r="E1281" t="str" cm="1">
        <f t="array" ref="E1281">_xlfn.LET(_xlpm.c,'RC1_Arch'!C425, _xlpm.b, 'RC1_Arch'!B425, IF(_xlpm.c&lt;&gt;"", _xlpm.c, _xlpm.b))</f>
        <v>โถปัสสาวะชาย พร้อมฟลัชวาล์ว และอุปกรณ์ครบชุด (ห้องน้ำ BT06)</v>
      </c>
      <c r="F1281" s="1205"/>
      <c r="G1281" s="1203" t="str">
        <f>'RC1_Arch'!F425</f>
        <v>ชุด</v>
      </c>
      <c r="H1281" s="1203">
        <f>'RC1_Arch'!E425</f>
        <v>1</v>
      </c>
      <c r="I1281" s="1203">
        <f>'RC1_Arch'!I425</f>
        <v>4197.7371310299995</v>
      </c>
      <c r="J1281" s="1203">
        <f>'RC1_Arch'!L425</f>
        <v>453.43040279499996</v>
      </c>
      <c r="K1281" s="1203">
        <f>'RC1_Arch'!M425</f>
        <v>4651.1675338249997</v>
      </c>
    </row>
    <row r="1282" spans="1:11">
      <c r="A1282" t="s">
        <v>67</v>
      </c>
      <c r="B1282" t="s">
        <v>117</v>
      </c>
      <c r="C1282" t="s">
        <v>117</v>
      </c>
      <c r="D1282" t="s">
        <v>119</v>
      </c>
      <c r="E1282" t="str" cm="1">
        <f t="array" ref="E1282">_xlfn.LET(_xlpm.c,'RC1_Arch'!C426, _xlpm.b, 'RC1_Arch'!B426, IF(_xlpm.c&lt;&gt;"", _xlpm.c, _xlpm.b))</f>
        <v xml:space="preserve">สายชำระ  </v>
      </c>
      <c r="F1282" s="1205"/>
      <c r="G1282" s="1203" t="str">
        <f>'RC1_Arch'!F426</f>
        <v>ชุด</v>
      </c>
      <c r="H1282" s="1203">
        <f>'RC1_Arch'!E426</f>
        <v>4</v>
      </c>
      <c r="I1282" s="1203">
        <f>'RC1_Arch'!I426</f>
        <v>1907.21241588</v>
      </c>
      <c r="J1282" s="1203">
        <f>'RC1_Arch'!L426</f>
        <v>130.88712658</v>
      </c>
      <c r="K1282" s="1203">
        <f>'RC1_Arch'!M426</f>
        <v>2038.0995424600001</v>
      </c>
    </row>
    <row r="1283" spans="1:11">
      <c r="A1283" t="s">
        <v>67</v>
      </c>
      <c r="B1283" t="s">
        <v>117</v>
      </c>
      <c r="C1283" t="s">
        <v>117</v>
      </c>
      <c r="D1283" t="s">
        <v>119</v>
      </c>
      <c r="E1283" t="str" cm="1">
        <f t="array" ref="E1283">_xlfn.LET(_xlpm.c,'RC1_Arch'!C427, _xlpm.b, 'RC1_Arch'!B427, IF(_xlpm.c&lt;&gt;"", _xlpm.c, _xlpm.b))</f>
        <v xml:space="preserve">ที่กั้นโถปัสสาวะ </v>
      </c>
      <c r="F1283" s="1205"/>
      <c r="G1283" s="1203" t="str">
        <f>'RC1_Arch'!F427</f>
        <v>ชุด</v>
      </c>
      <c r="H1283" s="1203">
        <f>'RC1_Arch'!E427</f>
        <v>35</v>
      </c>
      <c r="I1283" s="1203">
        <f>'RC1_Arch'!I427</f>
        <v>16360.8908225</v>
      </c>
      <c r="J1283" s="1203">
        <f>'RC1_Arch'!L427</f>
        <v>5562.7028796499999</v>
      </c>
      <c r="K1283" s="1203">
        <f>'RC1_Arch'!M427</f>
        <v>21923.593702149999</v>
      </c>
    </row>
    <row r="1284" spans="1:11">
      <c r="A1284" t="s">
        <v>67</v>
      </c>
      <c r="B1284" t="s">
        <v>117</v>
      </c>
      <c r="C1284" t="s">
        <v>117</v>
      </c>
      <c r="D1284" t="s">
        <v>119</v>
      </c>
      <c r="E1284" t="str" cm="1">
        <f t="array" ref="E1284">_xlfn.LET(_xlpm.c,'RC1_Arch'!C428, _xlpm.b, 'RC1_Arch'!B428, IF(_xlpm.c&lt;&gt;"", _xlpm.c, _xlpm.b))</f>
        <v xml:space="preserve">GRABBAR  </v>
      </c>
      <c r="F1284" s="1205"/>
      <c r="G1284" s="1203" t="str">
        <f>'RC1_Arch'!F428</f>
        <v>ชุด</v>
      </c>
      <c r="H1284" s="1203">
        <f>'RC1_Arch'!E428</f>
        <v>7</v>
      </c>
      <c r="I1284" s="1203">
        <f>'RC1_Arch'!I428</f>
        <v>183896.41284489998</v>
      </c>
      <c r="J1284" s="1203">
        <f>'RC1_Arch'!L428</f>
        <v>1145.2623575749999</v>
      </c>
      <c r="K1284" s="1203">
        <f>'RC1_Arch'!M428</f>
        <v>185041.67520247499</v>
      </c>
    </row>
    <row r="1285" spans="1:11">
      <c r="A1285" t="s">
        <v>67</v>
      </c>
      <c r="B1285" t="s">
        <v>117</v>
      </c>
      <c r="C1285" t="s">
        <v>117</v>
      </c>
      <c r="D1285" t="s">
        <v>119</v>
      </c>
      <c r="E1285" t="str" cm="1">
        <f t="array" ref="E1285">_xlfn.LET(_xlpm.c,'RC1_Arch'!C429, _xlpm.b, 'RC1_Arch'!B429, IF(_xlpm.c&lt;&gt;"", _xlpm.c, _xlpm.b))</f>
        <v xml:space="preserve">ก๊อกติดผนังก้านปัด  </v>
      </c>
      <c r="F1285" s="1205"/>
      <c r="G1285" s="1203" t="str">
        <f>'RC1_Arch'!F429</f>
        <v>ชุด</v>
      </c>
      <c r="H1285" s="1203">
        <f>'RC1_Arch'!E429</f>
        <v>3</v>
      </c>
      <c r="I1285" s="1203">
        <f>'RC1_Arch'!I429</f>
        <v>3134.2792275674997</v>
      </c>
      <c r="J1285" s="1203">
        <f>'RC1_Arch'!L429</f>
        <v>70.118103524999995</v>
      </c>
      <c r="K1285" s="1203">
        <f>'RC1_Arch'!M429</f>
        <v>3204.3973310924998</v>
      </c>
    </row>
    <row r="1286" spans="1:11">
      <c r="A1286" t="s">
        <v>67</v>
      </c>
      <c r="B1286" t="s">
        <v>117</v>
      </c>
      <c r="C1286" t="s">
        <v>117</v>
      </c>
      <c r="D1286" t="s">
        <v>119</v>
      </c>
      <c r="E1286" t="str" cm="1">
        <f t="array" ref="E1286">_xlfn.LET(_xlpm.c,'RC1_Arch'!C430, _xlpm.b, 'RC1_Arch'!B430, IF(_xlpm.c&lt;&gt;"", _xlpm.c, _xlpm.b))</f>
        <v xml:space="preserve">ก๊อกติดผนัง  </v>
      </c>
      <c r="F1286" s="1205"/>
      <c r="G1286" s="1203" t="str">
        <f>'RC1_Arch'!F430</f>
        <v>ชุด</v>
      </c>
      <c r="H1286" s="1203">
        <f>'RC1_Arch'!E430</f>
        <v>27</v>
      </c>
      <c r="I1286" s="1203">
        <f>'RC1_Arch'!I430</f>
        <v>14388.234843329999</v>
      </c>
      <c r="J1286" s="1203">
        <f>'RC1_Arch'!L430</f>
        <v>631.062931725</v>
      </c>
      <c r="K1286" s="1203">
        <f>'RC1_Arch'!M430</f>
        <v>15019.297775055</v>
      </c>
    </row>
    <row r="1287" spans="1:11">
      <c r="A1287" t="s">
        <v>67</v>
      </c>
      <c r="B1287" t="s">
        <v>117</v>
      </c>
      <c r="C1287" t="s">
        <v>117</v>
      </c>
      <c r="D1287" t="s">
        <v>119</v>
      </c>
      <c r="E1287" t="str" cm="1">
        <f t="array" ref="E1287">_xlfn.LET(_xlpm.c,'RC1_Arch'!C431, _xlpm.b, 'RC1_Arch'!B431, IF(_xlpm.c&lt;&gt;"", _xlpm.c, _xlpm.b))</f>
        <v xml:space="preserve">ที่ใส่กระดาษชำระ </v>
      </c>
      <c r="F1287" s="1205"/>
      <c r="G1287" s="1203" t="str">
        <f>'RC1_Arch'!F431</f>
        <v>ชุด</v>
      </c>
      <c r="H1287" s="1203">
        <f>'RC1_Arch'!E431</f>
        <v>8</v>
      </c>
      <c r="I1287" s="1203">
        <f>'RC1_Arch'!I431</f>
        <v>4768.0310396999994</v>
      </c>
      <c r="J1287" s="1203">
        <f>'RC1_Arch'!L431</f>
        <v>897.51172511999994</v>
      </c>
      <c r="K1287" s="1203">
        <f>'RC1_Arch'!M431</f>
        <v>5665.5427648199993</v>
      </c>
    </row>
    <row r="1288" spans="1:11">
      <c r="A1288" t="s">
        <v>67</v>
      </c>
      <c r="B1288" t="s">
        <v>117</v>
      </c>
      <c r="C1288" t="s">
        <v>117</v>
      </c>
      <c r="D1288" t="s">
        <v>119</v>
      </c>
      <c r="E1288" t="str" cm="1">
        <f t="array" ref="E1288">_xlfn.LET(_xlpm.c,'RC1_Arch'!C432, _xlpm.b, 'RC1_Arch'!B432, IF(_xlpm.c&lt;&gt;"", _xlpm.c, _xlpm.b))</f>
        <v xml:space="preserve">ถาดเปลี่ยนผ้าอ้อม  </v>
      </c>
      <c r="F1288" s="1205"/>
      <c r="G1288" s="1203" t="str">
        <f>'RC1_Arch'!F432</f>
        <v>ชุด</v>
      </c>
      <c r="H1288" s="1203">
        <f>'RC1_Arch'!E432</f>
        <v>2</v>
      </c>
      <c r="I1288" s="1203">
        <f>'RC1_Arch'!I432</f>
        <v>18698.160939999998</v>
      </c>
      <c r="J1288" s="1203">
        <f>'RC1_Arch'!L432</f>
        <v>186.9816094</v>
      </c>
      <c r="K1288" s="1203">
        <f>'RC1_Arch'!M432</f>
        <v>18885.1425494</v>
      </c>
    </row>
    <row r="1289" spans="1:11">
      <c r="A1289" t="s">
        <v>67</v>
      </c>
      <c r="B1289" t="s">
        <v>117</v>
      </c>
      <c r="C1289" t="s">
        <v>117</v>
      </c>
      <c r="D1289" t="s">
        <v>119</v>
      </c>
      <c r="E1289" t="str" cm="1">
        <f t="array" ref="E1289">_xlfn.LET(_xlpm.c,'RC1_Arch'!C433, _xlpm.b, 'RC1_Arch'!B433, IF(_xlpm.c&lt;&gt;"", _xlpm.c, _xlpm.b))</f>
        <v xml:space="preserve">เก้าอี้เด็กติดผนัง  </v>
      </c>
      <c r="F1289" s="1205"/>
      <c r="G1289" s="1203" t="str">
        <f>'RC1_Arch'!F433</f>
        <v>ชุด</v>
      </c>
      <c r="H1289" s="1203">
        <f>'RC1_Arch'!E433</f>
        <v>1</v>
      </c>
      <c r="I1289" s="1203">
        <f>'RC1_Arch'!I433</f>
        <v>4674.5402349999995</v>
      </c>
      <c r="J1289" s="1203">
        <f>'RC1_Arch'!L433</f>
        <v>93.490804699999998</v>
      </c>
      <c r="K1289" s="1203">
        <f>'RC1_Arch'!M433</f>
        <v>4768.0310396999994</v>
      </c>
    </row>
    <row r="1290" spans="1:11">
      <c r="A1290" t="s">
        <v>67</v>
      </c>
      <c r="B1290" t="s">
        <v>117</v>
      </c>
      <c r="C1290" t="s">
        <v>117</v>
      </c>
      <c r="D1290" t="s">
        <v>119</v>
      </c>
      <c r="E1290" t="str" cm="1">
        <f t="array" ref="E1290">_xlfn.LET(_xlpm.c,'RC1_Arch'!C434, _xlpm.b, 'RC1_Arch'!B434, IF(_xlpm.c&lt;&gt;"", _xlpm.c, _xlpm.b))</f>
        <v xml:space="preserve">Emergency  Shower and Eye Wash  </v>
      </c>
      <c r="F1290" s="1205"/>
      <c r="G1290" s="1203" t="str">
        <f>'RC1_Arch'!F434</f>
        <v>ชุด</v>
      </c>
      <c r="H1290" s="1203">
        <f>'RC1_Arch'!E434</f>
        <v>1</v>
      </c>
      <c r="I1290" s="1203">
        <f>'RC1_Arch'!I434</f>
        <v>8199.1435721899998</v>
      </c>
      <c r="J1290" s="1203">
        <f>'RC1_Arch'!L434</f>
        <v>420.70862115</v>
      </c>
      <c r="K1290" s="1203">
        <f>'RC1_Arch'!M434</f>
        <v>8619.8521933400007</v>
      </c>
    </row>
    <row r="1291" spans="1:11">
      <c r="A1291" t="s">
        <v>67</v>
      </c>
      <c r="B1291" t="s">
        <v>117</v>
      </c>
      <c r="C1291" t="s">
        <v>117</v>
      </c>
      <c r="D1291" t="s">
        <v>119</v>
      </c>
      <c r="E1291" t="str" cm="1">
        <f t="array" ref="E1291">_xlfn.LET(_xlpm.c,'RC1_Arch'!C435, _xlpm.b, 'RC1_Arch'!B435, IF(_xlpm.c&lt;&gt;"", _xlpm.c, _xlpm.b))</f>
        <v>Service Sink  พร้อมก๊อกก้านปัด และอุปกรณ์ครบชุด</v>
      </c>
      <c r="F1291" s="1205"/>
      <c r="G1291" s="1203" t="str">
        <f>'RC1_Arch'!F435</f>
        <v>ชุด</v>
      </c>
      <c r="H1291" s="1203">
        <f>'RC1_Arch'!E435</f>
        <v>1</v>
      </c>
      <c r="I1291" s="1203">
        <f>'RC1_Arch'!I435</f>
        <v>10938.4241499</v>
      </c>
      <c r="J1291" s="1203">
        <f>'RC1_Arch'!L435</f>
        <v>331.89235668499998</v>
      </c>
      <c r="K1291" s="1203">
        <f>'RC1_Arch'!M435</f>
        <v>11270.316506585001</v>
      </c>
    </row>
    <row r="1292" spans="1:11">
      <c r="A1292" t="s">
        <v>67</v>
      </c>
      <c r="B1292" t="s">
        <v>117</v>
      </c>
      <c r="C1292" t="s">
        <v>117</v>
      </c>
      <c r="D1292" t="s">
        <v>119</v>
      </c>
      <c r="E1292" t="str" cm="1">
        <f t="array" ref="E1292">_xlfn.LET(_xlpm.c,'RC1_Arch'!C436, _xlpm.b, 'RC1_Arch'!B436, IF(_xlpm.c&lt;&gt;"", _xlpm.c, _xlpm.b))</f>
        <v>กระจกเงา สูง 1350 มม. (ตามแบบขยาย A512)</v>
      </c>
      <c r="F1292" s="1205"/>
      <c r="G1292" s="1203" t="str">
        <f>'RC1_Arch'!F436</f>
        <v>เมตร</v>
      </c>
      <c r="H1292" s="1203">
        <f>'RC1_Arch'!E436</f>
        <v>55.954999999999998</v>
      </c>
      <c r="I1292" s="1203">
        <f>'RC1_Arch'!I436</f>
        <v>172632.1732406205</v>
      </c>
      <c r="J1292" s="1203">
        <f>'RC1_Arch'!L436</f>
        <v>20925.111907954</v>
      </c>
      <c r="K1292" s="1203">
        <f>'RC1_Arch'!M436</f>
        <v>193557.28514857451</v>
      </c>
    </row>
    <row r="1293" spans="1:11">
      <c r="A1293" t="s">
        <v>67</v>
      </c>
      <c r="B1293" t="s">
        <v>117</v>
      </c>
      <c r="C1293" t="s">
        <v>117</v>
      </c>
      <c r="D1293" t="s">
        <v>119</v>
      </c>
      <c r="E1293" t="str" cm="1">
        <f t="array" ref="E1293">_xlfn.LET(_xlpm.c,'RC1_Arch'!C437, _xlpm.b, 'RC1_Arch'!B437, IF(_xlpm.c&lt;&gt;"", _xlpm.c, _xlpm.b))</f>
        <v>เคาน์เตอร์อ่างล้างหน้ากรุหินสังเคราะห์ ขนาดกว้าง 600 มม. (ตามแบบขยาย A512)</v>
      </c>
      <c r="F1293" s="1205"/>
      <c r="G1293" s="1203" t="str">
        <f>'RC1_Arch'!F437</f>
        <v>เมตร</v>
      </c>
      <c r="H1293" s="1203">
        <f>'RC1_Arch'!E437</f>
        <v>50.155000000000001</v>
      </c>
      <c r="I1293" s="1203">
        <f>'RC1_Arch'!I437</f>
        <v>140670.939291855</v>
      </c>
      <c r="J1293" s="1203">
        <f>'RC1_Arch'!L437</f>
        <v>28134.187858370999</v>
      </c>
      <c r="K1293" s="1203">
        <f>'RC1_Arch'!M437</f>
        <v>168805.12715022601</v>
      </c>
    </row>
    <row r="1294" spans="1:11">
      <c r="A1294" t="s">
        <v>67</v>
      </c>
      <c r="B1294" t="s">
        <v>117</v>
      </c>
      <c r="C1294" t="s">
        <v>117</v>
      </c>
      <c r="D1294" t="s">
        <v>119</v>
      </c>
      <c r="E1294" t="str" cm="1">
        <f t="array" ref="E1294">_xlfn.LET(_xlpm.c,'RC1_Arch'!C438, _xlpm.b, 'RC1_Arch'!B438, IF(_xlpm.c&lt;&gt;"", _xlpm.c, _xlpm.b))</f>
        <v>เคาน์เตอร์หลังโถปัสสาวะกรุหินสังเคราะห์  ขนาดกว้าง 205 มม.  (ตามแบบขยาย A512)</v>
      </c>
      <c r="F1294" s="1205"/>
      <c r="G1294" s="1203" t="str">
        <f>'RC1_Arch'!F438</f>
        <v>เมตร</v>
      </c>
      <c r="H1294" s="1203">
        <f>'RC1_Arch'!E438</f>
        <v>30.254999999999999</v>
      </c>
      <c r="I1294" s="1203">
        <f>'RC1_Arch'!I438</f>
        <v>28285.642961984999</v>
      </c>
      <c r="J1294" s="1203">
        <f>'RC1_Arch'!L438</f>
        <v>5657.1285923969999</v>
      </c>
      <c r="K1294" s="1203">
        <f>'RC1_Arch'!M438</f>
        <v>33942.771554382001</v>
      </c>
    </row>
    <row r="1295" spans="1:11">
      <c r="A1295" t="s">
        <v>67</v>
      </c>
      <c r="B1295" t="s">
        <v>117</v>
      </c>
      <c r="C1295" t="s">
        <v>117</v>
      </c>
      <c r="D1295" t="s">
        <v>119</v>
      </c>
      <c r="E1295" t="str" cm="1">
        <f t="array" ref="E1295">_xlfn.LET(_xlpm.c,'RC1_Arch'!C439, _xlpm.b, 'RC1_Arch'!B439, IF(_xlpm.c&lt;&gt;"", _xlpm.c, _xlpm.b))</f>
        <v>ผนังกระจก, ที่ใส่กระดาษทิชชู่ (ตามแบบขยาย A513)</v>
      </c>
      <c r="F1295" s="1205"/>
      <c r="G1295" s="1203" t="str">
        <f>'RC1_Arch'!F439</f>
        <v>ชุด</v>
      </c>
      <c r="H1295" s="1203">
        <f>'RC1_Arch'!E439</f>
        <v>14</v>
      </c>
      <c r="I1295" s="1203">
        <f>'RC1_Arch'!I439</f>
        <v>392661.37974</v>
      </c>
      <c r="J1295" s="1203">
        <f>'RC1_Arch'!L439</f>
        <v>0</v>
      </c>
      <c r="K1295" s="1203">
        <f>'RC1_Arch'!M439</f>
        <v>392661.37974</v>
      </c>
    </row>
    <row r="1296" spans="1:11">
      <c r="A1296" t="s">
        <v>67</v>
      </c>
      <c r="B1296" t="s">
        <v>117</v>
      </c>
      <c r="C1296" t="s">
        <v>117</v>
      </c>
      <c r="D1296" t="s">
        <v>119</v>
      </c>
      <c r="E1296" t="str" cm="1">
        <f t="array" ref="E1296">_xlfn.LET(_xlpm.c,'RC1_Arch'!C440, _xlpm.b, 'RC1_Arch'!B440, IF(_xlpm.c&lt;&gt;"", _xlpm.c, _xlpm.b))</f>
        <v>งานยาแนวซิลิโคนสุขภัณฑ์</v>
      </c>
      <c r="F1296" s="1205"/>
      <c r="G1296" s="1203" t="str">
        <f>'RC1_Arch'!F440</f>
        <v>ชุด</v>
      </c>
      <c r="H1296" s="1203">
        <f>'RC1_Arch'!E440</f>
        <v>166</v>
      </c>
      <c r="I1296" s="1203">
        <f>'RC1_Arch'!I440</f>
        <v>15519.4735802</v>
      </c>
      <c r="J1296" s="1203">
        <f>'RC1_Arch'!L440</f>
        <v>0</v>
      </c>
      <c r="K1296" s="1203">
        <f>'RC1_Arch'!M440</f>
        <v>15519.4735802</v>
      </c>
    </row>
    <row r="1297" spans="1:11">
      <c r="F1297" s="1205"/>
      <c r="G1297" s="1203"/>
      <c r="H1297" s="1203"/>
      <c r="I1297" s="1203"/>
      <c r="J1297" s="1203"/>
      <c r="K1297" s="1203"/>
    </row>
    <row r="1298" spans="1:11">
      <c r="E1298" t="str" cm="1">
        <f t="array" ref="E1298">_xlfn.LET(_xlpm.c,'RC1_Arch'!C442, _xlpm.b, 'RC1_Arch'!B442, IF(_xlpm.c&lt;&gt;"", _xlpm.c, _xlpm.b))</f>
        <v>งานบันได ราวบันได ราวกันตก และส่วนประกอบ</v>
      </c>
      <c r="F1298" s="1205"/>
      <c r="G1298" s="1203">
        <f>'RC1_Arch'!F442</f>
        <v>0</v>
      </c>
      <c r="H1298" s="1203">
        <f>'RC1_Arch'!E442</f>
        <v>0</v>
      </c>
      <c r="I1298" s="1203">
        <f>'RC1_Arch'!I442</f>
        <v>0</v>
      </c>
      <c r="J1298" s="1203">
        <f>'RC1_Arch'!L442</f>
        <v>0</v>
      </c>
      <c r="K1298" s="1203">
        <f>'RC1_Arch'!M442</f>
        <v>0</v>
      </c>
    </row>
    <row r="1299" spans="1:11">
      <c r="E1299" cm="1">
        <f t="array" ref="E1299">_xlfn.LET(_xlpm.c,'RC1_Arch'!C443, _xlpm.b, 'RC1_Arch'!B443, IF(_xlpm.c&lt;&gt;"", _xlpm.c, _xlpm.b))</f>
        <v>0</v>
      </c>
      <c r="F1299" s="1205"/>
      <c r="G1299" s="1203">
        <f>'RC1_Arch'!F443</f>
        <v>0</v>
      </c>
      <c r="H1299" s="1203">
        <f>'RC1_Arch'!E443</f>
        <v>0</v>
      </c>
      <c r="I1299" s="1203">
        <f>'RC1_Arch'!I443</f>
        <v>0</v>
      </c>
      <c r="J1299" s="1203">
        <f>'RC1_Arch'!L443</f>
        <v>0</v>
      </c>
      <c r="K1299" s="1203">
        <f>'RC1_Arch'!M443</f>
        <v>0</v>
      </c>
    </row>
    <row r="1300" spans="1:11">
      <c r="E1300" t="str" cm="1">
        <f t="array" ref="E1300">_xlfn.LET(_xlpm.c,'RC1_Arch'!C444, _xlpm.b, 'RC1_Arch'!B444, IF(_xlpm.c&lt;&gt;"", _xlpm.c, _xlpm.b))</f>
        <v>บันได 1</v>
      </c>
      <c r="F1300" s="1205"/>
      <c r="G1300" s="1203">
        <f>'RC1_Arch'!F444</f>
        <v>0</v>
      </c>
      <c r="H1300" s="1203">
        <f>'RC1_Arch'!E444</f>
        <v>0</v>
      </c>
      <c r="I1300" s="1203">
        <f>'RC1_Arch'!I444</f>
        <v>0</v>
      </c>
      <c r="J1300" s="1203">
        <f>'RC1_Arch'!L444</f>
        <v>0</v>
      </c>
      <c r="K1300" s="1203">
        <f>'RC1_Arch'!M444</f>
        <v>0</v>
      </c>
    </row>
    <row r="1301" spans="1:11">
      <c r="A1301" t="s">
        <v>67</v>
      </c>
      <c r="B1301" t="s">
        <v>120</v>
      </c>
      <c r="C1301" t="s">
        <v>48</v>
      </c>
      <c r="D1301" t="s">
        <v>48</v>
      </c>
      <c r="E1301" t="str" cm="1">
        <f t="array" ref="E1301">_xlfn.LET(_xlpm.c,'RC1_Arch'!C445, _xlpm.b, 'RC1_Arch'!B445, IF(_xlpm.c&lt;&gt;"", _xlpm.c, _xlpm.b))</f>
        <v>งานขั้นบันได ผิวขัดมันหนา 30 - 50 มม. ทาสี Epoxy Coating</v>
      </c>
      <c r="F1301" s="1205"/>
      <c r="G1301" s="1203" t="str">
        <f>'RC1_Arch'!F445</f>
        <v>เมตร</v>
      </c>
      <c r="H1301" s="1203">
        <f>'RC1_Arch'!E445</f>
        <v>155</v>
      </c>
      <c r="I1301" s="1203">
        <f>'RC1_Arch'!I445</f>
        <v>13766.520992075</v>
      </c>
      <c r="J1301" s="1203">
        <f>'RC1_Arch'!L445</f>
        <v>5941.3406386849992</v>
      </c>
      <c r="K1301" s="1203">
        <f>'RC1_Arch'!M445</f>
        <v>19707.861630759999</v>
      </c>
    </row>
    <row r="1302" spans="1:11">
      <c r="A1302" t="s">
        <v>67</v>
      </c>
      <c r="B1302" t="s">
        <v>120</v>
      </c>
      <c r="C1302" t="s">
        <v>48</v>
      </c>
      <c r="D1302" t="s">
        <v>48</v>
      </c>
      <c r="E1302" t="str" cm="1">
        <f t="array" ref="E1302">_xlfn.LET(_xlpm.c,'RC1_Arch'!C446, _xlpm.b, 'RC1_Arch'!B446, IF(_xlpm.c&lt;&gt;"", _xlpm.c, _xlpm.b))</f>
        <v>งานชานพักบันได ผิวขัดมันหนา 30 - 50 มม. ทาสี Epoxy Coating</v>
      </c>
      <c r="F1302" s="1205"/>
      <c r="G1302" s="1203" t="str">
        <f>'RC1_Arch'!F446</f>
        <v>ตร.ม.</v>
      </c>
      <c r="H1302" s="1203">
        <f>'RC1_Arch'!E446</f>
        <v>55</v>
      </c>
      <c r="I1302" s="1203">
        <f>'RC1_Arch'!I446</f>
        <v>10283.988517</v>
      </c>
      <c r="J1302" s="1203">
        <f>'RC1_Arch'!L446</f>
        <v>6684.5925360499996</v>
      </c>
      <c r="K1302" s="1203">
        <f>'RC1_Arch'!M446</f>
        <v>16968.581053049998</v>
      </c>
    </row>
    <row r="1303" spans="1:11">
      <c r="A1303" t="s">
        <v>67</v>
      </c>
      <c r="B1303" t="s">
        <v>120</v>
      </c>
      <c r="C1303" t="s">
        <v>48</v>
      </c>
      <c r="D1303" t="s">
        <v>48</v>
      </c>
      <c r="E1303" t="str" cm="1">
        <f t="array" ref="E1303">_xlfn.LET(_xlpm.c,'RC1_Arch'!C447, _xlpm.b, 'RC1_Arch'!B447, IF(_xlpm.c&lt;&gt;"", _xlpm.c, _xlpm.b))</f>
        <v>งานจมูกบันไดแบบที่ 1</v>
      </c>
      <c r="F1303" s="1205"/>
      <c r="G1303" s="1203" t="str">
        <f>'RC1_Arch'!F447</f>
        <v>เมตร</v>
      </c>
      <c r="H1303" s="1203">
        <f>'RC1_Arch'!E447</f>
        <v>175</v>
      </c>
      <c r="I1303" s="1203">
        <f>'RC1_Arch'!I447</f>
        <v>31085.692562750002</v>
      </c>
      <c r="J1303" s="1203">
        <f>'RC1_Arch'!L447</f>
        <v>6871.5741454499994</v>
      </c>
      <c r="K1303" s="1203">
        <f>'RC1_Arch'!M447</f>
        <v>37957.266708200004</v>
      </c>
    </row>
    <row r="1304" spans="1:11">
      <c r="A1304" t="s">
        <v>67</v>
      </c>
      <c r="B1304" t="s">
        <v>120</v>
      </c>
      <c r="C1304" t="s">
        <v>48</v>
      </c>
      <c r="D1304" t="s">
        <v>48</v>
      </c>
      <c r="E1304" t="str" cm="1">
        <f t="array" ref="E1304">_xlfn.LET(_xlpm.c,'RC1_Arch'!C448, _xlpm.b, 'RC1_Arch'!B448, IF(_xlpm.c&lt;&gt;"", _xlpm.c, _xlpm.b))</f>
        <v>งานราวบันได ST1</v>
      </c>
      <c r="F1304" s="1205"/>
      <c r="G1304" s="1203" t="str">
        <f>'RC1_Arch'!F448</f>
        <v>เมตร</v>
      </c>
      <c r="H1304" s="1203">
        <f>'RC1_Arch'!E448</f>
        <v>50</v>
      </c>
      <c r="I1304" s="1203">
        <f>'RC1_Arch'!I448</f>
        <v>60769.023055000005</v>
      </c>
      <c r="J1304" s="1203">
        <f>'RC1_Arch'!L448</f>
        <v>19165.6149635</v>
      </c>
      <c r="K1304" s="1203">
        <f>'RC1_Arch'!M448</f>
        <v>79934.638018500002</v>
      </c>
    </row>
    <row r="1305" spans="1:11">
      <c r="A1305" t="s">
        <v>67</v>
      </c>
      <c r="B1305" t="s">
        <v>120</v>
      </c>
      <c r="C1305" t="s">
        <v>48</v>
      </c>
      <c r="D1305" t="s">
        <v>48</v>
      </c>
      <c r="E1305" t="str" cm="1">
        <f t="array" ref="E1305">_xlfn.LET(_xlpm.c,'RC1_Arch'!C449, _xlpm.b, 'RC1_Arch'!B449, IF(_xlpm.c&lt;&gt;"", _xlpm.c, _xlpm.b))</f>
        <v>งานบัวข้างบันไดทาสี Epoxy Coating</v>
      </c>
      <c r="F1305" s="1205"/>
      <c r="G1305" s="1203" t="str">
        <f>'RC1_Arch'!F449</f>
        <v>เมตร</v>
      </c>
      <c r="H1305" s="1203">
        <f>'RC1_Arch'!E449</f>
        <v>90</v>
      </c>
      <c r="I1305" s="1203">
        <f>'RC1_Arch'!I449</f>
        <v>2944.96034805</v>
      </c>
      <c r="J1305" s="1203">
        <f>'RC1_Arch'!L449</f>
        <v>1682.8344846</v>
      </c>
      <c r="K1305" s="1203">
        <f>'RC1_Arch'!M449</f>
        <v>4627.79483265</v>
      </c>
    </row>
    <row r="1306" spans="1:11">
      <c r="A1306" t="s">
        <v>67</v>
      </c>
      <c r="B1306" t="s">
        <v>120</v>
      </c>
      <c r="C1306" t="s">
        <v>48</v>
      </c>
      <c r="D1306" t="s">
        <v>48</v>
      </c>
      <c r="E1306" t="str" cm="1">
        <f t="array" ref="E1306">_xlfn.LET(_xlpm.c,'RC1_Arch'!C450, _xlpm.b, 'RC1_Arch'!B450, IF(_xlpm.c&lt;&gt;"", _xlpm.c, _xlpm.b))</f>
        <v>งานฉาบปูนท้องพื้นบันไดและข้างบันได</v>
      </c>
      <c r="F1306" s="1205"/>
      <c r="G1306" s="1203" t="str">
        <f>'RC1_Arch'!F450</f>
        <v>ตร.ม.</v>
      </c>
      <c r="H1306" s="1203">
        <f>'RC1_Arch'!E450</f>
        <v>176</v>
      </c>
      <c r="I1306" s="1203">
        <f>'RC1_Arch'!I450</f>
        <v>11188.979506496</v>
      </c>
      <c r="J1306" s="1203">
        <f>'RC1_Arch'!L450</f>
        <v>14315.312015664</v>
      </c>
      <c r="K1306" s="1203">
        <f>'RC1_Arch'!M450</f>
        <v>25504.291522159998</v>
      </c>
    </row>
    <row r="1307" spans="1:11">
      <c r="A1307" t="s">
        <v>67</v>
      </c>
      <c r="B1307" t="s">
        <v>120</v>
      </c>
      <c r="C1307" t="s">
        <v>48</v>
      </c>
      <c r="D1307" t="s">
        <v>48</v>
      </c>
      <c r="E1307" t="str" cm="1">
        <f t="array" ref="E1307">_xlfn.LET(_xlpm.c,'RC1_Arch'!C451, _xlpm.b, 'RC1_Arch'!B451, IF(_xlpm.c&lt;&gt;"", _xlpm.c, _xlpm.b))</f>
        <v>งานทาสีพื้นบันไดและข้างบันได</v>
      </c>
      <c r="F1307" s="1205"/>
      <c r="G1307" s="1203" t="str">
        <f>'RC1_Arch'!F451</f>
        <v>ตร.ม.</v>
      </c>
      <c r="H1307" s="1203">
        <f>'RC1_Arch'!E451</f>
        <v>176</v>
      </c>
      <c r="I1307" s="1203">
        <f>'RC1_Arch'!I451</f>
        <v>4936.3144881600001</v>
      </c>
      <c r="J1307" s="1203">
        <f>'RC1_Arch'!L451</f>
        <v>4607.2268556159997</v>
      </c>
      <c r="K1307" s="1203">
        <f>'RC1_Arch'!M451</f>
        <v>9543.5413437759998</v>
      </c>
    </row>
    <row r="1308" spans="1:11">
      <c r="A1308" t="s">
        <v>67</v>
      </c>
      <c r="B1308" t="s">
        <v>120</v>
      </c>
      <c r="C1308" t="s">
        <v>49</v>
      </c>
      <c r="D1308" t="s">
        <v>49</v>
      </c>
      <c r="E1308" t="str" cm="1">
        <f t="array" ref="E1308">_xlfn.LET(_xlpm.c,'RC1_Arch'!C452, _xlpm.b, 'RC1_Arch'!B452, IF(_xlpm.c&lt;&gt;"", _xlpm.c, _xlpm.b))</f>
        <v>บันได 1.1</v>
      </c>
      <c r="F1308" s="1205"/>
      <c r="G1308" s="1203">
        <f>'RC1_Arch'!F452</f>
        <v>0</v>
      </c>
      <c r="H1308" s="1203">
        <f>'RC1_Arch'!E452</f>
        <v>0</v>
      </c>
      <c r="I1308" s="1203">
        <f>'RC1_Arch'!I452</f>
        <v>0</v>
      </c>
      <c r="J1308" s="1203">
        <f>'RC1_Arch'!L452</f>
        <v>0</v>
      </c>
      <c r="K1308" s="1203">
        <f>'RC1_Arch'!M452</f>
        <v>0</v>
      </c>
    </row>
    <row r="1309" spans="1:11">
      <c r="A1309" t="s">
        <v>67</v>
      </c>
      <c r="B1309" t="s">
        <v>120</v>
      </c>
      <c r="C1309" t="s">
        <v>49</v>
      </c>
      <c r="D1309" t="s">
        <v>49</v>
      </c>
      <c r="E1309" t="str" cm="1">
        <f t="array" ref="E1309">_xlfn.LET(_xlpm.c,'RC1_Arch'!C453, _xlpm.b, 'RC1_Arch'!B453, IF(_xlpm.c&lt;&gt;"", _xlpm.c, _xlpm.b))</f>
        <v>งานขั้นบันได พื้นผิวหินขัด</v>
      </c>
      <c r="F1309" s="1205"/>
      <c r="G1309" s="1203" t="str">
        <f>'RC1_Arch'!F453</f>
        <v>เมตร</v>
      </c>
      <c r="H1309" s="1203">
        <f>'RC1_Arch'!E453</f>
        <v>48</v>
      </c>
      <c r="I1309" s="1203">
        <f>'RC1_Arch'!I453</f>
        <v>5070.9412469279996</v>
      </c>
      <c r="J1309" s="1203">
        <f>'RC1_Arch'!L453</f>
        <v>8032.7299398239993</v>
      </c>
      <c r="K1309" s="1203">
        <f>'RC1_Arch'!M453</f>
        <v>13103.671186751999</v>
      </c>
    </row>
    <row r="1310" spans="1:11">
      <c r="A1310" t="s">
        <v>67</v>
      </c>
      <c r="B1310" t="s">
        <v>120</v>
      </c>
      <c r="C1310" t="s">
        <v>49</v>
      </c>
      <c r="D1310" t="s">
        <v>49</v>
      </c>
      <c r="E1310" t="str" cm="1">
        <f t="array" ref="E1310">_xlfn.LET(_xlpm.c,'RC1_Arch'!C454, _xlpm.b, 'RC1_Arch'!B454, IF(_xlpm.c&lt;&gt;"", _xlpm.c, _xlpm.b))</f>
        <v>งานชานพักบันได พื้นผิวหินขัด</v>
      </c>
      <c r="F1310" s="1205"/>
      <c r="G1310" s="1203" t="str">
        <f>'RC1_Arch'!F454</f>
        <v>ตร.ม.</v>
      </c>
      <c r="H1310" s="1203">
        <f>'RC1_Arch'!E454</f>
        <v>7</v>
      </c>
      <c r="I1310" s="1203">
        <f>'RC1_Arch'!I454</f>
        <v>1557.556806302</v>
      </c>
      <c r="J1310" s="1203">
        <f>'RC1_Arch'!L454</f>
        <v>1053.641368969</v>
      </c>
      <c r="K1310" s="1203">
        <f>'RC1_Arch'!M454</f>
        <v>2611.1981752709999</v>
      </c>
    </row>
    <row r="1311" spans="1:11">
      <c r="A1311" t="s">
        <v>67</v>
      </c>
      <c r="B1311" t="s">
        <v>120</v>
      </c>
      <c r="C1311" t="s">
        <v>49</v>
      </c>
      <c r="D1311" t="s">
        <v>49</v>
      </c>
      <c r="E1311" t="str" cm="1">
        <f t="array" ref="E1311">_xlfn.LET(_xlpm.c,'RC1_Arch'!C455, _xlpm.b, 'RC1_Arch'!B455, IF(_xlpm.c&lt;&gt;"", _xlpm.c, _xlpm.b))</f>
        <v>งานจมูกบันไดแบบที่ 2</v>
      </c>
      <c r="F1311" s="1205"/>
      <c r="G1311" s="1203" t="str">
        <f>'RC1_Arch'!F455</f>
        <v>เมตร</v>
      </c>
      <c r="H1311" s="1203">
        <f>'RC1_Arch'!E455</f>
        <v>55</v>
      </c>
      <c r="I1311" s="1203">
        <f>'RC1_Arch'!I455</f>
        <v>15425.982775499999</v>
      </c>
      <c r="J1311" s="1203">
        <f>'RC1_Arch'!L455</f>
        <v>4113.5954068000001</v>
      </c>
      <c r="K1311" s="1203">
        <f>'RC1_Arch'!M455</f>
        <v>19539.5781823</v>
      </c>
    </row>
    <row r="1312" spans="1:11">
      <c r="A1312" t="s">
        <v>67</v>
      </c>
      <c r="B1312" t="s">
        <v>120</v>
      </c>
      <c r="C1312" t="s">
        <v>49</v>
      </c>
      <c r="D1312" t="s">
        <v>49</v>
      </c>
      <c r="E1312" t="str" cm="1">
        <f t="array" ref="E1312">_xlfn.LET(_xlpm.c,'RC1_Arch'!C456, _xlpm.b, 'RC1_Arch'!B456, IF(_xlpm.c&lt;&gt;"", _xlpm.c, _xlpm.b))</f>
        <v>งานราวบันได ST1.1</v>
      </c>
      <c r="F1312" s="1205"/>
      <c r="G1312" s="1203" t="str">
        <f>'RC1_Arch'!F456</f>
        <v>เมตร</v>
      </c>
      <c r="H1312" s="1203">
        <f>'RC1_Arch'!E456</f>
        <v>9</v>
      </c>
      <c r="I1312" s="1203">
        <f>'RC1_Arch'!I456</f>
        <v>4207.0862115</v>
      </c>
      <c r="J1312" s="1203">
        <f>'RC1_Arch'!L456</f>
        <v>841.4172423</v>
      </c>
      <c r="K1312" s="1203">
        <f>'RC1_Arch'!M456</f>
        <v>5048.5034538</v>
      </c>
    </row>
    <row r="1313" spans="1:11">
      <c r="A1313" t="s">
        <v>67</v>
      </c>
      <c r="B1313" t="s">
        <v>120</v>
      </c>
      <c r="C1313" t="s">
        <v>49</v>
      </c>
      <c r="D1313" t="s">
        <v>49</v>
      </c>
      <c r="E1313" t="str" cm="1">
        <f t="array" ref="E1313">_xlfn.LET(_xlpm.c,'RC1_Arch'!C457, _xlpm.b, 'RC1_Arch'!B457, IF(_xlpm.c&lt;&gt;"", _xlpm.c, _xlpm.b))</f>
        <v>งานราวกันตก 1.1</v>
      </c>
      <c r="F1313" s="1205"/>
      <c r="G1313" s="1203" t="str">
        <f>'RC1_Arch'!F457</f>
        <v>ชุด</v>
      </c>
      <c r="H1313" s="1203">
        <f>'RC1_Arch'!E457</f>
        <v>1</v>
      </c>
      <c r="I1313" s="1203">
        <f>'RC1_Arch'!I457</f>
        <v>1402.3620704999998</v>
      </c>
      <c r="J1313" s="1203">
        <f>'RC1_Arch'!L457</f>
        <v>280.47241409999998</v>
      </c>
      <c r="K1313" s="1203">
        <f>'RC1_Arch'!M457</f>
        <v>1682.8344845999998</v>
      </c>
    </row>
    <row r="1314" spans="1:11">
      <c r="A1314" t="s">
        <v>67</v>
      </c>
      <c r="B1314" t="s">
        <v>120</v>
      </c>
      <c r="C1314" t="s">
        <v>49</v>
      </c>
      <c r="D1314" t="s">
        <v>49</v>
      </c>
      <c r="E1314" t="str" cm="1">
        <f t="array" ref="E1314">_xlfn.LET(_xlpm.c,'RC1_Arch'!C458, _xlpm.b, 'RC1_Arch'!B458, IF(_xlpm.c&lt;&gt;"", _xlpm.c, _xlpm.b))</f>
        <v>งานบัวข้างบันได ผิวหินขัด</v>
      </c>
      <c r="F1314" s="1205"/>
      <c r="G1314" s="1203" t="str">
        <f>'RC1_Arch'!F458</f>
        <v>เมตร</v>
      </c>
      <c r="H1314" s="1203">
        <f>'RC1_Arch'!E458</f>
        <v>30</v>
      </c>
      <c r="I1314" s="1203">
        <f>'RC1_Arch'!I458</f>
        <v>1093.84241499</v>
      </c>
      <c r="J1314" s="1203">
        <f>'RC1_Arch'!L458</f>
        <v>2103.54310575</v>
      </c>
      <c r="K1314" s="1203">
        <f>'RC1_Arch'!M458</f>
        <v>3197.3855207400002</v>
      </c>
    </row>
    <row r="1315" spans="1:11">
      <c r="A1315" t="s">
        <v>67</v>
      </c>
      <c r="B1315" t="s">
        <v>120</v>
      </c>
      <c r="C1315" t="s">
        <v>49</v>
      </c>
      <c r="D1315" t="s">
        <v>49</v>
      </c>
      <c r="E1315" t="str" cm="1">
        <f t="array" ref="E1315">_xlfn.LET(_xlpm.c,'RC1_Arch'!C459, _xlpm.b, 'RC1_Arch'!B459, IF(_xlpm.c&lt;&gt;"", _xlpm.c, _xlpm.b))</f>
        <v>งานฉาบปูนท้องพื้นบันไดและข้างบันได</v>
      </c>
      <c r="F1315" s="1205"/>
      <c r="G1315" s="1203" t="str">
        <f>'RC1_Arch'!F459</f>
        <v>ตร.ม.</v>
      </c>
      <c r="H1315" s="1203">
        <f>'RC1_Arch'!E459</f>
        <v>45</v>
      </c>
      <c r="I1315" s="1203">
        <f>'RC1_Arch'!I459</f>
        <v>2860.8186238200001</v>
      </c>
      <c r="J1315" s="1203">
        <f>'RC1_Arch'!L459</f>
        <v>3660.1650040049999</v>
      </c>
      <c r="K1315" s="1203">
        <f>'RC1_Arch'!M459</f>
        <v>6520.9836278250004</v>
      </c>
    </row>
    <row r="1316" spans="1:11">
      <c r="A1316" t="s">
        <v>67</v>
      </c>
      <c r="B1316" t="s">
        <v>120</v>
      </c>
      <c r="C1316" t="s">
        <v>49</v>
      </c>
      <c r="D1316" t="s">
        <v>49</v>
      </c>
      <c r="E1316" t="str" cm="1">
        <f t="array" ref="E1316">_xlfn.LET(_xlpm.c,'RC1_Arch'!C460, _xlpm.b, 'RC1_Arch'!B460, IF(_xlpm.c&lt;&gt;"", _xlpm.c, _xlpm.b))</f>
        <v>งานทาสีท้องพื้นบันไดและข้างบันได</v>
      </c>
      <c r="F1316" s="1205"/>
      <c r="G1316" s="1203" t="str">
        <f>'RC1_Arch'!F460</f>
        <v>ตร.ม.</v>
      </c>
      <c r="H1316" s="1203">
        <f>'RC1_Arch'!E460</f>
        <v>45</v>
      </c>
      <c r="I1316" s="1203">
        <f>'RC1_Arch'!I460</f>
        <v>1262.12586345</v>
      </c>
      <c r="J1316" s="1203">
        <f>'RC1_Arch'!L460</f>
        <v>1177.9841392199999</v>
      </c>
      <c r="K1316" s="1203">
        <f>'RC1_Arch'!M460</f>
        <v>2440.1100026699996</v>
      </c>
    </row>
    <row r="1317" spans="1:11">
      <c r="A1317" t="s">
        <v>67</v>
      </c>
      <c r="B1317" t="s">
        <v>120</v>
      </c>
      <c r="C1317" t="s">
        <v>50</v>
      </c>
      <c r="D1317" t="s">
        <v>50</v>
      </c>
      <c r="E1317" t="str" cm="1">
        <f t="array" ref="E1317">_xlfn.LET(_xlpm.c,'RC1_Arch'!C461, _xlpm.b, 'RC1_Arch'!B461, IF(_xlpm.c&lt;&gt;"", _xlpm.c, _xlpm.b))</f>
        <v>บันได 2</v>
      </c>
      <c r="F1317" s="1205"/>
      <c r="G1317" s="1203">
        <f>'RC1_Arch'!F461</f>
        <v>0</v>
      </c>
      <c r="H1317" s="1203">
        <f>'RC1_Arch'!E461</f>
        <v>0</v>
      </c>
      <c r="I1317" s="1203">
        <f>'RC1_Arch'!I461</f>
        <v>0</v>
      </c>
      <c r="J1317" s="1203">
        <f>'RC1_Arch'!L461</f>
        <v>0</v>
      </c>
      <c r="K1317" s="1203">
        <f>'RC1_Arch'!M461</f>
        <v>0</v>
      </c>
    </row>
    <row r="1318" spans="1:11">
      <c r="A1318" t="s">
        <v>67</v>
      </c>
      <c r="B1318" t="s">
        <v>120</v>
      </c>
      <c r="C1318" t="s">
        <v>50</v>
      </c>
      <c r="D1318" t="s">
        <v>50</v>
      </c>
      <c r="E1318" t="str" cm="1">
        <f t="array" ref="E1318">_xlfn.LET(_xlpm.c,'RC1_Arch'!C462, _xlpm.b, 'RC1_Arch'!B462, IF(_xlpm.c&lt;&gt;"", _xlpm.c, _xlpm.b))</f>
        <v>งานขั้นบันได ผิวขัดมันหนา 30 - 50 มม. ทาสี Epoxy Coating</v>
      </c>
      <c r="F1318" s="1205"/>
      <c r="G1318" s="1203" t="str">
        <f>'RC1_Arch'!F462</f>
        <v>เมตร</v>
      </c>
      <c r="H1318" s="1203">
        <f>'RC1_Arch'!E462</f>
        <v>84</v>
      </c>
      <c r="I1318" s="1203">
        <f>'RC1_Arch'!I462</f>
        <v>7460.5662150600001</v>
      </c>
      <c r="J1318" s="1203">
        <f>'RC1_Arch'!L462</f>
        <v>3219.8233138679998</v>
      </c>
      <c r="K1318" s="1203">
        <f>'RC1_Arch'!M462</f>
        <v>10680.389528928001</v>
      </c>
    </row>
    <row r="1319" spans="1:11">
      <c r="A1319" t="s">
        <v>67</v>
      </c>
      <c r="B1319" t="s">
        <v>120</v>
      </c>
      <c r="C1319" t="s">
        <v>50</v>
      </c>
      <c r="D1319" t="s">
        <v>50</v>
      </c>
      <c r="E1319" t="str" cm="1">
        <f t="array" ref="E1319">_xlfn.LET(_xlpm.c,'RC1_Arch'!C463, _xlpm.b, 'RC1_Arch'!B463, IF(_xlpm.c&lt;&gt;"", _xlpm.c, _xlpm.b))</f>
        <v>งานชานพักบันได ผิวขัดมันหนา 30 - 50 มม. ทาสี Epoxy Coating</v>
      </c>
      <c r="F1319" s="1205"/>
      <c r="G1319" s="1203" t="str">
        <f>'RC1_Arch'!F463</f>
        <v>ตร.ม.</v>
      </c>
      <c r="H1319" s="1203">
        <f>'RC1_Arch'!E463</f>
        <v>16</v>
      </c>
      <c r="I1319" s="1203">
        <f>'RC1_Arch'!I463</f>
        <v>2991.7057503999999</v>
      </c>
      <c r="J1319" s="1203">
        <f>'RC1_Arch'!L463</f>
        <v>1944.6087377599999</v>
      </c>
      <c r="K1319" s="1203">
        <f>'RC1_Arch'!M463</f>
        <v>4936.3144881600001</v>
      </c>
    </row>
    <row r="1320" spans="1:11">
      <c r="A1320" t="s">
        <v>67</v>
      </c>
      <c r="B1320" t="s">
        <v>120</v>
      </c>
      <c r="C1320" t="s">
        <v>50</v>
      </c>
      <c r="D1320" t="s">
        <v>50</v>
      </c>
      <c r="E1320" t="str" cm="1">
        <f t="array" ref="E1320">_xlfn.LET(_xlpm.c,'RC1_Arch'!C464, _xlpm.b, 'RC1_Arch'!B464, IF(_xlpm.c&lt;&gt;"", _xlpm.c, _xlpm.b))</f>
        <v>งานจมูกบันไดแบบที่ 1</v>
      </c>
      <c r="F1320" s="1205"/>
      <c r="G1320" s="1203" t="str">
        <f>'RC1_Arch'!F464</f>
        <v>เมตร</v>
      </c>
      <c r="H1320" s="1203">
        <f>'RC1_Arch'!E464</f>
        <v>95</v>
      </c>
      <c r="I1320" s="1203">
        <f>'RC1_Arch'!I464</f>
        <v>16875.090248349999</v>
      </c>
      <c r="J1320" s="1203">
        <f>'RC1_Arch'!L464</f>
        <v>3730.2831075299996</v>
      </c>
      <c r="K1320" s="1203">
        <f>'RC1_Arch'!M464</f>
        <v>20605.373355879998</v>
      </c>
    </row>
    <row r="1321" spans="1:11">
      <c r="A1321" t="s">
        <v>67</v>
      </c>
      <c r="B1321" t="s">
        <v>120</v>
      </c>
      <c r="C1321" t="s">
        <v>50</v>
      </c>
      <c r="D1321" t="s">
        <v>50</v>
      </c>
      <c r="E1321" t="str" cm="1">
        <f t="array" ref="E1321">_xlfn.LET(_xlpm.c,'RC1_Arch'!C465, _xlpm.b, 'RC1_Arch'!B465, IF(_xlpm.c&lt;&gt;"", _xlpm.c, _xlpm.b))</f>
        <v>งานราวบันได ST2</v>
      </c>
      <c r="F1321" s="1205"/>
      <c r="G1321" s="1203" t="str">
        <f>'RC1_Arch'!F465</f>
        <v>เมตร</v>
      </c>
      <c r="H1321" s="1203">
        <f>'RC1_Arch'!E465</f>
        <v>34</v>
      </c>
      <c r="I1321" s="1203">
        <f>'RC1_Arch'!I465</f>
        <v>19072.124158799998</v>
      </c>
      <c r="J1321" s="1203">
        <f>'RC1_Arch'!L465</f>
        <v>8900.3246074399995</v>
      </c>
      <c r="K1321" s="1203">
        <f>'RC1_Arch'!M465</f>
        <v>27972.448766239999</v>
      </c>
    </row>
    <row r="1322" spans="1:11">
      <c r="A1322" t="s">
        <v>67</v>
      </c>
      <c r="B1322" t="s">
        <v>120</v>
      </c>
      <c r="C1322" t="s">
        <v>50</v>
      </c>
      <c r="D1322" t="s">
        <v>50</v>
      </c>
      <c r="E1322" t="str" cm="1">
        <f t="array" ref="E1322">_xlfn.LET(_xlpm.c,'RC1_Arch'!C466, _xlpm.b, 'RC1_Arch'!B466, IF(_xlpm.c&lt;&gt;"", _xlpm.c, _xlpm.b))</f>
        <v>งานบัวข้างบันไดทาสี Epoxy Coating</v>
      </c>
      <c r="F1322" s="1205"/>
      <c r="G1322" s="1203" t="str">
        <f>'RC1_Arch'!F466</f>
        <v>เมตร</v>
      </c>
      <c r="H1322" s="1203">
        <f>'RC1_Arch'!E466</f>
        <v>84</v>
      </c>
      <c r="I1322" s="1203">
        <f>'RC1_Arch'!I466</f>
        <v>2748.6296581800002</v>
      </c>
      <c r="J1322" s="1203">
        <f>'RC1_Arch'!L466</f>
        <v>1570.6455189600001</v>
      </c>
      <c r="K1322" s="1203">
        <f>'RC1_Arch'!M466</f>
        <v>4319.2751771399999</v>
      </c>
    </row>
    <row r="1323" spans="1:11">
      <c r="A1323" t="s">
        <v>67</v>
      </c>
      <c r="B1323" t="s">
        <v>120</v>
      </c>
      <c r="C1323" t="s">
        <v>50</v>
      </c>
      <c r="D1323" t="s">
        <v>50</v>
      </c>
      <c r="E1323" t="str" cm="1">
        <f t="array" ref="E1323">_xlfn.LET(_xlpm.c,'RC1_Arch'!C467, _xlpm.b, 'RC1_Arch'!B467, IF(_xlpm.c&lt;&gt;"", _xlpm.c, _xlpm.b))</f>
        <v>งานฉาบปูนท้องพื้นบันไดและข้างบันได</v>
      </c>
      <c r="F1323" s="1205"/>
      <c r="G1323" s="1203" t="str">
        <f>'RC1_Arch'!F467</f>
        <v>ตร.ม.</v>
      </c>
      <c r="H1323" s="1203">
        <f>'RC1_Arch'!E467</f>
        <v>122</v>
      </c>
      <c r="I1323" s="1203">
        <f>'RC1_Arch'!I467</f>
        <v>7755.9971579120001</v>
      </c>
      <c r="J1323" s="1203">
        <f>'RC1_Arch'!L467</f>
        <v>9923.1140108580003</v>
      </c>
      <c r="K1323" s="1203">
        <f>'RC1_Arch'!M467</f>
        <v>17679.111168769999</v>
      </c>
    </row>
    <row r="1324" spans="1:11">
      <c r="A1324" t="s">
        <v>67</v>
      </c>
      <c r="B1324" t="s">
        <v>120</v>
      </c>
      <c r="C1324" t="s">
        <v>50</v>
      </c>
      <c r="D1324" t="s">
        <v>50</v>
      </c>
      <c r="E1324" t="str" cm="1">
        <f t="array" ref="E1324">_xlfn.LET(_xlpm.c,'RC1_Arch'!C468, _xlpm.b, 'RC1_Arch'!B468, IF(_xlpm.c&lt;&gt;"", _xlpm.c, _xlpm.b))</f>
        <v>งานทาสีพื้นบันไดและข้างบันได</v>
      </c>
      <c r="F1324" s="1205"/>
      <c r="G1324" s="1203" t="str">
        <f>'RC1_Arch'!F468</f>
        <v>ตร.ม.</v>
      </c>
      <c r="H1324" s="1203">
        <f>'RC1_Arch'!E468</f>
        <v>122</v>
      </c>
      <c r="I1324" s="1203">
        <f>'RC1_Arch'!I468</f>
        <v>3421.7634520199999</v>
      </c>
      <c r="J1324" s="1203">
        <f>'RC1_Arch'!L468</f>
        <v>3193.6458885519996</v>
      </c>
      <c r="K1324" s="1203">
        <f>'RC1_Arch'!M468</f>
        <v>6615.4093405719996</v>
      </c>
    </row>
    <row r="1325" spans="1:11">
      <c r="E1325" cm="1">
        <f t="array" ref="E1325">_xlfn.LET(_xlpm.c,'RC1_Arch'!C469, _xlpm.b, 'RC1_Arch'!B469, IF(_xlpm.c&lt;&gt;"", _xlpm.c, _xlpm.b))</f>
        <v>0</v>
      </c>
      <c r="F1325" s="1205"/>
      <c r="G1325" s="1203">
        <f>'RC1_Arch'!F469</f>
        <v>0</v>
      </c>
      <c r="H1325" s="1203">
        <f>'RC1_Arch'!E469</f>
        <v>0</v>
      </c>
      <c r="I1325" s="1203">
        <f>'RC1_Arch'!I469</f>
        <v>0</v>
      </c>
      <c r="J1325" s="1203">
        <f>'RC1_Arch'!L469</f>
        <v>0</v>
      </c>
      <c r="K1325" s="1203">
        <f>'RC1_Arch'!M469</f>
        <v>0</v>
      </c>
    </row>
    <row r="1326" spans="1:11">
      <c r="E1326" t="str" cm="1">
        <f t="array" ref="E1326">_xlfn.LET(_xlpm.c,'RC1_Arch'!C470, _xlpm.b, 'RC1_Arch'!B470, IF(_xlpm.c&lt;&gt;"", _xlpm.c, _xlpm.b))</f>
        <v>บันได 3</v>
      </c>
      <c r="F1326" s="1205"/>
      <c r="G1326" s="1203">
        <f>'RC1_Arch'!F470</f>
        <v>0</v>
      </c>
      <c r="H1326" s="1203">
        <f>'RC1_Arch'!E470</f>
        <v>0</v>
      </c>
      <c r="I1326" s="1203">
        <f>'RC1_Arch'!I470</f>
        <v>0</v>
      </c>
      <c r="J1326" s="1203">
        <f>'RC1_Arch'!L470</f>
        <v>0</v>
      </c>
      <c r="K1326" s="1203">
        <f>'RC1_Arch'!M470</f>
        <v>0</v>
      </c>
    </row>
    <row r="1327" spans="1:11">
      <c r="A1327" t="s">
        <v>67</v>
      </c>
      <c r="B1327" t="s">
        <v>120</v>
      </c>
      <c r="C1327" t="s">
        <v>51</v>
      </c>
      <c r="D1327" t="s">
        <v>51</v>
      </c>
      <c r="E1327" t="str" cm="1">
        <f t="array" ref="E1327">_xlfn.LET(_xlpm.c,'RC1_Arch'!C471, _xlpm.b, 'RC1_Arch'!B471, IF(_xlpm.c&lt;&gt;"", _xlpm.c, _xlpm.b))</f>
        <v>งานขั้นบันได ผิวขัดมันหนา 30 - 50 มม. ทาสี Epoxy Coating</v>
      </c>
      <c r="F1327" s="1205"/>
      <c r="G1327" s="1203" t="str">
        <f>'RC1_Arch'!F471</f>
        <v>เมตร</v>
      </c>
      <c r="H1327" s="1203">
        <f>'RC1_Arch'!E471</f>
        <v>120</v>
      </c>
      <c r="I1327" s="1203">
        <f>'RC1_Arch'!I471</f>
        <v>10657.951735800001</v>
      </c>
      <c r="J1327" s="1203">
        <f>'RC1_Arch'!L471</f>
        <v>4599.7475912399996</v>
      </c>
      <c r="K1327" s="1203">
        <f>'RC1_Arch'!M471</f>
        <v>15257.699327040002</v>
      </c>
    </row>
    <row r="1328" spans="1:11">
      <c r="A1328" t="s">
        <v>67</v>
      </c>
      <c r="B1328" t="s">
        <v>120</v>
      </c>
      <c r="C1328" t="s">
        <v>51</v>
      </c>
      <c r="D1328" t="s">
        <v>51</v>
      </c>
      <c r="E1328" t="str" cm="1">
        <f t="array" ref="E1328">_xlfn.LET(_xlpm.c,'RC1_Arch'!C472, _xlpm.b, 'RC1_Arch'!B472, IF(_xlpm.c&lt;&gt;"", _xlpm.c, _xlpm.b))</f>
        <v>งานชานพักบันได ผิวขัดมันหนา 30 - 50 มม. ทาสี Epoxy Coating</v>
      </c>
      <c r="F1328" s="1205"/>
      <c r="G1328" s="1203" t="str">
        <f>'RC1_Arch'!F472</f>
        <v>ตร.ม.</v>
      </c>
      <c r="H1328" s="1203">
        <f>'RC1_Arch'!E472</f>
        <v>32</v>
      </c>
      <c r="I1328" s="1203">
        <f>'RC1_Arch'!I472</f>
        <v>5983.4115007999999</v>
      </c>
      <c r="J1328" s="1203">
        <f>'RC1_Arch'!L472</f>
        <v>3889.2174755199999</v>
      </c>
      <c r="K1328" s="1203">
        <f>'RC1_Arch'!M472</f>
        <v>9872.6289763200002</v>
      </c>
    </row>
    <row r="1329" spans="1:11">
      <c r="A1329" t="s">
        <v>67</v>
      </c>
      <c r="B1329" t="s">
        <v>120</v>
      </c>
      <c r="C1329" t="s">
        <v>51</v>
      </c>
      <c r="D1329" t="s">
        <v>51</v>
      </c>
      <c r="E1329" t="str" cm="1">
        <f t="array" ref="E1329">_xlfn.LET(_xlpm.c,'RC1_Arch'!C473, _xlpm.b, 'RC1_Arch'!B473, IF(_xlpm.c&lt;&gt;"", _xlpm.c, _xlpm.b))</f>
        <v>งานจมูกบันไดแบบที่ 1</v>
      </c>
      <c r="F1329" s="1205"/>
      <c r="G1329" s="1203" t="str">
        <f>'RC1_Arch'!F473</f>
        <v>เมตร</v>
      </c>
      <c r="H1329" s="1203">
        <f>'RC1_Arch'!E473</f>
        <v>168</v>
      </c>
      <c r="I1329" s="1203">
        <f>'RC1_Arch'!I473</f>
        <v>29842.26486024</v>
      </c>
      <c r="J1329" s="1203">
        <f>'RC1_Arch'!L473</f>
        <v>6596.7111796319996</v>
      </c>
      <c r="K1329" s="1203">
        <f>'RC1_Arch'!M473</f>
        <v>36438.976039872003</v>
      </c>
    </row>
    <row r="1330" spans="1:11">
      <c r="A1330" t="s">
        <v>67</v>
      </c>
      <c r="B1330" t="s">
        <v>120</v>
      </c>
      <c r="C1330" t="s">
        <v>51</v>
      </c>
      <c r="D1330" t="s">
        <v>51</v>
      </c>
      <c r="E1330" t="str" cm="1">
        <f t="array" ref="E1330">_xlfn.LET(_xlpm.c,'RC1_Arch'!C474, _xlpm.b, 'RC1_Arch'!B474, IF(_xlpm.c&lt;&gt;"", _xlpm.c, _xlpm.b))</f>
        <v>งานราวบันได ST3</v>
      </c>
      <c r="F1330" s="1205"/>
      <c r="G1330" s="1203" t="str">
        <f>'RC1_Arch'!F474</f>
        <v>เมตร</v>
      </c>
      <c r="H1330" s="1203">
        <f>'RC1_Arch'!E474</f>
        <v>39</v>
      </c>
      <c r="I1330" s="1203">
        <f>'RC1_Arch'!I474</f>
        <v>21876.8482998</v>
      </c>
      <c r="J1330" s="1203">
        <f>'RC1_Arch'!L474</f>
        <v>10209.19587324</v>
      </c>
      <c r="K1330" s="1203">
        <f>'RC1_Arch'!M474</f>
        <v>32086.044173039998</v>
      </c>
    </row>
    <row r="1331" spans="1:11">
      <c r="A1331" t="s">
        <v>67</v>
      </c>
      <c r="B1331" t="s">
        <v>120</v>
      </c>
      <c r="C1331" t="s">
        <v>51</v>
      </c>
      <c r="D1331" t="s">
        <v>51</v>
      </c>
      <c r="E1331" t="str" cm="1">
        <f t="array" ref="E1331">_xlfn.LET(_xlpm.c,'RC1_Arch'!C475, _xlpm.b, 'RC1_Arch'!B475, IF(_xlpm.c&lt;&gt;"", _xlpm.c, _xlpm.b))</f>
        <v>งานบัวข้างบันไดทาสี Epoxy Coating</v>
      </c>
      <c r="F1331" s="1205"/>
      <c r="G1331" s="1203" t="str">
        <f>'RC1_Arch'!F475</f>
        <v>เมตร</v>
      </c>
      <c r="H1331" s="1203">
        <f>'RC1_Arch'!E475</f>
        <v>74</v>
      </c>
      <c r="I1331" s="1203">
        <f>'RC1_Arch'!I475</f>
        <v>2421.4118417300001</v>
      </c>
      <c r="J1331" s="1203">
        <f>'RC1_Arch'!L475</f>
        <v>1383.6639095600001</v>
      </c>
      <c r="K1331" s="1203">
        <f>'RC1_Arch'!M475</f>
        <v>3805.07575129</v>
      </c>
    </row>
    <row r="1332" spans="1:11">
      <c r="A1332" t="s">
        <v>67</v>
      </c>
      <c r="B1332" t="s">
        <v>120</v>
      </c>
      <c r="C1332" t="s">
        <v>51</v>
      </c>
      <c r="D1332" t="s">
        <v>51</v>
      </c>
      <c r="E1332" t="str" cm="1">
        <f t="array" ref="E1332">_xlfn.LET(_xlpm.c,'RC1_Arch'!C476, _xlpm.b, 'RC1_Arch'!B476, IF(_xlpm.c&lt;&gt;"", _xlpm.c, _xlpm.b))</f>
        <v>งานฉาบปูนท้องพื้นบันไดและข้างบันได</v>
      </c>
      <c r="F1332" s="1205"/>
      <c r="G1332" s="1203" t="str">
        <f>'RC1_Arch'!F476</f>
        <v>ตร.ม.</v>
      </c>
      <c r="H1332" s="1203">
        <f>'RC1_Arch'!E476</f>
        <v>90</v>
      </c>
      <c r="I1332" s="1203">
        <f>'RC1_Arch'!I476</f>
        <v>5721.6372476400002</v>
      </c>
      <c r="J1332" s="1203">
        <f>'RC1_Arch'!L476</f>
        <v>7320.3300080099998</v>
      </c>
      <c r="K1332" s="1203">
        <f>'RC1_Arch'!M476</f>
        <v>13041.967255650001</v>
      </c>
    </row>
    <row r="1333" spans="1:11">
      <c r="A1333" t="s">
        <v>67</v>
      </c>
      <c r="B1333" t="s">
        <v>120</v>
      </c>
      <c r="C1333" t="s">
        <v>51</v>
      </c>
      <c r="D1333" t="s">
        <v>51</v>
      </c>
      <c r="E1333" t="str" cm="1">
        <f t="array" ref="E1333">_xlfn.LET(_xlpm.c,'RC1_Arch'!C477, _xlpm.b, 'RC1_Arch'!B477, IF(_xlpm.c&lt;&gt;"", _xlpm.c, _xlpm.b))</f>
        <v>งานทาสีพื้นบันไดและข้างบันได</v>
      </c>
      <c r="F1333" s="1205"/>
      <c r="G1333" s="1203" t="str">
        <f>'RC1_Arch'!F477</f>
        <v>ตร.ม.</v>
      </c>
      <c r="H1333" s="1203">
        <f>'RC1_Arch'!E477</f>
        <v>90</v>
      </c>
      <c r="I1333" s="1203">
        <f>'RC1_Arch'!I477</f>
        <v>2524.2517269</v>
      </c>
      <c r="J1333" s="1203">
        <f>'RC1_Arch'!L477</f>
        <v>2355.9682784399997</v>
      </c>
      <c r="K1333" s="1203">
        <f>'RC1_Arch'!M477</f>
        <v>4880.2200053399993</v>
      </c>
    </row>
    <row r="1334" spans="1:11">
      <c r="A1334" t="s">
        <v>67</v>
      </c>
      <c r="B1334" t="s">
        <v>120</v>
      </c>
      <c r="C1334" t="s">
        <v>52</v>
      </c>
      <c r="D1334" t="s">
        <v>52</v>
      </c>
      <c r="E1334" t="str" cm="1">
        <f t="array" ref="E1334">_xlfn.LET(_xlpm.c,'RC1_Arch'!C478, _xlpm.b, 'RC1_Arch'!B478, IF(_xlpm.c&lt;&gt;"", _xlpm.c, _xlpm.b))</f>
        <v>บันได 4</v>
      </c>
      <c r="F1334" s="1205"/>
      <c r="G1334" s="1203">
        <f>'RC1_Arch'!F478</f>
        <v>0</v>
      </c>
      <c r="H1334" s="1203">
        <f>'RC1_Arch'!E478</f>
        <v>0</v>
      </c>
      <c r="I1334" s="1203">
        <f>'RC1_Arch'!I478</f>
        <v>0</v>
      </c>
      <c r="J1334" s="1203">
        <f>'RC1_Arch'!L478</f>
        <v>0</v>
      </c>
      <c r="K1334" s="1203">
        <f>'RC1_Arch'!M478</f>
        <v>0</v>
      </c>
    </row>
    <row r="1335" spans="1:11">
      <c r="A1335" t="s">
        <v>67</v>
      </c>
      <c r="B1335" t="s">
        <v>120</v>
      </c>
      <c r="C1335" t="s">
        <v>52</v>
      </c>
      <c r="D1335" t="s">
        <v>52</v>
      </c>
      <c r="E1335" t="str" cm="1">
        <f t="array" ref="E1335">_xlfn.LET(_xlpm.c,'RC1_Arch'!C479, _xlpm.b, 'RC1_Arch'!B479, IF(_xlpm.c&lt;&gt;"", _xlpm.c, _xlpm.b))</f>
        <v>งานขั้นบันได ผิวขัดมันหนา 30 - 50 มม. ทาสี Epoxy Coating</v>
      </c>
      <c r="F1335" s="1205"/>
      <c r="G1335" s="1203" t="str">
        <f>'RC1_Arch'!F479</f>
        <v>เมตร</v>
      </c>
      <c r="H1335" s="1203">
        <f>'RC1_Arch'!E479</f>
        <v>6</v>
      </c>
      <c r="I1335" s="1203">
        <f>'RC1_Arch'!I479</f>
        <v>532.89758678999999</v>
      </c>
      <c r="J1335" s="1203">
        <f>'RC1_Arch'!L479</f>
        <v>229.98737956199997</v>
      </c>
      <c r="K1335" s="1203">
        <f>'RC1_Arch'!M479</f>
        <v>762.88496635199999</v>
      </c>
    </row>
    <row r="1336" spans="1:11">
      <c r="A1336" t="s">
        <v>67</v>
      </c>
      <c r="B1336" t="s">
        <v>120</v>
      </c>
      <c r="C1336" t="s">
        <v>52</v>
      </c>
      <c r="D1336" t="s">
        <v>52</v>
      </c>
      <c r="E1336" t="str" cm="1">
        <f t="array" ref="E1336">_xlfn.LET(_xlpm.c,'RC1_Arch'!C480, _xlpm.b, 'RC1_Arch'!B480, IF(_xlpm.c&lt;&gt;"", _xlpm.c, _xlpm.b))</f>
        <v>งานจมูกบันไดแบบที่ 1</v>
      </c>
      <c r="F1336" s="1205"/>
      <c r="G1336" s="1203" t="str">
        <f>'RC1_Arch'!F480</f>
        <v>เมตร</v>
      </c>
      <c r="H1336" s="1203">
        <f>'RC1_Arch'!E480</f>
        <v>8</v>
      </c>
      <c r="I1336" s="1203">
        <f>'RC1_Arch'!I480</f>
        <v>1421.0602314400001</v>
      </c>
      <c r="J1336" s="1203">
        <f>'RC1_Arch'!L480</f>
        <v>314.12910379199997</v>
      </c>
      <c r="K1336" s="1203">
        <f>'RC1_Arch'!M480</f>
        <v>1735.1893352320001</v>
      </c>
    </row>
    <row r="1337" spans="1:11">
      <c r="A1337" t="s">
        <v>67</v>
      </c>
      <c r="B1337" t="s">
        <v>120</v>
      </c>
      <c r="C1337" t="s">
        <v>58</v>
      </c>
      <c r="D1337" t="s">
        <v>58</v>
      </c>
      <c r="E1337" t="str" cm="1">
        <f t="array" ref="E1337">_xlfn.LET(_xlpm.c,'RC1_Arch'!C481, _xlpm.b, 'RC1_Arch'!B481, IF(_xlpm.c&lt;&gt;"", _xlpm.c, _xlpm.b))</f>
        <v>บันได 5</v>
      </c>
      <c r="F1337" s="1205"/>
      <c r="G1337" s="1203">
        <f>'RC1_Arch'!F481</f>
        <v>0</v>
      </c>
      <c r="H1337" s="1203">
        <f>'RC1_Arch'!E481</f>
        <v>0</v>
      </c>
      <c r="I1337" s="1203">
        <f>'RC1_Arch'!I481</f>
        <v>0</v>
      </c>
      <c r="J1337" s="1203">
        <f>'RC1_Arch'!L481</f>
        <v>0</v>
      </c>
      <c r="K1337" s="1203">
        <f>'RC1_Arch'!M481</f>
        <v>0</v>
      </c>
    </row>
    <row r="1338" spans="1:11">
      <c r="E1338" t="str" cm="1">
        <f t="array" ref="E1338">_xlfn.LET(_xlpm.c,'RC1_Arch'!C482, _xlpm.b, 'RC1_Arch'!B482, IF(_xlpm.c&lt;&gt;"", _xlpm.c, _xlpm.b))</f>
        <v>งานขั้นบันได พื้นผิวหินขัด กว้าง ประมาณ 400 -500 มม.</v>
      </c>
      <c r="F1338" s="1205"/>
      <c r="G1338" s="1203" t="str">
        <f>'RC1_Arch'!F482</f>
        <v>เมตร</v>
      </c>
      <c r="H1338" s="1203">
        <f>'RC1_Arch'!E482</f>
        <v>195</v>
      </c>
      <c r="I1338" s="1203">
        <f>'RC1_Arch'!I482</f>
        <v>38102.177455484998</v>
      </c>
      <c r="J1338" s="1203">
        <f>'RC1_Arch'!L482</f>
        <v>32632.965380534999</v>
      </c>
      <c r="K1338" s="1203">
        <f>'RC1_Arch'!M482</f>
        <v>70735.142836019993</v>
      </c>
    </row>
    <row r="1339" spans="1:11">
      <c r="E1339" t="str" cm="1">
        <f t="array" ref="E1339">_xlfn.LET(_xlpm.c,'RC1_Arch'!C483, _xlpm.b, 'RC1_Arch'!B483, IF(_xlpm.c&lt;&gt;"", _xlpm.c, _xlpm.b))</f>
        <v>งานชานพักบันได พื้นผิวหินขัด</v>
      </c>
      <c r="F1339" s="1205"/>
      <c r="G1339" s="1203" t="str">
        <f>'RC1_Arch'!F483</f>
        <v>ตร.ม.</v>
      </c>
      <c r="H1339" s="1203">
        <f>'RC1_Arch'!E483</f>
        <v>15</v>
      </c>
      <c r="I1339" s="1203">
        <f>'RC1_Arch'!I483</f>
        <v>6170.3931102000006</v>
      </c>
      <c r="J1339" s="1203">
        <f>'RC1_Arch'!L483</f>
        <v>2804.7241410000001</v>
      </c>
      <c r="K1339" s="1203">
        <f>'RC1_Arch'!M483</f>
        <v>8975.1172512000012</v>
      </c>
    </row>
    <row r="1340" spans="1:11">
      <c r="E1340" t="str" cm="1">
        <f t="array" ref="E1340">_xlfn.LET(_xlpm.c,'RC1_Arch'!C484, _xlpm.b, 'RC1_Arch'!B484, IF(_xlpm.c&lt;&gt;"", _xlpm.c, _xlpm.b))</f>
        <v>งานจมูกบันไดแบบที่ 5</v>
      </c>
      <c r="F1340" s="1205"/>
      <c r="G1340" s="1203" t="str">
        <f>'RC1_Arch'!F484</f>
        <v>เมตร</v>
      </c>
      <c r="H1340" s="1203">
        <f>'RC1_Arch'!E484</f>
        <v>148</v>
      </c>
      <c r="I1340" s="1203">
        <f>'RC1_Arch'!I484</f>
        <v>41509.917286799995</v>
      </c>
      <c r="J1340" s="1203">
        <f>'RC1_Arch'!L484</f>
        <v>11069.311276480001</v>
      </c>
      <c r="K1340" s="1203">
        <f>'RC1_Arch'!M484</f>
        <v>52579.228563279998</v>
      </c>
    </row>
    <row r="1341" spans="1:11">
      <c r="E1341" t="str" cm="1">
        <f t="array" ref="E1341">_xlfn.LET(_xlpm.c,'RC1_Arch'!C485, _xlpm.b, 'RC1_Arch'!B485, IF(_xlpm.c&lt;&gt;"", _xlpm.c, _xlpm.b))</f>
        <v>งานแผ่น Smart board หนา 20 มม.</v>
      </c>
      <c r="F1341" s="1205"/>
      <c r="G1341" s="1203" t="str">
        <f>'RC1_Arch'!F485</f>
        <v>ตร.ม.</v>
      </c>
      <c r="H1341" s="1203">
        <f>'RC1_Arch'!E485</f>
        <v>80</v>
      </c>
      <c r="I1341" s="1203">
        <f>'RC1_Arch'!I485</f>
        <v>19446.087377600001</v>
      </c>
      <c r="J1341" s="1203">
        <f>'RC1_Arch'!L485</f>
        <v>3739.632188</v>
      </c>
      <c r="K1341" s="1203">
        <f>'RC1_Arch'!M485</f>
        <v>23185.7195656</v>
      </c>
    </row>
    <row r="1342" spans="1:11">
      <c r="E1342" t="str" cm="1">
        <f t="array" ref="E1342">_xlfn.LET(_xlpm.c,'RC1_Arch'!C486, _xlpm.b, 'RC1_Arch'!B486, IF(_xlpm.c&lt;&gt;"", _xlpm.c, _xlpm.b))</f>
        <v>งานลูกนอนบันได พื้นกรุไม้สักประสาน</v>
      </c>
      <c r="F1342" s="1205"/>
      <c r="G1342" s="1203" t="str">
        <f>'RC1_Arch'!F486</f>
        <v>ตร.ม.</v>
      </c>
      <c r="H1342" s="1203">
        <f>'RC1_Arch'!E486</f>
        <v>50</v>
      </c>
      <c r="I1342" s="1203">
        <f>'RC1_Arch'!I486</f>
        <v>102839.88517000001</v>
      </c>
      <c r="J1342" s="1203">
        <f>'RC1_Arch'!L486</f>
        <v>9349.080469999999</v>
      </c>
      <c r="K1342" s="1203">
        <f>'RC1_Arch'!M486</f>
        <v>112188.96564000001</v>
      </c>
    </row>
    <row r="1343" spans="1:11">
      <c r="E1343" t="str" cm="1">
        <f t="array" ref="E1343">_xlfn.LET(_xlpm.c,'RC1_Arch'!C487, _xlpm.b, 'RC1_Arch'!B487, IF(_xlpm.c&lt;&gt;"", _xlpm.c, _xlpm.b))</f>
        <v>งานลูกตั้งบันได พื้นกรุไม้สักประสาน</v>
      </c>
      <c r="F1343" s="1205"/>
      <c r="G1343" s="1203" t="str">
        <f>'RC1_Arch'!F487</f>
        <v>เมตร</v>
      </c>
      <c r="H1343" s="1203">
        <f>'RC1_Arch'!E487</f>
        <v>70</v>
      </c>
      <c r="I1343" s="1203">
        <f>'RC1_Arch'!I487</f>
        <v>130887.12658</v>
      </c>
      <c r="J1343" s="1203">
        <f>'RC1_Arch'!L487</f>
        <v>13088.712658</v>
      </c>
      <c r="K1343" s="1203">
        <f>'RC1_Arch'!M487</f>
        <v>143975.83923799999</v>
      </c>
    </row>
    <row r="1344" spans="1:11">
      <c r="E1344" t="str" cm="1">
        <f t="array" ref="E1344">_xlfn.LET(_xlpm.c,'RC1_Arch'!C488, _xlpm.b, 'RC1_Arch'!B488, IF(_xlpm.c&lt;&gt;"", _xlpm.c, _xlpm.b))</f>
        <v>งานชานพักบันได พื้นกรุไม้สักประสาน</v>
      </c>
      <c r="F1344" s="1205"/>
      <c r="G1344" s="1203" t="str">
        <f>'RC1_Arch'!F488</f>
        <v>ตร.ม.</v>
      </c>
      <c r="H1344" s="1203">
        <f>'RC1_Arch'!E488</f>
        <v>10</v>
      </c>
      <c r="I1344" s="1203">
        <f>'RC1_Arch'!I488</f>
        <v>20567.977034</v>
      </c>
      <c r="J1344" s="1203">
        <f>'RC1_Arch'!L488</f>
        <v>1869.816094</v>
      </c>
      <c r="K1344" s="1203">
        <f>'RC1_Arch'!M488</f>
        <v>22437.793128000001</v>
      </c>
    </row>
    <row r="1345" spans="5:11">
      <c r="E1345" t="str" cm="1">
        <f t="array" ref="E1345">_xlfn.LET(_xlpm.c,'RC1_Arch'!C489, _xlpm.b, 'RC1_Arch'!B489, IF(_xlpm.c&lt;&gt;"", _xlpm.c, _xlpm.b))</f>
        <v>งานจมูกบันไดแบบที่ 4</v>
      </c>
      <c r="F1345" s="1205"/>
      <c r="G1345" s="1203" t="str">
        <f>'RC1_Arch'!F489</f>
        <v>เมตร</v>
      </c>
      <c r="H1345" s="1203">
        <f>'RC1_Arch'!E489</f>
        <v>50</v>
      </c>
      <c r="I1345" s="1203">
        <f>'RC1_Arch'!I489</f>
        <v>23372.701175000002</v>
      </c>
      <c r="J1345" s="1203">
        <f>'RC1_Arch'!L489</f>
        <v>7011.8103524999997</v>
      </c>
      <c r="K1345" s="1203">
        <f>'RC1_Arch'!M489</f>
        <v>30384.511527500003</v>
      </c>
    </row>
    <row r="1346" spans="5:11">
      <c r="E1346" t="str" cm="1">
        <f t="array" ref="E1346">_xlfn.LET(_xlpm.c,'RC1_Arch'!C490, _xlpm.b, 'RC1_Arch'!B490, IF(_xlpm.c&lt;&gt;"", _xlpm.c, _xlpm.b))</f>
        <v>งานราวบันได ST5</v>
      </c>
      <c r="F1346" s="1205"/>
      <c r="G1346" s="1203" t="str">
        <f>'RC1_Arch'!F490</f>
        <v>เมตร</v>
      </c>
      <c r="H1346" s="1203">
        <f>'RC1_Arch'!E490</f>
        <v>40</v>
      </c>
      <c r="I1346" s="1203">
        <f>'RC1_Arch'!I490</f>
        <v>56094.48281999999</v>
      </c>
      <c r="J1346" s="1203">
        <f>'RC1_Arch'!L490</f>
        <v>14958.528752</v>
      </c>
      <c r="K1346" s="1203">
        <f>'RC1_Arch'!M490</f>
        <v>71053.011571999989</v>
      </c>
    </row>
    <row r="1347" spans="5:11">
      <c r="E1347" t="str" cm="1">
        <f t="array" ref="E1347">_xlfn.LET(_xlpm.c,'RC1_Arch'!C491, _xlpm.b, 'RC1_Arch'!B491, IF(_xlpm.c&lt;&gt;"", _xlpm.c, _xlpm.b))</f>
        <v xml:space="preserve">งานงผนังกรุไม้อัด 10 มม. ปิดแผ่นสแตนเลส ผิวซาติน หนา 1 มม. </v>
      </c>
      <c r="F1347" s="1205"/>
      <c r="G1347" s="1203" t="str">
        <f>'RC1_Arch'!F491</f>
        <v>ตร.ม.</v>
      </c>
      <c r="H1347" s="1203">
        <f>'RC1_Arch'!E491</f>
        <v>200</v>
      </c>
      <c r="I1347" s="1203">
        <f>'RC1_Arch'!I491</f>
        <v>654435.63289999997</v>
      </c>
      <c r="J1347" s="1203">
        <f>'RC1_Arch'!L491</f>
        <v>71987.919619000008</v>
      </c>
      <c r="K1347" s="1203">
        <f>'RC1_Arch'!M491</f>
        <v>726423.55251900002</v>
      </c>
    </row>
    <row r="1348" spans="5:11">
      <c r="E1348" t="str" cm="1">
        <f t="array" ref="E1348">_xlfn.LET(_xlpm.c,'RC1_Arch'!C492, _xlpm.b, 'RC1_Arch'!B492, IF(_xlpm.c&lt;&gt;"", _xlpm.c, _xlpm.b))</f>
        <v>Checkered Plate THK.6 mm.</v>
      </c>
      <c r="F1348" s="1205"/>
      <c r="G1348" s="1203" t="str">
        <f>'RC1_Arch'!F492</f>
        <v>ตร.ม.</v>
      </c>
      <c r="H1348" s="1203">
        <f>'RC1_Arch'!E492</f>
        <v>170</v>
      </c>
      <c r="I1348" s="1203">
        <f>'RC1_Arch'!I492</f>
        <v>262241.7071835</v>
      </c>
      <c r="J1348" s="1203">
        <f>'RC1_Arch'!L492</f>
        <v>79467.183994999999</v>
      </c>
      <c r="K1348" s="1203">
        <f>'RC1_Arch'!M492</f>
        <v>341708.89117850002</v>
      </c>
    </row>
    <row r="1349" spans="5:11">
      <c r="E1349" t="str" cm="1">
        <f t="array" ref="E1349">_xlfn.LET(_xlpm.c,'RC1_Arch'!C493, _xlpm.b, 'RC1_Arch'!B493, IF(_xlpm.c&lt;&gt;"", _xlpm.c, _xlpm.b))</f>
        <v>งานโครงสร้างเหล็กบันได</v>
      </c>
      <c r="F1349" s="1205"/>
      <c r="G1349" s="1203">
        <f>'RC1_Arch'!F493</f>
        <v>0</v>
      </c>
      <c r="H1349" s="1203" t="str">
        <f>'RC1_Arch'!E493</f>
        <v>* ดูรายละเอียดงานวิศวกรรมโครงสร้าง</v>
      </c>
      <c r="I1349" s="1203">
        <f>'RC1_Arch'!I493</f>
        <v>0</v>
      </c>
      <c r="J1349" s="1203">
        <f>'RC1_Arch'!L493</f>
        <v>0</v>
      </c>
      <c r="K1349" s="1203">
        <f>'RC1_Arch'!M493</f>
        <v>0</v>
      </c>
    </row>
    <row r="1350" spans="5:11">
      <c r="E1350" t="str" cm="1">
        <f t="array" ref="E1350">_xlfn.LET(_xlpm.c,'RC1_Arch'!C494, _xlpm.b, 'RC1_Arch'!B494, IF(_xlpm.c&lt;&gt;"", _xlpm.c, _xlpm.b))</f>
        <v>งานทาสีน้ำมันอัลคิด โครงสร้างเหล็กทั้งหมด</v>
      </c>
      <c r="F1350" s="1205"/>
      <c r="G1350" s="1203">
        <f>'RC1_Arch'!F494</f>
        <v>0</v>
      </c>
      <c r="H1350" s="1203" t="str">
        <f>'RC1_Arch'!E494</f>
        <v>* ดูรายละเอียดงานวิศวกรรมโครงสร้าง</v>
      </c>
      <c r="I1350" s="1203">
        <f>'RC1_Arch'!I494</f>
        <v>0</v>
      </c>
      <c r="J1350" s="1203">
        <f>'RC1_Arch'!L494</f>
        <v>0</v>
      </c>
      <c r="K1350" s="1203">
        <f>'RC1_Arch'!M494</f>
        <v>0</v>
      </c>
    </row>
    <row r="1351" spans="5:11">
      <c r="E1351" t="str" cm="1">
        <f t="array" ref="E1351">_xlfn.LET(_xlpm.c,'RC1_Arch'!C495, _xlpm.b, 'RC1_Arch'!B495, IF(_xlpm.c&lt;&gt;"", _xlpm.c, _xlpm.b))</f>
        <v>บันได 6</v>
      </c>
      <c r="F1351" s="1205"/>
      <c r="G1351" s="1203">
        <f>'RC1_Arch'!F495</f>
        <v>0</v>
      </c>
      <c r="H1351" s="1203">
        <f>'RC1_Arch'!E495</f>
        <v>0</v>
      </c>
      <c r="I1351" s="1203">
        <f>'RC1_Arch'!I495</f>
        <v>0</v>
      </c>
      <c r="J1351" s="1203">
        <f>'RC1_Arch'!L495</f>
        <v>0</v>
      </c>
      <c r="K1351" s="1203">
        <f>'RC1_Arch'!M495</f>
        <v>0</v>
      </c>
    </row>
    <row r="1352" spans="5:11">
      <c r="E1352" t="str" cm="1">
        <f t="array" ref="E1352">_xlfn.LET(_xlpm.c,'RC1_Arch'!C496, _xlpm.b, 'RC1_Arch'!B496, IF(_xlpm.c&lt;&gt;"", _xlpm.c, _xlpm.b))</f>
        <v xml:space="preserve">งานขั้นบันได พื้นผิวทรายล้าง </v>
      </c>
      <c r="F1352" s="1205"/>
      <c r="G1352" s="1203" t="str">
        <f>'RC1_Arch'!F496</f>
        <v>ตร.ม.</v>
      </c>
      <c r="H1352" s="1203">
        <f>'RC1_Arch'!E496</f>
        <v>55</v>
      </c>
      <c r="I1352" s="1203">
        <f>'RC1_Arch'!I496</f>
        <v>17637.040306654999</v>
      </c>
      <c r="J1352" s="1203">
        <f>'RC1_Arch'!L496</f>
        <v>5347.6740288399997</v>
      </c>
      <c r="K1352" s="1203">
        <f>'RC1_Arch'!M496</f>
        <v>22984.714335494999</v>
      </c>
    </row>
    <row r="1353" spans="5:11">
      <c r="E1353" cm="1">
        <f t="array" ref="E1353">_xlfn.LET(_xlpm.c,'RC1_Arch'!C497, _xlpm.b, 'RC1_Arch'!B497, IF(_xlpm.c&lt;&gt;"", _xlpm.c, _xlpm.b))</f>
        <v>0</v>
      </c>
      <c r="F1353" s="1205"/>
      <c r="G1353" s="1203">
        <f>'RC1_Arch'!F497</f>
        <v>0</v>
      </c>
      <c r="H1353" s="1203">
        <f>'RC1_Arch'!E497</f>
        <v>0</v>
      </c>
      <c r="I1353" s="1203">
        <f>'RC1_Arch'!I497</f>
        <v>0</v>
      </c>
      <c r="J1353" s="1203">
        <f>'RC1_Arch'!L497</f>
        <v>0</v>
      </c>
      <c r="K1353" s="1203">
        <f>'RC1_Arch'!M497</f>
        <v>0</v>
      </c>
    </row>
    <row r="1354" spans="5:11">
      <c r="E1354" t="str" cm="1">
        <f t="array" ref="E1354">_xlfn.LET(_xlpm.c,'RC1_Arch'!C498, _xlpm.b, 'RC1_Arch'!B498, IF(_xlpm.c&lt;&gt;"", _xlpm.c, _xlpm.b))</f>
        <v>งานชานพักบันได พื้นผิวทรายล้าง</v>
      </c>
      <c r="F1354" s="1205"/>
      <c r="G1354" s="1203" t="str">
        <f>'RC1_Arch'!F498</f>
        <v>ตร.ม.</v>
      </c>
      <c r="H1354" s="1203">
        <f>'RC1_Arch'!E498</f>
        <v>9</v>
      </c>
      <c r="I1354" s="1203">
        <f>'RC1_Arch'!I498</f>
        <v>2886.0611410890001</v>
      </c>
      <c r="J1354" s="1203">
        <f>'RC1_Arch'!L498</f>
        <v>875.07393199199998</v>
      </c>
      <c r="K1354" s="1203">
        <f>'RC1_Arch'!M498</f>
        <v>3761.135073081</v>
      </c>
    </row>
    <row r="1355" spans="5:11">
      <c r="E1355" t="str" cm="1">
        <f t="array" ref="E1355">_xlfn.LET(_xlpm.c,'RC1_Arch'!C499, _xlpm.b, 'RC1_Arch'!B499, IF(_xlpm.c&lt;&gt;"", _xlpm.c, _xlpm.b))</f>
        <v>งานจมูกบันไดแบบที่ 3</v>
      </c>
      <c r="F1355" s="1205"/>
      <c r="G1355" s="1203" t="str">
        <f>'RC1_Arch'!F499</f>
        <v>เมตร</v>
      </c>
      <c r="H1355" s="1203">
        <f>'RC1_Arch'!E499</f>
        <v>60</v>
      </c>
      <c r="I1355" s="1203">
        <f>'RC1_Arch'!I499</f>
        <v>0</v>
      </c>
      <c r="J1355" s="1203">
        <f>'RC1_Arch'!L499</f>
        <v>1682.8344846</v>
      </c>
      <c r="K1355" s="1203">
        <f>'RC1_Arch'!M499</f>
        <v>1682.8344846</v>
      </c>
    </row>
    <row r="1356" spans="5:11">
      <c r="E1356" t="str" cm="1">
        <f t="array" ref="E1356">_xlfn.LET(_xlpm.c,'RC1_Arch'!C500, _xlpm.b, 'RC1_Arch'!B500, IF(_xlpm.c&lt;&gt;"", _xlpm.c, _xlpm.b))</f>
        <v>งานราวบันได ST6</v>
      </c>
      <c r="F1356" s="1205"/>
      <c r="G1356" s="1203" t="str">
        <f>'RC1_Arch'!F500</f>
        <v>เมตร</v>
      </c>
      <c r="H1356" s="1203">
        <f>'RC1_Arch'!E500</f>
        <v>16</v>
      </c>
      <c r="I1356" s="1203">
        <f>'RC1_Arch'!I500</f>
        <v>16454.3816272</v>
      </c>
      <c r="J1356" s="1203">
        <f>'RC1_Arch'!L500</f>
        <v>7030.5085134399997</v>
      </c>
      <c r="K1356" s="1203">
        <f>'RC1_Arch'!M500</f>
        <v>23484.89014064</v>
      </c>
    </row>
    <row r="1357" spans="5:11">
      <c r="E1357" t="str" cm="1">
        <f t="array" ref="E1357">_xlfn.LET(_xlpm.c,'RC1_Arch'!C501, _xlpm.b, 'RC1_Arch'!B501, IF(_xlpm.c&lt;&gt;"", _xlpm.c, _xlpm.b))</f>
        <v>งานบัวข้างบันได ผิวทรายล้าง</v>
      </c>
      <c r="F1357" s="1205"/>
      <c r="G1357" s="1203" t="str">
        <f>'RC1_Arch'!F501</f>
        <v>เมตร</v>
      </c>
      <c r="H1357" s="1203">
        <f>'RC1_Arch'!E501</f>
        <v>27</v>
      </c>
      <c r="I1357" s="1203">
        <f>'RC1_Arch'!I501</f>
        <v>858.24558714599993</v>
      </c>
      <c r="J1357" s="1203">
        <f>'RC1_Arch'!L501</f>
        <v>1766.9762088299999</v>
      </c>
      <c r="K1357" s="1203">
        <f>'RC1_Arch'!M501</f>
        <v>2625.2217959760001</v>
      </c>
    </row>
    <row r="1358" spans="5:11">
      <c r="E1358" t="str" cm="1">
        <f t="array" ref="E1358">_xlfn.LET(_xlpm.c,'RC1_Arch'!C502, _xlpm.b, 'RC1_Arch'!B502, IF(_xlpm.c&lt;&gt;"", _xlpm.c, _xlpm.b))</f>
        <v>งานผนังกันตก 1</v>
      </c>
      <c r="F1358" s="1205"/>
      <c r="G1358" s="1203" t="str">
        <f>'RC1_Arch'!F502</f>
        <v>เมตร</v>
      </c>
      <c r="H1358" s="1203">
        <f>'RC1_Arch'!E502</f>
        <v>11</v>
      </c>
      <c r="I1358" s="1203">
        <f>'RC1_Arch'!I502</f>
        <v>19025.378756449998</v>
      </c>
      <c r="J1358" s="1203">
        <f>'RC1_Arch'!L502</f>
        <v>5141.9942584999999</v>
      </c>
      <c r="K1358" s="1203">
        <f>'RC1_Arch'!M502</f>
        <v>24167.373014949997</v>
      </c>
    </row>
    <row r="1359" spans="5:11">
      <c r="E1359" t="str" cm="1">
        <f t="array" ref="E1359">_xlfn.LET(_xlpm.c,'RC1_Arch'!C503, _xlpm.b, 'RC1_Arch'!B503, IF(_xlpm.c&lt;&gt;"", _xlpm.c, _xlpm.b))</f>
        <v>งานรางระบายน้ำตามแบบขยาย</v>
      </c>
      <c r="F1359" s="1205"/>
      <c r="G1359" s="1203" t="str">
        <f>'RC1_Arch'!F503</f>
        <v>ชุด</v>
      </c>
      <c r="H1359" s="1203">
        <f>'RC1_Arch'!E503</f>
        <v>1</v>
      </c>
      <c r="I1359" s="1203">
        <f>'RC1_Arch'!I503</f>
        <v>7479.2643760000001</v>
      </c>
      <c r="J1359" s="1203">
        <f>'RC1_Arch'!L503</f>
        <v>0</v>
      </c>
      <c r="K1359" s="1203">
        <f>'RC1_Arch'!M503</f>
        <v>7479.2643760000001</v>
      </c>
    </row>
    <row r="1360" spans="5:11">
      <c r="E1360" t="str" cm="1">
        <f t="array" ref="E1360">_xlfn.LET(_xlpm.c,'RC1_Arch'!C504, _xlpm.b, 'RC1_Arch'!B504, IF(_xlpm.c&lt;&gt;"", _xlpm.c, _xlpm.b))</f>
        <v>บันได 7</v>
      </c>
      <c r="F1360" s="1205"/>
      <c r="G1360" s="1203">
        <f>'RC1_Arch'!F504</f>
        <v>0</v>
      </c>
      <c r="H1360" s="1203">
        <f>'RC1_Arch'!E504</f>
        <v>0</v>
      </c>
      <c r="I1360" s="1203">
        <f>'RC1_Arch'!I504</f>
        <v>0</v>
      </c>
      <c r="J1360" s="1203">
        <f>'RC1_Arch'!L504</f>
        <v>0</v>
      </c>
      <c r="K1360" s="1203">
        <f>'RC1_Arch'!M504</f>
        <v>0</v>
      </c>
    </row>
    <row r="1361" spans="5:11">
      <c r="E1361" t="str" cm="1">
        <f t="array" ref="E1361">_xlfn.LET(_xlpm.c,'RC1_Arch'!C505, _xlpm.b, 'RC1_Arch'!B505, IF(_xlpm.c&lt;&gt;"", _xlpm.c, _xlpm.b))</f>
        <v>งานขั้นบันได พื้นผิวหินขัด</v>
      </c>
      <c r="F1361" s="1205"/>
      <c r="G1361" s="1203" t="str">
        <f>'RC1_Arch'!F505</f>
        <v>เมตร</v>
      </c>
      <c r="H1361" s="1203">
        <f>'RC1_Arch'!E505</f>
        <v>7</v>
      </c>
      <c r="I1361" s="1203">
        <f>'RC1_Arch'!I505</f>
        <v>739.51226517700002</v>
      </c>
      <c r="J1361" s="1203">
        <f>'RC1_Arch'!L505</f>
        <v>1171.439782891</v>
      </c>
      <c r="K1361" s="1203">
        <f>'RC1_Arch'!M505</f>
        <v>1910.9520480680001</v>
      </c>
    </row>
    <row r="1362" spans="5:11">
      <c r="E1362" t="str" cm="1">
        <f t="array" ref="E1362">_xlfn.LET(_xlpm.c,'RC1_Arch'!C506, _xlpm.b, 'RC1_Arch'!B506, IF(_xlpm.c&lt;&gt;"", _xlpm.c, _xlpm.b))</f>
        <v>งานจมูกบันไดแบบที่ 2</v>
      </c>
      <c r="F1362" s="1205"/>
      <c r="G1362" s="1203" t="str">
        <f>'RC1_Arch'!F506</f>
        <v>เมตร</v>
      </c>
      <c r="H1362" s="1203">
        <f>'RC1_Arch'!E506</f>
        <v>9</v>
      </c>
      <c r="I1362" s="1203">
        <f>'RC1_Arch'!I506</f>
        <v>1682.8344846</v>
      </c>
      <c r="J1362" s="1203">
        <f>'RC1_Arch'!L506</f>
        <v>673.13379384000007</v>
      </c>
      <c r="K1362" s="1203">
        <f>'RC1_Arch'!M506</f>
        <v>2355.9682784400002</v>
      </c>
    </row>
    <row r="1363" spans="5:11">
      <c r="E1363" t="str" cm="1">
        <f t="array" ref="E1363">_xlfn.LET(_xlpm.c,'RC1_Arch'!C507, _xlpm.b, 'RC1_Arch'!B507, IF(_xlpm.c&lt;&gt;"", _xlpm.c, _xlpm.b))</f>
        <v>บันได 7.1</v>
      </c>
      <c r="F1363" s="1205"/>
      <c r="G1363" s="1203">
        <f>'RC1_Arch'!F507</f>
        <v>0</v>
      </c>
      <c r="H1363" s="1203">
        <f>'RC1_Arch'!E507</f>
        <v>0</v>
      </c>
      <c r="I1363" s="1203">
        <f>'RC1_Arch'!I507</f>
        <v>0</v>
      </c>
      <c r="J1363" s="1203">
        <f>'RC1_Arch'!L507</f>
        <v>0</v>
      </c>
      <c r="K1363" s="1203">
        <f>'RC1_Arch'!M507</f>
        <v>0</v>
      </c>
    </row>
    <row r="1364" spans="5:11">
      <c r="E1364" t="str" cm="1">
        <f t="array" ref="E1364">_xlfn.LET(_xlpm.c,'RC1_Arch'!C508, _xlpm.b, 'RC1_Arch'!B508, IF(_xlpm.c&lt;&gt;"", _xlpm.c, _xlpm.b))</f>
        <v>งานขั้นบันได ผิวขัดมัน</v>
      </c>
      <c r="F1364" s="1205"/>
      <c r="G1364" s="1203" t="str">
        <f>'RC1_Arch'!F508</f>
        <v>เมตร</v>
      </c>
      <c r="H1364" s="1203">
        <f>'RC1_Arch'!E508</f>
        <v>5</v>
      </c>
      <c r="I1364" s="1203">
        <f>'RC1_Arch'!I508</f>
        <v>252.42517269000001</v>
      </c>
      <c r="J1364" s="1203">
        <f>'RC1_Arch'!L508</f>
        <v>191.65614963499996</v>
      </c>
      <c r="K1364" s="1203">
        <f>'RC1_Arch'!M508</f>
        <v>444.08132232499997</v>
      </c>
    </row>
    <row r="1365" spans="5:11">
      <c r="E1365" t="str" cm="1">
        <f t="array" ref="E1365">_xlfn.LET(_xlpm.c,'RC1_Arch'!C509, _xlpm.b, 'RC1_Arch'!B509, IF(_xlpm.c&lt;&gt;"", _xlpm.c, _xlpm.b))</f>
        <v>งานจมูกบันไดแบบที่ 1</v>
      </c>
      <c r="F1365" s="1205"/>
      <c r="G1365" s="1203" t="str">
        <f>'RC1_Arch'!F509</f>
        <v>เมตร</v>
      </c>
      <c r="H1365" s="1203">
        <f>'RC1_Arch'!E509</f>
        <v>7</v>
      </c>
      <c r="I1365" s="1203">
        <f>'RC1_Arch'!I509</f>
        <v>1243.42770251</v>
      </c>
      <c r="J1365" s="1203">
        <f>'RC1_Arch'!L509</f>
        <v>274.86296581799996</v>
      </c>
      <c r="K1365" s="1203">
        <f>'RC1_Arch'!M509</f>
        <v>1518.290668328</v>
      </c>
    </row>
    <row r="1366" spans="5:11">
      <c r="E1366" t="str" cm="1">
        <f t="array" ref="E1366">_xlfn.LET(_xlpm.c,'RC1_Arch'!C510, _xlpm.b, 'RC1_Arch'!B510, IF(_xlpm.c&lt;&gt;"", _xlpm.c, _xlpm.b))</f>
        <v>บันได 8</v>
      </c>
      <c r="F1366" s="1205"/>
      <c r="G1366" s="1203">
        <f>'RC1_Arch'!F510</f>
        <v>0</v>
      </c>
      <c r="H1366" s="1203">
        <f>'RC1_Arch'!E510</f>
        <v>0</v>
      </c>
      <c r="I1366" s="1203">
        <f>'RC1_Arch'!I510</f>
        <v>0</v>
      </c>
      <c r="J1366" s="1203">
        <f>'RC1_Arch'!L510</f>
        <v>0</v>
      </c>
      <c r="K1366" s="1203">
        <f>'RC1_Arch'!M510</f>
        <v>0</v>
      </c>
    </row>
    <row r="1367" spans="5:11">
      <c r="E1367" t="str" cm="1">
        <f t="array" ref="E1367">_xlfn.LET(_xlpm.c,'RC1_Arch'!C511, _xlpm.b, 'RC1_Arch'!B511, IF(_xlpm.c&lt;&gt;"", _xlpm.c, _xlpm.b))</f>
        <v>Steel Plate 12 mm.</v>
      </c>
      <c r="F1367" s="1205"/>
      <c r="G1367" s="1203" t="str">
        <f>'RC1_Arch'!F511</f>
        <v>กก.</v>
      </c>
      <c r="H1367" s="1203">
        <f>'RC1_Arch'!E511</f>
        <v>1180</v>
      </c>
      <c r="I1367" s="1203">
        <f>'RC1_Arch'!I511</f>
        <v>27546.6916416362</v>
      </c>
      <c r="J1367" s="1203">
        <f>'RC1_Arch'!L511</f>
        <v>15444.680936439998</v>
      </c>
      <c r="K1367" s="1203">
        <f>'RC1_Arch'!M511</f>
        <v>42991.372578076196</v>
      </c>
    </row>
    <row r="1368" spans="5:11">
      <c r="E1368" t="str" cm="1">
        <f t="array" ref="E1368">_xlfn.LET(_xlpm.c,'RC1_Arch'!C512, _xlpm.b, 'RC1_Arch'!B512, IF(_xlpm.c&lt;&gt;"", _xlpm.c, _xlpm.b))</f>
        <v>งานขั้นบันไดปูทับด้วยแผ่นยางกันลื่นลายเหรียญ Round Dot - Anti Slip หนา 5 มม.</v>
      </c>
      <c r="F1368" s="1205"/>
      <c r="G1368" s="1203" t="str">
        <f>'RC1_Arch'!F512</f>
        <v>เมตร</v>
      </c>
      <c r="H1368" s="1203">
        <f>'RC1_Arch'!E512</f>
        <v>19</v>
      </c>
      <c r="I1368" s="1203">
        <f>'RC1_Arch'!I512</f>
        <v>4387.5234645709997</v>
      </c>
      <c r="J1368" s="1203">
        <f>'RC1_Arch'!L512</f>
        <v>1314.4807140820001</v>
      </c>
      <c r="K1368" s="1203">
        <f>'RC1_Arch'!M512</f>
        <v>5702.0041786530001</v>
      </c>
    </row>
    <row r="1369" spans="5:11">
      <c r="E1369" t="str" cm="1">
        <f t="array" ref="E1369">_xlfn.LET(_xlpm.c,'RC1_Arch'!C513, _xlpm.b, 'RC1_Arch'!B513, IF(_xlpm.c&lt;&gt;"", _xlpm.c, _xlpm.b))</f>
        <v>งานชานพักบันไดปูทับด้วยแผ่นยางกันลื่น ลายเหรียญ Round Dot Anti Slip หนา 5 มม.</v>
      </c>
      <c r="F1369" s="1205"/>
      <c r="G1369" s="1203" t="str">
        <f>'RC1_Arch'!F513</f>
        <v>เมตร</v>
      </c>
      <c r="H1369" s="1203">
        <f>'RC1_Arch'!E513</f>
        <v>4</v>
      </c>
      <c r="I1369" s="1203">
        <f>'RC1_Arch'!I513</f>
        <v>1200.4219323479999</v>
      </c>
      <c r="J1369" s="1203">
        <f>'RC1_Arch'!L513</f>
        <v>359.00469004799999</v>
      </c>
      <c r="K1369" s="1203">
        <f>'RC1_Arch'!M513</f>
        <v>1559.4266223959999</v>
      </c>
    </row>
    <row r="1370" spans="5:11">
      <c r="E1370" t="str" cm="1">
        <f t="array" ref="E1370">_xlfn.LET(_xlpm.c,'RC1_Arch'!C514, _xlpm.b, 'RC1_Arch'!B514, IF(_xlpm.c&lt;&gt;"", _xlpm.c, _xlpm.b))</f>
        <v>งานแม่บันได WF</v>
      </c>
      <c r="F1370" s="1205"/>
      <c r="G1370" s="1203">
        <f>'RC1_Arch'!F514</f>
        <v>0</v>
      </c>
      <c r="H1370" s="1203" t="str">
        <f>'RC1_Arch'!E514</f>
        <v>* ดูรายละเอียดงานวิศวกรรมโครงสร้าง</v>
      </c>
      <c r="I1370" s="1203">
        <f>'RC1_Arch'!I514</f>
        <v>0</v>
      </c>
      <c r="J1370" s="1203">
        <f>'RC1_Arch'!L514</f>
        <v>0</v>
      </c>
      <c r="K1370" s="1203">
        <f>'RC1_Arch'!M514</f>
        <v>0</v>
      </c>
    </row>
    <row r="1371" spans="5:11">
      <c r="E1371" t="str" cm="1">
        <f t="array" ref="E1371">_xlfn.LET(_xlpm.c,'RC1_Arch'!C515, _xlpm.b, 'RC1_Arch'!B515, IF(_xlpm.c&lt;&gt;"", _xlpm.c, _xlpm.b))</f>
        <v>งานราวบันได ST8</v>
      </c>
      <c r="F1371" s="1205"/>
      <c r="G1371" s="1203" t="str">
        <f>'RC1_Arch'!F515</f>
        <v>เมตร</v>
      </c>
      <c r="H1371" s="1203">
        <f>'RC1_Arch'!E515</f>
        <v>11</v>
      </c>
      <c r="I1371" s="1203">
        <f>'RC1_Arch'!I515</f>
        <v>6787.4324212199999</v>
      </c>
      <c r="J1371" s="1203">
        <f>'RC1_Arch'!L515</f>
        <v>3188.0364402699997</v>
      </c>
      <c r="K1371" s="1203">
        <f>'RC1_Arch'!M515</f>
        <v>9975.4688614900006</v>
      </c>
    </row>
    <row r="1372" spans="5:11">
      <c r="E1372" t="str" cm="1">
        <f t="array" ref="E1372">_xlfn.LET(_xlpm.c,'RC1_Arch'!C516, _xlpm.b, 'RC1_Arch'!B516, IF(_xlpm.c&lt;&gt;"", _xlpm.c, _xlpm.b))</f>
        <v>งานทาสีน้ำมันอัลคิด โครงสร้างเหล็กทั้งหมด</v>
      </c>
      <c r="F1372" s="1205"/>
      <c r="G1372" s="1203">
        <f>'RC1_Arch'!F516</f>
        <v>0</v>
      </c>
      <c r="H1372" s="1203" t="str">
        <f>'RC1_Arch'!E516</f>
        <v>* ดูรายละเอียดงานวิศวกรรมโครงสร้าง</v>
      </c>
      <c r="I1372" s="1203">
        <f>'RC1_Arch'!I516</f>
        <v>0</v>
      </c>
      <c r="J1372" s="1203">
        <f>'RC1_Arch'!L516</f>
        <v>0</v>
      </c>
      <c r="K1372" s="1203">
        <f>'RC1_Arch'!M516</f>
        <v>0</v>
      </c>
    </row>
    <row r="1373" spans="5:11">
      <c r="E1373" t="str" cm="1">
        <f t="array" ref="E1373">_xlfn.LET(_xlpm.c,'RC1_Arch'!C517, _xlpm.b, 'RC1_Arch'!B517, IF(_xlpm.c&lt;&gt;"", _xlpm.c, _xlpm.b))</f>
        <v>บันได 9</v>
      </c>
      <c r="F1373" s="1205"/>
      <c r="G1373" s="1203">
        <f>'RC1_Arch'!F517</f>
        <v>0</v>
      </c>
      <c r="H1373" s="1203">
        <f>'RC1_Arch'!E517</f>
        <v>0</v>
      </c>
      <c r="I1373" s="1203">
        <f>'RC1_Arch'!I517</f>
        <v>0</v>
      </c>
      <c r="J1373" s="1203">
        <f>'RC1_Arch'!L517</f>
        <v>0</v>
      </c>
      <c r="K1373" s="1203">
        <f>'RC1_Arch'!M517</f>
        <v>0</v>
      </c>
    </row>
    <row r="1374" spans="5:11">
      <c r="E1374" t="str" cm="1">
        <f t="array" ref="E1374">_xlfn.LET(_xlpm.c,'RC1_Arch'!C518, _xlpm.b, 'RC1_Arch'!B518, IF(_xlpm.c&lt;&gt;"", _xlpm.c, _xlpm.b))</f>
        <v>Steel Plate 12 mm.</v>
      </c>
      <c r="F1374" s="1205"/>
      <c r="G1374" s="1203" t="str">
        <f>'RC1_Arch'!F518</f>
        <v>กก.</v>
      </c>
      <c r="H1374" s="1203">
        <f>'RC1_Arch'!E518</f>
        <v>6050</v>
      </c>
      <c r="I1374" s="1203">
        <f>'RC1_Arch'!I518</f>
        <v>141235.15629821949</v>
      </c>
      <c r="J1374" s="1203">
        <f>'RC1_Arch'!L518</f>
        <v>79186.711580899995</v>
      </c>
      <c r="K1374" s="1203">
        <f>'RC1_Arch'!M518</f>
        <v>220421.86787911947</v>
      </c>
    </row>
    <row r="1375" spans="5:11">
      <c r="E1375" t="str" cm="1">
        <f t="array" ref="E1375">_xlfn.LET(_xlpm.c,'RC1_Arch'!C519, _xlpm.b, 'RC1_Arch'!B519, IF(_xlpm.c&lt;&gt;"", _xlpm.c, _xlpm.b))</f>
        <v>งานขั้นบันไดปูกระเบื้องหินขัดสีดำ</v>
      </c>
      <c r="F1375" s="1205"/>
      <c r="G1375" s="1203" t="str">
        <f>'RC1_Arch'!F519</f>
        <v>เมตร</v>
      </c>
      <c r="H1375" s="1203">
        <f>'RC1_Arch'!E519</f>
        <v>61</v>
      </c>
      <c r="I1375" s="1203">
        <f>'RC1_Arch'!I519</f>
        <v>10322.319746926998</v>
      </c>
      <c r="J1375" s="1203">
        <f>'RC1_Arch'!L519</f>
        <v>9010.6437569859991</v>
      </c>
      <c r="K1375" s="1203">
        <f>'RC1_Arch'!M519</f>
        <v>19332.963503912997</v>
      </c>
    </row>
    <row r="1376" spans="5:11">
      <c r="E1376" t="str" cm="1">
        <f t="array" ref="E1376">_xlfn.LET(_xlpm.c,'RC1_Arch'!C520, _xlpm.b, 'RC1_Arch'!B520, IF(_xlpm.c&lt;&gt;"", _xlpm.c, _xlpm.b))</f>
        <v>งานชานพักปูกระเบื้องหินขัดสีดำ</v>
      </c>
      <c r="F1376" s="1205"/>
      <c r="G1376" s="1203" t="str">
        <f>'RC1_Arch'!F520</f>
        <v>ตร.ม.</v>
      </c>
      <c r="H1376" s="1203">
        <f>'RC1_Arch'!E520</f>
        <v>8</v>
      </c>
      <c r="I1376" s="1203">
        <f>'RC1_Arch'!I520</f>
        <v>2849.5997272559998</v>
      </c>
      <c r="J1376" s="1203">
        <f>'RC1_Arch'!L520</f>
        <v>1660.3966914719999</v>
      </c>
      <c r="K1376" s="1203">
        <f>'RC1_Arch'!M520</f>
        <v>4509.9964187280002</v>
      </c>
    </row>
    <row r="1377" spans="5:11">
      <c r="E1377" t="str" cm="1">
        <f t="array" ref="E1377">_xlfn.LET(_xlpm.c,'RC1_Arch'!C521, _xlpm.b, 'RC1_Arch'!B521, IF(_xlpm.c&lt;&gt;"", _xlpm.c, _xlpm.b))</f>
        <v>งานจมูกบันไดแบบที่ 6</v>
      </c>
      <c r="F1377" s="1205"/>
      <c r="G1377" s="1203" t="str">
        <f>'RC1_Arch'!F521</f>
        <v>เมตร</v>
      </c>
      <c r="H1377" s="1203">
        <f>'RC1_Arch'!E521</f>
        <v>67</v>
      </c>
      <c r="I1377" s="1203">
        <f>'RC1_Arch'!I521</f>
        <v>9395.8258723499985</v>
      </c>
      <c r="J1377" s="1203">
        <f>'RC1_Arch'!L521</f>
        <v>8143.0490893699998</v>
      </c>
      <c r="K1377" s="1203">
        <f>'RC1_Arch'!M521</f>
        <v>17538.874961719997</v>
      </c>
    </row>
    <row r="1378" spans="5:11">
      <c r="E1378" t="str" cm="1">
        <f t="array" ref="E1378">_xlfn.LET(_xlpm.c,'RC1_Arch'!C522, _xlpm.b, 'RC1_Arch'!B522, IF(_xlpm.c&lt;&gt;"", _xlpm.c, _xlpm.b))</f>
        <v>งานแม่บันได WF</v>
      </c>
      <c r="F1378" s="1205"/>
      <c r="G1378" s="1203">
        <f>'RC1_Arch'!F522</f>
        <v>0</v>
      </c>
      <c r="H1378" s="1203" t="str">
        <f>'RC1_Arch'!E522</f>
        <v>* ดูรายละเอียดงานวิศวกรรมโครงสร้าง</v>
      </c>
      <c r="I1378" s="1203">
        <f>'RC1_Arch'!I522</f>
        <v>0</v>
      </c>
      <c r="J1378" s="1203">
        <f>'RC1_Arch'!L522</f>
        <v>0</v>
      </c>
      <c r="K1378" s="1203">
        <f>'RC1_Arch'!M522</f>
        <v>0</v>
      </c>
    </row>
    <row r="1379" spans="5:11">
      <c r="E1379" t="str" cm="1">
        <f t="array" ref="E1379">_xlfn.LET(_xlpm.c,'RC1_Arch'!C523, _xlpm.b, 'RC1_Arch'!B523, IF(_xlpm.c&lt;&gt;"", _xlpm.c, _xlpm.b))</f>
        <v>งานราวบันได ST9</v>
      </c>
      <c r="F1379" s="1205"/>
      <c r="G1379" s="1203" t="str">
        <f>'RC1_Arch'!F523</f>
        <v>เมตร</v>
      </c>
      <c r="H1379" s="1203">
        <f>'RC1_Arch'!E523</f>
        <v>39</v>
      </c>
      <c r="I1379" s="1203">
        <f>'RC1_Arch'!I523</f>
        <v>24064.53312978</v>
      </c>
      <c r="J1379" s="1203">
        <f>'RC1_Arch'!L523</f>
        <v>11303.038288229998</v>
      </c>
      <c r="K1379" s="1203">
        <f>'RC1_Arch'!M523</f>
        <v>35367.571418009997</v>
      </c>
    </row>
    <row r="1380" spans="5:11">
      <c r="E1380" t="str" cm="1">
        <f t="array" ref="E1380">_xlfn.LET(_xlpm.c,'RC1_Arch'!C524, _xlpm.b, 'RC1_Arch'!B524, IF(_xlpm.c&lt;&gt;"", _xlpm.c, _xlpm.b))</f>
        <v>งานทาสีน้ำมันอัลคิด โครงสร้างเหล็กทั้งหมด</v>
      </c>
      <c r="F1380" s="1205"/>
      <c r="G1380" s="1203">
        <f>'RC1_Arch'!F524</f>
        <v>0</v>
      </c>
      <c r="H1380" s="1203" t="str">
        <f>'RC1_Arch'!E524</f>
        <v>* ดูรายละเอียดงานวิศวกรรมโครงสร้าง</v>
      </c>
      <c r="I1380" s="1203">
        <f>'RC1_Arch'!I524</f>
        <v>0</v>
      </c>
      <c r="J1380" s="1203">
        <f>'RC1_Arch'!L524</f>
        <v>0</v>
      </c>
      <c r="K1380" s="1203">
        <f>'RC1_Arch'!M524</f>
        <v>0</v>
      </c>
    </row>
    <row r="1381" spans="5:11">
      <c r="E1381" cm="1">
        <f t="array" ref="E1381">_xlfn.LET(_xlpm.c,'RC1_Arch'!C525, _xlpm.b, 'RC1_Arch'!B525, IF(_xlpm.c&lt;&gt;"", _xlpm.c, _xlpm.b))</f>
        <v>0</v>
      </c>
      <c r="F1381" s="1205"/>
      <c r="G1381" s="1203">
        <f>'RC1_Arch'!F525</f>
        <v>0</v>
      </c>
      <c r="H1381" s="1203">
        <f>'RC1_Arch'!E525</f>
        <v>0</v>
      </c>
      <c r="I1381" s="1203">
        <f>'RC1_Arch'!I525</f>
        <v>0</v>
      </c>
      <c r="J1381" s="1203">
        <f>'RC1_Arch'!L525</f>
        <v>0</v>
      </c>
      <c r="K1381" s="1203">
        <f>'RC1_Arch'!M525</f>
        <v>0</v>
      </c>
    </row>
    <row r="1382" spans="5:11">
      <c r="E1382" cm="1">
        <f t="array" ref="E1382">_xlfn.LET(_xlpm.c,'RC1_Arch'!C526, _xlpm.b, 'RC1_Arch'!B526, IF(_xlpm.c&lt;&gt;"", _xlpm.c, _xlpm.b))</f>
        <v>0</v>
      </c>
      <c r="F1382" s="1205"/>
      <c r="G1382" s="1203">
        <f>'RC1_Arch'!F526</f>
        <v>0</v>
      </c>
      <c r="H1382" s="1203">
        <f>'RC1_Arch'!E526</f>
        <v>0</v>
      </c>
      <c r="I1382" s="1203">
        <f>'RC1_Arch'!I526</f>
        <v>0</v>
      </c>
      <c r="J1382" s="1203">
        <f>'RC1_Arch'!L526</f>
        <v>0</v>
      </c>
      <c r="K1382" s="1203">
        <f>'RC1_Arch'!M526</f>
        <v>0</v>
      </c>
    </row>
    <row r="1383" spans="5:11">
      <c r="E1383" t="str" cm="1">
        <f t="array" ref="E1383">_xlfn.LET(_xlpm.c,'RC1_Arch'!C527, _xlpm.b, 'RC1_Arch'!B527, IF(_xlpm.c&lt;&gt;"", _xlpm.c, _xlpm.b))</f>
        <v>บันได 10</v>
      </c>
      <c r="F1383" s="1205"/>
      <c r="G1383" s="1203">
        <f>'RC1_Arch'!F527</f>
        <v>0</v>
      </c>
      <c r="H1383" s="1203">
        <f>'RC1_Arch'!E527</f>
        <v>0</v>
      </c>
      <c r="I1383" s="1203">
        <f>'RC1_Arch'!I527</f>
        <v>0</v>
      </c>
      <c r="J1383" s="1203">
        <f>'RC1_Arch'!L527</f>
        <v>0</v>
      </c>
      <c r="K1383" s="1203">
        <f>'RC1_Arch'!M527</f>
        <v>0</v>
      </c>
    </row>
    <row r="1384" spans="5:11">
      <c r="E1384" t="str" cm="1">
        <f t="array" ref="E1384">_xlfn.LET(_xlpm.c,'RC1_Arch'!C528, _xlpm.b, 'RC1_Arch'!B528, IF(_xlpm.c&lt;&gt;"", _xlpm.c, _xlpm.b))</f>
        <v>งานขั้นบันได Steel Plate 10 mm.</v>
      </c>
      <c r="F1384" s="1205"/>
      <c r="G1384" s="1203" t="str">
        <f>'RC1_Arch'!F528</f>
        <v>กก.</v>
      </c>
      <c r="H1384" s="1203">
        <f>'RC1_Arch'!E528</f>
        <v>500</v>
      </c>
      <c r="I1384" s="1203">
        <f>'RC1_Arch'!I528</f>
        <v>11672.326966794999</v>
      </c>
      <c r="J1384" s="1203">
        <f>'RC1_Arch'!L528</f>
        <v>6544.3563289999993</v>
      </c>
      <c r="K1384" s="1203">
        <f>'RC1_Arch'!M528</f>
        <v>18216.683295794999</v>
      </c>
    </row>
    <row r="1385" spans="5:11">
      <c r="E1385" t="str" cm="1">
        <f t="array" ref="E1385">_xlfn.LET(_xlpm.c,'RC1_Arch'!C529, _xlpm.b, 'RC1_Arch'!B529, IF(_xlpm.c&lt;&gt;"", _xlpm.c, _xlpm.b))</f>
        <v>งานขั้นบันไดผิวหินขัดสำเร็จรูป</v>
      </c>
      <c r="F1385" s="1205"/>
      <c r="G1385" s="1203" t="str">
        <f>'RC1_Arch'!F529</f>
        <v>เมตร</v>
      </c>
      <c r="H1385" s="1203">
        <f>'RC1_Arch'!E529</f>
        <v>55</v>
      </c>
      <c r="I1385" s="1203">
        <f>'RC1_Arch'!I529</f>
        <v>5810.4535121049994</v>
      </c>
      <c r="J1385" s="1203">
        <f>'RC1_Arch'!L529</f>
        <v>9204.1697227149998</v>
      </c>
      <c r="K1385" s="1203">
        <f>'RC1_Arch'!M529</f>
        <v>15014.623234819999</v>
      </c>
    </row>
    <row r="1386" spans="5:11">
      <c r="E1386" t="str" cm="1">
        <f t="array" ref="E1386">_xlfn.LET(_xlpm.c,'RC1_Arch'!C530, _xlpm.b, 'RC1_Arch'!B530, IF(_xlpm.c&lt;&gt;"", _xlpm.c, _xlpm.b))</f>
        <v>จมูกบันได แบบที่ 5</v>
      </c>
      <c r="F1386" s="1205"/>
      <c r="G1386" s="1203" t="str">
        <f>'RC1_Arch'!F530</f>
        <v>เมตร</v>
      </c>
      <c r="H1386" s="1203">
        <f>'RC1_Arch'!E530</f>
        <v>22</v>
      </c>
      <c r="I1386" s="1203">
        <f>'RC1_Arch'!I530</f>
        <v>6170.3931101999997</v>
      </c>
      <c r="J1386" s="1203">
        <f>'RC1_Arch'!L530</f>
        <v>1645.43816272</v>
      </c>
      <c r="K1386" s="1203">
        <f>'RC1_Arch'!M530</f>
        <v>7815.8312729199997</v>
      </c>
    </row>
    <row r="1387" spans="5:11">
      <c r="E1387" t="str" cm="1">
        <f t="array" ref="E1387">_xlfn.LET(_xlpm.c,'RC1_Arch'!C531, _xlpm.b, 'RC1_Arch'!B531, IF(_xlpm.c&lt;&gt;"", _xlpm.c, _xlpm.b))</f>
        <v>งานชานพักบันได พื้นสมาร์ทบอร์ดหนา 20 มม. ผิวหินขัดสำเร็จรูป</v>
      </c>
      <c r="F1387" s="1205"/>
      <c r="G1387" s="1203" t="str">
        <f>'RC1_Arch'!F531</f>
        <v>ตร.ม.</v>
      </c>
      <c r="H1387" s="1203">
        <f>'RC1_Arch'!E531</f>
        <v>10</v>
      </c>
      <c r="I1387" s="1203">
        <f>'RC1_Arch'!I531</f>
        <v>7712.9913877499994</v>
      </c>
      <c r="J1387" s="1203">
        <f>'RC1_Arch'!L531</f>
        <v>1869.816094</v>
      </c>
      <c r="K1387" s="1203">
        <f>'RC1_Arch'!M531</f>
        <v>9582.8074817500001</v>
      </c>
    </row>
    <row r="1388" spans="5:11">
      <c r="E1388" t="str" cm="1">
        <f t="array" ref="E1388">_xlfn.LET(_xlpm.c,'RC1_Arch'!C532, _xlpm.b, 'RC1_Arch'!B532, IF(_xlpm.c&lt;&gt;"", _xlpm.c, _xlpm.b))</f>
        <v xml:space="preserve">หนา 2 มม. (ระบุสีภายหลัง)  </v>
      </c>
      <c r="F1388" s="1205"/>
      <c r="G1388" s="1203">
        <f>'RC1_Arch'!F532</f>
        <v>0</v>
      </c>
      <c r="H1388" s="1203">
        <f>'RC1_Arch'!E532</f>
        <v>0</v>
      </c>
      <c r="I1388" s="1203">
        <f>'RC1_Arch'!I532</f>
        <v>0</v>
      </c>
      <c r="J1388" s="1203">
        <f>'RC1_Arch'!L532</f>
        <v>0</v>
      </c>
      <c r="K1388" s="1203">
        <f>'RC1_Arch'!M532</f>
        <v>0</v>
      </c>
    </row>
    <row r="1389" spans="5:11">
      <c r="E1389" t="str" cm="1">
        <f t="array" ref="E1389">_xlfn.LET(_xlpm.c,'RC1_Arch'!C533, _xlpm.b, 'RC1_Arch'!B533, IF(_xlpm.c&lt;&gt;"", _xlpm.c, _xlpm.b))</f>
        <v>งานโครงสร้างเหล็กบันได</v>
      </c>
      <c r="F1389" s="1205"/>
      <c r="G1389" s="1203">
        <f>'RC1_Arch'!F533</f>
        <v>0</v>
      </c>
      <c r="H1389" s="1203" t="str">
        <f>'RC1_Arch'!E533</f>
        <v xml:space="preserve">*ดูรายละเอียดงานวิศวกรรมโครงสร้าง </v>
      </c>
      <c r="I1389" s="1203">
        <f>'RC1_Arch'!I533</f>
        <v>0</v>
      </c>
      <c r="J1389" s="1203">
        <f>'RC1_Arch'!L533</f>
        <v>0</v>
      </c>
      <c r="K1389" s="1203">
        <f>'RC1_Arch'!M533</f>
        <v>0</v>
      </c>
    </row>
    <row r="1390" spans="5:11">
      <c r="E1390" t="str" cm="1">
        <f t="array" ref="E1390">_xlfn.LET(_xlpm.c,'RC1_Arch'!C534, _xlpm.b, 'RC1_Arch'!B534, IF(_xlpm.c&lt;&gt;"", _xlpm.c, _xlpm.b))</f>
        <v>งานราวบันได ST10</v>
      </c>
      <c r="F1390" s="1205"/>
      <c r="G1390" s="1203" t="str">
        <f>'RC1_Arch'!F534</f>
        <v>เมตร</v>
      </c>
      <c r="H1390" s="1203">
        <f>'RC1_Arch'!E534</f>
        <v>32</v>
      </c>
      <c r="I1390" s="1203">
        <f>'RC1_Arch'!I534</f>
        <v>41285.539355519999</v>
      </c>
      <c r="J1390" s="1203">
        <f>'RC1_Arch'!L534</f>
        <v>11667.65242656</v>
      </c>
      <c r="K1390" s="1203">
        <f>'RC1_Arch'!M534</f>
        <v>52953.191782080001</v>
      </c>
    </row>
    <row r="1391" spans="5:11">
      <c r="E1391" t="str" cm="1">
        <f t="array" ref="E1391">_xlfn.LET(_xlpm.c,'RC1_Arch'!C535, _xlpm.b, 'RC1_Arch'!B535, IF(_xlpm.c&lt;&gt;"", _xlpm.c, _xlpm.b))</f>
        <v>งานทาสีน้ำมันอัลคิด โครงสร้างเหล็กทั้งหมด</v>
      </c>
      <c r="F1391" s="1205"/>
      <c r="G1391" s="1203" t="str">
        <f>'RC1_Arch'!F535</f>
        <v>ตร.ม.</v>
      </c>
      <c r="H1391" s="1203">
        <f>'RC1_Arch'!E535</f>
        <v>15</v>
      </c>
      <c r="I1391" s="1203">
        <f>'RC1_Arch'!I535</f>
        <v>426.17783322495001</v>
      </c>
      <c r="J1391" s="1203">
        <f>'RC1_Arch'!L535</f>
        <v>490.82672467499998</v>
      </c>
      <c r="K1391" s="1203">
        <f>'RC1_Arch'!M535</f>
        <v>917.00455789994999</v>
      </c>
    </row>
    <row r="1392" spans="5:11">
      <c r="E1392" t="str" cm="1">
        <f t="array" ref="E1392">_xlfn.LET(_xlpm.c,'RC1_Arch'!C536, _xlpm.b, 'RC1_Arch'!B536, IF(_xlpm.c&lt;&gt;"", _xlpm.c, _xlpm.b))</f>
        <v>บันได 11</v>
      </c>
      <c r="F1392" s="1205"/>
      <c r="G1392" s="1203">
        <f>'RC1_Arch'!F536</f>
        <v>0</v>
      </c>
      <c r="H1392" s="1203">
        <f>'RC1_Arch'!E536</f>
        <v>0</v>
      </c>
      <c r="I1392" s="1203">
        <f>'RC1_Arch'!I536</f>
        <v>0</v>
      </c>
      <c r="J1392" s="1203">
        <f>'RC1_Arch'!L536</f>
        <v>0</v>
      </c>
      <c r="K1392" s="1203">
        <f>'RC1_Arch'!M536</f>
        <v>0</v>
      </c>
    </row>
    <row r="1393" spans="5:11">
      <c r="E1393" t="str" cm="1">
        <f t="array" ref="E1393">_xlfn.LET(_xlpm.c,'RC1_Arch'!C537, _xlpm.b, 'RC1_Arch'!B537, IF(_xlpm.c&lt;&gt;"", _xlpm.c, _xlpm.b))</f>
        <v xml:space="preserve">งานขั้นบันได ผิวปูกระเบื้องสีเทา ขนาด 600x600x10 มม. </v>
      </c>
      <c r="F1393" s="1205"/>
      <c r="G1393" s="1203" t="str">
        <f>'RC1_Arch'!F537</f>
        <v>เมตร</v>
      </c>
      <c r="H1393" s="1203">
        <f>'RC1_Arch'!E537</f>
        <v>235</v>
      </c>
      <c r="I1393" s="1203">
        <f>'RC1_Arch'!I537</f>
        <v>59979.025755284994</v>
      </c>
      <c r="J1393" s="1203">
        <f>'RC1_Arch'!L537</f>
        <v>34713.135785109997</v>
      </c>
      <c r="K1393" s="1203">
        <f>'RC1_Arch'!M537</f>
        <v>94692.161540394998</v>
      </c>
    </row>
    <row r="1394" spans="5:11">
      <c r="E1394" t="str" cm="1">
        <f t="array" ref="E1394">_xlfn.LET(_xlpm.c,'RC1_Arch'!C538, _xlpm.b, 'RC1_Arch'!B538, IF(_xlpm.c&lt;&gt;"", _xlpm.c, _xlpm.b))</f>
        <v>งานจมูกบันไดแบบที่ 6</v>
      </c>
      <c r="F1394" s="1205"/>
      <c r="G1394" s="1203" t="str">
        <f>'RC1_Arch'!F538</f>
        <v>เมตร</v>
      </c>
      <c r="H1394" s="1203">
        <f>'RC1_Arch'!E538</f>
        <v>245</v>
      </c>
      <c r="I1394" s="1203">
        <f>'RC1_Arch'!I538</f>
        <v>0</v>
      </c>
      <c r="J1394" s="1203">
        <f>'RC1_Arch'!L538</f>
        <v>29776.821296949998</v>
      </c>
      <c r="K1394" s="1203">
        <f>'RC1_Arch'!M538</f>
        <v>29776.821296949998</v>
      </c>
    </row>
    <row r="1395" spans="5:11">
      <c r="E1395" t="str" cm="1">
        <f t="array" ref="E1395">_xlfn.LET(_xlpm.c,'RC1_Arch'!C539, _xlpm.b, 'RC1_Arch'!B539, IF(_xlpm.c&lt;&gt;"", _xlpm.c, _xlpm.b))</f>
        <v>งานราวบันได ST11</v>
      </c>
      <c r="F1395" s="1205"/>
      <c r="G1395" s="1203" t="str">
        <f>'RC1_Arch'!F539</f>
        <v>เมตร</v>
      </c>
      <c r="H1395" s="1203">
        <f>'RC1_Arch'!E539</f>
        <v>9</v>
      </c>
      <c r="I1395" s="1203">
        <f>'RC1_Arch'!I539</f>
        <v>7825.1803533900002</v>
      </c>
      <c r="J1395" s="1203">
        <f>'RC1_Arch'!L539</f>
        <v>3029.1020722799999</v>
      </c>
      <c r="K1395" s="1203">
        <f>'RC1_Arch'!M539</f>
        <v>10854.282425670001</v>
      </c>
    </row>
    <row r="1396" spans="5:11">
      <c r="E1396" t="str" cm="1">
        <f t="array" ref="E1396">_xlfn.LET(_xlpm.c,'RC1_Arch'!C540, _xlpm.b, 'RC1_Arch'!B540, IF(_xlpm.c&lt;&gt;"", _xlpm.c, _xlpm.b))</f>
        <v>ทางเดิน Catwalk 1</v>
      </c>
      <c r="F1396" s="1205"/>
      <c r="G1396" s="1203">
        <f>'RC1_Arch'!F540</f>
        <v>0</v>
      </c>
      <c r="H1396" s="1203">
        <f>'RC1_Arch'!E540</f>
        <v>0</v>
      </c>
      <c r="I1396" s="1203">
        <f>'RC1_Arch'!I540</f>
        <v>0</v>
      </c>
      <c r="J1396" s="1203">
        <f>'RC1_Arch'!L540</f>
        <v>0</v>
      </c>
      <c r="K1396" s="1203">
        <f>'RC1_Arch'!M540</f>
        <v>0</v>
      </c>
    </row>
    <row r="1397" spans="5:11">
      <c r="E1397" t="str" cm="1">
        <f t="array" ref="E1397">_xlfn.LET(_xlpm.c,'RC1_Arch'!C541, _xlpm.b, 'RC1_Arch'!B541, IF(_xlpm.c&lt;&gt;"", _xlpm.c, _xlpm.b))</f>
        <v>งานทางเดินSmart board หนา 20 มม.กรุไม้สักประสาน ขนาด 14x50x450-1200 มม.</v>
      </c>
      <c r="F1397" s="1205"/>
      <c r="G1397" s="1203" t="str">
        <f>'RC1_Arch'!F541</f>
        <v>ตร.ม.</v>
      </c>
      <c r="H1397" s="1203">
        <f>'RC1_Arch'!E541</f>
        <v>30</v>
      </c>
      <c r="I1397" s="1203">
        <f>'RC1_Arch'!I541</f>
        <v>65911.017313499993</v>
      </c>
      <c r="J1397" s="1203">
        <f>'RC1_Arch'!L541</f>
        <v>7011.8103524999997</v>
      </c>
      <c r="K1397" s="1203">
        <f>'RC1_Arch'!M541</f>
        <v>72922.827665999997</v>
      </c>
    </row>
    <row r="1398" spans="5:11">
      <c r="E1398" t="str" cm="1">
        <f t="array" ref="E1398">_xlfn.LET(_xlpm.c,'RC1_Arch'!C542, _xlpm.b, 'RC1_Arch'!B542, IF(_xlpm.c&lt;&gt;"", _xlpm.c, _xlpm.b))</f>
        <v>สี Cinnamon เคลือบใสด้าน</v>
      </c>
      <c r="F1398" s="1205"/>
      <c r="G1398" s="1203">
        <f>'RC1_Arch'!F542</f>
        <v>0</v>
      </c>
      <c r="H1398" s="1203">
        <f>'RC1_Arch'!E542</f>
        <v>0</v>
      </c>
      <c r="I1398" s="1203">
        <f>'RC1_Arch'!I542</f>
        <v>0</v>
      </c>
      <c r="J1398" s="1203">
        <f>'RC1_Arch'!L542</f>
        <v>0</v>
      </c>
      <c r="K1398" s="1203">
        <f>'RC1_Arch'!M542</f>
        <v>0</v>
      </c>
    </row>
    <row r="1399" spans="5:11">
      <c r="E1399" t="str" cm="1">
        <f t="array" ref="E1399">_xlfn.LET(_xlpm.c,'RC1_Arch'!C543, _xlpm.b, 'RC1_Arch'!B543, IF(_xlpm.c&lt;&gt;"", _xlpm.c, _xlpm.b))</f>
        <v>ขอบไม้จริง ขนาด 75x20 มม. ทำผิวสีธรรมชาติ</v>
      </c>
      <c r="F1399" s="1205"/>
      <c r="G1399" s="1203" t="str">
        <f>'RC1_Arch'!F543</f>
        <v>เมตร</v>
      </c>
      <c r="H1399" s="1203">
        <f>'RC1_Arch'!E543</f>
        <v>25</v>
      </c>
      <c r="I1399" s="1203">
        <f>'RC1_Arch'!I543</f>
        <v>18698.160939999998</v>
      </c>
      <c r="J1399" s="1203">
        <f>'RC1_Arch'!L543</f>
        <v>3505.9051762499998</v>
      </c>
      <c r="K1399" s="1203">
        <f>'RC1_Arch'!M543</f>
        <v>22204.066116249996</v>
      </c>
    </row>
    <row r="1400" spans="5:11">
      <c r="E1400" t="str" cm="1">
        <f t="array" ref="E1400">_xlfn.LET(_xlpm.c,'RC1_Arch'!C544, _xlpm.b, 'RC1_Arch'!B544, IF(_xlpm.c&lt;&gt;"", _xlpm.c, _xlpm.b))</f>
        <v>งานโครงสร้างรับพื้น Catwalk</v>
      </c>
      <c r="F1400" s="1205"/>
      <c r="G1400" s="1203">
        <f>'RC1_Arch'!F544</f>
        <v>0</v>
      </c>
      <c r="H1400" s="1203" t="str">
        <f>'RC1_Arch'!E544</f>
        <v xml:space="preserve">*ดูรายละเอียดงานวิศวกรรมโครงสร้าง </v>
      </c>
      <c r="I1400" s="1203">
        <f>'RC1_Arch'!I544</f>
        <v>0</v>
      </c>
      <c r="J1400" s="1203">
        <f>'RC1_Arch'!L544</f>
        <v>0</v>
      </c>
      <c r="K1400" s="1203">
        <f>'RC1_Arch'!M544</f>
        <v>0</v>
      </c>
    </row>
    <row r="1401" spans="5:11">
      <c r="E1401" t="str" cm="1">
        <f t="array" ref="E1401">_xlfn.LET(_xlpm.c,'RC1_Arch'!C545, _xlpm.b, 'RC1_Arch'!B545, IF(_xlpm.c&lt;&gt;"", _xlpm.c, _xlpm.b))</f>
        <v>งานราวกันตก Catwalk</v>
      </c>
      <c r="F1401" s="1205"/>
      <c r="G1401" s="1203" t="str">
        <f>'RC1_Arch'!F545</f>
        <v>เมตร</v>
      </c>
      <c r="H1401" s="1203">
        <f>'RC1_Arch'!E545</f>
        <v>27</v>
      </c>
      <c r="I1401" s="1203">
        <f>'RC1_Arch'!I545</f>
        <v>75727.551806999996</v>
      </c>
      <c r="J1401" s="1203">
        <f>'RC1_Arch'!L545</f>
        <v>25242.517269</v>
      </c>
      <c r="K1401" s="1203">
        <f>'RC1_Arch'!M545</f>
        <v>100970.069076</v>
      </c>
    </row>
    <row r="1402" spans="5:11">
      <c r="E1402" t="str" cm="1">
        <f t="array" ref="E1402">_xlfn.LET(_xlpm.c,'RC1_Arch'!C546, _xlpm.b, 'RC1_Arch'!B546, IF(_xlpm.c&lt;&gt;"", _xlpm.c, _xlpm.b))</f>
        <v>งานฝ้าเพดาน Smart board หนา 20 มม.กรุไม้สักประสาน ขนาด 14x50x450-1200 มม.</v>
      </c>
      <c r="F1402" s="1205"/>
      <c r="G1402" s="1203" t="str">
        <f>'RC1_Arch'!F546</f>
        <v>ตร.ม.</v>
      </c>
      <c r="H1402" s="1203">
        <f>'RC1_Arch'!E546</f>
        <v>30</v>
      </c>
      <c r="I1402" s="1203">
        <f>'RC1_Arch'!I546</f>
        <v>65911.017313499993</v>
      </c>
      <c r="J1402" s="1203">
        <f>'RC1_Arch'!L546</f>
        <v>7011.8103524999997</v>
      </c>
      <c r="K1402" s="1203">
        <f>'RC1_Arch'!M546</f>
        <v>72922.827665999997</v>
      </c>
    </row>
    <row r="1403" spans="5:11">
      <c r="E1403" t="str" cm="1">
        <f t="array" ref="E1403">_xlfn.LET(_xlpm.c,'RC1_Arch'!C547, _xlpm.b, 'RC1_Arch'!B547, IF(_xlpm.c&lt;&gt;"", _xlpm.c, _xlpm.b))</f>
        <v>สี Cinnamon เคลือบใสด้าน</v>
      </c>
      <c r="F1403" s="1205"/>
      <c r="G1403" s="1203">
        <f>'RC1_Arch'!F547</f>
        <v>0</v>
      </c>
      <c r="H1403" s="1203">
        <f>'RC1_Arch'!E547</f>
        <v>0</v>
      </c>
      <c r="I1403" s="1203">
        <f>'RC1_Arch'!I547</f>
        <v>0</v>
      </c>
      <c r="J1403" s="1203">
        <f>'RC1_Arch'!L547</f>
        <v>0</v>
      </c>
      <c r="K1403" s="1203">
        <f>'RC1_Arch'!M547</f>
        <v>0</v>
      </c>
    </row>
    <row r="1404" spans="5:11">
      <c r="E1404" t="str" cm="1">
        <f t="array" ref="E1404">_xlfn.LET(_xlpm.c,'RC1_Arch'!C548, _xlpm.b, 'RC1_Arch'!B548, IF(_xlpm.c&lt;&gt;"", _xlpm.c, _xlpm.b))</f>
        <v>โครงเคร่าฝ้าเพดานเหล็ก 50x25x1.7 @300 มม.</v>
      </c>
      <c r="F1404" s="1205"/>
      <c r="G1404" s="1203" t="str">
        <f>'RC1_Arch'!F548</f>
        <v>กก.</v>
      </c>
      <c r="H1404" s="1203">
        <f>'RC1_Arch'!E548</f>
        <v>200</v>
      </c>
      <c r="I1404" s="1203">
        <f>'RC1_Arch'!I548</f>
        <v>5174.5490922794561</v>
      </c>
      <c r="J1404" s="1203">
        <f>'RC1_Arch'!L548</f>
        <v>2617.7425315999999</v>
      </c>
      <c r="K1404" s="1203">
        <f>'RC1_Arch'!M548</f>
        <v>7792.291623879456</v>
      </c>
    </row>
    <row r="1405" spans="5:11">
      <c r="E1405" t="str" cm="1">
        <f t="array" ref="E1405">_xlfn.LET(_xlpm.c,'RC1_Arch'!C549, _xlpm.b, 'RC1_Arch'!B549, IF(_xlpm.c&lt;&gt;"", _xlpm.c, _xlpm.b))</f>
        <v>ทางเดิน Catwalk 2</v>
      </c>
      <c r="F1405" s="1205"/>
      <c r="G1405" s="1203">
        <f>'RC1_Arch'!F549</f>
        <v>0</v>
      </c>
      <c r="H1405" s="1203">
        <f>'RC1_Arch'!E549</f>
        <v>0</v>
      </c>
      <c r="I1405" s="1203">
        <f>'RC1_Arch'!I549</f>
        <v>0</v>
      </c>
      <c r="J1405" s="1203">
        <f>'RC1_Arch'!L549</f>
        <v>0</v>
      </c>
      <c r="K1405" s="1203">
        <f>'RC1_Arch'!M549</f>
        <v>0</v>
      </c>
    </row>
    <row r="1406" spans="5:11">
      <c r="E1406" t="str" cm="1">
        <f t="array" ref="E1406">_xlfn.LET(_xlpm.c,'RC1_Arch'!C550, _xlpm.b, 'RC1_Arch'!B550, IF(_xlpm.c&lt;&gt;"", _xlpm.c, _xlpm.b))</f>
        <v>งานทางเดินSmart board หนา 20 มม.กรุไม้สักประสาน ขนาด 14x50x450-1200 มม.</v>
      </c>
      <c r="F1406" s="1205"/>
      <c r="G1406" s="1203" t="str">
        <f>'RC1_Arch'!F550</f>
        <v>ตร.ม.</v>
      </c>
      <c r="H1406" s="1203">
        <f>'RC1_Arch'!E550</f>
        <v>30</v>
      </c>
      <c r="I1406" s="1203">
        <f>'RC1_Arch'!I550</f>
        <v>65911.017313499993</v>
      </c>
      <c r="J1406" s="1203">
        <f>'RC1_Arch'!L550</f>
        <v>7011.8103524999997</v>
      </c>
      <c r="K1406" s="1203">
        <f>'RC1_Arch'!M550</f>
        <v>72922.827665999997</v>
      </c>
    </row>
    <row r="1407" spans="5:11">
      <c r="E1407" t="str" cm="1">
        <f t="array" ref="E1407">_xlfn.LET(_xlpm.c,'RC1_Arch'!C551, _xlpm.b, 'RC1_Arch'!B551, IF(_xlpm.c&lt;&gt;"", _xlpm.c, _xlpm.b))</f>
        <v>สี Cinnamon เคลือบใสด้าน</v>
      </c>
      <c r="F1407" s="1205"/>
      <c r="G1407" s="1203">
        <f>'RC1_Arch'!F551</f>
        <v>0</v>
      </c>
      <c r="H1407" s="1203">
        <f>'RC1_Arch'!E551</f>
        <v>0</v>
      </c>
      <c r="I1407" s="1203">
        <f>'RC1_Arch'!I551</f>
        <v>0</v>
      </c>
      <c r="J1407" s="1203">
        <f>'RC1_Arch'!L551</f>
        <v>0</v>
      </c>
      <c r="K1407" s="1203">
        <f>'RC1_Arch'!M551</f>
        <v>0</v>
      </c>
    </row>
    <row r="1408" spans="5:11">
      <c r="E1408" cm="1">
        <f t="array" ref="E1408">_xlfn.LET(_xlpm.c,'RC1_Arch'!C552, _xlpm.b, 'RC1_Arch'!B552, IF(_xlpm.c&lt;&gt;"", _xlpm.c, _xlpm.b))</f>
        <v>0</v>
      </c>
      <c r="F1408" s="1205"/>
      <c r="G1408" s="1203">
        <f>'RC1_Arch'!F552</f>
        <v>0</v>
      </c>
      <c r="H1408" s="1203">
        <f>'RC1_Arch'!E552</f>
        <v>0</v>
      </c>
      <c r="I1408" s="1203">
        <f>'RC1_Arch'!I552</f>
        <v>0</v>
      </c>
      <c r="J1408" s="1203">
        <f>'RC1_Arch'!L552</f>
        <v>0</v>
      </c>
      <c r="K1408" s="1203">
        <f>'RC1_Arch'!M552</f>
        <v>0</v>
      </c>
    </row>
    <row r="1409" spans="5:11">
      <c r="E1409" cm="1">
        <f t="array" ref="E1409">_xlfn.LET(_xlpm.c,'RC1_Arch'!C553, _xlpm.b, 'RC1_Arch'!B553, IF(_xlpm.c&lt;&gt;"", _xlpm.c, _xlpm.b))</f>
        <v>0</v>
      </c>
      <c r="F1409" s="1205"/>
      <c r="G1409" s="1203">
        <f>'RC1_Arch'!F553</f>
        <v>0</v>
      </c>
      <c r="H1409" s="1203">
        <f>'RC1_Arch'!E553</f>
        <v>0</v>
      </c>
      <c r="I1409" s="1203">
        <f>'RC1_Arch'!I553</f>
        <v>0</v>
      </c>
      <c r="J1409" s="1203">
        <f>'RC1_Arch'!L553</f>
        <v>0</v>
      </c>
      <c r="K1409" s="1203">
        <f>'RC1_Arch'!M553</f>
        <v>0</v>
      </c>
    </row>
    <row r="1410" spans="5:11">
      <c r="E1410" t="str" cm="1">
        <f t="array" ref="E1410">_xlfn.LET(_xlpm.c,'RC1_Arch'!C554, _xlpm.b, 'RC1_Arch'!B554, IF(_xlpm.c&lt;&gt;"", _xlpm.c, _xlpm.b))</f>
        <v>ขอบไม้จริง ขนาด 75x20 มม. ทำผิวสีธรรมชาติ</v>
      </c>
      <c r="F1410" s="1205"/>
      <c r="G1410" s="1203" t="str">
        <f>'RC1_Arch'!F554</f>
        <v>เมตร</v>
      </c>
      <c r="H1410" s="1203">
        <f>'RC1_Arch'!E554</f>
        <v>25</v>
      </c>
      <c r="I1410" s="1203">
        <f>'RC1_Arch'!I554</f>
        <v>18698.160939999998</v>
      </c>
      <c r="J1410" s="1203">
        <f>'RC1_Arch'!L554</f>
        <v>3505.9051762499998</v>
      </c>
      <c r="K1410" s="1203">
        <f>'RC1_Arch'!M554</f>
        <v>22204.066116249996</v>
      </c>
    </row>
    <row r="1411" spans="5:11">
      <c r="E1411" t="str" cm="1">
        <f t="array" ref="E1411">_xlfn.LET(_xlpm.c,'RC1_Arch'!C555, _xlpm.b, 'RC1_Arch'!B555, IF(_xlpm.c&lt;&gt;"", _xlpm.c, _xlpm.b))</f>
        <v>งานโครงสร้างรับพื้น Catwalk</v>
      </c>
      <c r="F1411" s="1205"/>
      <c r="G1411" s="1203">
        <f>'RC1_Arch'!F555</f>
        <v>0</v>
      </c>
      <c r="H1411" s="1203" t="str">
        <f>'RC1_Arch'!E555</f>
        <v xml:space="preserve">*ดูรายละเอียดงานวิศวกรรมโครงสร้าง </v>
      </c>
      <c r="I1411" s="1203">
        <f>'RC1_Arch'!I555</f>
        <v>0</v>
      </c>
      <c r="J1411" s="1203">
        <f>'RC1_Arch'!L555</f>
        <v>0</v>
      </c>
      <c r="K1411" s="1203">
        <f>'RC1_Arch'!M555</f>
        <v>0</v>
      </c>
    </row>
    <row r="1412" spans="5:11">
      <c r="E1412" t="str" cm="1">
        <f t="array" ref="E1412">_xlfn.LET(_xlpm.c,'RC1_Arch'!C556, _xlpm.b, 'RC1_Arch'!B556, IF(_xlpm.c&lt;&gt;"", _xlpm.c, _xlpm.b))</f>
        <v>งานราวกันตก Catwalk</v>
      </c>
      <c r="F1412" s="1205"/>
      <c r="G1412" s="1203" t="str">
        <f>'RC1_Arch'!F556</f>
        <v>เมตร</v>
      </c>
      <c r="H1412" s="1203">
        <f>'RC1_Arch'!E556</f>
        <v>27</v>
      </c>
      <c r="I1412" s="1203">
        <f>'RC1_Arch'!I556</f>
        <v>75727.551806999996</v>
      </c>
      <c r="J1412" s="1203">
        <f>'RC1_Arch'!L556</f>
        <v>25242.517269</v>
      </c>
      <c r="K1412" s="1203">
        <f>'RC1_Arch'!M556</f>
        <v>100970.069076</v>
      </c>
    </row>
    <row r="1413" spans="5:11">
      <c r="E1413" t="str" cm="1">
        <f t="array" ref="E1413">_xlfn.LET(_xlpm.c,'RC1_Arch'!C557, _xlpm.b, 'RC1_Arch'!B557, IF(_xlpm.c&lt;&gt;"", _xlpm.c, _xlpm.b))</f>
        <v>งานฝ้าเพดาน Smart board หนา 20 มม.กรุไม้สักประสาน ขนาด 14x50x450-1200 มม.</v>
      </c>
      <c r="F1413" s="1205"/>
      <c r="G1413" s="1203" t="str">
        <f>'RC1_Arch'!F557</f>
        <v>ตร.ม.</v>
      </c>
      <c r="H1413" s="1203">
        <f>'RC1_Arch'!E557</f>
        <v>30</v>
      </c>
      <c r="I1413" s="1203">
        <f>'RC1_Arch'!I557</f>
        <v>65911.017313499993</v>
      </c>
      <c r="J1413" s="1203">
        <f>'RC1_Arch'!L557</f>
        <v>7011.8103524999997</v>
      </c>
      <c r="K1413" s="1203">
        <f>'RC1_Arch'!M557</f>
        <v>72922.827665999997</v>
      </c>
    </row>
    <row r="1414" spans="5:11">
      <c r="E1414" t="str" cm="1">
        <f t="array" ref="E1414">_xlfn.LET(_xlpm.c,'RC1_Arch'!C558, _xlpm.b, 'RC1_Arch'!B558, IF(_xlpm.c&lt;&gt;"", _xlpm.c, _xlpm.b))</f>
        <v>สี Cinnamon เคลือบใสด้าน</v>
      </c>
      <c r="F1414" s="1205"/>
      <c r="G1414" s="1203">
        <f>'RC1_Arch'!F558</f>
        <v>0</v>
      </c>
      <c r="H1414" s="1203">
        <f>'RC1_Arch'!E558</f>
        <v>0</v>
      </c>
      <c r="I1414" s="1203">
        <f>'RC1_Arch'!I558</f>
        <v>0</v>
      </c>
      <c r="J1414" s="1203">
        <f>'RC1_Arch'!L558</f>
        <v>0</v>
      </c>
      <c r="K1414" s="1203">
        <f>'RC1_Arch'!M558</f>
        <v>0</v>
      </c>
    </row>
    <row r="1415" spans="5:11">
      <c r="E1415" t="str" cm="1">
        <f t="array" ref="E1415">_xlfn.LET(_xlpm.c,'RC1_Arch'!C559, _xlpm.b, 'RC1_Arch'!B559, IF(_xlpm.c&lt;&gt;"", _xlpm.c, _xlpm.b))</f>
        <v>โครงเคร่าฝ้าเพดานเหล็ก 50x25x1.7 @300 มม.</v>
      </c>
      <c r="F1415" s="1205"/>
      <c r="G1415" s="1203" t="str">
        <f>'RC1_Arch'!F559</f>
        <v>กก.</v>
      </c>
      <c r="H1415" s="1203">
        <f>'RC1_Arch'!E559</f>
        <v>200</v>
      </c>
      <c r="I1415" s="1203">
        <f>'RC1_Arch'!I559</f>
        <v>5174.5490922794561</v>
      </c>
      <c r="J1415" s="1203">
        <f>'RC1_Arch'!L559</f>
        <v>2617.7425315999999</v>
      </c>
      <c r="K1415" s="1203">
        <f>'RC1_Arch'!M559</f>
        <v>7792.291623879456</v>
      </c>
    </row>
    <row r="1416" spans="5:11">
      <c r="E1416" t="str" cm="1">
        <f t="array" ref="E1416">_xlfn.LET(_xlpm.c,'RC1_Arch'!C560, _xlpm.b, 'RC1_Arch'!B560, IF(_xlpm.c&lt;&gt;"", _xlpm.c, _xlpm.b))</f>
        <v>ทางลาด ค.ส.ล.</v>
      </c>
      <c r="F1416" s="1205"/>
      <c r="G1416" s="1203">
        <f>'RC1_Arch'!F560</f>
        <v>0</v>
      </c>
      <c r="H1416" s="1203">
        <f>'RC1_Arch'!E560</f>
        <v>0</v>
      </c>
      <c r="I1416" s="1203">
        <f>'RC1_Arch'!I560</f>
        <v>0</v>
      </c>
      <c r="J1416" s="1203">
        <f>'RC1_Arch'!L560</f>
        <v>0</v>
      </c>
      <c r="K1416" s="1203">
        <f>'RC1_Arch'!M560</f>
        <v>0</v>
      </c>
    </row>
    <row r="1417" spans="5:11">
      <c r="E1417" t="str" cm="1">
        <f t="array" ref="E1417">_xlfn.LET(_xlpm.c,'RC1_Arch'!C561, _xlpm.b, 'RC1_Arch'!B561, IF(_xlpm.c&lt;&gt;"", _xlpm.c, _xlpm.b))</f>
        <v>ทางลาด ค.ส.ล. ผิวขัดเรียบ ตัดร่องผิว กว้าง 15 มม. ลึก 10 มม. @150มม.</v>
      </c>
      <c r="F1417" s="1205"/>
      <c r="G1417" s="1203" t="str">
        <f>'RC1_Arch'!F561</f>
        <v>ตร.ม.</v>
      </c>
      <c r="H1417" s="1203">
        <f>'RC1_Arch'!E561</f>
        <v>300</v>
      </c>
      <c r="I1417" s="1203">
        <f>'RC1_Arch'!I561</f>
        <v>0</v>
      </c>
      <c r="J1417" s="1203">
        <f>'RC1_Arch'!L561</f>
        <v>12621.2586345</v>
      </c>
      <c r="K1417" s="1203">
        <f>'RC1_Arch'!M561</f>
        <v>12621.2586345</v>
      </c>
    </row>
    <row r="1418" spans="5:11">
      <c r="E1418" t="str" cm="1">
        <f t="array" ref="E1418">_xlfn.LET(_xlpm.c,'RC1_Arch'!C562, _xlpm.b, 'RC1_Arch'!B562, IF(_xlpm.c&lt;&gt;"", _xlpm.c, _xlpm.b))</f>
        <v>งานรางระบายน้ำตามแบบขยาย</v>
      </c>
      <c r="F1418" s="1205"/>
      <c r="G1418" s="1203" t="str">
        <f>'RC1_Arch'!F562</f>
        <v>เมตร</v>
      </c>
      <c r="H1418" s="1203">
        <f>'RC1_Arch'!E562</f>
        <v>7</v>
      </c>
      <c r="I1418" s="1203">
        <f>'RC1_Arch'!I562</f>
        <v>9816.5344934999994</v>
      </c>
      <c r="J1418" s="1203">
        <f>'RC1_Arch'!L562</f>
        <v>0</v>
      </c>
      <c r="K1418" s="1203">
        <f>'RC1_Arch'!M562</f>
        <v>9816.5344934999994</v>
      </c>
    </row>
    <row r="1419" spans="5:11">
      <c r="E1419" t="str" cm="1">
        <f t="array" ref="E1419">_xlfn.LET(_xlpm.c,'RC1_Arch'!C563, _xlpm.b, 'RC1_Arch'!B563, IF(_xlpm.c&lt;&gt;"", _xlpm.c, _xlpm.b))</f>
        <v>งานราวกันตก</v>
      </c>
      <c r="F1419" s="1205"/>
      <c r="G1419" s="1203">
        <f>'RC1_Arch'!F563</f>
        <v>0</v>
      </c>
      <c r="H1419" s="1203">
        <f>'RC1_Arch'!E563</f>
        <v>0</v>
      </c>
      <c r="I1419" s="1203">
        <f>'RC1_Arch'!I563</f>
        <v>0</v>
      </c>
      <c r="J1419" s="1203">
        <f>'RC1_Arch'!L563</f>
        <v>0</v>
      </c>
      <c r="K1419" s="1203">
        <f>'RC1_Arch'!M563</f>
        <v>0</v>
      </c>
    </row>
    <row r="1420" spans="5:11">
      <c r="E1420" t="str" cm="1">
        <f t="array" ref="E1420">_xlfn.LET(_xlpm.c,'RC1_Arch'!C564, _xlpm.b, 'RC1_Arch'!B564, IF(_xlpm.c&lt;&gt;"", _xlpm.c, _xlpm.b))</f>
        <v>งานราวกันตก 1</v>
      </c>
      <c r="F1420" s="1205"/>
      <c r="G1420" s="1203" t="str">
        <f>'RC1_Arch'!F564</f>
        <v>เมตร</v>
      </c>
      <c r="H1420" s="1203">
        <f>'RC1_Arch'!E564</f>
        <v>39</v>
      </c>
      <c r="I1420" s="1203">
        <f>'RC1_Arch'!I564</f>
        <v>619844.03516099998</v>
      </c>
      <c r="J1420" s="1203">
        <f>'RC1_Arch'!L564</f>
        <v>0</v>
      </c>
      <c r="K1420" s="1203">
        <f>'RC1_Arch'!M564</f>
        <v>619844.03516099998</v>
      </c>
    </row>
    <row r="1421" spans="5:11">
      <c r="E1421" t="str" cm="1">
        <f t="array" ref="E1421">_xlfn.LET(_xlpm.c,'RC1_Arch'!C565, _xlpm.b, 'RC1_Arch'!B565, IF(_xlpm.c&lt;&gt;"", _xlpm.c, _xlpm.b))</f>
        <v>งานราวกันตก 2</v>
      </c>
      <c r="F1421" s="1205"/>
      <c r="G1421" s="1203" t="str">
        <f>'RC1_Arch'!F565</f>
        <v>เมตร</v>
      </c>
      <c r="H1421" s="1203">
        <f>'RC1_Arch'!E565</f>
        <v>60</v>
      </c>
      <c r="I1421" s="1203">
        <f>'RC1_Arch'!I565</f>
        <v>1037747.9321699999</v>
      </c>
      <c r="J1421" s="1203">
        <f>'RC1_Arch'!L565</f>
        <v>0</v>
      </c>
      <c r="K1421" s="1203">
        <f>'RC1_Arch'!M565</f>
        <v>1037747.9321699999</v>
      </c>
    </row>
    <row r="1422" spans="5:11">
      <c r="E1422" t="str" cm="1">
        <f t="array" ref="E1422">_xlfn.LET(_xlpm.c,'RC1_Arch'!C566, _xlpm.b, 'RC1_Arch'!B566, IF(_xlpm.c&lt;&gt;"", _xlpm.c, _xlpm.b))</f>
        <v>งานราวกันตก 2.1</v>
      </c>
      <c r="F1422" s="1205"/>
      <c r="G1422" s="1203" t="str">
        <f>'RC1_Arch'!F566</f>
        <v>เมตร</v>
      </c>
      <c r="H1422" s="1203">
        <f>'RC1_Arch'!E566</f>
        <v>4</v>
      </c>
      <c r="I1422" s="1203">
        <f>'RC1_Arch'!I566</f>
        <v>13088.712658</v>
      </c>
      <c r="J1422" s="1203">
        <f>'RC1_Arch'!L566</f>
        <v>0</v>
      </c>
      <c r="K1422" s="1203">
        <f>'RC1_Arch'!M566</f>
        <v>13088.712658</v>
      </c>
    </row>
    <row r="1423" spans="5:11">
      <c r="E1423" t="str" cm="1">
        <f t="array" ref="E1423">_xlfn.LET(_xlpm.c,'RC1_Arch'!C567, _xlpm.b, 'RC1_Arch'!B567, IF(_xlpm.c&lt;&gt;"", _xlpm.c, _xlpm.b))</f>
        <v>งานราวกันตก 3</v>
      </c>
      <c r="F1423" s="1205"/>
      <c r="G1423" s="1203" t="str">
        <f>'RC1_Arch'!F567</f>
        <v>เมตร</v>
      </c>
      <c r="H1423" s="1203">
        <f>'RC1_Arch'!E567</f>
        <v>3</v>
      </c>
      <c r="I1423" s="1203">
        <f>'RC1_Arch'!I567</f>
        <v>42070.862114999996</v>
      </c>
      <c r="J1423" s="1203">
        <f>'RC1_Arch'!L567</f>
        <v>0</v>
      </c>
      <c r="K1423" s="1203">
        <f>'RC1_Arch'!M567</f>
        <v>42070.862114999996</v>
      </c>
    </row>
    <row r="1424" spans="5:11">
      <c r="E1424" t="str" cm="1">
        <f t="array" ref="E1424">_xlfn.LET(_xlpm.c,'RC1_Arch'!C568, _xlpm.b, 'RC1_Arch'!B568, IF(_xlpm.c&lt;&gt;"", _xlpm.c, _xlpm.b))</f>
        <v>งานราวกันตก 4</v>
      </c>
      <c r="F1424" s="1205"/>
      <c r="G1424" s="1203" t="str">
        <f>'RC1_Arch'!F568</f>
        <v>เมตร</v>
      </c>
      <c r="H1424" s="1203">
        <f>'RC1_Arch'!E568</f>
        <v>25</v>
      </c>
      <c r="I1424" s="1203">
        <f>'RC1_Arch'!I568</f>
        <v>432394.97173749999</v>
      </c>
      <c r="J1424" s="1203">
        <f>'RC1_Arch'!L568</f>
        <v>0</v>
      </c>
      <c r="K1424" s="1203">
        <f>'RC1_Arch'!M568</f>
        <v>432394.97173749999</v>
      </c>
    </row>
    <row r="1425" spans="5:11">
      <c r="E1425" t="str" cm="1">
        <f t="array" ref="E1425">_xlfn.LET(_xlpm.c,'RC1_Arch'!C569, _xlpm.b, 'RC1_Arch'!B569, IF(_xlpm.c&lt;&gt;"", _xlpm.c, _xlpm.b))</f>
        <v>งานราวกันตก 5</v>
      </c>
      <c r="F1425" s="1205"/>
      <c r="G1425" s="1203" t="str">
        <f>'RC1_Arch'!F569</f>
        <v>เมตร</v>
      </c>
      <c r="H1425" s="1203">
        <f>'RC1_Arch'!E569</f>
        <v>135</v>
      </c>
      <c r="I1425" s="1203">
        <f>'RC1_Arch'!I569</f>
        <v>378637.75903499994</v>
      </c>
      <c r="J1425" s="1203">
        <f>'RC1_Arch'!L569</f>
        <v>126212.586345</v>
      </c>
      <c r="K1425" s="1203">
        <f>'RC1_Arch'!M569</f>
        <v>504850.34537999996</v>
      </c>
    </row>
    <row r="1426" spans="5:11">
      <c r="E1426" t="str" cm="1">
        <f t="array" ref="E1426">_xlfn.LET(_xlpm.c,'RC1_Arch'!C570, _xlpm.b, 'RC1_Arch'!B570, IF(_xlpm.c&lt;&gt;"", _xlpm.c, _xlpm.b))</f>
        <v>งานราวกันตก 6</v>
      </c>
      <c r="F1426" s="1205"/>
      <c r="G1426" s="1203">
        <f>'RC1_Arch'!F570</f>
        <v>0</v>
      </c>
      <c r="H1426" s="1203" t="str">
        <f>'RC1_Arch'!E570</f>
        <v>ยกเลิกรายการ</v>
      </c>
      <c r="I1426" s="1203">
        <f>'RC1_Arch'!I570</f>
        <v>0</v>
      </c>
      <c r="J1426" s="1203">
        <f>'RC1_Arch'!L570</f>
        <v>0</v>
      </c>
      <c r="K1426" s="1203">
        <f>'RC1_Arch'!M570</f>
        <v>0</v>
      </c>
    </row>
    <row r="1427" spans="5:11">
      <c r="E1427" t="str" cm="1">
        <f t="array" ref="E1427">_xlfn.LET(_xlpm.c,'RC1_Arch'!C571, _xlpm.b, 'RC1_Arch'!B571, IF(_xlpm.c&lt;&gt;"", _xlpm.c, _xlpm.b))</f>
        <v>งานราวกันตก 7</v>
      </c>
      <c r="F1427" s="1205"/>
      <c r="G1427" s="1203" t="str">
        <f>'RC1_Arch'!F571</f>
        <v>เมตร</v>
      </c>
      <c r="H1427" s="1203">
        <f>'RC1_Arch'!E571</f>
        <v>25</v>
      </c>
      <c r="I1427" s="1203">
        <f>'RC1_Arch'!I571</f>
        <v>432394.97173749999</v>
      </c>
      <c r="J1427" s="1203">
        <f>'RC1_Arch'!L571</f>
        <v>0</v>
      </c>
      <c r="K1427" s="1203">
        <f>'RC1_Arch'!M571</f>
        <v>432394.97173749999</v>
      </c>
    </row>
    <row r="1428" spans="5:11">
      <c r="E1428" t="str" cm="1">
        <f t="array" ref="E1428">_xlfn.LET(_xlpm.c,'RC1_Arch'!C572, _xlpm.b, 'RC1_Arch'!B572, IF(_xlpm.c&lt;&gt;"", _xlpm.c, _xlpm.b))</f>
        <v>งานราว Urban Void  1</v>
      </c>
      <c r="F1428" s="1205"/>
      <c r="G1428" s="1203" t="str">
        <f>'RC1_Arch'!F572</f>
        <v>เมตร</v>
      </c>
      <c r="H1428" s="1203">
        <f>'RC1_Arch'!E572</f>
        <v>10</v>
      </c>
      <c r="I1428" s="1203">
        <f>'RC1_Arch'!I572</f>
        <v>23372.701174999998</v>
      </c>
      <c r="J1428" s="1203">
        <f>'RC1_Arch'!L572</f>
        <v>7479.2643760000001</v>
      </c>
      <c r="K1428" s="1203">
        <f>'RC1_Arch'!M572</f>
        <v>30851.965550999998</v>
      </c>
    </row>
    <row r="1429" spans="5:11">
      <c r="E1429" t="str" cm="1">
        <f t="array" ref="E1429">_xlfn.LET(_xlpm.c,'RC1_Arch'!C573, _xlpm.b, 'RC1_Arch'!B573, IF(_xlpm.c&lt;&gt;"", _xlpm.c, _xlpm.b))</f>
        <v>งานราว Urban Void  2</v>
      </c>
      <c r="F1429" s="1205"/>
      <c r="G1429" s="1203" t="str">
        <f>'RC1_Arch'!F573</f>
        <v>เมตร</v>
      </c>
      <c r="H1429" s="1203">
        <f>'RC1_Arch'!E573</f>
        <v>9</v>
      </c>
      <c r="I1429" s="1203">
        <f>'RC1_Arch'!I573</f>
        <v>21035.431057499998</v>
      </c>
      <c r="J1429" s="1203">
        <f>'RC1_Arch'!L573</f>
        <v>6731.3379384</v>
      </c>
      <c r="K1429" s="1203">
        <f>'RC1_Arch'!M573</f>
        <v>27766.768995899998</v>
      </c>
    </row>
    <row r="1430" spans="5:11">
      <c r="E1430" t="str" cm="1">
        <f t="array" ref="E1430">_xlfn.LET(_xlpm.c,'RC1_Arch'!C574, _xlpm.b, 'RC1_Arch'!B574, IF(_xlpm.c&lt;&gt;"", _xlpm.c, _xlpm.b))</f>
        <v>งานบันไดถังเก็บน้ำ</v>
      </c>
      <c r="F1430" s="1205"/>
      <c r="G1430" s="1203">
        <f>'RC1_Arch'!F574</f>
        <v>0</v>
      </c>
      <c r="H1430" s="1203">
        <f>'RC1_Arch'!E574</f>
        <v>0</v>
      </c>
      <c r="I1430" s="1203">
        <f>'RC1_Arch'!I574</f>
        <v>0</v>
      </c>
      <c r="J1430" s="1203">
        <f>'RC1_Arch'!L574</f>
        <v>0</v>
      </c>
      <c r="K1430" s="1203">
        <f>'RC1_Arch'!M574</f>
        <v>0</v>
      </c>
    </row>
    <row r="1431" spans="5:11">
      <c r="E1431" t="str" cm="1">
        <f t="array" ref="E1431">_xlfn.LET(_xlpm.c,'RC1_Arch'!C575, _xlpm.b, 'RC1_Arch'!B575, IF(_xlpm.c&lt;&gt;"", _xlpm.c, _xlpm.b))</f>
        <v>งานบันไดลิง (เหล็ก) ถังเก็บน้ำ</v>
      </c>
      <c r="F1431" s="1205"/>
      <c r="G1431" s="1203" t="str">
        <f>'RC1_Arch'!F575</f>
        <v>ชุด</v>
      </c>
      <c r="H1431" s="1203">
        <f>'RC1_Arch'!E575</f>
        <v>5</v>
      </c>
      <c r="I1431" s="1203">
        <f>'RC1_Arch'!I575</f>
        <v>37396.321880000003</v>
      </c>
      <c r="J1431" s="1203">
        <f>'RC1_Arch'!L575</f>
        <v>0</v>
      </c>
      <c r="K1431" s="1203">
        <f>'RC1_Arch'!M575</f>
        <v>37396.321880000003</v>
      </c>
    </row>
    <row r="1432" spans="5:11">
      <c r="E1432" t="str" cm="1">
        <f t="array" ref="E1432">_xlfn.LET(_xlpm.c,'RC1_Arch'!C576, _xlpm.b, 'RC1_Arch'!B576, IF(_xlpm.c&lt;&gt;"", _xlpm.c, _xlpm.b))</f>
        <v>งานบันไดลิง (แสตนเลส) ถังเก็บน้ำ</v>
      </c>
      <c r="F1432" s="1205"/>
      <c r="G1432" s="1203" t="str">
        <f>'RC1_Arch'!F576</f>
        <v>ชุด</v>
      </c>
      <c r="H1432" s="1203">
        <f>'RC1_Arch'!E576</f>
        <v>5</v>
      </c>
      <c r="I1432" s="1203">
        <f>'RC1_Arch'!I576</f>
        <v>46745.402349999997</v>
      </c>
      <c r="J1432" s="1203">
        <f>'RC1_Arch'!L576</f>
        <v>0</v>
      </c>
      <c r="K1432" s="1203">
        <f>'RC1_Arch'!M576</f>
        <v>46745.402349999997</v>
      </c>
    </row>
    <row r="1433" spans="5:11">
      <c r="E1433" t="str" cm="1">
        <f t="array" ref="E1433">_xlfn.LET(_xlpm.c,'RC1_Arch'!C577, _xlpm.b, 'RC1_Arch'!B577, IF(_xlpm.c&lt;&gt;"", _xlpm.c, _xlpm.b))</f>
        <v>รวมราคางานบันได ราวบันได ราวกันตก และส่วนประกอบ</v>
      </c>
      <c r="F1433" s="1205"/>
      <c r="G1433" s="1203">
        <f>'RC1_Arch'!F577</f>
        <v>0</v>
      </c>
      <c r="H1433" s="1203">
        <f>'RC1_Arch'!E577</f>
        <v>0</v>
      </c>
      <c r="I1433" s="1203">
        <f>'RC1_Arch'!I577</f>
        <v>0</v>
      </c>
      <c r="J1433" s="1203">
        <f>'RC1_Arch'!L577</f>
        <v>0</v>
      </c>
      <c r="K1433" s="1203">
        <f>'RC1_Arch'!M577</f>
        <v>6553576.9464264279</v>
      </c>
    </row>
    <row r="1434" spans="5:11">
      <c r="E1434" cm="1">
        <f t="array" ref="E1434">_xlfn.LET(_xlpm.c,'RC1_Arch'!C578, _xlpm.b, 'RC1_Arch'!B578, IF(_xlpm.c&lt;&gt;"", _xlpm.c, _xlpm.b))</f>
        <v>0</v>
      </c>
      <c r="F1434" s="1205"/>
      <c r="G1434" s="1203">
        <f>'RC1_Arch'!F578</f>
        <v>0</v>
      </c>
      <c r="H1434" s="1203">
        <f>'RC1_Arch'!E578</f>
        <v>0</v>
      </c>
      <c r="I1434" s="1203">
        <f>'RC1_Arch'!I578</f>
        <v>0</v>
      </c>
      <c r="J1434" s="1203">
        <f>'RC1_Arch'!L578</f>
        <v>0</v>
      </c>
      <c r="K1434" s="1203">
        <f>'RC1_Arch'!M578</f>
        <v>0</v>
      </c>
    </row>
    <row r="1435" spans="5:11">
      <c r="E1435" cm="1">
        <f t="array" ref="E1435">_xlfn.LET(_xlpm.c,'RC1_Arch'!C579, _xlpm.b, 'RC1_Arch'!B579, IF(_xlpm.c&lt;&gt;"", _xlpm.c, _xlpm.b))</f>
        <v>0</v>
      </c>
      <c r="F1435" s="1205"/>
      <c r="G1435" s="1203">
        <f>'RC1_Arch'!F579</f>
        <v>0</v>
      </c>
      <c r="H1435" s="1203">
        <f>'RC1_Arch'!E579</f>
        <v>0</v>
      </c>
      <c r="I1435" s="1203">
        <f>'RC1_Arch'!I579</f>
        <v>0</v>
      </c>
      <c r="J1435" s="1203">
        <f>'RC1_Arch'!L579</f>
        <v>0</v>
      </c>
      <c r="K1435" s="1203">
        <f>'RC1_Arch'!M579</f>
        <v>0</v>
      </c>
    </row>
    <row r="1436" spans="5:11">
      <c r="E1436" cm="1">
        <f t="array" ref="E1436">_xlfn.LET(_xlpm.c,'RC1_Arch'!C580, _xlpm.b, 'RC1_Arch'!B580, IF(_xlpm.c&lt;&gt;"", _xlpm.c, _xlpm.b))</f>
        <v>0</v>
      </c>
      <c r="F1436" s="1205"/>
      <c r="G1436" s="1203">
        <f>'RC1_Arch'!F580</f>
        <v>0</v>
      </c>
      <c r="H1436" s="1203">
        <f>'RC1_Arch'!E580</f>
        <v>0</v>
      </c>
      <c r="I1436" s="1203">
        <f>'RC1_Arch'!I580</f>
        <v>0</v>
      </c>
      <c r="J1436" s="1203">
        <f>'RC1_Arch'!L580</f>
        <v>0</v>
      </c>
      <c r="K1436" s="1203">
        <f>'RC1_Arch'!M580</f>
        <v>0</v>
      </c>
    </row>
    <row r="1437" spans="5:11">
      <c r="E1437" t="str" cm="1">
        <f t="array" ref="E1437">_xlfn.LET(_xlpm.c,'RC1_Arch'!C581, _xlpm.b, 'RC1_Arch'!B581, IF(_xlpm.c&lt;&gt;"", _xlpm.c, _xlpm.b))</f>
        <v>งานหลังคา งานฉนวนกันความร้อน งานกันซึมและส่วนประกอบ</v>
      </c>
      <c r="F1437" s="1205"/>
      <c r="G1437" s="1203">
        <f>'RC1_Arch'!F581</f>
        <v>0</v>
      </c>
      <c r="H1437" s="1203">
        <f>'RC1_Arch'!E581</f>
        <v>0</v>
      </c>
      <c r="I1437" s="1203">
        <f>'RC1_Arch'!I581</f>
        <v>0</v>
      </c>
      <c r="J1437" s="1203">
        <f>'RC1_Arch'!L581</f>
        <v>0</v>
      </c>
      <c r="K1437" s="1203">
        <f>'RC1_Arch'!M581</f>
        <v>0</v>
      </c>
    </row>
    <row r="1438" spans="5:11">
      <c r="E1438" t="str" cm="1">
        <f t="array" ref="E1438">_xlfn.LET(_xlpm.c,'RC1_Arch'!C582, _xlpm.b, 'RC1_Arch'!B582, IF(_xlpm.c&lt;&gt;"", _xlpm.c, _xlpm.b))</f>
        <v>งานหลังคา Metal Sheet</v>
      </c>
      <c r="F1438" s="1205"/>
      <c r="G1438" s="1203">
        <f>'RC1_Arch'!F582</f>
        <v>0</v>
      </c>
      <c r="H1438" s="1203">
        <f>'RC1_Arch'!E582</f>
        <v>0</v>
      </c>
      <c r="I1438" s="1203">
        <f>'RC1_Arch'!I582</f>
        <v>0</v>
      </c>
      <c r="J1438" s="1203">
        <f>'RC1_Arch'!L582</f>
        <v>0</v>
      </c>
      <c r="K1438" s="1203">
        <f>'RC1_Arch'!M582</f>
        <v>0</v>
      </c>
    </row>
    <row r="1439" spans="5:11">
      <c r="E1439" t="str" cm="1">
        <f t="array" ref="E1439">_xlfn.LET(_xlpm.c,'RC1_Arch'!C583, _xlpm.b, 'RC1_Arch'!B583, IF(_xlpm.c&lt;&gt;"", _xlpm.c, _xlpm.b))</f>
        <v>หลังคา Metal Sheet รุ่น 360 Seam</v>
      </c>
      <c r="F1439" s="1205"/>
      <c r="G1439" s="1203" t="str">
        <f>'RC1_Arch'!F583</f>
        <v>ตร.ม.</v>
      </c>
      <c r="H1439" s="1203">
        <f>'RC1_Arch'!E583</f>
        <v>2450</v>
      </c>
      <c r="I1439" s="1203">
        <f>'RC1_Arch'!I583</f>
        <v>2977682.1296950001</v>
      </c>
      <c r="J1439" s="1203">
        <f>'RC1_Arch'!L583</f>
        <v>458104.94302999997</v>
      </c>
      <c r="K1439" s="1203">
        <f>'RC1_Arch'!M583</f>
        <v>3435787.0727249999</v>
      </c>
    </row>
    <row r="1440" spans="5:11">
      <c r="E1440" t="str" cm="1">
        <f t="array" ref="E1440">_xlfn.LET(_xlpm.c,'RC1_Arch'!C584, _xlpm.b, 'RC1_Arch'!B584, IF(_xlpm.c&lt;&gt;"", _xlpm.c, _xlpm.b))</f>
        <v>Flashing หลังคาครอบสัน</v>
      </c>
      <c r="F1440" s="1205"/>
      <c r="G1440" s="1203" t="str">
        <f>'RC1_Arch'!F584</f>
        <v>เมตร</v>
      </c>
      <c r="H1440" s="1203">
        <f>'RC1_Arch'!E584</f>
        <v>80</v>
      </c>
      <c r="I1440" s="1203">
        <f>'RC1_Arch'!I584</f>
        <v>22437.793127999998</v>
      </c>
      <c r="J1440" s="1203">
        <f>'RC1_Arch'!L584</f>
        <v>3739.632188</v>
      </c>
      <c r="K1440" s="1203">
        <f>'RC1_Arch'!M584</f>
        <v>26177.425315999997</v>
      </c>
    </row>
    <row r="1441" spans="5:11">
      <c r="E1441" t="str" cm="1">
        <f t="array" ref="E1441">_xlfn.LET(_xlpm.c,'RC1_Arch'!C585, _xlpm.b, 'RC1_Arch'!B585, IF(_xlpm.c&lt;&gt;"", _xlpm.c, _xlpm.b))</f>
        <v>Flashing หลังคาครอบชายคาล่าง</v>
      </c>
      <c r="F1441" s="1205"/>
      <c r="G1441" s="1203" t="str">
        <f>'RC1_Arch'!F585</f>
        <v>เมตร</v>
      </c>
      <c r="H1441" s="1203">
        <f>'RC1_Arch'!E585</f>
        <v>140</v>
      </c>
      <c r="I1441" s="1203">
        <f>'RC1_Arch'!I585</f>
        <v>39266.137973999997</v>
      </c>
      <c r="J1441" s="1203">
        <f>'RC1_Arch'!L585</f>
        <v>6544.3563290000002</v>
      </c>
      <c r="K1441" s="1203">
        <f>'RC1_Arch'!M585</f>
        <v>45810.494302999999</v>
      </c>
    </row>
    <row r="1442" spans="5:11">
      <c r="E1442" t="str" cm="1">
        <f t="array" ref="E1442">_xlfn.LET(_xlpm.c,'RC1_Arch'!C586, _xlpm.b, 'RC1_Arch'!B586, IF(_xlpm.c&lt;&gt;"", _xlpm.c, _xlpm.b))</f>
        <v>Flashing หลังคาครอบชนผนัง</v>
      </c>
      <c r="F1442" s="1205"/>
      <c r="G1442" s="1203" t="str">
        <f>'RC1_Arch'!F586</f>
        <v>เมตร</v>
      </c>
      <c r="H1442" s="1203">
        <f>'RC1_Arch'!E586</f>
        <v>140</v>
      </c>
      <c r="I1442" s="1203">
        <f>'RC1_Arch'!I586</f>
        <v>39266.137973999997</v>
      </c>
      <c r="J1442" s="1203">
        <f>'RC1_Arch'!L586</f>
        <v>6544.3563290000002</v>
      </c>
      <c r="K1442" s="1203">
        <f>'RC1_Arch'!M586</f>
        <v>45810.494302999999</v>
      </c>
    </row>
    <row r="1443" spans="5:11">
      <c r="E1443" t="str" cm="1">
        <f t="array" ref="E1443">_xlfn.LET(_xlpm.c,'RC1_Arch'!C587, _xlpm.b, 'RC1_Arch'!B587, IF(_xlpm.c&lt;&gt;"", _xlpm.c, _xlpm.b))</f>
        <v>งานโครงสร้างหลังคา</v>
      </c>
      <c r="F1443" s="1205"/>
      <c r="G1443" s="1203">
        <f>'RC1_Arch'!F587</f>
        <v>0</v>
      </c>
      <c r="H1443" s="1203" t="str">
        <f>'RC1_Arch'!E587</f>
        <v xml:space="preserve">*ดูรายละเอียดงานวิศวกรรมโครงสร้าง </v>
      </c>
      <c r="I1443" s="1203">
        <f>'RC1_Arch'!I587</f>
        <v>0</v>
      </c>
      <c r="J1443" s="1203">
        <f>'RC1_Arch'!L587</f>
        <v>0</v>
      </c>
      <c r="K1443" s="1203">
        <f>'RC1_Arch'!M587</f>
        <v>0</v>
      </c>
    </row>
    <row r="1444" spans="5:11">
      <c r="E1444" t="str" cm="1">
        <f t="array" ref="E1444">_xlfn.LET(_xlpm.c,'RC1_Arch'!C588, _xlpm.b, 'RC1_Arch'!B588, IF(_xlpm.c&lt;&gt;"", _xlpm.c, _xlpm.b))</f>
        <v xml:space="preserve">งานทาสีกันไฟ Fireproof Coating โครงสร้างหลังคา </v>
      </c>
      <c r="F1444" s="1205"/>
      <c r="G1444" s="1203">
        <f>'RC1_Arch'!F588</f>
        <v>0</v>
      </c>
      <c r="H1444" s="1203" t="str">
        <f>'RC1_Arch'!E588</f>
        <v xml:space="preserve">*ดูรายละเอียดงานวิศวกรรมโครงสร้าง </v>
      </c>
      <c r="I1444" s="1203">
        <f>'RC1_Arch'!I588</f>
        <v>0</v>
      </c>
      <c r="J1444" s="1203">
        <f>'RC1_Arch'!L588</f>
        <v>0</v>
      </c>
      <c r="K1444" s="1203">
        <f>'RC1_Arch'!M588</f>
        <v>0</v>
      </c>
    </row>
    <row r="1445" spans="5:11">
      <c r="E1445" t="str" cm="1">
        <f t="array" ref="E1445">_xlfn.LET(_xlpm.c,'RC1_Arch'!C589, _xlpm.b, 'RC1_Arch'!B589, IF(_xlpm.c&lt;&gt;"", _xlpm.c, _xlpm.b))</f>
        <v>ความหนาไม่น้อยกว่า 1500 ไมครอน กันไฟได้ไม่น้อยกว่า 3 ชม.</v>
      </c>
      <c r="F1445" s="1205"/>
      <c r="G1445" s="1203">
        <f>'RC1_Arch'!F589</f>
        <v>0</v>
      </c>
      <c r="H1445" s="1203">
        <f>'RC1_Arch'!E589</f>
        <v>0</v>
      </c>
      <c r="I1445" s="1203">
        <f>'RC1_Arch'!I589</f>
        <v>0</v>
      </c>
      <c r="J1445" s="1203">
        <f>'RC1_Arch'!L589</f>
        <v>0</v>
      </c>
      <c r="K1445" s="1203">
        <f>'RC1_Arch'!M589</f>
        <v>0</v>
      </c>
    </row>
    <row r="1446" spans="5:11">
      <c r="E1446" t="str" cm="1">
        <f t="array" ref="E1446">_xlfn.LET(_xlpm.c,'RC1_Arch'!C590, _xlpm.b, 'RC1_Arch'!B590, IF(_xlpm.c&lt;&gt;"", _xlpm.c, _xlpm.b))</f>
        <v>งานทาสีน้ำมันอัลคิด โครงสร้างเหล็กทั้งหมด</v>
      </c>
      <c r="F1446" s="1205"/>
      <c r="G1446" s="1203">
        <f>'RC1_Arch'!F590</f>
        <v>0</v>
      </c>
      <c r="H1446" s="1203" t="str">
        <f>'RC1_Arch'!E590</f>
        <v xml:space="preserve">*ดูรายละเอียดงานวิศวกรรมโครงสร้าง </v>
      </c>
      <c r="I1446" s="1203">
        <f>'RC1_Arch'!I590</f>
        <v>0</v>
      </c>
      <c r="J1446" s="1203">
        <f>'RC1_Arch'!L590</f>
        <v>0</v>
      </c>
      <c r="K1446" s="1203">
        <f>'RC1_Arch'!M590</f>
        <v>0</v>
      </c>
    </row>
    <row r="1447" spans="5:11">
      <c r="E1447" t="str" cm="1">
        <f t="array" ref="E1447">_xlfn.LET(_xlpm.c,'RC1_Arch'!C591, _xlpm.b, 'RC1_Arch'!B591, IF(_xlpm.c&lt;&gt;"", _xlpm.c, _xlpm.b))</f>
        <v>งานหลังคา Skylight</v>
      </c>
      <c r="F1447" s="1205"/>
      <c r="G1447" s="1203">
        <f>'RC1_Arch'!F591</f>
        <v>0</v>
      </c>
      <c r="H1447" s="1203">
        <f>'RC1_Arch'!E591</f>
        <v>0</v>
      </c>
      <c r="I1447" s="1203">
        <f>'RC1_Arch'!I591</f>
        <v>0</v>
      </c>
      <c r="J1447" s="1203">
        <f>'RC1_Arch'!L591</f>
        <v>0</v>
      </c>
      <c r="K1447" s="1203">
        <f>'RC1_Arch'!M591</f>
        <v>0</v>
      </c>
    </row>
    <row r="1448" spans="5:11">
      <c r="E1448" t="str" cm="1">
        <f t="array" ref="E1448">_xlfn.LET(_xlpm.c,'RC1_Arch'!C592, _xlpm.b, 'RC1_Arch'!B592, IF(_xlpm.c&lt;&gt;"", _xlpm.c, _xlpm.b))</f>
        <v xml:space="preserve">กระจกลามิเนตนิรภัยแข็งแรงพิเศษ (Laminate Super High Strength Glass) </v>
      </c>
      <c r="F1448" s="1205"/>
      <c r="G1448" s="1203" t="str">
        <f>'RC1_Arch'!F592</f>
        <v>ตร.ม.</v>
      </c>
      <c r="H1448" s="1203">
        <f>'RC1_Arch'!E592</f>
        <v>146</v>
      </c>
      <c r="I1448" s="1203">
        <f>'RC1_Arch'!I592</f>
        <v>1084465.28727859</v>
      </c>
      <c r="J1448" s="1203">
        <f>'RC1_Arch'!L592</f>
        <v>206792.31091593002</v>
      </c>
      <c r="K1448" s="1203">
        <f>'RC1_Arch'!M592</f>
        <v>1291257.59819452</v>
      </c>
    </row>
    <row r="1449" spans="5:11">
      <c r="E1449" t="str" cm="1">
        <f t="array" ref="E1449">_xlfn.LET(_xlpm.c,'RC1_Arch'!C593, _xlpm.b, 'RC1_Arch'!B593, IF(_xlpm.c&lt;&gt;"", _xlpm.c, _xlpm.b))</f>
        <v xml:space="preserve">หรือตามมาตรฐานผู้ผลิต (การติดตั้งเสนออนุมัติ) </v>
      </c>
      <c r="F1449" s="1205"/>
      <c r="G1449" s="1203">
        <f>'RC1_Arch'!F593</f>
        <v>0</v>
      </c>
      <c r="H1449" s="1203">
        <f>'RC1_Arch'!E593</f>
        <v>0</v>
      </c>
      <c r="I1449" s="1203">
        <f>'RC1_Arch'!I593</f>
        <v>0</v>
      </c>
      <c r="J1449" s="1203">
        <f>'RC1_Arch'!L593</f>
        <v>0</v>
      </c>
      <c r="K1449" s="1203">
        <f>'RC1_Arch'!M593</f>
        <v>0</v>
      </c>
    </row>
    <row r="1450" spans="5:11">
      <c r="E1450" t="str" cm="1">
        <f t="array" ref="E1450">_xlfn.LET(_xlpm.c,'RC1_Arch'!C594, _xlpm.b, 'RC1_Arch'!B594, IF(_xlpm.c&lt;&gt;"", _xlpm.c, _xlpm.b))</f>
        <v xml:space="preserve">Flashing </v>
      </c>
      <c r="F1450" s="1205"/>
      <c r="G1450" s="1203" t="str">
        <f>'RC1_Arch'!F594</f>
        <v>เมตร</v>
      </c>
      <c r="H1450" s="1203">
        <f>'RC1_Arch'!E594</f>
        <v>55</v>
      </c>
      <c r="I1450" s="1203">
        <f>'RC1_Arch'!I594</f>
        <v>12854.985646249999</v>
      </c>
      <c r="J1450" s="1203">
        <f>'RC1_Arch'!L594</f>
        <v>2570.9971292499999</v>
      </c>
      <c r="K1450" s="1203">
        <f>'RC1_Arch'!M594</f>
        <v>15425.982775499999</v>
      </c>
    </row>
    <row r="1451" spans="5:11">
      <c r="E1451" t="str" cm="1">
        <f t="array" ref="E1451">_xlfn.LET(_xlpm.c,'RC1_Arch'!C595, _xlpm.b, 'RC1_Arch'!B595, IF(_xlpm.c&lt;&gt;"", _xlpm.c, _xlpm.b))</f>
        <v>งานโครงสร้างหลังคา</v>
      </c>
      <c r="F1451" s="1205"/>
      <c r="G1451" s="1203">
        <f>'RC1_Arch'!F595</f>
        <v>0</v>
      </c>
      <c r="H1451" s="1203" t="str">
        <f>'RC1_Arch'!E595</f>
        <v xml:space="preserve">*ดูรายละเอียดงานวิศวกรรมโครงสร้าง </v>
      </c>
      <c r="I1451" s="1203">
        <f>'RC1_Arch'!I595</f>
        <v>0</v>
      </c>
      <c r="J1451" s="1203">
        <f>'RC1_Arch'!L595</f>
        <v>0</v>
      </c>
      <c r="K1451" s="1203">
        <f>'RC1_Arch'!M595</f>
        <v>0</v>
      </c>
    </row>
    <row r="1452" spans="5:11">
      <c r="E1452" t="str" cm="1">
        <f t="array" ref="E1452">_xlfn.LET(_xlpm.c,'RC1_Arch'!C596, _xlpm.b, 'RC1_Arch'!B596, IF(_xlpm.c&lt;&gt;"", _xlpm.c, _xlpm.b))</f>
        <v>งานทาสีกันไฟ Fireproof Coating โครงสร้างหลังคา ความหนาไม่น้อยกว่า 1000 ไมครอน</v>
      </c>
      <c r="F1452" s="1205"/>
      <c r="G1452" s="1203">
        <f>'RC1_Arch'!F596</f>
        <v>0</v>
      </c>
      <c r="H1452" s="1203" t="str">
        <f>'RC1_Arch'!E596</f>
        <v>*คิดรวมในงานหลังคา metal Sheet</v>
      </c>
      <c r="I1452" s="1203">
        <f>'RC1_Arch'!I596</f>
        <v>0</v>
      </c>
      <c r="J1452" s="1203">
        <f>'RC1_Arch'!L596</f>
        <v>0</v>
      </c>
      <c r="K1452" s="1203">
        <f>'RC1_Arch'!M596</f>
        <v>0</v>
      </c>
    </row>
    <row r="1453" spans="5:11">
      <c r="E1453" t="str" cm="1">
        <f t="array" ref="E1453">_xlfn.LET(_xlpm.c,'RC1_Arch'!C597, _xlpm.b, 'RC1_Arch'!B597, IF(_xlpm.c&lt;&gt;"", _xlpm.c, _xlpm.b))</f>
        <v>งานทาสีน้ำมันอัลคิด โครงสร้างเหล็กทั้งหมด</v>
      </c>
      <c r="F1453" s="1205"/>
      <c r="G1453" s="1203">
        <f>'RC1_Arch'!F597</f>
        <v>0</v>
      </c>
      <c r="H1453" s="1203" t="str">
        <f>'RC1_Arch'!E597</f>
        <v xml:space="preserve">*ดูรายละเอียดงานวิศวกรรมโครงสร้าง </v>
      </c>
      <c r="I1453" s="1203">
        <f>'RC1_Arch'!I597</f>
        <v>0</v>
      </c>
      <c r="J1453" s="1203">
        <f>'RC1_Arch'!L597</f>
        <v>0</v>
      </c>
      <c r="K1453" s="1203">
        <f>'RC1_Arch'!M597</f>
        <v>0</v>
      </c>
    </row>
    <row r="1454" spans="5:11">
      <c r="E1454" t="str" cm="1">
        <f t="array" ref="E1454">_xlfn.LET(_xlpm.c,'RC1_Arch'!C598, _xlpm.b, 'RC1_Arch'!B598, IF(_xlpm.c&lt;&gt;"", _xlpm.c, _xlpm.b))</f>
        <v>งานหลังคายื่น</v>
      </c>
      <c r="F1454" s="1205"/>
      <c r="G1454" s="1203">
        <f>'RC1_Arch'!F598</f>
        <v>0</v>
      </c>
      <c r="H1454" s="1203">
        <f>'RC1_Arch'!E598</f>
        <v>0</v>
      </c>
      <c r="I1454" s="1203">
        <f>'RC1_Arch'!I598</f>
        <v>0</v>
      </c>
      <c r="J1454" s="1203">
        <f>'RC1_Arch'!L598</f>
        <v>0</v>
      </c>
      <c r="K1454" s="1203">
        <f>'RC1_Arch'!M598</f>
        <v>0</v>
      </c>
    </row>
    <row r="1455" spans="5:11">
      <c r="E1455" t="str" cm="1">
        <f t="array" ref="E1455">_xlfn.LET(_xlpm.c,'RC1_Arch'!C599, _xlpm.b, 'RC1_Arch'!B599, IF(_xlpm.c&lt;&gt;"", _xlpm.c, _xlpm.b))</f>
        <v>Aluminium Composite Cladding หนา 4 mm. ไส้กันไฟ ชนิดภายนอก สี Silver</v>
      </c>
      <c r="F1455" s="1205"/>
      <c r="G1455" s="1203" t="str">
        <f>'RC1_Arch'!F599</f>
        <v>ตร.ม.</v>
      </c>
      <c r="H1455" s="1203">
        <f>'RC1_Arch'!E599</f>
        <v>620</v>
      </c>
      <c r="I1455" s="1203">
        <f>'RC1_Arch'!I599</f>
        <v>840482.33425299998</v>
      </c>
      <c r="J1455" s="1203">
        <f>'RC1_Arch'!L599</f>
        <v>869464.48370999994</v>
      </c>
      <c r="K1455" s="1203">
        <f>'RC1_Arch'!M599</f>
        <v>1709946.8179629999</v>
      </c>
    </row>
    <row r="1456" spans="5:11">
      <c r="E1456" t="str" cm="1">
        <f t="array" ref="E1456">_xlfn.LET(_xlpm.c,'RC1_Arch'!C600, _xlpm.b, 'RC1_Arch'!B600, IF(_xlpm.c&lt;&gt;"", _xlpm.c, _xlpm.b))</f>
        <v>CEMENT BOARD 20mm. พร้อมแผ่นรองกันความชื้นและ Membrene Sheet</v>
      </c>
      <c r="F1456" s="1205"/>
      <c r="G1456" s="1203" t="str">
        <f>'RC1_Arch'!F600</f>
        <v>ตร.ม.</v>
      </c>
      <c r="H1456" s="1203">
        <f>'RC1_Arch'!E600</f>
        <v>310</v>
      </c>
      <c r="I1456" s="1203">
        <f>'RC1_Arch'!I600</f>
        <v>347785.79348399997</v>
      </c>
      <c r="J1456" s="1203">
        <f>'RC1_Arch'!L600</f>
        <v>72455.373642499995</v>
      </c>
      <c r="K1456" s="1203">
        <f>'RC1_Arch'!M600</f>
        <v>420241.16712649993</v>
      </c>
    </row>
    <row r="1457" spans="5:11">
      <c r="E1457" t="str" cm="1">
        <f t="array" ref="E1457">_xlfn.LET(_xlpm.c,'RC1_Arch'!C601, _xlpm.b, 'RC1_Arch'!B601, IF(_xlpm.c&lt;&gt;"", _xlpm.c, _xlpm.b))</f>
        <v>งาน Flashing</v>
      </c>
      <c r="F1457" s="1205"/>
      <c r="G1457" s="1203" t="str">
        <f>'RC1_Arch'!F601</f>
        <v>เมตร</v>
      </c>
      <c r="H1457" s="1203">
        <f>'RC1_Arch'!E601</f>
        <v>75</v>
      </c>
      <c r="I1457" s="1203">
        <f>'RC1_Arch'!I601</f>
        <v>21035.431057499998</v>
      </c>
      <c r="J1457" s="1203">
        <f>'RC1_Arch'!L601</f>
        <v>3505.9051762499998</v>
      </c>
      <c r="K1457" s="1203">
        <f>'RC1_Arch'!M601</f>
        <v>24541.336233749997</v>
      </c>
    </row>
    <row r="1458" spans="5:11">
      <c r="E1458" t="str" cm="1">
        <f t="array" ref="E1458">_xlfn.LET(_xlpm.c,'RC1_Arch'!C602, _xlpm.b, 'RC1_Arch'!B602, IF(_xlpm.c&lt;&gt;"", _xlpm.c, _xlpm.b))</f>
        <v>งานอุปกรณ์ประกอบการติดตั้งประกอบแผ่น Membrene Sheet</v>
      </c>
      <c r="F1458" s="1205"/>
      <c r="G1458" s="1203" t="str">
        <f>'RC1_Arch'!F602</f>
        <v>ตร.ม.</v>
      </c>
      <c r="H1458" s="1203">
        <f>'RC1_Arch'!E602</f>
        <v>310</v>
      </c>
      <c r="I1458" s="1203">
        <f>'RC1_Arch'!I602</f>
        <v>144910.74728499999</v>
      </c>
      <c r="J1458" s="1203">
        <f>'RC1_Arch'!L602</f>
        <v>0</v>
      </c>
      <c r="K1458" s="1203">
        <f>'RC1_Arch'!M602</f>
        <v>144910.74728499999</v>
      </c>
    </row>
    <row r="1459" spans="5:11">
      <c r="E1459" t="str" cm="1">
        <f t="array" ref="E1459">_xlfn.LET(_xlpm.c,'RC1_Arch'!C603, _xlpm.b, 'RC1_Arch'!B603, IF(_xlpm.c&lt;&gt;"", _xlpm.c, _xlpm.b))</f>
        <v>งานโครงสร้างหลังคา</v>
      </c>
      <c r="F1459" s="1205"/>
      <c r="G1459" s="1203">
        <f>'RC1_Arch'!F603</f>
        <v>0</v>
      </c>
      <c r="H1459" s="1203" t="str">
        <f>'RC1_Arch'!E603</f>
        <v xml:space="preserve">*ดูรายละเอียดงานวิศวกรรมโครงสร้าง </v>
      </c>
      <c r="I1459" s="1203">
        <f>'RC1_Arch'!I603</f>
        <v>0</v>
      </c>
      <c r="J1459" s="1203">
        <f>'RC1_Arch'!L603</f>
        <v>0</v>
      </c>
      <c r="K1459" s="1203">
        <f>'RC1_Arch'!M603</f>
        <v>0</v>
      </c>
    </row>
    <row r="1460" spans="5:11">
      <c r="E1460" t="str" cm="1">
        <f t="array" ref="E1460">_xlfn.LET(_xlpm.c,'RC1_Arch'!C604, _xlpm.b, 'RC1_Arch'!B604, IF(_xlpm.c&lt;&gt;"", _xlpm.c, _xlpm.b))</f>
        <v>งานทาสีน้ำมันอัลคิด โครงสร้างเหล็กทั้งหมด</v>
      </c>
      <c r="F1460" s="1205"/>
      <c r="G1460" s="1203">
        <f>'RC1_Arch'!F604</f>
        <v>0</v>
      </c>
      <c r="H1460" s="1203" t="str">
        <f>'RC1_Arch'!E604</f>
        <v xml:space="preserve">*ดูรายละเอียดงานวิศวกรรมโครงสร้าง </v>
      </c>
      <c r="I1460" s="1203">
        <f>'RC1_Arch'!I604</f>
        <v>0</v>
      </c>
      <c r="J1460" s="1203">
        <f>'RC1_Arch'!L604</f>
        <v>0</v>
      </c>
      <c r="K1460" s="1203">
        <f>'RC1_Arch'!M604</f>
        <v>0</v>
      </c>
    </row>
    <row r="1461" spans="5:11">
      <c r="E1461" t="str" cm="1">
        <f t="array" ref="E1461">_xlfn.LET(_xlpm.c,'RC1_Arch'!C605, _xlpm.b, 'RC1_Arch'!B605, IF(_xlpm.c&lt;&gt;"", _xlpm.c, _xlpm.b))</f>
        <v>งานหลังคา Canopy</v>
      </c>
      <c r="F1461" s="1205"/>
      <c r="G1461" s="1203">
        <f>'RC1_Arch'!F605</f>
        <v>0</v>
      </c>
      <c r="H1461" s="1203">
        <f>'RC1_Arch'!E605</f>
        <v>0</v>
      </c>
      <c r="I1461" s="1203">
        <f>'RC1_Arch'!I605</f>
        <v>0</v>
      </c>
      <c r="J1461" s="1203">
        <f>'RC1_Arch'!L605</f>
        <v>0</v>
      </c>
      <c r="K1461" s="1203">
        <f>'RC1_Arch'!M605</f>
        <v>0</v>
      </c>
    </row>
    <row r="1462" spans="5:11">
      <c r="E1462" t="str" cm="1">
        <f t="array" ref="E1462">_xlfn.LET(_xlpm.c,'RC1_Arch'!C606, _xlpm.b, 'RC1_Arch'!B606, IF(_xlpm.c&lt;&gt;"", _xlpm.c, _xlpm.b))</f>
        <v>Aluminium Composite Cladding หนา 4 mm. ไส้กันไฟ ชนิดภายนอก สี Silver</v>
      </c>
      <c r="F1462" s="1205"/>
      <c r="G1462" s="1203" t="str">
        <f>'RC1_Arch'!F606</f>
        <v>ตร.ม.</v>
      </c>
      <c r="H1462" s="1203">
        <f>'RC1_Arch'!E606</f>
        <v>45</v>
      </c>
      <c r="I1462" s="1203">
        <f>'RC1_Arch'!I606</f>
        <v>61002.750066749999</v>
      </c>
      <c r="J1462" s="1203">
        <f>'RC1_Arch'!L606</f>
        <v>63106.293172499994</v>
      </c>
      <c r="K1462" s="1203">
        <f>'RC1_Arch'!M606</f>
        <v>124109.04323924999</v>
      </c>
    </row>
    <row r="1463" spans="5:11">
      <c r="E1463" t="str" cm="1">
        <f t="array" ref="E1463">_xlfn.LET(_xlpm.c,'RC1_Arch'!C607, _xlpm.b, 'RC1_Arch'!B607, IF(_xlpm.c&lt;&gt;"", _xlpm.c, _xlpm.b))</f>
        <v>CEMENT BOARD 20mm. พร้อมแผ่นรองกันความชื้นและ Membrene Sheet</v>
      </c>
      <c r="F1463" s="1205"/>
      <c r="G1463" s="1203" t="str">
        <f>'RC1_Arch'!F607</f>
        <v>ตร.ม.</v>
      </c>
      <c r="H1463" s="1203">
        <f>'RC1_Arch'!E607</f>
        <v>20</v>
      </c>
      <c r="I1463" s="1203">
        <f>'RC1_Arch'!I607</f>
        <v>22437.793127999998</v>
      </c>
      <c r="J1463" s="1203">
        <f>'RC1_Arch'!L607</f>
        <v>4674.5402350000004</v>
      </c>
      <c r="K1463" s="1203">
        <f>'RC1_Arch'!M607</f>
        <v>27112.333362999998</v>
      </c>
    </row>
    <row r="1464" spans="5:11">
      <c r="E1464" t="str" cm="1">
        <f t="array" ref="E1464">_xlfn.LET(_xlpm.c,'RC1_Arch'!C608, _xlpm.b, 'RC1_Arch'!B608, IF(_xlpm.c&lt;&gt;"", _xlpm.c, _xlpm.b))</f>
        <v>ปูกันซึมด้วย MEMBRANE SHEET</v>
      </c>
      <c r="F1464" s="1205"/>
      <c r="G1464" s="1203">
        <f>'RC1_Arch'!F608</f>
        <v>0</v>
      </c>
      <c r="H1464" s="1203">
        <f>'RC1_Arch'!E608</f>
        <v>0</v>
      </c>
      <c r="I1464" s="1203">
        <f>'RC1_Arch'!I608</f>
        <v>0</v>
      </c>
      <c r="J1464" s="1203">
        <f>'RC1_Arch'!L608</f>
        <v>0</v>
      </c>
      <c r="K1464" s="1203">
        <f>'RC1_Arch'!M608</f>
        <v>0</v>
      </c>
    </row>
    <row r="1465" spans="5:11">
      <c r="E1465" t="str" cm="1">
        <f t="array" ref="E1465">_xlfn.LET(_xlpm.c,'RC1_Arch'!C609, _xlpm.b, 'RC1_Arch'!B609, IF(_xlpm.c&lt;&gt;"", _xlpm.c, _xlpm.b))</f>
        <v>งาน Flashing</v>
      </c>
      <c r="F1465" s="1205"/>
      <c r="G1465" s="1203" t="str">
        <f>'RC1_Arch'!F609</f>
        <v>เมตร</v>
      </c>
      <c r="H1465" s="1203">
        <f>'RC1_Arch'!E609</f>
        <v>6</v>
      </c>
      <c r="I1465" s="1203">
        <f>'RC1_Arch'!I609</f>
        <v>1682.8344846</v>
      </c>
      <c r="J1465" s="1203">
        <f>'RC1_Arch'!L609</f>
        <v>280.47241409999998</v>
      </c>
      <c r="K1465" s="1203">
        <f>'RC1_Arch'!M609</f>
        <v>1963.3068986999999</v>
      </c>
    </row>
    <row r="1466" spans="5:11">
      <c r="E1466" t="str" cm="1">
        <f t="array" ref="E1466">_xlfn.LET(_xlpm.c,'RC1_Arch'!C610, _xlpm.b, 'RC1_Arch'!B610, IF(_xlpm.c&lt;&gt;"", _xlpm.c, _xlpm.b))</f>
        <v>งานอุปกรณ์ประกอบการติดตั้งประกอบแผ่น Membrene Sheet</v>
      </c>
      <c r="F1466" s="1205"/>
      <c r="G1466" s="1203" t="str">
        <f>'RC1_Arch'!F610</f>
        <v>ตร.ม.</v>
      </c>
      <c r="H1466" s="1203">
        <f>'RC1_Arch'!E610</f>
        <v>20</v>
      </c>
      <c r="I1466" s="1203">
        <f>'RC1_Arch'!I610</f>
        <v>9349.0804700000008</v>
      </c>
      <c r="J1466" s="1203">
        <f>'RC1_Arch'!L610</f>
        <v>0</v>
      </c>
      <c r="K1466" s="1203">
        <f>'RC1_Arch'!M610</f>
        <v>9349.0804700000008</v>
      </c>
    </row>
    <row r="1467" spans="5:11">
      <c r="E1467" t="str" cm="1">
        <f t="array" ref="E1467">_xlfn.LET(_xlpm.c,'RC1_Arch'!C611, _xlpm.b, 'RC1_Arch'!B611, IF(_xlpm.c&lt;&gt;"", _xlpm.c, _xlpm.b))</f>
        <v>รางน้ำ แสตนเลสหนา 1.5 มม. พับตามแบบ</v>
      </c>
      <c r="F1467" s="1205"/>
      <c r="G1467" s="1203" t="str">
        <f>'RC1_Arch'!F611</f>
        <v>เมตร</v>
      </c>
      <c r="H1467" s="1203">
        <f>'RC1_Arch'!E611</f>
        <v>4</v>
      </c>
      <c r="I1467" s="1203">
        <f>'RC1_Arch'!I611</f>
        <v>14958.528752</v>
      </c>
      <c r="J1467" s="1203">
        <f>'RC1_Arch'!L611</f>
        <v>0</v>
      </c>
      <c r="K1467" s="1203">
        <f>'RC1_Arch'!M611</f>
        <v>14958.528752</v>
      </c>
    </row>
    <row r="1468" spans="5:11">
      <c r="E1468" t="str" cm="1">
        <f t="array" ref="E1468">_xlfn.LET(_xlpm.c,'RC1_Arch'!C612, _xlpm.b, 'RC1_Arch'!B612, IF(_xlpm.c&lt;&gt;"", _xlpm.c, _xlpm.b))</f>
        <v>เหล็ก PLATE เหล็กหนา 6 มม. ปิดขอบหลังคา ทำสีเทียบ แผ่นอลูมิเนียมคอมโพสิต</v>
      </c>
      <c r="F1468" s="1205"/>
      <c r="G1468" s="1203" t="str">
        <f>'RC1_Arch'!F612</f>
        <v>เมตร</v>
      </c>
      <c r="H1468" s="1203">
        <f>'RC1_Arch'!E612</f>
        <v>5</v>
      </c>
      <c r="I1468" s="1203">
        <f>'RC1_Arch'!I612</f>
        <v>3038.4511527499999</v>
      </c>
      <c r="J1468" s="1203">
        <f>'RC1_Arch'!L612</f>
        <v>1752.9525881249997</v>
      </c>
      <c r="K1468" s="1203">
        <f>'RC1_Arch'!M612</f>
        <v>4791.4037408749991</v>
      </c>
    </row>
    <row r="1469" spans="5:11">
      <c r="E1469" t="str" cm="1">
        <f t="array" ref="E1469">_xlfn.LET(_xlpm.c,'RC1_Arch'!C613, _xlpm.b, 'RC1_Arch'!B613, IF(_xlpm.c&lt;&gt;"", _xlpm.c, _xlpm.b))</f>
        <v>เหล็ก PLATE เหล็กหนา 3 มม. ทำสีเทียบ แผ่นอลูมิเนียมคอมโพสิต</v>
      </c>
      <c r="F1469" s="1205"/>
      <c r="G1469" s="1203" t="str">
        <f>'RC1_Arch'!F613</f>
        <v>เมตร</v>
      </c>
      <c r="H1469" s="1203">
        <f>'RC1_Arch'!E613</f>
        <v>5</v>
      </c>
      <c r="I1469" s="1203">
        <f>'RC1_Arch'!I613</f>
        <v>1869.816094</v>
      </c>
      <c r="J1469" s="1203">
        <f>'RC1_Arch'!L613</f>
        <v>1145.2623575749999</v>
      </c>
      <c r="K1469" s="1203">
        <f>'RC1_Arch'!M613</f>
        <v>3015.0784515750001</v>
      </c>
    </row>
    <row r="1470" spans="5:11">
      <c r="E1470" t="str" cm="1">
        <f t="array" ref="E1470">_xlfn.LET(_xlpm.c,'RC1_Arch'!C614, _xlpm.b, 'RC1_Arch'!B614, IF(_xlpm.c&lt;&gt;"", _xlpm.c, _xlpm.b))</f>
        <v>Flashing หลังคาครอบชนผนัง</v>
      </c>
      <c r="F1470" s="1205"/>
      <c r="G1470" s="1203" t="str">
        <f>'RC1_Arch'!F614</f>
        <v>เมตร</v>
      </c>
      <c r="H1470" s="1203">
        <f>'RC1_Arch'!E614</f>
        <v>4</v>
      </c>
      <c r="I1470" s="1203">
        <f>'RC1_Arch'!I614</f>
        <v>1121.8896563999999</v>
      </c>
      <c r="J1470" s="1203">
        <f>'RC1_Arch'!L614</f>
        <v>186.9816094</v>
      </c>
      <c r="K1470" s="1203">
        <f>'RC1_Arch'!M614</f>
        <v>1308.8712657999999</v>
      </c>
    </row>
    <row r="1471" spans="5:11">
      <c r="E1471" t="str" cm="1">
        <f t="array" ref="E1471">_xlfn.LET(_xlpm.c,'RC1_Arch'!C615, _xlpm.b, 'RC1_Arch'!B615, IF(_xlpm.c&lt;&gt;"", _xlpm.c, _xlpm.b))</f>
        <v>งานโครงสร้างหลังคา</v>
      </c>
      <c r="F1471" s="1205"/>
      <c r="G1471" s="1203">
        <f>'RC1_Arch'!F615</f>
        <v>0</v>
      </c>
      <c r="H1471" s="1203" t="str">
        <f>'RC1_Arch'!E615</f>
        <v xml:space="preserve">*ดูรายละเอียดงานวิศวกรรมโครงสร้าง </v>
      </c>
      <c r="I1471" s="1203">
        <f>'RC1_Arch'!I615</f>
        <v>0</v>
      </c>
      <c r="J1471" s="1203">
        <f>'RC1_Arch'!L615</f>
        <v>0</v>
      </c>
      <c r="K1471" s="1203">
        <f>'RC1_Arch'!M615</f>
        <v>0</v>
      </c>
    </row>
    <row r="1472" spans="5:11">
      <c r="E1472" t="str" cm="1">
        <f t="array" ref="E1472">_xlfn.LET(_xlpm.c,'RC1_Arch'!C616, _xlpm.b, 'RC1_Arch'!B616, IF(_xlpm.c&lt;&gt;"", _xlpm.c, _xlpm.b))</f>
        <v>งานทาสีน้ำมันอัลคิด โครงสร้างเหล็กทั้งหมด</v>
      </c>
      <c r="F1472" s="1205"/>
      <c r="G1472" s="1203">
        <f>'RC1_Arch'!F616</f>
        <v>0</v>
      </c>
      <c r="H1472" s="1203" t="str">
        <f>'RC1_Arch'!E616</f>
        <v xml:space="preserve">*ดูรายละเอียดงานวิศวกรรมโครงสร้าง </v>
      </c>
      <c r="I1472" s="1203">
        <f>'RC1_Arch'!I616</f>
        <v>0</v>
      </c>
      <c r="J1472" s="1203">
        <f>'RC1_Arch'!L616</f>
        <v>0</v>
      </c>
      <c r="K1472" s="1203">
        <f>'RC1_Arch'!M616</f>
        <v>0</v>
      </c>
    </row>
    <row r="1473" spans="5:11">
      <c r="E1473" t="str" cm="1">
        <f t="array" ref="E1473">_xlfn.LET(_xlpm.c,'RC1_Arch'!C617, _xlpm.b, 'RC1_Arch'!B617, IF(_xlpm.c&lt;&gt;"", _xlpm.c, _xlpm.b))</f>
        <v>งานหลังคา Aluminium Composite ชั้น 3 (บริเวณ CW3B)</v>
      </c>
      <c r="F1473" s="1205"/>
      <c r="G1473" s="1203">
        <f>'RC1_Arch'!F617</f>
        <v>0</v>
      </c>
      <c r="H1473" s="1203">
        <f>'RC1_Arch'!E617</f>
        <v>0</v>
      </c>
      <c r="I1473" s="1203">
        <f>'RC1_Arch'!I617</f>
        <v>0</v>
      </c>
      <c r="J1473" s="1203">
        <f>'RC1_Arch'!L617</f>
        <v>0</v>
      </c>
      <c r="K1473" s="1203">
        <f>'RC1_Arch'!M617</f>
        <v>0</v>
      </c>
    </row>
    <row r="1474" spans="5:11">
      <c r="E1474" t="str" cm="1">
        <f t="array" ref="E1474">_xlfn.LET(_xlpm.c,'RC1_Arch'!C618, _xlpm.b, 'RC1_Arch'!B618, IF(_xlpm.c&lt;&gt;"", _xlpm.c, _xlpm.b))</f>
        <v>Aluminium Composite Cladding หนา 4 mm. ไส้กันไฟ ชนิดภายนอก สี Silver</v>
      </c>
      <c r="F1474" s="1205"/>
      <c r="G1474" s="1203" t="str">
        <f>'RC1_Arch'!F618</f>
        <v>ตร.ม.</v>
      </c>
      <c r="H1474" s="1203">
        <f>'RC1_Arch'!E618</f>
        <v>140</v>
      </c>
      <c r="I1474" s="1203">
        <f>'RC1_Arch'!I618</f>
        <v>189786.33354099997</v>
      </c>
      <c r="J1474" s="1203">
        <f>'RC1_Arch'!L618</f>
        <v>196330.68986999997</v>
      </c>
      <c r="K1474" s="1203">
        <f>'RC1_Arch'!M618</f>
        <v>386117.02341099991</v>
      </c>
    </row>
    <row r="1475" spans="5:11">
      <c r="E1475" t="str" cm="1">
        <f t="array" ref="E1475">_xlfn.LET(_xlpm.c,'RC1_Arch'!C619, _xlpm.b, 'RC1_Arch'!B619, IF(_xlpm.c&lt;&gt;"", _xlpm.c, _xlpm.b))</f>
        <v>งานโครงสร้างหลังคา</v>
      </c>
      <c r="F1475" s="1205"/>
      <c r="G1475" s="1203">
        <f>'RC1_Arch'!F619</f>
        <v>0</v>
      </c>
      <c r="H1475" s="1203" t="str">
        <f>'RC1_Arch'!E619</f>
        <v xml:space="preserve">*ดูรายละเอียดงานวิศวกรรมโครงสร้าง </v>
      </c>
      <c r="I1475" s="1203">
        <f>'RC1_Arch'!I619</f>
        <v>0</v>
      </c>
      <c r="J1475" s="1203">
        <f>'RC1_Arch'!L619</f>
        <v>0</v>
      </c>
      <c r="K1475" s="1203">
        <f>'RC1_Arch'!M619</f>
        <v>0</v>
      </c>
    </row>
    <row r="1476" spans="5:11">
      <c r="E1476" t="str" cm="1">
        <f t="array" ref="E1476">_xlfn.LET(_xlpm.c,'RC1_Arch'!C620, _xlpm.b, 'RC1_Arch'!B620, IF(_xlpm.c&lt;&gt;"", _xlpm.c, _xlpm.b))</f>
        <v>งานทาสีน้ำมันอัลคิด โครงสร้างเหล็กทั้งหมด</v>
      </c>
      <c r="F1476" s="1205"/>
      <c r="G1476" s="1203">
        <f>'RC1_Arch'!F620</f>
        <v>0</v>
      </c>
      <c r="H1476" s="1203" t="str">
        <f>'RC1_Arch'!E620</f>
        <v xml:space="preserve">*ดูรายละเอียดงานวิศวกรรมโครงสร้าง </v>
      </c>
      <c r="I1476" s="1203">
        <f>'RC1_Arch'!I620</f>
        <v>0</v>
      </c>
      <c r="J1476" s="1203">
        <f>'RC1_Arch'!L620</f>
        <v>0</v>
      </c>
      <c r="K1476" s="1203">
        <f>'RC1_Arch'!M620</f>
        <v>0</v>
      </c>
    </row>
    <row r="1477" spans="5:11">
      <c r="E1477" t="str" cm="1">
        <f t="array" ref="E1477">_xlfn.LET(_xlpm.c,'RC1_Arch'!C621, _xlpm.b, 'RC1_Arch'!B621, IF(_xlpm.c&lt;&gt;"", _xlpm.c, _xlpm.b))</f>
        <v>งานฉนวนกันความร้อนและฉนวนดูดซับเสียง</v>
      </c>
      <c r="F1477" s="1205"/>
      <c r="G1477" s="1203">
        <f>'RC1_Arch'!F621</f>
        <v>0</v>
      </c>
      <c r="H1477" s="1203">
        <f>'RC1_Arch'!E621</f>
        <v>0</v>
      </c>
      <c r="I1477" s="1203">
        <f>'RC1_Arch'!I621</f>
        <v>0</v>
      </c>
      <c r="J1477" s="1203">
        <f>'RC1_Arch'!L621</f>
        <v>0</v>
      </c>
      <c r="K1477" s="1203">
        <f>'RC1_Arch'!M621</f>
        <v>0</v>
      </c>
    </row>
    <row r="1478" spans="5:11">
      <c r="E1478" t="str" cm="1">
        <f t="array" ref="E1478">_xlfn.LET(_xlpm.c,'RC1_Arch'!C622, _xlpm.b, 'RC1_Arch'!B622, IF(_xlpm.c&lt;&gt;"", _xlpm.c, _xlpm.b))</f>
        <v>งานฉนวนใยแก้วหนา 5 นิ้ว ใต้ท้องแผ่นรองด้วยแผ่น metal Sheet</v>
      </c>
      <c r="F1478" s="1205"/>
      <c r="G1478" s="1203" t="str">
        <f>'RC1_Arch'!F622</f>
        <v>ตร.ม.</v>
      </c>
      <c r="H1478" s="1203">
        <f>'RC1_Arch'!E622</f>
        <v>2375</v>
      </c>
      <c r="I1478" s="1203">
        <f>'RC1_Arch'!I622</f>
        <v>1221223.6363937501</v>
      </c>
      <c r="J1478" s="1203">
        <f>'RC1_Arch'!L622</f>
        <v>155428.46281375</v>
      </c>
      <c r="K1478" s="1203">
        <f>'RC1_Arch'!M622</f>
        <v>1376652.0992075</v>
      </c>
    </row>
    <row r="1479" spans="5:11">
      <c r="E1479" t="str" cm="1">
        <f t="array" ref="E1479">_xlfn.LET(_xlpm.c,'RC1_Arch'!C623, _xlpm.b, 'RC1_Arch'!B623, IF(_xlpm.c&lt;&gt;"", _xlpm.c, _xlpm.b))</f>
        <v xml:space="preserve">ฉนวนกันความร้อน ชนิด Expanded Polystyrene Board ความหนา 50 มม. </v>
      </c>
      <c r="F1479" s="1205"/>
      <c r="G1479" s="1203" t="str">
        <f>'RC1_Arch'!F623</f>
        <v>ตร.ม.</v>
      </c>
      <c r="H1479" s="1203">
        <f>'RC1_Arch'!E623</f>
        <v>920</v>
      </c>
      <c r="I1479" s="1203">
        <f>'RC1_Arch'!I623</f>
        <v>387051.93145799998</v>
      </c>
      <c r="J1479" s="1203">
        <f>'RC1_Arch'!L623</f>
        <v>60208.078226799997</v>
      </c>
      <c r="K1479" s="1203">
        <f>'RC1_Arch'!M623</f>
        <v>447260.0096848</v>
      </c>
    </row>
    <row r="1480" spans="5:11">
      <c r="E1480" t="str" cm="1">
        <f t="array" ref="E1480">_xlfn.LET(_xlpm.c,'RC1_Arch'!C624, _xlpm.b, 'RC1_Arch'!B624, IF(_xlpm.c&lt;&gt;"", _xlpm.c, _xlpm.b))</f>
        <v>ฉนวนซับเสียง หุ้มรอบด้านด้วยผ้าใยแก้ว</v>
      </c>
      <c r="F1480" s="1205"/>
      <c r="G1480" s="1203" t="str">
        <f>'RC1_Arch'!F624</f>
        <v>ตร.ม.</v>
      </c>
      <c r="H1480" s="1203">
        <f>'RC1_Arch'!E624</f>
        <v>135</v>
      </c>
      <c r="I1480" s="1203">
        <f>'RC1_Arch'!I624</f>
        <v>40388.0276304</v>
      </c>
      <c r="J1480" s="1203">
        <f>'RC1_Arch'!L624</f>
        <v>12621.2586345</v>
      </c>
      <c r="K1480" s="1203">
        <f>'RC1_Arch'!M624</f>
        <v>53009.286264900002</v>
      </c>
    </row>
    <row r="1481" spans="5:11">
      <c r="E1481" t="str" cm="1">
        <f t="array" ref="E1481">_xlfn.LET(_xlpm.c,'RC1_Arch'!C625, _xlpm.b, 'RC1_Arch'!B625, IF(_xlpm.c&lt;&gt;"", _xlpm.c, _xlpm.b))</f>
        <v>ขนาด 600 x 1200 x 50 มม. สีขาว (ติดตั้งที่ผนังและฝ้าห้องเครื่องระบบปรับอากาศ)</v>
      </c>
      <c r="F1481" s="1205"/>
      <c r="G1481" s="1203">
        <f>'RC1_Arch'!F625</f>
        <v>0</v>
      </c>
      <c r="H1481" s="1203">
        <f>'RC1_Arch'!E625</f>
        <v>0</v>
      </c>
      <c r="I1481" s="1203">
        <f>'RC1_Arch'!I625</f>
        <v>0</v>
      </c>
      <c r="J1481" s="1203">
        <f>'RC1_Arch'!L625</f>
        <v>0</v>
      </c>
      <c r="K1481" s="1203">
        <f>'RC1_Arch'!M625</f>
        <v>0</v>
      </c>
    </row>
    <row r="1482" spans="5:11">
      <c r="E1482" t="str" cm="1">
        <f t="array" ref="E1482">_xlfn.LET(_xlpm.c,'RC1_Arch'!C626, _xlpm.b, 'RC1_Arch'!B626, IF(_xlpm.c&lt;&gt;"", _xlpm.c, _xlpm.b))</f>
        <v>งานระบบกันซึมชั้น</v>
      </c>
      <c r="F1482" s="1205"/>
      <c r="G1482" s="1203">
        <f>'RC1_Arch'!F626</f>
        <v>0</v>
      </c>
      <c r="H1482" s="1203">
        <f>'RC1_Arch'!E626</f>
        <v>0</v>
      </c>
      <c r="I1482" s="1203">
        <f>'RC1_Arch'!I626</f>
        <v>0</v>
      </c>
      <c r="J1482" s="1203">
        <f>'RC1_Arch'!L626</f>
        <v>0</v>
      </c>
      <c r="K1482" s="1203">
        <f>'RC1_Arch'!M626</f>
        <v>0</v>
      </c>
    </row>
    <row r="1483" spans="5:11">
      <c r="E1483" t="str" cm="1">
        <f t="array" ref="E1483">_xlfn.LET(_xlpm.c,'RC1_Arch'!C627, _xlpm.b, 'RC1_Arch'!B627, IF(_xlpm.c&lt;&gt;"", _xlpm.c, _xlpm.b))</f>
        <v xml:space="preserve">งานกันซึมชนิด PVC Sheet membrane ระบบแผ่น Polyvinylcoride </v>
      </c>
      <c r="F1483" s="1205"/>
      <c r="G1483" s="1203" t="str">
        <f>'RC1_Arch'!F627</f>
        <v>ตร.ม.</v>
      </c>
      <c r="H1483" s="1203">
        <f>'RC1_Arch'!E627</f>
        <v>1430</v>
      </c>
      <c r="I1483" s="1203">
        <f>'RC1_Arch'!I627</f>
        <v>1203226.656489</v>
      </c>
      <c r="J1483" s="1203">
        <f>'RC1_Arch'!L627</f>
        <v>0</v>
      </c>
      <c r="K1483" s="1203">
        <f>'RC1_Arch'!M627</f>
        <v>1203226.656489</v>
      </c>
    </row>
    <row r="1484" spans="5:11">
      <c r="E1484" t="str" cm="1">
        <f t="array" ref="E1484">_xlfn.LET(_xlpm.c,'RC1_Arch'!C628, _xlpm.b, 'RC1_Arch'!B628, IF(_xlpm.c&lt;&gt;"", _xlpm.c, _xlpm.b))</f>
        <v>หนาไม่น้อยกว่า 1.5 มม.  ติดตั้งตามมาตรฐานของผู้ผลิต</v>
      </c>
      <c r="F1484" s="1205"/>
      <c r="G1484" s="1203">
        <f>'RC1_Arch'!F628</f>
        <v>0</v>
      </c>
      <c r="H1484" s="1203">
        <f>'RC1_Arch'!E628</f>
        <v>0</v>
      </c>
      <c r="I1484" s="1203">
        <f>'RC1_Arch'!I628</f>
        <v>0</v>
      </c>
      <c r="J1484" s="1203">
        <f>'RC1_Arch'!L628</f>
        <v>0</v>
      </c>
      <c r="K1484" s="1203">
        <f>'RC1_Arch'!M628</f>
        <v>0</v>
      </c>
    </row>
    <row r="1485" spans="5:11">
      <c r="E1485" t="str" cm="1">
        <f t="array" ref="E1485">_xlfn.LET(_xlpm.c,'RC1_Arch'!C629, _xlpm.b, 'RC1_Arch'!B629, IF(_xlpm.c&lt;&gt;"", _xlpm.c, _xlpm.b))</f>
        <v xml:space="preserve">งานกันซึมประเภท CEMENT BASE  (Two Part Polymer Modified Cementitious </v>
      </c>
      <c r="F1485" s="1205"/>
      <c r="G1485" s="1203" t="str">
        <f>'RC1_Arch'!F629</f>
        <v>ตร.ม.</v>
      </c>
      <c r="H1485" s="1203">
        <f>'RC1_Arch'!E629</f>
        <v>1265</v>
      </c>
      <c r="I1485" s="1203">
        <f>'RC1_Arch'!I629</f>
        <v>354797.60383649997</v>
      </c>
      <c r="J1485" s="1203">
        <f>'RC1_Arch'!L629</f>
        <v>0</v>
      </c>
      <c r="K1485" s="1203">
        <f>'RC1_Arch'!M629</f>
        <v>354797.60383649997</v>
      </c>
    </row>
    <row r="1486" spans="5:11">
      <c r="E1486" t="str" cm="1">
        <f t="array" ref="E1486">_xlfn.LET(_xlpm.c,'RC1_Arch'!C630, _xlpm.b, 'RC1_Arch'!B630, IF(_xlpm.c&lt;&gt;"", _xlpm.c, _xlpm.b))</f>
        <v xml:space="preserve">Water Proof Mortar) รวมชั้นรองพื้นและชั้นกันซึม ไม่น้อยกว่า 3 ชั้น </v>
      </c>
      <c r="F1486" s="1205"/>
      <c r="G1486" s="1203">
        <f>'RC1_Arch'!F630</f>
        <v>0</v>
      </c>
      <c r="H1486" s="1203">
        <f>'RC1_Arch'!E630</f>
        <v>0</v>
      </c>
      <c r="I1486" s="1203">
        <f>'RC1_Arch'!I630</f>
        <v>0</v>
      </c>
      <c r="J1486" s="1203">
        <f>'RC1_Arch'!L630</f>
        <v>0</v>
      </c>
      <c r="K1486" s="1203">
        <f>'RC1_Arch'!M630</f>
        <v>0</v>
      </c>
    </row>
    <row r="1487" spans="5:11">
      <c r="E1487" t="str" cm="1">
        <f t="array" ref="E1487">_xlfn.LET(_xlpm.c,'RC1_Arch'!C631, _xlpm.b, 'RC1_Arch'!B631, IF(_xlpm.c&lt;&gt;"", _xlpm.c, _xlpm.b))</f>
        <v>งานแผงบังแอร์</v>
      </c>
      <c r="F1487" s="1205"/>
      <c r="G1487" s="1203">
        <f>'RC1_Arch'!F631</f>
        <v>0</v>
      </c>
      <c r="H1487" s="1203">
        <f>'RC1_Arch'!E631</f>
        <v>0</v>
      </c>
      <c r="I1487" s="1203">
        <f>'RC1_Arch'!I631</f>
        <v>0</v>
      </c>
      <c r="J1487" s="1203">
        <f>'RC1_Arch'!L631</f>
        <v>0</v>
      </c>
      <c r="K1487" s="1203">
        <f>'RC1_Arch'!M631</f>
        <v>0</v>
      </c>
    </row>
    <row r="1488" spans="5:11">
      <c r="E1488" t="str" cm="1">
        <f t="array" ref="E1488">_xlfn.LET(_xlpm.c,'RC1_Arch'!C632, _xlpm.b, 'RC1_Arch'!B632, IF(_xlpm.c&lt;&gt;"", _xlpm.c, _xlpm.b))</f>
        <v>แผ่นเหล็กเจาะรู (perforate sheet) H8x12P mm. 40% หนา 2mm.</v>
      </c>
      <c r="F1488" s="1205"/>
      <c r="G1488" s="1203" t="str">
        <f>'RC1_Arch'!F632</f>
        <v>เมตร</v>
      </c>
      <c r="H1488" s="1203">
        <f>'RC1_Arch'!E632</f>
        <v>168</v>
      </c>
      <c r="I1488" s="1203">
        <f>'RC1_Arch'!I632</f>
        <v>157064.55189599999</v>
      </c>
      <c r="J1488" s="1203">
        <f>'RC1_Arch'!L632</f>
        <v>0</v>
      </c>
      <c r="K1488" s="1203">
        <f>'RC1_Arch'!M632</f>
        <v>157064.55189599999</v>
      </c>
    </row>
    <row r="1489" spans="5:11">
      <c r="E1489" t="str" cm="1">
        <f t="array" ref="E1489">_xlfn.LET(_xlpm.c,'RC1_Arch'!C633, _xlpm.b, 'RC1_Arch'!B633, IF(_xlpm.c&lt;&gt;"", _xlpm.c, _xlpm.b))</f>
        <v>เหล็กกล่อง 100x50x3.2 mm.</v>
      </c>
      <c r="F1489" s="1205"/>
      <c r="G1489" s="1203">
        <f>'RC1_Arch'!F633</f>
        <v>0</v>
      </c>
      <c r="H1489" s="1203" t="str">
        <f>'RC1_Arch'!E633</f>
        <v xml:space="preserve">*ดูรายละเอียดงานวิศวกรรมโครงสร้าง </v>
      </c>
      <c r="I1489" s="1203">
        <f>'RC1_Arch'!I633</f>
        <v>0</v>
      </c>
      <c r="J1489" s="1203">
        <f>'RC1_Arch'!L633</f>
        <v>0</v>
      </c>
      <c r="K1489" s="1203">
        <f>'RC1_Arch'!M633</f>
        <v>0</v>
      </c>
    </row>
    <row r="1490" spans="5:11">
      <c r="E1490" t="str" cm="1">
        <f t="array" ref="E1490">_xlfn.LET(_xlpm.c,'RC1_Arch'!C634, _xlpm.b, 'RC1_Arch'!B634, IF(_xlpm.c&lt;&gt;"", _xlpm.c, _xlpm.b))</f>
        <v>เหล็กฉาก 100x100x7 mm.</v>
      </c>
      <c r="F1490" s="1205"/>
      <c r="G1490" s="1203">
        <f>'RC1_Arch'!F634</f>
        <v>0</v>
      </c>
      <c r="H1490" s="1203" t="str">
        <f>'RC1_Arch'!E634</f>
        <v xml:space="preserve">*ดูรายละเอียดงานวิศวกรรมโครงสร้าง </v>
      </c>
      <c r="I1490" s="1203">
        <f>'RC1_Arch'!I634</f>
        <v>0</v>
      </c>
      <c r="J1490" s="1203">
        <f>'RC1_Arch'!L634</f>
        <v>0</v>
      </c>
      <c r="K1490" s="1203">
        <f>'RC1_Arch'!M634</f>
        <v>0</v>
      </c>
    </row>
    <row r="1491" spans="5:11">
      <c r="E1491" t="str" cm="1">
        <f t="array" ref="E1491">_xlfn.LET(_xlpm.c,'RC1_Arch'!C635, _xlpm.b, 'RC1_Arch'!B635, IF(_xlpm.c&lt;&gt;"", _xlpm.c, _xlpm.b))</f>
        <v>แผ่นเหล็ก plate หนา 6mm.</v>
      </c>
      <c r="F1491" s="1205"/>
      <c r="G1491" s="1203">
        <f>'RC1_Arch'!F635</f>
        <v>0</v>
      </c>
      <c r="H1491" s="1203" t="str">
        <f>'RC1_Arch'!E635</f>
        <v xml:space="preserve">*ดูรายละเอียดงานวิศวกรรมโครงสร้าง </v>
      </c>
      <c r="I1491" s="1203">
        <f>'RC1_Arch'!I635</f>
        <v>0</v>
      </c>
      <c r="J1491" s="1203">
        <f>'RC1_Arch'!L635</f>
        <v>0</v>
      </c>
      <c r="K1491" s="1203">
        <f>'RC1_Arch'!M635</f>
        <v>0</v>
      </c>
    </row>
    <row r="1492" spans="5:11">
      <c r="E1492" t="str" cm="1">
        <f t="array" ref="E1492">_xlfn.LET(_xlpm.c,'RC1_Arch'!C636, _xlpm.b, 'RC1_Arch'!B636, IF(_xlpm.c&lt;&gt;"", _xlpm.c, _xlpm.b))</f>
        <v>งานโครงสร้างเหล็กทั้งหมดทาสีน้ำมัน สีดำเทียบสี TOA#8294</v>
      </c>
      <c r="F1492" s="1205"/>
      <c r="G1492" s="1203">
        <f>'RC1_Arch'!F636</f>
        <v>0</v>
      </c>
      <c r="H1492" s="1203" t="str">
        <f>'RC1_Arch'!E636</f>
        <v xml:space="preserve">*ดูรายละเอียดงานวิศวกรรมโครงสร้าง </v>
      </c>
      <c r="I1492" s="1203">
        <f>'RC1_Arch'!I636</f>
        <v>0</v>
      </c>
      <c r="J1492" s="1203">
        <f>'RC1_Arch'!L636</f>
        <v>0</v>
      </c>
      <c r="K1492" s="1203">
        <f>'RC1_Arch'!M636</f>
        <v>0</v>
      </c>
    </row>
    <row r="1493" spans="5:11">
      <c r="E1493" t="str" cm="1">
        <f t="array" ref="E1493">_xlfn.LET(_xlpm.c,'RC1_Arch'!C637, _xlpm.b, 'RC1_Arch'!B637, IF(_xlpm.c&lt;&gt;"", _xlpm.c, _xlpm.b))</f>
        <v>ชุดประตูล้อเลื่อน 1 ชุด</v>
      </c>
      <c r="F1493" s="1205"/>
      <c r="G1493" s="1203" t="str">
        <f>'RC1_Arch'!F637</f>
        <v>ชุด</v>
      </c>
      <c r="H1493" s="1203">
        <f>'RC1_Arch'!E637</f>
        <v>1</v>
      </c>
      <c r="I1493" s="1203">
        <f>'RC1_Arch'!I637</f>
        <v>9349.080469999999</v>
      </c>
      <c r="J1493" s="1203">
        <f>'RC1_Arch'!L637</f>
        <v>0</v>
      </c>
      <c r="K1493" s="1203">
        <f>'RC1_Arch'!M637</f>
        <v>9349.080469999999</v>
      </c>
    </row>
    <row r="1494" spans="5:11">
      <c r="E1494" t="str" cm="1">
        <f t="array" ref="E1494">_xlfn.LET(_xlpm.c,'RC1_Arch'!C638, _xlpm.b, 'RC1_Arch'!B638, IF(_xlpm.c&lt;&gt;"", _xlpm.c, _xlpm.b))</f>
        <v>รวมราคางานหลังคา งานฉนวนกันความร้อน งานกันซึมและส่วนประกอบ</v>
      </c>
      <c r="F1494" s="1205"/>
      <c r="G1494" s="1203">
        <f>'RC1_Arch'!F638</f>
        <v>0</v>
      </c>
      <c r="H1494" s="1203">
        <f>'RC1_Arch'!E638</f>
        <v>0</v>
      </c>
      <c r="I1494" s="1203">
        <f>'RC1_Arch'!I638</f>
        <v>0</v>
      </c>
      <c r="J1494" s="1203">
        <f>'RC1_Arch'!L638</f>
        <v>0</v>
      </c>
      <c r="K1494" s="1203">
        <f>'RC1_Arch'!M638</f>
        <v>11333993.09366617</v>
      </c>
    </row>
    <row r="1495" spans="5:11">
      <c r="E1495" t="str" cm="1">
        <f t="array" ref="E1495">_xlfn.LET(_xlpm.c,'RC1_Arch'!C639, _xlpm.b, 'RC1_Arch'!B639, IF(_xlpm.c&lt;&gt;"", _xlpm.c, _xlpm.b))</f>
        <v>งาน Facade และ Urban Void</v>
      </c>
      <c r="F1495" s="1205"/>
      <c r="G1495" s="1203">
        <f>'RC1_Arch'!F639</f>
        <v>0</v>
      </c>
      <c r="H1495" s="1203">
        <f>'RC1_Arch'!E639</f>
        <v>0</v>
      </c>
      <c r="I1495" s="1203">
        <f>'RC1_Arch'!I639</f>
        <v>0</v>
      </c>
      <c r="J1495" s="1203">
        <f>'RC1_Arch'!L639</f>
        <v>0</v>
      </c>
      <c r="K1495" s="1203">
        <f>'RC1_Arch'!M639</f>
        <v>0</v>
      </c>
    </row>
    <row r="1496" spans="5:11">
      <c r="E1496" cm="1">
        <f t="array" ref="E1496">_xlfn.LET(_xlpm.c,'RC1_Arch'!C640, _xlpm.b, 'RC1_Arch'!B640, IF(_xlpm.c&lt;&gt;"", _xlpm.c, _xlpm.b))</f>
        <v>0</v>
      </c>
      <c r="F1496" s="1205"/>
      <c r="G1496" s="1203">
        <f>'RC1_Arch'!F640</f>
        <v>0</v>
      </c>
      <c r="H1496" s="1203">
        <f>'RC1_Arch'!E640</f>
        <v>0</v>
      </c>
      <c r="I1496" s="1203">
        <f>'RC1_Arch'!I640</f>
        <v>0</v>
      </c>
      <c r="J1496" s="1203">
        <f>'RC1_Arch'!L640</f>
        <v>0</v>
      </c>
      <c r="K1496" s="1203">
        <f>'RC1_Arch'!M640</f>
        <v>0</v>
      </c>
    </row>
    <row r="1497" spans="5:11">
      <c r="E1497" t="str" cm="1">
        <f t="array" ref="E1497">_xlfn.LET(_xlpm.c,'RC1_Arch'!C641, _xlpm.b, 'RC1_Arch'!B641, IF(_xlpm.c&lt;&gt;"", _xlpm.c, _xlpm.b))</f>
        <v>ผนัง FACADE SHADING</v>
      </c>
      <c r="F1497" s="1205"/>
      <c r="G1497" s="1203">
        <f>'RC1_Arch'!F641</f>
        <v>0</v>
      </c>
      <c r="H1497" s="1203">
        <f>'RC1_Arch'!E641</f>
        <v>0</v>
      </c>
      <c r="I1497" s="1203">
        <f>'RC1_Arch'!I641</f>
        <v>0</v>
      </c>
      <c r="J1497" s="1203">
        <f>'RC1_Arch'!L641</f>
        <v>0</v>
      </c>
      <c r="K1497" s="1203">
        <f>'RC1_Arch'!M641</f>
        <v>0</v>
      </c>
    </row>
    <row r="1498" spans="5:11">
      <c r="E1498" t="str" cm="1">
        <f t="array" ref="E1498">_xlfn.LET(_xlpm.c,'RC1_Arch'!C642, _xlpm.b, 'RC1_Arch'!B642, IF(_xlpm.c&lt;&gt;"", _xlpm.c, _xlpm.b))</f>
        <v xml:space="preserve">Fin Facade คอนกรีตเสริมใยแก้ว (G.R.C) หนา 25 มม. ขึ้นรูปทรงตามแบบ </v>
      </c>
      <c r="F1498" s="1205"/>
      <c r="G1498" s="1203">
        <f>'RC1_Arch'!F642</f>
        <v>0</v>
      </c>
      <c r="H1498" s="1203">
        <f>'RC1_Arch'!E642</f>
        <v>0</v>
      </c>
      <c r="I1498" s="1203">
        <f>'RC1_Arch'!I642</f>
        <v>0</v>
      </c>
      <c r="J1498" s="1203">
        <f>'RC1_Arch'!L642</f>
        <v>0</v>
      </c>
      <c r="K1498" s="1203">
        <f>'RC1_Arch'!M642</f>
        <v>0</v>
      </c>
    </row>
    <row r="1499" spans="5:11">
      <c r="E1499" t="str" cm="1">
        <f t="array" ref="E1499">_xlfn.LET(_xlpm.c,'RC1_Arch'!C643, _xlpm.b, 'RC1_Arch'!B643, IF(_xlpm.c&lt;&gt;"", _xlpm.c, _xlpm.b))</f>
        <v>บัว GRC 0.50 x 0.25 x 0.50 x 0.25 m. เสริมเหล็กกลม 2" t = 3.2 mm.</v>
      </c>
      <c r="F1499" s="1205"/>
      <c r="G1499" s="1203" t="str">
        <f>'RC1_Arch'!F643</f>
        <v>ชิ้น</v>
      </c>
      <c r="H1499" s="1203">
        <f>'RC1_Arch'!E643</f>
        <v>850</v>
      </c>
      <c r="I1499" s="1203">
        <f>'RC1_Arch'!I643</f>
        <v>3623703.5901719998</v>
      </c>
      <c r="J1499" s="1203">
        <f>'RC1_Arch'!L643</f>
        <v>0</v>
      </c>
      <c r="K1499" s="1203">
        <f>'RC1_Arch'!M643</f>
        <v>3623703.5901719998</v>
      </c>
    </row>
    <row r="1500" spans="5:11">
      <c r="E1500" t="str" cm="1">
        <f t="array" ref="E1500">_xlfn.LET(_xlpm.c,'RC1_Arch'!C644, _xlpm.b, 'RC1_Arch'!B644, IF(_xlpm.c&lt;&gt;"", _xlpm.c, _xlpm.b))</f>
        <v>บัว GRC 0.50 x 0.25 x 0.50 x 0.25 m. เสริมเหล็กกลม 4" t = 3.2 mm.</v>
      </c>
      <c r="F1500" s="1205"/>
      <c r="G1500" s="1203" t="str">
        <f>'RC1_Arch'!F644</f>
        <v>ชิ้น</v>
      </c>
      <c r="H1500" s="1203">
        <f>'RC1_Arch'!E644</f>
        <v>650</v>
      </c>
      <c r="I1500" s="1203">
        <f>'RC1_Arch'!I644</f>
        <v>2968566.7762367497</v>
      </c>
      <c r="J1500" s="1203">
        <f>'RC1_Arch'!L644</f>
        <v>0</v>
      </c>
      <c r="K1500" s="1203">
        <f>'RC1_Arch'!M644</f>
        <v>2968566.7762367497</v>
      </c>
    </row>
    <row r="1501" spans="5:11">
      <c r="E1501" t="str" cm="1">
        <f t="array" ref="E1501">_xlfn.LET(_xlpm.c,'RC1_Arch'!C645, _xlpm.b, 'RC1_Arch'!B645, IF(_xlpm.c&lt;&gt;"", _xlpm.c, _xlpm.b))</f>
        <v>ทาสีลวดลาย TEXTURE ลายไข่ปลา และทาสีอะครีลิค ชนิดภายนอก</v>
      </c>
      <c r="F1501" s="1205"/>
      <c r="G1501" s="1203" t="str">
        <f>'RC1_Arch'!F645</f>
        <v>ชิ้น</v>
      </c>
      <c r="H1501" s="1203">
        <f>'RC1_Arch'!E645</f>
        <v>1500</v>
      </c>
      <c r="I1501" s="1203">
        <f>'RC1_Arch'!I645</f>
        <v>490826.724675</v>
      </c>
      <c r="J1501" s="1203">
        <f>'RC1_Arch'!L645</f>
        <v>420708.62114999996</v>
      </c>
      <c r="K1501" s="1203">
        <f>'RC1_Arch'!M645</f>
        <v>911535.34582499997</v>
      </c>
    </row>
    <row r="1502" spans="5:11">
      <c r="E1502" t="str" cm="1">
        <f t="array" ref="E1502">_xlfn.LET(_xlpm.c,'RC1_Arch'!C646, _xlpm.b, 'RC1_Arch'!B646, IF(_xlpm.c&lt;&gt;"", _xlpm.c, _xlpm.b))</f>
        <v>ผนัง ALUMINIUM COMPOSITE หนา 4 มม. ชนิดภายนอก  สี Silver</v>
      </c>
      <c r="F1502" s="1205"/>
      <c r="G1502" s="1203" t="str">
        <f>'RC1_Arch'!F646</f>
        <v>ตร.ม.</v>
      </c>
      <c r="H1502" s="1203">
        <f>'RC1_Arch'!E646</f>
        <v>1060</v>
      </c>
      <c r="I1502" s="1203">
        <f>'RC1_Arch'!I646</f>
        <v>1436953.6682389998</v>
      </c>
      <c r="J1502" s="1203">
        <f>'RC1_Arch'!L646</f>
        <v>1486503.7947299997</v>
      </c>
      <c r="K1502" s="1203">
        <f>'RC1_Arch'!M646</f>
        <v>2923457.4629689995</v>
      </c>
    </row>
    <row r="1503" spans="5:11">
      <c r="E1503" t="str" cm="1">
        <f t="array" ref="E1503">_xlfn.LET(_xlpm.c,'RC1_Arch'!C647, _xlpm.b, 'RC1_Arch'!B647, IF(_xlpm.c&lt;&gt;"", _xlpm.c, _xlpm.b))</f>
        <v>โครงเคร่าเหล็กติดตั้งตามมาตรฐานผู้ผลิต เสนอแบบขออนุมัติก่อนดำเนินการติดตั้ง</v>
      </c>
      <c r="F1503" s="1205"/>
      <c r="G1503" s="1203">
        <f>'RC1_Arch'!F647</f>
        <v>0</v>
      </c>
      <c r="H1503" s="1203">
        <f>'RC1_Arch'!E647</f>
        <v>0</v>
      </c>
      <c r="I1503" s="1203">
        <f>'RC1_Arch'!I647</f>
        <v>0</v>
      </c>
      <c r="J1503" s="1203">
        <f>'RC1_Arch'!L647</f>
        <v>0</v>
      </c>
      <c r="K1503" s="1203">
        <f>'RC1_Arch'!M647</f>
        <v>0</v>
      </c>
    </row>
    <row r="1504" spans="5:11">
      <c r="E1504" t="str" cm="1">
        <f t="array" ref="E1504">_xlfn.LET(_xlpm.c,'RC1_Arch'!C648, _xlpm.b, 'RC1_Arch'!B648, IF(_xlpm.c&lt;&gt;"", _xlpm.c, _xlpm.b))</f>
        <v>งานโครงสร้างเหล็กผนัง Facde Shading</v>
      </c>
      <c r="F1504" s="1205"/>
      <c r="G1504" s="1203">
        <f>'RC1_Arch'!F648</f>
        <v>0</v>
      </c>
      <c r="H1504" s="1203" t="str">
        <f>'RC1_Arch'!E648</f>
        <v xml:space="preserve">*ดูรายละเอียดงานวิศวกรรมโครงสร้าง </v>
      </c>
      <c r="I1504" s="1203">
        <f>'RC1_Arch'!I648</f>
        <v>0</v>
      </c>
      <c r="J1504" s="1203">
        <f>'RC1_Arch'!L648</f>
        <v>0</v>
      </c>
      <c r="K1504" s="1203">
        <f>'RC1_Arch'!M648</f>
        <v>0</v>
      </c>
    </row>
    <row r="1505" spans="5:11">
      <c r="E1505" t="str" cm="1">
        <f t="array" ref="E1505">_xlfn.LET(_xlpm.c,'RC1_Arch'!C649, _xlpm.b, 'RC1_Arch'!B649, IF(_xlpm.c&lt;&gt;"", _xlpm.c, _xlpm.b))</f>
        <v>งานทาสีกันสนิม โครงสร้างเหล็กผนัง Facde Shading</v>
      </c>
      <c r="F1505" s="1205"/>
      <c r="G1505" s="1203">
        <f>'RC1_Arch'!F649</f>
        <v>0</v>
      </c>
      <c r="H1505" s="1203" t="str">
        <f>'RC1_Arch'!E649</f>
        <v xml:space="preserve">*ดูรายละเอียดงานวิศวกรรมโครงสร้าง </v>
      </c>
      <c r="I1505" s="1203">
        <f>'RC1_Arch'!I649</f>
        <v>0</v>
      </c>
      <c r="J1505" s="1203">
        <f>'RC1_Arch'!L649</f>
        <v>0</v>
      </c>
      <c r="K1505" s="1203">
        <f>'RC1_Arch'!M649</f>
        <v>0</v>
      </c>
    </row>
    <row r="1506" spans="5:11">
      <c r="E1506" t="str" cm="1">
        <f t="array" ref="E1506">_xlfn.LET(_xlpm.c,'RC1_Arch'!C650, _xlpm.b, 'RC1_Arch'!B650, IF(_xlpm.c&lt;&gt;"", _xlpm.c, _xlpm.b))</f>
        <v>รวมราคาผนัง FACADE SHADING</v>
      </c>
      <c r="F1506" s="1205"/>
      <c r="G1506" s="1203">
        <f>'RC1_Arch'!F650</f>
        <v>0</v>
      </c>
      <c r="H1506" s="1203">
        <f>'RC1_Arch'!E650</f>
        <v>0</v>
      </c>
      <c r="I1506" s="1203">
        <f>'RC1_Arch'!I650</f>
        <v>0</v>
      </c>
      <c r="J1506" s="1203">
        <f>'RC1_Arch'!L650</f>
        <v>0</v>
      </c>
      <c r="K1506" s="1203">
        <f>'RC1_Arch'!M650</f>
        <v>10427263.17520275</v>
      </c>
    </row>
    <row r="1507" spans="5:11">
      <c r="E1507" cm="1">
        <f t="array" ref="E1507">_xlfn.LET(_xlpm.c,'RC1_Arch'!C651, _xlpm.b, 'RC1_Arch'!B651, IF(_xlpm.c&lt;&gt;"", _xlpm.c, _xlpm.b))</f>
        <v>0</v>
      </c>
      <c r="F1507" s="1205"/>
      <c r="G1507" s="1203">
        <f>'RC1_Arch'!F651</f>
        <v>0</v>
      </c>
      <c r="H1507" s="1203">
        <f>'RC1_Arch'!E651</f>
        <v>0</v>
      </c>
      <c r="I1507" s="1203">
        <f>'RC1_Arch'!I651</f>
        <v>0</v>
      </c>
      <c r="J1507" s="1203">
        <f>'RC1_Arch'!L651</f>
        <v>0</v>
      </c>
      <c r="K1507" s="1203">
        <f>'RC1_Arch'!M651</f>
        <v>0</v>
      </c>
    </row>
    <row r="1508" spans="5:11">
      <c r="E1508" t="str" cm="1">
        <f t="array" ref="E1508">_xlfn.LET(_xlpm.c,'RC1_Arch'!C652, _xlpm.b, 'RC1_Arch'!B652, IF(_xlpm.c&lt;&gt;"", _xlpm.c, _xlpm.b))</f>
        <v>งาน Urban Void</v>
      </c>
      <c r="F1508" s="1205"/>
      <c r="G1508" s="1203">
        <f>'RC1_Arch'!F652</f>
        <v>0</v>
      </c>
      <c r="H1508" s="1203">
        <f>'RC1_Arch'!E652</f>
        <v>0</v>
      </c>
      <c r="I1508" s="1203">
        <f>'RC1_Arch'!I652</f>
        <v>0</v>
      </c>
      <c r="J1508" s="1203">
        <f>'RC1_Arch'!L652</f>
        <v>0</v>
      </c>
      <c r="K1508" s="1203">
        <f>'RC1_Arch'!M652</f>
        <v>0</v>
      </c>
    </row>
    <row r="1509" spans="5:11">
      <c r="E1509" t="str" cm="1">
        <f t="array" ref="E1509">_xlfn.LET(_xlpm.c,'RC1_Arch'!C653, _xlpm.b, 'RC1_Arch'!B653, IF(_xlpm.c&lt;&gt;"", _xlpm.c, _xlpm.b))</f>
        <v>งานฝ้าเพดาน</v>
      </c>
      <c r="F1509" s="1205"/>
      <c r="G1509" s="1203">
        <f>'RC1_Arch'!F653</f>
        <v>0</v>
      </c>
      <c r="H1509" s="1203">
        <f>'RC1_Arch'!E653</f>
        <v>0</v>
      </c>
      <c r="I1509" s="1203">
        <f>'RC1_Arch'!I653</f>
        <v>0</v>
      </c>
      <c r="J1509" s="1203">
        <f>'RC1_Arch'!L653</f>
        <v>0</v>
      </c>
      <c r="K1509" s="1203">
        <f>'RC1_Arch'!M653</f>
        <v>0</v>
      </c>
    </row>
    <row r="1510" spans="5:11">
      <c r="E1510" t="str" cm="1">
        <f t="array" ref="E1510">_xlfn.LET(_xlpm.c,'RC1_Arch'!C654, _xlpm.b, 'RC1_Arch'!B654, IF(_xlpm.c&lt;&gt;"", _xlpm.c, _xlpm.b))</f>
        <v>ฝ้าเพดาน Aluminium Composite หนา 4 mm. ชนิดภายนอก สี Copper</v>
      </c>
      <c r="F1510" s="1205"/>
      <c r="G1510" s="1203" t="str">
        <f>'RC1_Arch'!F654</f>
        <v>ตร.ม.</v>
      </c>
      <c r="H1510" s="1203">
        <f>'RC1_Arch'!E654</f>
        <v>610</v>
      </c>
      <c r="I1510" s="1203">
        <f>'RC1_Arch'!I654</f>
        <v>826926.16757149994</v>
      </c>
      <c r="J1510" s="1203">
        <f>'RC1_Arch'!L654</f>
        <v>855440.86300499993</v>
      </c>
      <c r="K1510" s="1203">
        <f>'RC1_Arch'!M654</f>
        <v>1682367.0305764999</v>
      </c>
    </row>
    <row r="1511" spans="5:11">
      <c r="E1511" t="str" cm="1">
        <f t="array" ref="E1511">_xlfn.LET(_xlpm.c,'RC1_Arch'!C655, _xlpm.b, 'RC1_Arch'!B655, IF(_xlpm.c&lt;&gt;"", _xlpm.c, _xlpm.b))</f>
        <v>โครงเคร่าเหล็กติดตั้งตามมาตรฐานผู้ผลิต เสนอแบบขออนุมัติก่อนดำเนินการติดตั้ง</v>
      </c>
      <c r="F1511" s="1205"/>
      <c r="G1511" s="1203">
        <f>'RC1_Arch'!F655</f>
        <v>0</v>
      </c>
      <c r="H1511" s="1203">
        <f>'RC1_Arch'!E655</f>
        <v>0</v>
      </c>
      <c r="I1511" s="1203">
        <f>'RC1_Arch'!I655</f>
        <v>0</v>
      </c>
      <c r="J1511" s="1203">
        <f>'RC1_Arch'!L655</f>
        <v>0</v>
      </c>
      <c r="K1511" s="1203">
        <f>'RC1_Arch'!M655</f>
        <v>0</v>
      </c>
    </row>
    <row r="1512" spans="5:11">
      <c r="E1512" t="str" cm="1">
        <f t="array" ref="E1512">_xlfn.LET(_xlpm.c,'RC1_Arch'!C656, _xlpm.b, 'RC1_Arch'!B656, IF(_xlpm.c&lt;&gt;"", _xlpm.c, _xlpm.b))</f>
        <v>งานดัดโค้ง</v>
      </c>
      <c r="F1512" s="1205"/>
      <c r="G1512" s="1203" t="str">
        <f>'RC1_Arch'!F656</f>
        <v>ตร.ม.</v>
      </c>
      <c r="H1512" s="1203">
        <f>'RC1_Arch'!E656</f>
        <v>610</v>
      </c>
      <c r="I1512" s="1203">
        <f>'RC1_Arch'!I656</f>
        <v>0</v>
      </c>
      <c r="J1512" s="1203">
        <f>'RC1_Arch'!L656</f>
        <v>541779.21323649993</v>
      </c>
      <c r="K1512" s="1203">
        <f>'RC1_Arch'!M656</f>
        <v>541779.21323649993</v>
      </c>
    </row>
    <row r="1513" spans="5:11">
      <c r="E1513" t="str" cm="1">
        <f t="array" ref="E1513">_xlfn.LET(_xlpm.c,'RC1_Arch'!C657, _xlpm.b, 'RC1_Arch'!B657, IF(_xlpm.c&lt;&gt;"", _xlpm.c, _xlpm.b))</f>
        <v>งานโครงสร้างเหล็ก</v>
      </c>
      <c r="F1513" s="1205"/>
      <c r="G1513" s="1203">
        <f>'RC1_Arch'!F657</f>
        <v>0</v>
      </c>
      <c r="H1513" s="1203" t="str">
        <f>'RC1_Arch'!E657</f>
        <v xml:space="preserve">*ดูรายละเอียดงานวิศวกรรมโครงสร้าง </v>
      </c>
      <c r="I1513" s="1203">
        <f>'RC1_Arch'!I657</f>
        <v>0</v>
      </c>
      <c r="J1513" s="1203">
        <f>'RC1_Arch'!L657</f>
        <v>0</v>
      </c>
      <c r="K1513" s="1203">
        <f>'RC1_Arch'!M657</f>
        <v>0</v>
      </c>
    </row>
    <row r="1514" spans="5:11">
      <c r="E1514" t="str" cm="1">
        <f t="array" ref="E1514">_xlfn.LET(_xlpm.c,'RC1_Arch'!C658, _xlpm.b, 'RC1_Arch'!B658, IF(_xlpm.c&lt;&gt;"", _xlpm.c, _xlpm.b))</f>
        <v>งานทาสีกันสนิม งานโครงสร้างเหล็ก</v>
      </c>
      <c r="F1514" s="1205"/>
      <c r="G1514" s="1203">
        <f>'RC1_Arch'!F658</f>
        <v>0</v>
      </c>
      <c r="H1514" s="1203" t="str">
        <f>'RC1_Arch'!E658</f>
        <v xml:space="preserve">*ดูรายละเอียดงานวิศวกรรมโครงสร้าง </v>
      </c>
      <c r="I1514" s="1203">
        <f>'RC1_Arch'!I658</f>
        <v>0</v>
      </c>
      <c r="J1514" s="1203">
        <f>'RC1_Arch'!L658</f>
        <v>0</v>
      </c>
      <c r="K1514" s="1203">
        <f>'RC1_Arch'!M658</f>
        <v>0</v>
      </c>
    </row>
    <row r="1515" spans="5:11">
      <c r="E1515" t="str" cm="1">
        <f t="array" ref="E1515">_xlfn.LET(_xlpm.c,'RC1_Arch'!C659, _xlpm.b, 'RC1_Arch'!B659, IF(_xlpm.c&lt;&gt;"", _xlpm.c, _xlpm.b))</f>
        <v xml:space="preserve">งานผนัง - พื้นกระจก </v>
      </c>
      <c r="F1515" s="1205"/>
      <c r="G1515" s="1203">
        <f>'RC1_Arch'!F659</f>
        <v>0</v>
      </c>
      <c r="H1515" s="1203">
        <f>'RC1_Arch'!E659</f>
        <v>0</v>
      </c>
      <c r="I1515" s="1203">
        <f>'RC1_Arch'!I659</f>
        <v>0</v>
      </c>
      <c r="J1515" s="1203">
        <f>'RC1_Arch'!L659</f>
        <v>0</v>
      </c>
      <c r="K1515" s="1203">
        <f>'RC1_Arch'!M659</f>
        <v>0</v>
      </c>
    </row>
    <row r="1516" spans="5:11">
      <c r="E1516" t="str" cm="1">
        <f t="array" ref="E1516">_xlfn.LET(_xlpm.c,'RC1_Arch'!C660, _xlpm.b, 'RC1_Arch'!B660, IF(_xlpm.c&lt;&gt;"", _xlpm.c, _xlpm.b))</f>
        <v>พื้นกระจก HEAT STRENGTH INP FILM  LAMINATE 10+10 CRYSTAL CLEAR</v>
      </c>
      <c r="F1516" s="1205"/>
      <c r="G1516" s="1203" t="str">
        <f>'RC1_Arch'!F660</f>
        <v>ตร.ม.</v>
      </c>
      <c r="H1516" s="1203">
        <f>'RC1_Arch'!E660</f>
        <v>50</v>
      </c>
      <c r="I1516" s="1203">
        <f>'RC1_Arch'!I660</f>
        <v>747926.43760000006</v>
      </c>
      <c r="J1516" s="1203">
        <f>'RC1_Arch'!L660</f>
        <v>179969.79904749998</v>
      </c>
      <c r="K1516" s="1203">
        <f>'RC1_Arch'!M660</f>
        <v>927896.23664750007</v>
      </c>
    </row>
    <row r="1517" spans="5:11">
      <c r="E1517" t="str" cm="1">
        <f t="array" ref="E1517">_xlfn.LET(_xlpm.c,'RC1_Arch'!C661, _xlpm.b, 'RC1_Arch'!B661, IF(_xlpm.c&lt;&gt;"", _xlpm.c, _xlpm.b))</f>
        <v>งานผนังกระจกโค้งกระจก HEAT STRENGTH INP FILM LAMINATE 8+8  CRYSTAL CLEAR</v>
      </c>
      <c r="F1517" s="1205"/>
      <c r="G1517" s="1203" t="str">
        <f>'RC1_Arch'!F661</f>
        <v>ตร.ม.</v>
      </c>
      <c r="H1517" s="1203">
        <f>'RC1_Arch'!E661</f>
        <v>63</v>
      </c>
      <c r="I1517" s="1203">
        <f>'RC1_Arch'!I661</f>
        <v>1413580.9670639997</v>
      </c>
      <c r="J1517" s="1203">
        <f>'RC1_Arch'!L661</f>
        <v>226761.94679984997</v>
      </c>
      <c r="K1517" s="1203">
        <f>'RC1_Arch'!M661</f>
        <v>1640342.9138638498</v>
      </c>
    </row>
    <row r="1518" spans="5:11">
      <c r="E1518" t="str" cm="1">
        <f t="array" ref="E1518">_xlfn.LET(_xlpm.c,'RC1_Arch'!C662, _xlpm.b, 'RC1_Arch'!B662, IF(_xlpm.c&lt;&gt;"", _xlpm.c, _xlpm.b))</f>
        <v>ผนังกรุแผ่นเหล็ก 6 มม. ขัดรอยต่อเรียบ ดัดโค้งตามแบบ เสนอแบบขออนุมัติก่อนการติดตั้ง</v>
      </c>
      <c r="F1518" s="1205"/>
      <c r="G1518" s="1203" t="str">
        <f>'RC1_Arch'!F662</f>
        <v>ตร.ม.</v>
      </c>
      <c r="H1518" s="1203">
        <f>'RC1_Arch'!E662</f>
        <v>80</v>
      </c>
      <c r="I1518" s="1203">
        <f>'RC1_Arch'!I662</f>
        <v>224377.93127999996</v>
      </c>
      <c r="J1518" s="1203">
        <f>'RC1_Arch'!L662</f>
        <v>74792.643760000006</v>
      </c>
      <c r="K1518" s="1203">
        <f>'RC1_Arch'!M662</f>
        <v>299170.57503999997</v>
      </c>
    </row>
    <row r="1519" spans="5:11">
      <c r="E1519" t="str" cm="1">
        <f t="array" ref="E1519">_xlfn.LET(_xlpm.c,'RC1_Arch'!C663, _xlpm.b, 'RC1_Arch'!B663, IF(_xlpm.c&lt;&gt;"", _xlpm.c, _xlpm.b))</f>
        <v xml:space="preserve">ทำสีพ่น COPPER เทียบสีผนัง P5.4 โครงเคร่าเหล็กติดตั้งตามมาตรฐานผู้ผลิต </v>
      </c>
      <c r="F1519" s="1205"/>
      <c r="G1519" s="1203" t="str">
        <f>'RC1_Arch'!F663</f>
        <v>ตร.ม.</v>
      </c>
      <c r="H1519" s="1203">
        <f>'RC1_Arch'!E663</f>
        <v>80</v>
      </c>
      <c r="I1519" s="1203">
        <f>'RC1_Arch'!I663</f>
        <v>11218.896563999999</v>
      </c>
      <c r="J1519" s="1203">
        <f>'RC1_Arch'!L663</f>
        <v>5983.4115008000008</v>
      </c>
      <c r="K1519" s="1203">
        <f>'RC1_Arch'!M663</f>
        <v>17202.3080648</v>
      </c>
    </row>
    <row r="1520" spans="5:11">
      <c r="E1520" t="str" cm="1">
        <f t="array" ref="E1520">_xlfn.LET(_xlpm.c,'RC1_Arch'!C664, _xlpm.b, 'RC1_Arch'!B664, IF(_xlpm.c&lt;&gt;"", _xlpm.c, _xlpm.b))</f>
        <v>ค่าดำเนินการติดตั้ง</v>
      </c>
      <c r="F1520" s="1205"/>
      <c r="G1520" s="1203" t="str">
        <f>'RC1_Arch'!F664</f>
        <v>งาน</v>
      </c>
      <c r="H1520" s="1203">
        <f>'RC1_Arch'!E664</f>
        <v>1</v>
      </c>
      <c r="I1520" s="1203">
        <f>'RC1_Arch'!I664</f>
        <v>46745.402349999997</v>
      </c>
      <c r="J1520" s="1203">
        <f>'RC1_Arch'!L664</f>
        <v>0</v>
      </c>
      <c r="K1520" s="1203">
        <f>'RC1_Arch'!M664</f>
        <v>46745.402349999997</v>
      </c>
    </row>
    <row r="1521" spans="5:11">
      <c r="E1521" cm="1">
        <f t="array" ref="E1521">_xlfn.LET(_xlpm.c,'RC1_Arch'!C665, _xlpm.b, 'RC1_Arch'!B665, IF(_xlpm.c&lt;&gt;"", _xlpm.c, _xlpm.b))</f>
        <v>0</v>
      </c>
      <c r="F1521" s="1205"/>
      <c r="G1521" s="1203">
        <f>'RC1_Arch'!F665</f>
        <v>0</v>
      </c>
      <c r="H1521" s="1203">
        <f>'RC1_Arch'!E665</f>
        <v>0</v>
      </c>
      <c r="I1521" s="1203">
        <f>'RC1_Arch'!I665</f>
        <v>0</v>
      </c>
      <c r="J1521" s="1203">
        <f>'RC1_Arch'!L665</f>
        <v>0</v>
      </c>
      <c r="K1521" s="1203">
        <f>'RC1_Arch'!M665</f>
        <v>0</v>
      </c>
    </row>
    <row r="1522" spans="5:11">
      <c r="E1522" cm="1">
        <f t="array" ref="E1522">_xlfn.LET(_xlpm.c,'RC1_Arch'!C666, _xlpm.b, 'RC1_Arch'!B666, IF(_xlpm.c&lt;&gt;"", _xlpm.c, _xlpm.b))</f>
        <v>0</v>
      </c>
      <c r="F1522" s="1205"/>
      <c r="G1522" s="1203">
        <f>'RC1_Arch'!F666</f>
        <v>0</v>
      </c>
      <c r="H1522" s="1203">
        <f>'RC1_Arch'!E666</f>
        <v>0</v>
      </c>
      <c r="I1522" s="1203">
        <f>'RC1_Arch'!I666</f>
        <v>0</v>
      </c>
      <c r="J1522" s="1203">
        <f>'RC1_Arch'!L666</f>
        <v>0</v>
      </c>
      <c r="K1522" s="1203">
        <f>'RC1_Arch'!M666</f>
        <v>0</v>
      </c>
    </row>
    <row r="1523" spans="5:11">
      <c r="E1523" t="str" cm="1">
        <f t="array" ref="E1523">_xlfn.LET(_xlpm.c,'RC1_Arch'!C667, _xlpm.b, 'RC1_Arch'!B667, IF(_xlpm.c&lt;&gt;"", _xlpm.c, _xlpm.b))</f>
        <v>งานบันได Urban Void</v>
      </c>
      <c r="F1523" s="1205"/>
      <c r="G1523" s="1203">
        <f>'RC1_Arch'!F667</f>
        <v>0</v>
      </c>
      <c r="H1523" s="1203">
        <f>'RC1_Arch'!E667</f>
        <v>0</v>
      </c>
      <c r="I1523" s="1203">
        <f>'RC1_Arch'!I667</f>
        <v>0</v>
      </c>
      <c r="J1523" s="1203">
        <f>'RC1_Arch'!L667</f>
        <v>0</v>
      </c>
      <c r="K1523" s="1203">
        <f>'RC1_Arch'!M667</f>
        <v>0</v>
      </c>
    </row>
    <row r="1524" spans="5:11">
      <c r="E1524" t="str" cm="1">
        <f t="array" ref="E1524">_xlfn.LET(_xlpm.c,'RC1_Arch'!C668, _xlpm.b, 'RC1_Arch'!B668, IF(_xlpm.c&lt;&gt;"", _xlpm.c, _xlpm.b))</f>
        <v xml:space="preserve">งานขั้นบันไดผิวหินขัดสำเร็จรูป เม็ดหินขาว-มุก เบอร์ 4½  ระบุขนาดและลายภายหลัง </v>
      </c>
      <c r="F1524" s="1205"/>
      <c r="G1524" s="1203" t="str">
        <f>'RC1_Arch'!F668</f>
        <v>เมตร</v>
      </c>
      <c r="H1524" s="1203">
        <f>'RC1_Arch'!E668</f>
        <v>214</v>
      </c>
      <c r="I1524" s="1203">
        <f>'RC1_Arch'!I668</f>
        <v>80028.128823199993</v>
      </c>
      <c r="J1524" s="1203">
        <f>'RC1_Arch'!L668</f>
        <v>36012.657970439999</v>
      </c>
      <c r="K1524" s="1203">
        <f>'RC1_Arch'!M668</f>
        <v>116040.78679364</v>
      </c>
    </row>
    <row r="1525" spans="5:11">
      <c r="E1525" t="str" cm="1">
        <f t="array" ref="E1525">_xlfn.LET(_xlpm.c,'RC1_Arch'!C669, _xlpm.b, 'RC1_Arch'!B669, IF(_xlpm.c&lt;&gt;"", _xlpm.c, _xlpm.b))</f>
        <v>พร้อมลงน้ำยาเคลือบ กว้างประมาณ 500 -1000 มม. ตามแบบ</v>
      </c>
      <c r="F1525" s="1205"/>
      <c r="G1525" s="1203">
        <f>'RC1_Arch'!F669</f>
        <v>0</v>
      </c>
      <c r="H1525" s="1203">
        <f>'RC1_Arch'!E669</f>
        <v>0</v>
      </c>
      <c r="I1525" s="1203">
        <f>'RC1_Arch'!I669</f>
        <v>0</v>
      </c>
      <c r="J1525" s="1203">
        <f>'RC1_Arch'!L669</f>
        <v>0</v>
      </c>
      <c r="K1525" s="1203">
        <f>'RC1_Arch'!M669</f>
        <v>0</v>
      </c>
    </row>
    <row r="1526" spans="5:11">
      <c r="E1526" t="str" cm="1">
        <f t="array" ref="E1526">_xlfn.LET(_xlpm.c,'RC1_Arch'!C670, _xlpm.b, 'RC1_Arch'!B670, IF(_xlpm.c&lt;&gt;"", _xlpm.c, _xlpm.b))</f>
        <v xml:space="preserve">งานขั้นบันไดผิวหินขัดสำเร็จรูป เม็ดหินขาว-มุก เบอร์ 4½  ระบุขนาดและลายภายหลัง </v>
      </c>
      <c r="F1526" s="1205"/>
      <c r="G1526" s="1203" t="str">
        <f>'RC1_Arch'!F670</f>
        <v>เมตร</v>
      </c>
      <c r="H1526" s="1203">
        <f>'RC1_Arch'!E670</f>
        <v>64</v>
      </c>
      <c r="I1526" s="1203">
        <f>'RC1_Arch'!I670</f>
        <v>13163.50530176</v>
      </c>
      <c r="J1526" s="1203">
        <f>'RC1_Arch'!L670</f>
        <v>7180.0938009599995</v>
      </c>
      <c r="K1526" s="1203">
        <f>'RC1_Arch'!M670</f>
        <v>20343.59910272</v>
      </c>
    </row>
    <row r="1527" spans="5:11">
      <c r="E1527" t="str" cm="1">
        <f t="array" ref="E1527">_xlfn.LET(_xlpm.c,'RC1_Arch'!C671, _xlpm.b, 'RC1_Arch'!B671, IF(_xlpm.c&lt;&gt;"", _xlpm.c, _xlpm.b))</f>
        <v>พร้อมลงน้ำยาเคลือบ กว้างประมาณ 250 -300 มม. ตามแบบ</v>
      </c>
      <c r="F1527" s="1205"/>
      <c r="G1527" s="1203">
        <f>'RC1_Arch'!F671</f>
        <v>0</v>
      </c>
      <c r="H1527" s="1203">
        <f>'RC1_Arch'!E671</f>
        <v>0</v>
      </c>
      <c r="I1527" s="1203">
        <f>'RC1_Arch'!I671</f>
        <v>0</v>
      </c>
      <c r="J1527" s="1203">
        <f>'RC1_Arch'!L671</f>
        <v>0</v>
      </c>
      <c r="K1527" s="1203">
        <f>'RC1_Arch'!M671</f>
        <v>0</v>
      </c>
    </row>
    <row r="1528" spans="5:11">
      <c r="E1528" t="str" cm="1">
        <f t="array" ref="E1528">_xlfn.LET(_xlpm.c,'RC1_Arch'!C672, _xlpm.b, 'RC1_Arch'!B672, IF(_xlpm.c&lt;&gt;"", _xlpm.c, _xlpm.b))</f>
        <v>Checkered Plate THK.6 mm.</v>
      </c>
      <c r="F1528" s="1205"/>
      <c r="G1528" s="1203" t="str">
        <f>'RC1_Arch'!F672</f>
        <v>ตร.ม.</v>
      </c>
      <c r="H1528" s="1203">
        <f>'RC1_Arch'!E672</f>
        <v>495</v>
      </c>
      <c r="I1528" s="1203">
        <f>'RC1_Arch'!I672</f>
        <v>763586.14738724998</v>
      </c>
      <c r="J1528" s="1203">
        <f>'RC1_Arch'!L672</f>
        <v>231389.74163249999</v>
      </c>
      <c r="K1528" s="1203">
        <f>'RC1_Arch'!M672</f>
        <v>994975.88901974994</v>
      </c>
    </row>
    <row r="1529" spans="5:11">
      <c r="E1529" t="str" cm="1">
        <f t="array" ref="E1529">_xlfn.LET(_xlpm.c,'RC1_Arch'!C673, _xlpm.b, 'RC1_Arch'!B673, IF(_xlpm.c&lt;&gt;"", _xlpm.c, _xlpm.b))</f>
        <v>จมูกบันได แบบที่ 2</v>
      </c>
      <c r="F1529" s="1205"/>
      <c r="G1529" s="1203" t="str">
        <f>'RC1_Arch'!F673</f>
        <v>เมตร</v>
      </c>
      <c r="H1529" s="1203">
        <f>'RC1_Arch'!E673</f>
        <v>325</v>
      </c>
      <c r="I1529" s="1203">
        <f>'RC1_Arch'!I673</f>
        <v>60769.023054999998</v>
      </c>
      <c r="J1529" s="1203">
        <f>'RC1_Arch'!L673</f>
        <v>24307.609222000003</v>
      </c>
      <c r="K1529" s="1203">
        <f>'RC1_Arch'!M673</f>
        <v>85076.632276999997</v>
      </c>
    </row>
    <row r="1530" spans="5:11">
      <c r="E1530" t="str" cm="1">
        <f t="array" ref="E1530">_xlfn.LET(_xlpm.c,'RC1_Arch'!C674, _xlpm.b, 'RC1_Arch'!B674, IF(_xlpm.c&lt;&gt;"", _xlpm.c, _xlpm.b))</f>
        <v>งานโครงสร้างเหล็ก</v>
      </c>
      <c r="F1530" s="1205"/>
      <c r="G1530" s="1203">
        <f>'RC1_Arch'!F674</f>
        <v>0</v>
      </c>
      <c r="H1530" s="1203" t="str">
        <f>'RC1_Arch'!E674</f>
        <v xml:space="preserve">*ดูรายละเอียดงานวิศวกรรมโครงสร้าง </v>
      </c>
      <c r="I1530" s="1203">
        <f>'RC1_Arch'!I674</f>
        <v>0</v>
      </c>
      <c r="J1530" s="1203">
        <f>'RC1_Arch'!L674</f>
        <v>0</v>
      </c>
      <c r="K1530" s="1203">
        <f>'RC1_Arch'!M674</f>
        <v>0</v>
      </c>
    </row>
    <row r="1531" spans="5:11">
      <c r="E1531" t="str" cm="1">
        <f t="array" ref="E1531">_xlfn.LET(_xlpm.c,'RC1_Arch'!C675, _xlpm.b, 'RC1_Arch'!B675, IF(_xlpm.c&lt;&gt;"", _xlpm.c, _xlpm.b))</f>
        <v>งานทาสีน้ำมันอัลคิด โครงสร้างเหล็กทั้งหมด</v>
      </c>
      <c r="F1531" s="1205"/>
      <c r="G1531" s="1203">
        <f>'RC1_Arch'!F675</f>
        <v>0</v>
      </c>
      <c r="H1531" s="1203" t="str">
        <f>'RC1_Arch'!E675</f>
        <v xml:space="preserve">*ดูรายละเอียดงานวิศวกรรมโครงสร้าง </v>
      </c>
      <c r="I1531" s="1203">
        <f>'RC1_Arch'!I675</f>
        <v>0</v>
      </c>
      <c r="J1531" s="1203">
        <f>'RC1_Arch'!L675</f>
        <v>0</v>
      </c>
      <c r="K1531" s="1203">
        <f>'RC1_Arch'!M675</f>
        <v>0</v>
      </c>
    </row>
    <row r="1532" spans="5:11">
      <c r="E1532" t="str" cm="1">
        <f t="array" ref="E1532">_xlfn.LET(_xlpm.c,'RC1_Arch'!C676, _xlpm.b, 'RC1_Arch'!B676, IF(_xlpm.c&lt;&gt;"", _xlpm.c, _xlpm.b))</f>
        <v>รวมราคงาน Urban Void</v>
      </c>
      <c r="F1532" s="1205"/>
      <c r="G1532" s="1203">
        <f>'RC1_Arch'!F676</f>
        <v>0</v>
      </c>
      <c r="H1532" s="1203">
        <f>'RC1_Arch'!E676</f>
        <v>0</v>
      </c>
      <c r="I1532" s="1203">
        <f>'RC1_Arch'!I676</f>
        <v>0</v>
      </c>
      <c r="J1532" s="1203">
        <f>'RC1_Arch'!L676</f>
        <v>0</v>
      </c>
      <c r="K1532" s="1203">
        <f>'RC1_Arch'!M676</f>
        <v>6371940.5869722581</v>
      </c>
    </row>
    <row r="1533" spans="5:11">
      <c r="E1533" cm="1">
        <f t="array" ref="E1533">_xlfn.LET(_xlpm.c,'RC1_Arch'!C677, _xlpm.b, 'RC1_Arch'!B677, IF(_xlpm.c&lt;&gt;"", _xlpm.c, _xlpm.b))</f>
        <v>0</v>
      </c>
      <c r="F1533" s="1205"/>
      <c r="G1533" s="1203">
        <f>'RC1_Arch'!F677</f>
        <v>0</v>
      </c>
      <c r="H1533" s="1203">
        <f>'RC1_Arch'!E677</f>
        <v>0</v>
      </c>
      <c r="I1533" s="1203">
        <f>'RC1_Arch'!I677</f>
        <v>0</v>
      </c>
      <c r="J1533" s="1203">
        <f>'RC1_Arch'!L677</f>
        <v>0</v>
      </c>
      <c r="K1533" s="1203">
        <f>'RC1_Arch'!M677</f>
        <v>0</v>
      </c>
    </row>
    <row r="1534" spans="5:11">
      <c r="E1534" t="str" cm="1">
        <f t="array" ref="E1534">_xlfn.LET(_xlpm.c,'RC1_Arch'!C678, _xlpm.b, 'RC1_Arch'!B678, IF(_xlpm.c&lt;&gt;"", _xlpm.c, _xlpm.b))</f>
        <v>รวมราคงาน Facade และ Urban Void</v>
      </c>
      <c r="F1534" s="1205"/>
      <c r="G1534" s="1203">
        <f>'RC1_Arch'!F678</f>
        <v>0</v>
      </c>
      <c r="H1534" s="1203">
        <f>'RC1_Arch'!E678</f>
        <v>0</v>
      </c>
      <c r="I1534" s="1203">
        <f>'RC1_Arch'!I678</f>
        <v>0</v>
      </c>
      <c r="J1534" s="1203">
        <f>'RC1_Arch'!L678</f>
        <v>0</v>
      </c>
      <c r="K1534" s="1203">
        <f>'RC1_Arch'!M678</f>
        <v>16799203.762175009</v>
      </c>
    </row>
    <row r="1535" spans="5:11">
      <c r="E1535" cm="1">
        <f t="array" ref="E1535">_xlfn.LET(_xlpm.c,'RC1_Arch'!C679, _xlpm.b, 'RC1_Arch'!B679, IF(_xlpm.c&lt;&gt;"", _xlpm.c, _xlpm.b))</f>
        <v>0</v>
      </c>
      <c r="F1535" s="1205"/>
      <c r="G1535" s="1203">
        <f>'RC1_Arch'!F679</f>
        <v>0</v>
      </c>
      <c r="H1535" s="1203">
        <f>'RC1_Arch'!E679</f>
        <v>0</v>
      </c>
      <c r="I1535" s="1203">
        <f>'RC1_Arch'!I679</f>
        <v>0</v>
      </c>
      <c r="J1535" s="1203">
        <f>'RC1_Arch'!L679</f>
        <v>0</v>
      </c>
      <c r="K1535" s="1203">
        <f>'RC1_Arch'!M679</f>
        <v>0</v>
      </c>
    </row>
    <row r="1536" spans="5:11">
      <c r="E1536" cm="1">
        <f t="array" ref="E1536">_xlfn.LET(_xlpm.c,'RC1_Arch'!C680, _xlpm.b, 'RC1_Arch'!B680, IF(_xlpm.c&lt;&gt;"", _xlpm.c, _xlpm.b))</f>
        <v>0</v>
      </c>
      <c r="F1536" s="1205"/>
      <c r="G1536" s="1203">
        <f>'RC1_Arch'!F680</f>
        <v>0</v>
      </c>
      <c r="H1536" s="1203">
        <f>'RC1_Arch'!E680</f>
        <v>0</v>
      </c>
      <c r="I1536" s="1203">
        <f>'RC1_Arch'!I680</f>
        <v>0</v>
      </c>
      <c r="J1536" s="1203">
        <f>'RC1_Arch'!L680</f>
        <v>0</v>
      </c>
      <c r="K1536" s="1203">
        <f>'RC1_Arch'!M680</f>
        <v>0</v>
      </c>
    </row>
    <row r="1537" spans="5:11">
      <c r="E1537" cm="1">
        <f t="array" ref="E1537">_xlfn.LET(_xlpm.c,'RC1_Arch'!C681, _xlpm.b, 'RC1_Arch'!B681, IF(_xlpm.c&lt;&gt;"", _xlpm.c, _xlpm.b))</f>
        <v>0</v>
      </c>
      <c r="F1537" s="1205"/>
      <c r="G1537" s="1203">
        <f>'RC1_Arch'!F681</f>
        <v>0</v>
      </c>
      <c r="H1537" s="1203">
        <f>'RC1_Arch'!E681</f>
        <v>0</v>
      </c>
      <c r="I1537" s="1203">
        <f>'RC1_Arch'!I681</f>
        <v>0</v>
      </c>
      <c r="J1537" s="1203">
        <f>'RC1_Arch'!L681</f>
        <v>0</v>
      </c>
      <c r="K1537" s="1203">
        <f>'RC1_Arch'!M681</f>
        <v>0</v>
      </c>
    </row>
    <row r="1538" spans="5:11">
      <c r="E1538" cm="1">
        <f t="array" ref="E1538">_xlfn.LET(_xlpm.c,'RC1_Arch'!C682, _xlpm.b, 'RC1_Arch'!B682, IF(_xlpm.c&lt;&gt;"", _xlpm.c, _xlpm.b))</f>
        <v>0</v>
      </c>
      <c r="F1538" s="1205"/>
      <c r="G1538" s="1203">
        <f>'RC1_Arch'!F682</f>
        <v>0</v>
      </c>
      <c r="H1538" s="1203">
        <f>'RC1_Arch'!E682</f>
        <v>0</v>
      </c>
      <c r="I1538" s="1203">
        <f>'RC1_Arch'!I682</f>
        <v>0</v>
      </c>
      <c r="J1538" s="1203">
        <f>'RC1_Arch'!L682</f>
        <v>0</v>
      </c>
      <c r="K1538" s="1203">
        <f>'RC1_Arch'!M682</f>
        <v>0</v>
      </c>
    </row>
    <row r="1539" spans="5:11">
      <c r="E1539" cm="1">
        <f t="array" ref="E1539">_xlfn.LET(_xlpm.c,'RC1_Arch'!C683, _xlpm.b, 'RC1_Arch'!B683, IF(_xlpm.c&lt;&gt;"", _xlpm.c, _xlpm.b))</f>
        <v>0</v>
      </c>
      <c r="F1539" s="1205"/>
      <c r="G1539" s="1203">
        <f>'RC1_Arch'!F683</f>
        <v>0</v>
      </c>
      <c r="H1539" s="1203">
        <f>'RC1_Arch'!E683</f>
        <v>0</v>
      </c>
      <c r="I1539" s="1203">
        <f>'RC1_Arch'!I683</f>
        <v>0</v>
      </c>
      <c r="J1539" s="1203">
        <f>'RC1_Arch'!L683</f>
        <v>0</v>
      </c>
      <c r="K1539" s="1203">
        <f>'RC1_Arch'!M683</f>
        <v>0</v>
      </c>
    </row>
    <row r="1540" spans="5:11">
      <c r="E1540" cm="1">
        <f t="array" ref="E1540">_xlfn.LET(_xlpm.c,'RC1_Arch'!C684, _xlpm.b, 'RC1_Arch'!B684, IF(_xlpm.c&lt;&gt;"", _xlpm.c, _xlpm.b))</f>
        <v>0</v>
      </c>
      <c r="F1540" s="1205"/>
      <c r="G1540" s="1203">
        <f>'RC1_Arch'!F684</f>
        <v>0</v>
      </c>
      <c r="H1540" s="1203">
        <f>'RC1_Arch'!E684</f>
        <v>0</v>
      </c>
      <c r="I1540" s="1203">
        <f>'RC1_Arch'!I684</f>
        <v>0</v>
      </c>
      <c r="J1540" s="1203">
        <f>'RC1_Arch'!L684</f>
        <v>0</v>
      </c>
      <c r="K1540" s="1203">
        <f>'RC1_Arch'!M684</f>
        <v>0</v>
      </c>
    </row>
    <row r="1541" spans="5:11">
      <c r="E1541" cm="1">
        <f t="array" ref="E1541">_xlfn.LET(_xlpm.c,'RC1_Arch'!C685, _xlpm.b, 'RC1_Arch'!B685, IF(_xlpm.c&lt;&gt;"", _xlpm.c, _xlpm.b))</f>
        <v>0</v>
      </c>
      <c r="F1541" s="1205"/>
      <c r="G1541" s="1203">
        <f>'RC1_Arch'!F685</f>
        <v>0</v>
      </c>
      <c r="H1541" s="1203">
        <f>'RC1_Arch'!E685</f>
        <v>0</v>
      </c>
      <c r="I1541" s="1203">
        <f>'RC1_Arch'!I685</f>
        <v>0</v>
      </c>
      <c r="J1541" s="1203">
        <f>'RC1_Arch'!L685</f>
        <v>0</v>
      </c>
      <c r="K1541" s="1203">
        <f>'RC1_Arch'!M685</f>
        <v>0</v>
      </c>
    </row>
    <row r="1542" spans="5:11">
      <c r="E1542" cm="1">
        <f t="array" ref="E1542">_xlfn.LET(_xlpm.c,'RC1_Arch'!C686, _xlpm.b, 'RC1_Arch'!B686, IF(_xlpm.c&lt;&gt;"", _xlpm.c, _xlpm.b))</f>
        <v>0</v>
      </c>
      <c r="F1542" s="1205"/>
      <c r="G1542" s="1203">
        <f>'RC1_Arch'!F686</f>
        <v>0</v>
      </c>
      <c r="H1542" s="1203">
        <f>'RC1_Arch'!E686</f>
        <v>0</v>
      </c>
      <c r="I1542" s="1203">
        <f>'RC1_Arch'!I686</f>
        <v>0</v>
      </c>
      <c r="J1542" s="1203">
        <f>'RC1_Arch'!L686</f>
        <v>0</v>
      </c>
      <c r="K1542" s="1203">
        <f>'RC1_Arch'!M686</f>
        <v>0</v>
      </c>
    </row>
    <row r="1543" spans="5:11">
      <c r="E1543" cm="1">
        <f t="array" ref="E1543">_xlfn.LET(_xlpm.c,'RC1_Arch'!C687, _xlpm.b, 'RC1_Arch'!B687, IF(_xlpm.c&lt;&gt;"", _xlpm.c, _xlpm.b))</f>
        <v>0</v>
      </c>
      <c r="F1543" s="1205"/>
      <c r="G1543" s="1203">
        <f>'RC1_Arch'!F687</f>
        <v>0</v>
      </c>
      <c r="H1543" s="1203">
        <f>'RC1_Arch'!E687</f>
        <v>0</v>
      </c>
      <c r="I1543" s="1203">
        <f>'RC1_Arch'!I687</f>
        <v>0</v>
      </c>
      <c r="J1543" s="1203">
        <f>'RC1_Arch'!L687</f>
        <v>0</v>
      </c>
      <c r="K1543" s="1203">
        <f>'RC1_Arch'!M687</f>
        <v>0</v>
      </c>
    </row>
    <row r="1544" spans="5:11">
      <c r="E1544" cm="1">
        <f t="array" ref="E1544">_xlfn.LET(_xlpm.c,'RC1_Arch'!C688, _xlpm.b, 'RC1_Arch'!B688, IF(_xlpm.c&lt;&gt;"", _xlpm.c, _xlpm.b))</f>
        <v>0</v>
      </c>
      <c r="F1544" s="1205"/>
      <c r="G1544" s="1203">
        <f>'RC1_Arch'!F688</f>
        <v>0</v>
      </c>
      <c r="H1544" s="1203">
        <f>'RC1_Arch'!E688</f>
        <v>0</v>
      </c>
      <c r="I1544" s="1203">
        <f>'RC1_Arch'!I688</f>
        <v>0</v>
      </c>
      <c r="J1544" s="1203">
        <f>'RC1_Arch'!L688</f>
        <v>0</v>
      </c>
      <c r="K1544" s="1203">
        <f>'RC1_Arch'!M688</f>
        <v>0</v>
      </c>
    </row>
    <row r="1545" spans="5:11">
      <c r="E1545" cm="1">
        <f t="array" ref="E1545">_xlfn.LET(_xlpm.c,'RC1_Arch'!C689, _xlpm.b, 'RC1_Arch'!B689, IF(_xlpm.c&lt;&gt;"", _xlpm.c, _xlpm.b))</f>
        <v>0</v>
      </c>
      <c r="F1545" s="1205"/>
      <c r="G1545" s="1203">
        <f>'RC1_Arch'!F689</f>
        <v>0</v>
      </c>
      <c r="H1545" s="1203">
        <f>'RC1_Arch'!E689</f>
        <v>0</v>
      </c>
      <c r="I1545" s="1203">
        <f>'RC1_Arch'!I689</f>
        <v>0</v>
      </c>
      <c r="J1545" s="1203">
        <f>'RC1_Arch'!L689</f>
        <v>0</v>
      </c>
      <c r="K1545" s="1203">
        <f>'RC1_Arch'!M689</f>
        <v>0</v>
      </c>
    </row>
    <row r="1546" spans="5:11">
      <c r="E1546" cm="1">
        <f t="array" ref="E1546">_xlfn.LET(_xlpm.c,'RC1_Arch'!C690, _xlpm.b, 'RC1_Arch'!B690, IF(_xlpm.c&lt;&gt;"", _xlpm.c, _xlpm.b))</f>
        <v>0</v>
      </c>
      <c r="F1546" s="1205"/>
      <c r="G1546" s="1203">
        <f>'RC1_Arch'!F690</f>
        <v>0</v>
      </c>
      <c r="H1546" s="1203">
        <f>'RC1_Arch'!E690</f>
        <v>0</v>
      </c>
      <c r="I1546" s="1203">
        <f>'RC1_Arch'!I690</f>
        <v>0</v>
      </c>
      <c r="J1546" s="1203">
        <f>'RC1_Arch'!L690</f>
        <v>0</v>
      </c>
      <c r="K1546" s="1203">
        <f>'RC1_Arch'!M690</f>
        <v>0</v>
      </c>
    </row>
    <row r="1547" spans="5:11">
      <c r="E1547" cm="1">
        <f t="array" ref="E1547">_xlfn.LET(_xlpm.c,'RC1_Arch'!C691, _xlpm.b, 'RC1_Arch'!B691, IF(_xlpm.c&lt;&gt;"", _xlpm.c, _xlpm.b))</f>
        <v>0</v>
      </c>
      <c r="F1547" s="1205"/>
      <c r="G1547" s="1203">
        <f>'RC1_Arch'!F691</f>
        <v>0</v>
      </c>
      <c r="H1547" s="1203">
        <f>'RC1_Arch'!E691</f>
        <v>0</v>
      </c>
      <c r="I1547" s="1203">
        <f>'RC1_Arch'!I691</f>
        <v>0</v>
      </c>
      <c r="J1547" s="1203">
        <f>'RC1_Arch'!L691</f>
        <v>0</v>
      </c>
      <c r="K1547" s="1203">
        <f>'RC1_Arch'!M691</f>
        <v>0</v>
      </c>
    </row>
    <row r="1548" spans="5:11">
      <c r="E1548" cm="1">
        <f t="array" ref="E1548">_xlfn.LET(_xlpm.c,'RC1_Arch'!C692, _xlpm.b, 'RC1_Arch'!B692, IF(_xlpm.c&lt;&gt;"", _xlpm.c, _xlpm.b))</f>
        <v>0</v>
      </c>
      <c r="F1548" s="1205"/>
      <c r="G1548" s="1203">
        <f>'RC1_Arch'!F692</f>
        <v>0</v>
      </c>
      <c r="H1548" s="1203">
        <f>'RC1_Arch'!E692</f>
        <v>0</v>
      </c>
      <c r="I1548" s="1203">
        <f>'RC1_Arch'!I692</f>
        <v>0</v>
      </c>
      <c r="J1548" s="1203">
        <f>'RC1_Arch'!L692</f>
        <v>0</v>
      </c>
      <c r="K1548" s="1203">
        <f>'RC1_Arch'!M692</f>
        <v>0</v>
      </c>
    </row>
    <row r="1549" spans="5:11">
      <c r="E1549" cm="1">
        <f t="array" ref="E1549">_xlfn.LET(_xlpm.c,'RC1_Arch'!C693, _xlpm.b, 'RC1_Arch'!B693, IF(_xlpm.c&lt;&gt;"", _xlpm.c, _xlpm.b))</f>
        <v>0</v>
      </c>
      <c r="F1549" s="1205"/>
      <c r="G1549" s="1203">
        <f>'RC1_Arch'!F693</f>
        <v>0</v>
      </c>
      <c r="H1549" s="1203">
        <f>'RC1_Arch'!E693</f>
        <v>0</v>
      </c>
      <c r="I1549" s="1203">
        <f>'RC1_Arch'!I693</f>
        <v>0</v>
      </c>
      <c r="J1549" s="1203">
        <f>'RC1_Arch'!L693</f>
        <v>0</v>
      </c>
      <c r="K1549" s="1203">
        <f>'RC1_Arch'!M693</f>
        <v>0</v>
      </c>
    </row>
    <row r="1550" spans="5:11">
      <c r="E1550" t="str" cm="1">
        <f t="array" ref="E1550">_xlfn.LET(_xlpm.c,'RC1_Arch'!C694, _xlpm.b, 'RC1_Arch'!B694, IF(_xlpm.c&lt;&gt;"", _xlpm.c, _xlpm.b))</f>
        <v>งานเบ็ดเตล็ด</v>
      </c>
      <c r="F1550" s="1205"/>
      <c r="G1550" s="1203">
        <f>'RC1_Arch'!F694</f>
        <v>0</v>
      </c>
      <c r="H1550" s="1203">
        <f>'RC1_Arch'!E694</f>
        <v>0</v>
      </c>
      <c r="I1550" s="1203">
        <f>'RC1_Arch'!I694</f>
        <v>0</v>
      </c>
      <c r="J1550" s="1203">
        <f>'RC1_Arch'!L694</f>
        <v>0</v>
      </c>
      <c r="K1550" s="1203">
        <f>'RC1_Arch'!M694</f>
        <v>0</v>
      </c>
    </row>
    <row r="1551" spans="5:11">
      <c r="E1551" cm="1">
        <f t="array" ref="E1551">_xlfn.LET(_xlpm.c,'RC1_Arch'!C695, _xlpm.b, 'RC1_Arch'!B695, IF(_xlpm.c&lt;&gt;"", _xlpm.c, _xlpm.b))</f>
        <v>0</v>
      </c>
      <c r="F1551" s="1205"/>
      <c r="G1551" s="1203">
        <f>'RC1_Arch'!F695</f>
        <v>0</v>
      </c>
      <c r="H1551" s="1203">
        <f>'RC1_Arch'!E695</f>
        <v>0</v>
      </c>
      <c r="I1551" s="1203">
        <f>'RC1_Arch'!I695</f>
        <v>0</v>
      </c>
      <c r="J1551" s="1203">
        <f>'RC1_Arch'!L695</f>
        <v>0</v>
      </c>
      <c r="K1551" s="1203">
        <f>'RC1_Arch'!M695</f>
        <v>0</v>
      </c>
    </row>
    <row r="1552" spans="5:11">
      <c r="E1552" t="str" cm="1">
        <f t="array" ref="E1552">_xlfn.LET(_xlpm.c,'RC1_Arch'!C696, _xlpm.b, 'RC1_Arch'!B696, IF(_xlpm.c&lt;&gt;"", _xlpm.c, _xlpm.b))</f>
        <v>งานกำจัดปลวก</v>
      </c>
      <c r="F1552" s="1205"/>
      <c r="G1552" s="1203" t="str">
        <f>'RC1_Arch'!F696</f>
        <v>ตร.ม.</v>
      </c>
      <c r="H1552" s="1203">
        <f>'RC1_Arch'!E696</f>
        <v>5340</v>
      </c>
      <c r="I1552" s="1203">
        <f>'RC1_Arch'!I696</f>
        <v>449316.80738819996</v>
      </c>
      <c r="J1552" s="1203">
        <f>'RC1_Arch'!L696</f>
        <v>0</v>
      </c>
      <c r="K1552" s="1203">
        <f>'RC1_Arch'!M696</f>
        <v>449316.80738819996</v>
      </c>
    </row>
    <row r="1553" spans="5:11">
      <c r="E1553" t="str" cm="1">
        <f t="array" ref="E1553">_xlfn.LET(_xlpm.c,'RC1_Arch'!C697, _xlpm.b, 'RC1_Arch'!B697, IF(_xlpm.c&lt;&gt;"", _xlpm.c, _xlpm.b))</f>
        <v>งานสีเครื่องหมายจราจร</v>
      </c>
      <c r="F1553" s="1205"/>
      <c r="G1553" s="1203" t="str">
        <f>'RC1_Arch'!F697</f>
        <v>ชุด</v>
      </c>
      <c r="H1553" s="1203">
        <f>'RC1_Arch'!E697</f>
        <v>16</v>
      </c>
      <c r="I1553" s="1203">
        <f>'RC1_Arch'!I697</f>
        <v>11966.8230016</v>
      </c>
      <c r="J1553" s="1203">
        <f>'RC1_Arch'!L697</f>
        <v>0</v>
      </c>
      <c r="K1553" s="1203">
        <f>'RC1_Arch'!M697</f>
        <v>11966.8230016</v>
      </c>
    </row>
    <row r="1554" spans="5:11">
      <c r="E1554" t="str" cm="1">
        <f t="array" ref="E1554">_xlfn.LET(_xlpm.c,'RC1_Arch'!C698, _xlpm.b, 'RC1_Arch'!B698, IF(_xlpm.c&lt;&gt;"", _xlpm.c, _xlpm.b))</f>
        <v>งานสีแนวเส้นที่จอดรถ 100 มม.</v>
      </c>
      <c r="F1554" s="1205"/>
      <c r="G1554" s="1203" t="str">
        <f>'RC1_Arch'!F698</f>
        <v>ชุด</v>
      </c>
      <c r="H1554" s="1203">
        <f>'RC1_Arch'!E698</f>
        <v>51</v>
      </c>
      <c r="I1554" s="1203">
        <f>'RC1_Arch'!I698</f>
        <v>7152.0465595499991</v>
      </c>
      <c r="J1554" s="1203">
        <f>'RC1_Arch'!L698</f>
        <v>0</v>
      </c>
      <c r="K1554" s="1203">
        <f>'RC1_Arch'!M698</f>
        <v>7152.0465595499991</v>
      </c>
    </row>
    <row r="1555" spans="5:11">
      <c r="E1555" t="str" cm="1">
        <f t="array" ref="E1555">_xlfn.LET(_xlpm.c,'RC1_Arch'!C699, _xlpm.b, 'RC1_Arch'!B699, IF(_xlpm.c&lt;&gt;"", _xlpm.c, _xlpm.b))</f>
        <v>งานสีแนวเส้นสัญลักษณ์ที่จอดรถคนพิการ</v>
      </c>
      <c r="F1555" s="1205"/>
      <c r="G1555" s="1203" t="str">
        <f>'RC1_Arch'!F699</f>
        <v>ชุด</v>
      </c>
      <c r="H1555" s="1203">
        <f>'RC1_Arch'!E699</f>
        <v>3</v>
      </c>
      <c r="I1555" s="1203">
        <f>'RC1_Arch'!I699</f>
        <v>4207.0862115</v>
      </c>
      <c r="J1555" s="1203">
        <f>'RC1_Arch'!L699</f>
        <v>0</v>
      </c>
      <c r="K1555" s="1203">
        <f>'RC1_Arch'!M699</f>
        <v>4207.0862115</v>
      </c>
    </row>
    <row r="1556" spans="5:11">
      <c r="E1556" t="str" cm="1">
        <f t="array" ref="E1556">_xlfn.LET(_xlpm.c,'RC1_Arch'!C700, _xlpm.b, 'RC1_Arch'!B700, IF(_xlpm.c&lt;&gt;"", _xlpm.c, _xlpm.b))</f>
        <v>งานขอบกั้นล้อ ค.ส.ล. เปลือยผิว</v>
      </c>
      <c r="F1556" s="1205"/>
      <c r="G1556" s="1203" t="str">
        <f>'RC1_Arch'!F700</f>
        <v>ชุด</v>
      </c>
      <c r="H1556" s="1203">
        <f>'RC1_Arch'!E700</f>
        <v>51</v>
      </c>
      <c r="I1556" s="1203">
        <f>'RC1_Arch'!I700</f>
        <v>16373.4185903298</v>
      </c>
      <c r="J1556" s="1203">
        <f>'RC1_Arch'!L700</f>
        <v>4768.0310397000003</v>
      </c>
      <c r="K1556" s="1203">
        <f>'RC1_Arch'!M700</f>
        <v>21141.449630029801</v>
      </c>
    </row>
    <row r="1557" spans="5:11">
      <c r="E1557" cm="1">
        <f t="array" ref="E1557">_xlfn.LET(_xlpm.c,'RC1_Arch'!C701, _xlpm.b, 'RC1_Arch'!B701, IF(_xlpm.c&lt;&gt;"", _xlpm.c, _xlpm.b))</f>
        <v>0</v>
      </c>
      <c r="F1557" s="1205"/>
      <c r="G1557" s="1203">
        <f>'RC1_Arch'!F701</f>
        <v>0</v>
      </c>
      <c r="H1557" s="1203">
        <f>'RC1_Arch'!E701</f>
        <v>0</v>
      </c>
      <c r="I1557" s="1203">
        <f>'RC1_Arch'!I701</f>
        <v>0</v>
      </c>
      <c r="J1557" s="1203">
        <f>'RC1_Arch'!L701</f>
        <v>0</v>
      </c>
      <c r="K1557" s="1203">
        <f>'RC1_Arch'!M701</f>
        <v>0</v>
      </c>
    </row>
    <row r="1558" spans="5:11">
      <c r="E1558" t="str" cm="1">
        <f t="array" ref="E1558">_xlfn.LET(_xlpm.c,'RC1_Arch'!C702, _xlpm.b, 'RC1_Arch'!B702, IF(_xlpm.c&lt;&gt;"", _xlpm.c, _xlpm.b))</f>
        <v>รวมราคงานเบ็ดเตล็ด</v>
      </c>
      <c r="F1558" s="1205"/>
      <c r="G1558" s="1203">
        <f>'RC1_Arch'!F702</f>
        <v>0</v>
      </c>
      <c r="H1558" s="1203">
        <f>'RC1_Arch'!E702</f>
        <v>0</v>
      </c>
      <c r="I1558" s="1203">
        <f>'RC1_Arch'!I702</f>
        <v>0</v>
      </c>
      <c r="J1558" s="1203">
        <f>'RC1_Arch'!L702</f>
        <v>0</v>
      </c>
      <c r="K1558" s="1203">
        <f>'RC1_Arch'!M702</f>
        <v>493784.21279087971</v>
      </c>
    </row>
    <row r="1559" spans="5:11">
      <c r="F1559" s="1205"/>
      <c r="G1559" s="1203"/>
      <c r="H1559" s="1203"/>
      <c r="I1559" s="1203"/>
      <c r="J1559" s="1203"/>
      <c r="K1559" s="1203"/>
    </row>
    <row r="1560" spans="5:11">
      <c r="F1560" s="1205"/>
      <c r="G1560" s="1203"/>
      <c r="H1560" s="1203"/>
      <c r="I1560" s="1203"/>
      <c r="J1560" s="1203"/>
      <c r="K1560" s="1203"/>
    </row>
    <row r="1561" spans="5:11">
      <c r="F1561" s="1205"/>
      <c r="G1561" s="1203"/>
      <c r="H1561" s="1203"/>
      <c r="I1561" s="1203"/>
      <c r="J1561" s="1203"/>
      <c r="K1561" s="1203"/>
    </row>
    <row r="1562" spans="5:11">
      <c r="F1562" s="1205"/>
      <c r="G1562" s="1203"/>
      <c r="H1562" s="1203"/>
      <c r="I1562" s="1203"/>
      <c r="J1562" s="1203"/>
      <c r="K1562" s="1203"/>
    </row>
    <row r="1563" spans="5:11">
      <c r="F1563" s="1205"/>
      <c r="G1563" s="1203"/>
      <c r="H1563" s="1203"/>
      <c r="I1563" s="1203"/>
      <c r="J1563" s="1203"/>
      <c r="K1563" s="1203"/>
    </row>
    <row r="1564" spans="5:11">
      <c r="F1564" s="1205"/>
      <c r="G1564" s="1203"/>
      <c r="H1564" s="1203"/>
      <c r="I1564" s="1203"/>
      <c r="J1564" s="1203"/>
      <c r="K1564" s="1203"/>
    </row>
    <row r="1565" spans="5:11">
      <c r="F1565" s="1205"/>
      <c r="G1565" s="1203"/>
      <c r="H1565" s="1203"/>
      <c r="I1565" s="1203"/>
      <c r="J1565" s="1203"/>
      <c r="K1565" s="1203"/>
    </row>
    <row r="1566" spans="5:11">
      <c r="F1566" s="1205"/>
      <c r="G1566" s="1203"/>
      <c r="H1566" s="1203"/>
      <c r="I1566" s="1203"/>
      <c r="J1566" s="1203"/>
      <c r="K1566" s="1203"/>
    </row>
    <row r="1567" spans="5:11">
      <c r="F1567" s="1205"/>
      <c r="G1567" s="1203"/>
      <c r="H1567" s="1203"/>
      <c r="I1567" s="1203"/>
      <c r="J1567" s="1203"/>
      <c r="K1567" s="1203"/>
    </row>
    <row r="1568" spans="5:11">
      <c r="F1568" s="1205"/>
      <c r="G1568" s="1203"/>
      <c r="H1568" s="1203"/>
      <c r="I1568" s="1203"/>
      <c r="J1568" s="1203"/>
      <c r="K1568" s="1203"/>
    </row>
    <row r="1569" spans="6:11">
      <c r="F1569" s="1205"/>
      <c r="G1569" s="1203"/>
      <c r="H1569" s="1203"/>
      <c r="I1569" s="1203"/>
      <c r="J1569" s="1203"/>
      <c r="K1569" s="1203"/>
    </row>
    <row r="1570" spans="6:11">
      <c r="F1570" s="1205"/>
      <c r="G1570" s="1203"/>
      <c r="H1570" s="1203"/>
      <c r="I1570" s="1203"/>
      <c r="J1570" s="1203"/>
      <c r="K1570" s="1203"/>
    </row>
    <row r="1571" spans="6:11">
      <c r="F1571" s="1205"/>
      <c r="G1571" s="1203"/>
      <c r="H1571" s="1203"/>
      <c r="I1571" s="1203"/>
      <c r="J1571" s="1203"/>
      <c r="K1571" s="1203"/>
    </row>
    <row r="1572" spans="6:11">
      <c r="F1572" s="1205"/>
      <c r="G1572" s="1203"/>
      <c r="H1572" s="1203"/>
      <c r="I1572" s="1203"/>
      <c r="J1572" s="1203"/>
      <c r="K1572" s="1203"/>
    </row>
    <row r="1573" spans="6:11">
      <c r="F1573" s="1205"/>
      <c r="G1573" s="1203"/>
      <c r="H1573" s="1203"/>
      <c r="I1573" s="1203"/>
      <c r="J1573" s="1203"/>
      <c r="K1573" s="1203"/>
    </row>
    <row r="1574" spans="6:11">
      <c r="F1574" s="1205"/>
      <c r="G1574" s="1203"/>
      <c r="H1574" s="1203"/>
      <c r="I1574" s="1203"/>
      <c r="J1574" s="1203"/>
      <c r="K1574" s="1203"/>
    </row>
    <row r="1575" spans="6:11">
      <c r="F1575" s="1205"/>
      <c r="G1575" s="1203"/>
      <c r="H1575" s="1203"/>
      <c r="I1575" s="1203"/>
      <c r="J1575" s="1203"/>
      <c r="K1575" s="120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view="pageBreakPreview" topLeftCell="A11" zoomScaleNormal="85" workbookViewId="0">
      <selection activeCell="D17" sqref="D17"/>
    </sheetView>
  </sheetViews>
  <sheetFormatPr defaultColWidth="9" defaultRowHeight="26.25"/>
  <cols>
    <col min="1" max="1" width="8.7265625" style="444" customWidth="1"/>
    <col min="2" max="2" width="30.7265625" style="444" customWidth="1"/>
    <col min="3" max="3" width="35.7265625" style="444" customWidth="1"/>
    <col min="4" max="5" width="20.7265625" style="444" customWidth="1"/>
    <col min="6" max="6" width="27.81640625" style="445" customWidth="1"/>
    <col min="7" max="7" width="28.1796875" style="445" customWidth="1"/>
    <col min="8" max="8" width="17.453125" style="444" customWidth="1"/>
    <col min="9" max="9" width="14.7265625" style="444" customWidth="1"/>
    <col min="10" max="10" width="9.1796875" style="444" customWidth="1"/>
    <col min="11" max="11" width="12.1796875" style="444" customWidth="1"/>
    <col min="12" max="255" width="9" style="444"/>
    <col min="256" max="256" width="5.81640625" style="444" customWidth="1"/>
    <col min="257" max="257" width="26.453125" style="444" customWidth="1"/>
    <col min="258" max="258" width="15.1796875" style="444" customWidth="1"/>
    <col min="259" max="259" width="17.1796875" style="444" customWidth="1"/>
    <col min="260" max="260" width="14.1796875" style="444" customWidth="1"/>
    <col min="261" max="261" width="9" style="444"/>
    <col min="262" max="262" width="11.453125" style="444" customWidth="1"/>
    <col min="263" max="263" width="15" style="444" customWidth="1"/>
    <col min="264" max="264" width="17.453125" style="444" customWidth="1"/>
    <col min="265" max="265" width="14.7265625" style="444" customWidth="1"/>
    <col min="266" max="266" width="9.1796875" style="444" customWidth="1"/>
    <col min="267" max="267" width="12.1796875" style="444" customWidth="1"/>
    <col min="268" max="511" width="9" style="444"/>
    <col min="512" max="512" width="5.81640625" style="444" customWidth="1"/>
    <col min="513" max="513" width="26.453125" style="444" customWidth="1"/>
    <col min="514" max="514" width="15.1796875" style="444" customWidth="1"/>
    <col min="515" max="515" width="17.1796875" style="444" customWidth="1"/>
    <col min="516" max="516" width="14.1796875" style="444" customWidth="1"/>
    <col min="517" max="517" width="9" style="444"/>
    <col min="518" max="518" width="11.453125" style="444" customWidth="1"/>
    <col min="519" max="519" width="15" style="444" customWidth="1"/>
    <col min="520" max="520" width="17.453125" style="444" customWidth="1"/>
    <col min="521" max="521" width="14.7265625" style="444" customWidth="1"/>
    <col min="522" max="522" width="9.1796875" style="444" customWidth="1"/>
    <col min="523" max="523" width="12.1796875" style="444" customWidth="1"/>
    <col min="524" max="767" width="9" style="444"/>
    <col min="768" max="768" width="5.81640625" style="444" customWidth="1"/>
    <col min="769" max="769" width="26.453125" style="444" customWidth="1"/>
    <col min="770" max="770" width="15.1796875" style="444" customWidth="1"/>
    <col min="771" max="771" width="17.1796875" style="444" customWidth="1"/>
    <col min="772" max="772" width="14.1796875" style="444" customWidth="1"/>
    <col min="773" max="773" width="9" style="444"/>
    <col min="774" max="774" width="11.453125" style="444" customWidth="1"/>
    <col min="775" max="775" width="15" style="444" customWidth="1"/>
    <col min="776" max="776" width="17.453125" style="444" customWidth="1"/>
    <col min="777" max="777" width="14.7265625" style="444" customWidth="1"/>
    <col min="778" max="778" width="9.1796875" style="444" customWidth="1"/>
    <col min="779" max="779" width="12.1796875" style="444" customWidth="1"/>
    <col min="780" max="1023" width="9" style="444"/>
    <col min="1024" max="1024" width="5.81640625" style="444" customWidth="1"/>
    <col min="1025" max="1025" width="26.453125" style="444" customWidth="1"/>
    <col min="1026" max="1026" width="15.1796875" style="444" customWidth="1"/>
    <col min="1027" max="1027" width="17.1796875" style="444" customWidth="1"/>
    <col min="1028" max="1028" width="14.1796875" style="444" customWidth="1"/>
    <col min="1029" max="1029" width="9" style="444"/>
    <col min="1030" max="1030" width="11.453125" style="444" customWidth="1"/>
    <col min="1031" max="1031" width="15" style="444" customWidth="1"/>
    <col min="1032" max="1032" width="17.453125" style="444" customWidth="1"/>
    <col min="1033" max="1033" width="14.7265625" style="444" customWidth="1"/>
    <col min="1034" max="1034" width="9.1796875" style="444" customWidth="1"/>
    <col min="1035" max="1035" width="12.1796875" style="444" customWidth="1"/>
    <col min="1036" max="1279" width="9" style="444"/>
    <col min="1280" max="1280" width="5.81640625" style="444" customWidth="1"/>
    <col min="1281" max="1281" width="26.453125" style="444" customWidth="1"/>
    <col min="1282" max="1282" width="15.1796875" style="444" customWidth="1"/>
    <col min="1283" max="1283" width="17.1796875" style="444" customWidth="1"/>
    <col min="1284" max="1284" width="14.1796875" style="444" customWidth="1"/>
    <col min="1285" max="1285" width="9" style="444"/>
    <col min="1286" max="1286" width="11.453125" style="444" customWidth="1"/>
    <col min="1287" max="1287" width="15" style="444" customWidth="1"/>
    <col min="1288" max="1288" width="17.453125" style="444" customWidth="1"/>
    <col min="1289" max="1289" width="14.7265625" style="444" customWidth="1"/>
    <col min="1290" max="1290" width="9.1796875" style="444" customWidth="1"/>
    <col min="1291" max="1291" width="12.1796875" style="444" customWidth="1"/>
    <col min="1292" max="1535" width="9" style="444"/>
    <col min="1536" max="1536" width="5.81640625" style="444" customWidth="1"/>
    <col min="1537" max="1537" width="26.453125" style="444" customWidth="1"/>
    <col min="1538" max="1538" width="15.1796875" style="444" customWidth="1"/>
    <col min="1539" max="1539" width="17.1796875" style="444" customWidth="1"/>
    <col min="1540" max="1540" width="14.1796875" style="444" customWidth="1"/>
    <col min="1541" max="1541" width="9" style="444"/>
    <col min="1542" max="1542" width="11.453125" style="444" customWidth="1"/>
    <col min="1543" max="1543" width="15" style="444" customWidth="1"/>
    <col min="1544" max="1544" width="17.453125" style="444" customWidth="1"/>
    <col min="1545" max="1545" width="14.7265625" style="444" customWidth="1"/>
    <col min="1546" max="1546" width="9.1796875" style="444" customWidth="1"/>
    <col min="1547" max="1547" width="12.1796875" style="444" customWidth="1"/>
    <col min="1548" max="1791" width="9" style="444"/>
    <col min="1792" max="1792" width="5.81640625" style="444" customWidth="1"/>
    <col min="1793" max="1793" width="26.453125" style="444" customWidth="1"/>
    <col min="1794" max="1794" width="15.1796875" style="444" customWidth="1"/>
    <col min="1795" max="1795" width="17.1796875" style="444" customWidth="1"/>
    <col min="1796" max="1796" width="14.1796875" style="444" customWidth="1"/>
    <col min="1797" max="1797" width="9" style="444"/>
    <col min="1798" max="1798" width="11.453125" style="444" customWidth="1"/>
    <col min="1799" max="1799" width="15" style="444" customWidth="1"/>
    <col min="1800" max="1800" width="17.453125" style="444" customWidth="1"/>
    <col min="1801" max="1801" width="14.7265625" style="444" customWidth="1"/>
    <col min="1802" max="1802" width="9.1796875" style="444" customWidth="1"/>
    <col min="1803" max="1803" width="12.1796875" style="444" customWidth="1"/>
    <col min="1804" max="2047" width="9" style="444"/>
    <col min="2048" max="2048" width="5.81640625" style="444" customWidth="1"/>
    <col min="2049" max="2049" width="26.453125" style="444" customWidth="1"/>
    <col min="2050" max="2050" width="15.1796875" style="444" customWidth="1"/>
    <col min="2051" max="2051" width="17.1796875" style="444" customWidth="1"/>
    <col min="2052" max="2052" width="14.1796875" style="444" customWidth="1"/>
    <col min="2053" max="2053" width="9" style="444"/>
    <col min="2054" max="2054" width="11.453125" style="444" customWidth="1"/>
    <col min="2055" max="2055" width="15" style="444" customWidth="1"/>
    <col min="2056" max="2056" width="17.453125" style="444" customWidth="1"/>
    <col min="2057" max="2057" width="14.7265625" style="444" customWidth="1"/>
    <col min="2058" max="2058" width="9.1796875" style="444" customWidth="1"/>
    <col min="2059" max="2059" width="12.1796875" style="444" customWidth="1"/>
    <col min="2060" max="2303" width="9" style="444"/>
    <col min="2304" max="2304" width="5.81640625" style="444" customWidth="1"/>
    <col min="2305" max="2305" width="26.453125" style="444" customWidth="1"/>
    <col min="2306" max="2306" width="15.1796875" style="444" customWidth="1"/>
    <col min="2307" max="2307" width="17.1796875" style="444" customWidth="1"/>
    <col min="2308" max="2308" width="14.1796875" style="444" customWidth="1"/>
    <col min="2309" max="2309" width="9" style="444"/>
    <col min="2310" max="2310" width="11.453125" style="444" customWidth="1"/>
    <col min="2311" max="2311" width="15" style="444" customWidth="1"/>
    <col min="2312" max="2312" width="17.453125" style="444" customWidth="1"/>
    <col min="2313" max="2313" width="14.7265625" style="444" customWidth="1"/>
    <col min="2314" max="2314" width="9.1796875" style="444" customWidth="1"/>
    <col min="2315" max="2315" width="12.1796875" style="444" customWidth="1"/>
    <col min="2316" max="2559" width="9" style="444"/>
    <col min="2560" max="2560" width="5.81640625" style="444" customWidth="1"/>
    <col min="2561" max="2561" width="26.453125" style="444" customWidth="1"/>
    <col min="2562" max="2562" width="15.1796875" style="444" customWidth="1"/>
    <col min="2563" max="2563" width="17.1796875" style="444" customWidth="1"/>
    <col min="2564" max="2564" width="14.1796875" style="444" customWidth="1"/>
    <col min="2565" max="2565" width="9" style="444"/>
    <col min="2566" max="2566" width="11.453125" style="444" customWidth="1"/>
    <col min="2567" max="2567" width="15" style="444" customWidth="1"/>
    <col min="2568" max="2568" width="17.453125" style="444" customWidth="1"/>
    <col min="2569" max="2569" width="14.7265625" style="444" customWidth="1"/>
    <col min="2570" max="2570" width="9.1796875" style="444" customWidth="1"/>
    <col min="2571" max="2571" width="12.1796875" style="444" customWidth="1"/>
    <col min="2572" max="2815" width="9" style="444"/>
    <col min="2816" max="2816" width="5.81640625" style="444" customWidth="1"/>
    <col min="2817" max="2817" width="26.453125" style="444" customWidth="1"/>
    <col min="2818" max="2818" width="15.1796875" style="444" customWidth="1"/>
    <col min="2819" max="2819" width="17.1796875" style="444" customWidth="1"/>
    <col min="2820" max="2820" width="14.1796875" style="444" customWidth="1"/>
    <col min="2821" max="2821" width="9" style="444"/>
    <col min="2822" max="2822" width="11.453125" style="444" customWidth="1"/>
    <col min="2823" max="2823" width="15" style="444" customWidth="1"/>
    <col min="2824" max="2824" width="17.453125" style="444" customWidth="1"/>
    <col min="2825" max="2825" width="14.7265625" style="444" customWidth="1"/>
    <col min="2826" max="2826" width="9.1796875" style="444" customWidth="1"/>
    <col min="2827" max="2827" width="12.1796875" style="444" customWidth="1"/>
    <col min="2828" max="3071" width="9" style="444"/>
    <col min="3072" max="3072" width="5.81640625" style="444" customWidth="1"/>
    <col min="3073" max="3073" width="26.453125" style="444" customWidth="1"/>
    <col min="3074" max="3074" width="15.1796875" style="444" customWidth="1"/>
    <col min="3075" max="3075" width="17.1796875" style="444" customWidth="1"/>
    <col min="3076" max="3076" width="14.1796875" style="444" customWidth="1"/>
    <col min="3077" max="3077" width="9" style="444"/>
    <col min="3078" max="3078" width="11.453125" style="444" customWidth="1"/>
    <col min="3079" max="3079" width="15" style="444" customWidth="1"/>
    <col min="3080" max="3080" width="17.453125" style="444" customWidth="1"/>
    <col min="3081" max="3081" width="14.7265625" style="444" customWidth="1"/>
    <col min="3082" max="3082" width="9.1796875" style="444" customWidth="1"/>
    <col min="3083" max="3083" width="12.1796875" style="444" customWidth="1"/>
    <col min="3084" max="3327" width="9" style="444"/>
    <col min="3328" max="3328" width="5.81640625" style="444" customWidth="1"/>
    <col min="3329" max="3329" width="26.453125" style="444" customWidth="1"/>
    <col min="3330" max="3330" width="15.1796875" style="444" customWidth="1"/>
    <col min="3331" max="3331" width="17.1796875" style="444" customWidth="1"/>
    <col min="3332" max="3332" width="14.1796875" style="444" customWidth="1"/>
    <col min="3333" max="3333" width="9" style="444"/>
    <col min="3334" max="3334" width="11.453125" style="444" customWidth="1"/>
    <col min="3335" max="3335" width="15" style="444" customWidth="1"/>
    <col min="3336" max="3336" width="17.453125" style="444" customWidth="1"/>
    <col min="3337" max="3337" width="14.7265625" style="444" customWidth="1"/>
    <col min="3338" max="3338" width="9.1796875" style="444" customWidth="1"/>
    <col min="3339" max="3339" width="12.1796875" style="444" customWidth="1"/>
    <col min="3340" max="3583" width="9" style="444"/>
    <col min="3584" max="3584" width="5.81640625" style="444" customWidth="1"/>
    <col min="3585" max="3585" width="26.453125" style="444" customWidth="1"/>
    <col min="3586" max="3586" width="15.1796875" style="444" customWidth="1"/>
    <col min="3587" max="3587" width="17.1796875" style="444" customWidth="1"/>
    <col min="3588" max="3588" width="14.1796875" style="444" customWidth="1"/>
    <col min="3589" max="3589" width="9" style="444"/>
    <col min="3590" max="3590" width="11.453125" style="444" customWidth="1"/>
    <col min="3591" max="3591" width="15" style="444" customWidth="1"/>
    <col min="3592" max="3592" width="17.453125" style="444" customWidth="1"/>
    <col min="3593" max="3593" width="14.7265625" style="444" customWidth="1"/>
    <col min="3594" max="3594" width="9.1796875" style="444" customWidth="1"/>
    <col min="3595" max="3595" width="12.1796875" style="444" customWidth="1"/>
    <col min="3596" max="3839" width="9" style="444"/>
    <col min="3840" max="3840" width="5.81640625" style="444" customWidth="1"/>
    <col min="3841" max="3841" width="26.453125" style="444" customWidth="1"/>
    <col min="3842" max="3842" width="15.1796875" style="444" customWidth="1"/>
    <col min="3843" max="3843" width="17.1796875" style="444" customWidth="1"/>
    <col min="3844" max="3844" width="14.1796875" style="444" customWidth="1"/>
    <col min="3845" max="3845" width="9" style="444"/>
    <col min="3846" max="3846" width="11.453125" style="444" customWidth="1"/>
    <col min="3847" max="3847" width="15" style="444" customWidth="1"/>
    <col min="3848" max="3848" width="17.453125" style="444" customWidth="1"/>
    <col min="3849" max="3849" width="14.7265625" style="444" customWidth="1"/>
    <col min="3850" max="3850" width="9.1796875" style="444" customWidth="1"/>
    <col min="3851" max="3851" width="12.1796875" style="444" customWidth="1"/>
    <col min="3852" max="4095" width="9" style="444"/>
    <col min="4096" max="4096" width="5.81640625" style="444" customWidth="1"/>
    <col min="4097" max="4097" width="26.453125" style="444" customWidth="1"/>
    <col min="4098" max="4098" width="15.1796875" style="444" customWidth="1"/>
    <col min="4099" max="4099" width="17.1796875" style="444" customWidth="1"/>
    <col min="4100" max="4100" width="14.1796875" style="444" customWidth="1"/>
    <col min="4101" max="4101" width="9" style="444"/>
    <col min="4102" max="4102" width="11.453125" style="444" customWidth="1"/>
    <col min="4103" max="4103" width="15" style="444" customWidth="1"/>
    <col min="4104" max="4104" width="17.453125" style="444" customWidth="1"/>
    <col min="4105" max="4105" width="14.7265625" style="444" customWidth="1"/>
    <col min="4106" max="4106" width="9.1796875" style="444" customWidth="1"/>
    <col min="4107" max="4107" width="12.1796875" style="444" customWidth="1"/>
    <col min="4108" max="4351" width="9" style="444"/>
    <col min="4352" max="4352" width="5.81640625" style="444" customWidth="1"/>
    <col min="4353" max="4353" width="26.453125" style="444" customWidth="1"/>
    <col min="4354" max="4354" width="15.1796875" style="444" customWidth="1"/>
    <col min="4355" max="4355" width="17.1796875" style="444" customWidth="1"/>
    <col min="4356" max="4356" width="14.1796875" style="444" customWidth="1"/>
    <col min="4357" max="4357" width="9" style="444"/>
    <col min="4358" max="4358" width="11.453125" style="444" customWidth="1"/>
    <col min="4359" max="4359" width="15" style="444" customWidth="1"/>
    <col min="4360" max="4360" width="17.453125" style="444" customWidth="1"/>
    <col min="4361" max="4361" width="14.7265625" style="444" customWidth="1"/>
    <col min="4362" max="4362" width="9.1796875" style="444" customWidth="1"/>
    <col min="4363" max="4363" width="12.1796875" style="444" customWidth="1"/>
    <col min="4364" max="4607" width="9" style="444"/>
    <col min="4608" max="4608" width="5.81640625" style="444" customWidth="1"/>
    <col min="4609" max="4609" width="26.453125" style="444" customWidth="1"/>
    <col min="4610" max="4610" width="15.1796875" style="444" customWidth="1"/>
    <col min="4611" max="4611" width="17.1796875" style="444" customWidth="1"/>
    <col min="4612" max="4612" width="14.1796875" style="444" customWidth="1"/>
    <col min="4613" max="4613" width="9" style="444"/>
    <col min="4614" max="4614" width="11.453125" style="444" customWidth="1"/>
    <col min="4615" max="4615" width="15" style="444" customWidth="1"/>
    <col min="4616" max="4616" width="17.453125" style="444" customWidth="1"/>
    <col min="4617" max="4617" width="14.7265625" style="444" customWidth="1"/>
    <col min="4618" max="4618" width="9.1796875" style="444" customWidth="1"/>
    <col min="4619" max="4619" width="12.1796875" style="444" customWidth="1"/>
    <col min="4620" max="4863" width="9" style="444"/>
    <col min="4864" max="4864" width="5.81640625" style="444" customWidth="1"/>
    <col min="4865" max="4865" width="26.453125" style="444" customWidth="1"/>
    <col min="4866" max="4866" width="15.1796875" style="444" customWidth="1"/>
    <col min="4867" max="4867" width="17.1796875" style="444" customWidth="1"/>
    <col min="4868" max="4868" width="14.1796875" style="444" customWidth="1"/>
    <col min="4869" max="4869" width="9" style="444"/>
    <col min="4870" max="4870" width="11.453125" style="444" customWidth="1"/>
    <col min="4871" max="4871" width="15" style="444" customWidth="1"/>
    <col min="4872" max="4872" width="17.453125" style="444" customWidth="1"/>
    <col min="4873" max="4873" width="14.7265625" style="444" customWidth="1"/>
    <col min="4874" max="4874" width="9.1796875" style="444" customWidth="1"/>
    <col min="4875" max="4875" width="12.1796875" style="444" customWidth="1"/>
    <col min="4876" max="5119" width="9" style="444"/>
    <col min="5120" max="5120" width="5.81640625" style="444" customWidth="1"/>
    <col min="5121" max="5121" width="26.453125" style="444" customWidth="1"/>
    <col min="5122" max="5122" width="15.1796875" style="444" customWidth="1"/>
    <col min="5123" max="5123" width="17.1796875" style="444" customWidth="1"/>
    <col min="5124" max="5124" width="14.1796875" style="444" customWidth="1"/>
    <col min="5125" max="5125" width="9" style="444"/>
    <col min="5126" max="5126" width="11.453125" style="444" customWidth="1"/>
    <col min="5127" max="5127" width="15" style="444" customWidth="1"/>
    <col min="5128" max="5128" width="17.453125" style="444" customWidth="1"/>
    <col min="5129" max="5129" width="14.7265625" style="444" customWidth="1"/>
    <col min="5130" max="5130" width="9.1796875" style="444" customWidth="1"/>
    <col min="5131" max="5131" width="12.1796875" style="444" customWidth="1"/>
    <col min="5132" max="5375" width="9" style="444"/>
    <col min="5376" max="5376" width="5.81640625" style="444" customWidth="1"/>
    <col min="5377" max="5377" width="26.453125" style="444" customWidth="1"/>
    <col min="5378" max="5378" width="15.1796875" style="444" customWidth="1"/>
    <col min="5379" max="5379" width="17.1796875" style="444" customWidth="1"/>
    <col min="5380" max="5380" width="14.1796875" style="444" customWidth="1"/>
    <col min="5381" max="5381" width="9" style="444"/>
    <col min="5382" max="5382" width="11.453125" style="444" customWidth="1"/>
    <col min="5383" max="5383" width="15" style="444" customWidth="1"/>
    <col min="5384" max="5384" width="17.453125" style="444" customWidth="1"/>
    <col min="5385" max="5385" width="14.7265625" style="444" customWidth="1"/>
    <col min="5386" max="5386" width="9.1796875" style="444" customWidth="1"/>
    <col min="5387" max="5387" width="12.1796875" style="444" customWidth="1"/>
    <col min="5388" max="5631" width="9" style="444"/>
    <col min="5632" max="5632" width="5.81640625" style="444" customWidth="1"/>
    <col min="5633" max="5633" width="26.453125" style="444" customWidth="1"/>
    <col min="5634" max="5634" width="15.1796875" style="444" customWidth="1"/>
    <col min="5635" max="5635" width="17.1796875" style="444" customWidth="1"/>
    <col min="5636" max="5636" width="14.1796875" style="444" customWidth="1"/>
    <col min="5637" max="5637" width="9" style="444"/>
    <col min="5638" max="5638" width="11.453125" style="444" customWidth="1"/>
    <col min="5639" max="5639" width="15" style="444" customWidth="1"/>
    <col min="5640" max="5640" width="17.453125" style="444" customWidth="1"/>
    <col min="5641" max="5641" width="14.7265625" style="444" customWidth="1"/>
    <col min="5642" max="5642" width="9.1796875" style="444" customWidth="1"/>
    <col min="5643" max="5643" width="12.1796875" style="444" customWidth="1"/>
    <col min="5644" max="5887" width="9" style="444"/>
    <col min="5888" max="5888" width="5.81640625" style="444" customWidth="1"/>
    <col min="5889" max="5889" width="26.453125" style="444" customWidth="1"/>
    <col min="5890" max="5890" width="15.1796875" style="444" customWidth="1"/>
    <col min="5891" max="5891" width="17.1796875" style="444" customWidth="1"/>
    <col min="5892" max="5892" width="14.1796875" style="444" customWidth="1"/>
    <col min="5893" max="5893" width="9" style="444"/>
    <col min="5894" max="5894" width="11.453125" style="444" customWidth="1"/>
    <col min="5895" max="5895" width="15" style="444" customWidth="1"/>
    <col min="5896" max="5896" width="17.453125" style="444" customWidth="1"/>
    <col min="5897" max="5897" width="14.7265625" style="444" customWidth="1"/>
    <col min="5898" max="5898" width="9.1796875" style="444" customWidth="1"/>
    <col min="5899" max="5899" width="12.1796875" style="444" customWidth="1"/>
    <col min="5900" max="6143" width="9" style="444"/>
    <col min="6144" max="6144" width="5.81640625" style="444" customWidth="1"/>
    <col min="6145" max="6145" width="26.453125" style="444" customWidth="1"/>
    <col min="6146" max="6146" width="15.1796875" style="444" customWidth="1"/>
    <col min="6147" max="6147" width="17.1796875" style="444" customWidth="1"/>
    <col min="6148" max="6148" width="14.1796875" style="444" customWidth="1"/>
    <col min="6149" max="6149" width="9" style="444"/>
    <col min="6150" max="6150" width="11.453125" style="444" customWidth="1"/>
    <col min="6151" max="6151" width="15" style="444" customWidth="1"/>
    <col min="6152" max="6152" width="17.453125" style="444" customWidth="1"/>
    <col min="6153" max="6153" width="14.7265625" style="444" customWidth="1"/>
    <col min="6154" max="6154" width="9.1796875" style="444" customWidth="1"/>
    <col min="6155" max="6155" width="12.1796875" style="444" customWidth="1"/>
    <col min="6156" max="6399" width="9" style="444"/>
    <col min="6400" max="6400" width="5.81640625" style="444" customWidth="1"/>
    <col min="6401" max="6401" width="26.453125" style="444" customWidth="1"/>
    <col min="6402" max="6402" width="15.1796875" style="444" customWidth="1"/>
    <col min="6403" max="6403" width="17.1796875" style="444" customWidth="1"/>
    <col min="6404" max="6404" width="14.1796875" style="444" customWidth="1"/>
    <col min="6405" max="6405" width="9" style="444"/>
    <col min="6406" max="6406" width="11.453125" style="444" customWidth="1"/>
    <col min="6407" max="6407" width="15" style="444" customWidth="1"/>
    <col min="6408" max="6408" width="17.453125" style="444" customWidth="1"/>
    <col min="6409" max="6409" width="14.7265625" style="444" customWidth="1"/>
    <col min="6410" max="6410" width="9.1796875" style="444" customWidth="1"/>
    <col min="6411" max="6411" width="12.1796875" style="444" customWidth="1"/>
    <col min="6412" max="6655" width="9" style="444"/>
    <col min="6656" max="6656" width="5.81640625" style="444" customWidth="1"/>
    <col min="6657" max="6657" width="26.453125" style="444" customWidth="1"/>
    <col min="6658" max="6658" width="15.1796875" style="444" customWidth="1"/>
    <col min="6659" max="6659" width="17.1796875" style="444" customWidth="1"/>
    <col min="6660" max="6660" width="14.1796875" style="444" customWidth="1"/>
    <col min="6661" max="6661" width="9" style="444"/>
    <col min="6662" max="6662" width="11.453125" style="444" customWidth="1"/>
    <col min="6663" max="6663" width="15" style="444" customWidth="1"/>
    <col min="6664" max="6664" width="17.453125" style="444" customWidth="1"/>
    <col min="6665" max="6665" width="14.7265625" style="444" customWidth="1"/>
    <col min="6666" max="6666" width="9.1796875" style="444" customWidth="1"/>
    <col min="6667" max="6667" width="12.1796875" style="444" customWidth="1"/>
    <col min="6668" max="6911" width="9" style="444"/>
    <col min="6912" max="6912" width="5.81640625" style="444" customWidth="1"/>
    <col min="6913" max="6913" width="26.453125" style="444" customWidth="1"/>
    <col min="6914" max="6914" width="15.1796875" style="444" customWidth="1"/>
    <col min="6915" max="6915" width="17.1796875" style="444" customWidth="1"/>
    <col min="6916" max="6916" width="14.1796875" style="444" customWidth="1"/>
    <col min="6917" max="6917" width="9" style="444"/>
    <col min="6918" max="6918" width="11.453125" style="444" customWidth="1"/>
    <col min="6919" max="6919" width="15" style="444" customWidth="1"/>
    <col min="6920" max="6920" width="17.453125" style="444" customWidth="1"/>
    <col min="6921" max="6921" width="14.7265625" style="444" customWidth="1"/>
    <col min="6922" max="6922" width="9.1796875" style="444" customWidth="1"/>
    <col min="6923" max="6923" width="12.1796875" style="444" customWidth="1"/>
    <col min="6924" max="7167" width="9" style="444"/>
    <col min="7168" max="7168" width="5.81640625" style="444" customWidth="1"/>
    <col min="7169" max="7169" width="26.453125" style="444" customWidth="1"/>
    <col min="7170" max="7170" width="15.1796875" style="444" customWidth="1"/>
    <col min="7171" max="7171" width="17.1796875" style="444" customWidth="1"/>
    <col min="7172" max="7172" width="14.1796875" style="444" customWidth="1"/>
    <col min="7173" max="7173" width="9" style="444"/>
    <col min="7174" max="7174" width="11.453125" style="444" customWidth="1"/>
    <col min="7175" max="7175" width="15" style="444" customWidth="1"/>
    <col min="7176" max="7176" width="17.453125" style="444" customWidth="1"/>
    <col min="7177" max="7177" width="14.7265625" style="444" customWidth="1"/>
    <col min="7178" max="7178" width="9.1796875" style="444" customWidth="1"/>
    <col min="7179" max="7179" width="12.1796875" style="444" customWidth="1"/>
    <col min="7180" max="7423" width="9" style="444"/>
    <col min="7424" max="7424" width="5.81640625" style="444" customWidth="1"/>
    <col min="7425" max="7425" width="26.453125" style="444" customWidth="1"/>
    <col min="7426" max="7426" width="15.1796875" style="444" customWidth="1"/>
    <col min="7427" max="7427" width="17.1796875" style="444" customWidth="1"/>
    <col min="7428" max="7428" width="14.1796875" style="444" customWidth="1"/>
    <col min="7429" max="7429" width="9" style="444"/>
    <col min="7430" max="7430" width="11.453125" style="444" customWidth="1"/>
    <col min="7431" max="7431" width="15" style="444" customWidth="1"/>
    <col min="7432" max="7432" width="17.453125" style="444" customWidth="1"/>
    <col min="7433" max="7433" width="14.7265625" style="444" customWidth="1"/>
    <col min="7434" max="7434" width="9.1796875" style="444" customWidth="1"/>
    <col min="7435" max="7435" width="12.1796875" style="444" customWidth="1"/>
    <col min="7436" max="7679" width="9" style="444"/>
    <col min="7680" max="7680" width="5.81640625" style="444" customWidth="1"/>
    <col min="7681" max="7681" width="26.453125" style="444" customWidth="1"/>
    <col min="7682" max="7682" width="15.1796875" style="444" customWidth="1"/>
    <col min="7683" max="7683" width="17.1796875" style="444" customWidth="1"/>
    <col min="7684" max="7684" width="14.1796875" style="444" customWidth="1"/>
    <col min="7685" max="7685" width="9" style="444"/>
    <col min="7686" max="7686" width="11.453125" style="444" customWidth="1"/>
    <col min="7687" max="7687" width="15" style="444" customWidth="1"/>
    <col min="7688" max="7688" width="17.453125" style="444" customWidth="1"/>
    <col min="7689" max="7689" width="14.7265625" style="444" customWidth="1"/>
    <col min="7690" max="7690" width="9.1796875" style="444" customWidth="1"/>
    <col min="7691" max="7691" width="12.1796875" style="444" customWidth="1"/>
    <col min="7692" max="7935" width="9" style="444"/>
    <col min="7936" max="7936" width="5.81640625" style="444" customWidth="1"/>
    <col min="7937" max="7937" width="26.453125" style="444" customWidth="1"/>
    <col min="7938" max="7938" width="15.1796875" style="444" customWidth="1"/>
    <col min="7939" max="7939" width="17.1796875" style="444" customWidth="1"/>
    <col min="7940" max="7940" width="14.1796875" style="444" customWidth="1"/>
    <col min="7941" max="7941" width="9" style="444"/>
    <col min="7942" max="7942" width="11.453125" style="444" customWidth="1"/>
    <col min="7943" max="7943" width="15" style="444" customWidth="1"/>
    <col min="7944" max="7944" width="17.453125" style="444" customWidth="1"/>
    <col min="7945" max="7945" width="14.7265625" style="444" customWidth="1"/>
    <col min="7946" max="7946" width="9.1796875" style="444" customWidth="1"/>
    <col min="7947" max="7947" width="12.1796875" style="444" customWidth="1"/>
    <col min="7948" max="8191" width="9" style="444"/>
    <col min="8192" max="8192" width="5.81640625" style="444" customWidth="1"/>
    <col min="8193" max="8193" width="26.453125" style="444" customWidth="1"/>
    <col min="8194" max="8194" width="15.1796875" style="444" customWidth="1"/>
    <col min="8195" max="8195" width="17.1796875" style="444" customWidth="1"/>
    <col min="8196" max="8196" width="14.1796875" style="444" customWidth="1"/>
    <col min="8197" max="8197" width="9" style="444"/>
    <col min="8198" max="8198" width="11.453125" style="444" customWidth="1"/>
    <col min="8199" max="8199" width="15" style="444" customWidth="1"/>
    <col min="8200" max="8200" width="17.453125" style="444" customWidth="1"/>
    <col min="8201" max="8201" width="14.7265625" style="444" customWidth="1"/>
    <col min="8202" max="8202" width="9.1796875" style="444" customWidth="1"/>
    <col min="8203" max="8203" width="12.1796875" style="444" customWidth="1"/>
    <col min="8204" max="8447" width="9" style="444"/>
    <col min="8448" max="8448" width="5.81640625" style="444" customWidth="1"/>
    <col min="8449" max="8449" width="26.453125" style="444" customWidth="1"/>
    <col min="8450" max="8450" width="15.1796875" style="444" customWidth="1"/>
    <col min="8451" max="8451" width="17.1796875" style="444" customWidth="1"/>
    <col min="8452" max="8452" width="14.1796875" style="444" customWidth="1"/>
    <col min="8453" max="8453" width="9" style="444"/>
    <col min="8454" max="8454" width="11.453125" style="444" customWidth="1"/>
    <col min="8455" max="8455" width="15" style="444" customWidth="1"/>
    <col min="8456" max="8456" width="17.453125" style="444" customWidth="1"/>
    <col min="8457" max="8457" width="14.7265625" style="444" customWidth="1"/>
    <col min="8458" max="8458" width="9.1796875" style="444" customWidth="1"/>
    <col min="8459" max="8459" width="12.1796875" style="444" customWidth="1"/>
    <col min="8460" max="8703" width="9" style="444"/>
    <col min="8704" max="8704" width="5.81640625" style="444" customWidth="1"/>
    <col min="8705" max="8705" width="26.453125" style="444" customWidth="1"/>
    <col min="8706" max="8706" width="15.1796875" style="444" customWidth="1"/>
    <col min="8707" max="8707" width="17.1796875" style="444" customWidth="1"/>
    <col min="8708" max="8708" width="14.1796875" style="444" customWidth="1"/>
    <col min="8709" max="8709" width="9" style="444"/>
    <col min="8710" max="8710" width="11.453125" style="444" customWidth="1"/>
    <col min="8711" max="8711" width="15" style="444" customWidth="1"/>
    <col min="8712" max="8712" width="17.453125" style="444" customWidth="1"/>
    <col min="8713" max="8713" width="14.7265625" style="444" customWidth="1"/>
    <col min="8714" max="8714" width="9.1796875" style="444" customWidth="1"/>
    <col min="8715" max="8715" width="12.1796875" style="444" customWidth="1"/>
    <col min="8716" max="8959" width="9" style="444"/>
    <col min="8960" max="8960" width="5.81640625" style="444" customWidth="1"/>
    <col min="8961" max="8961" width="26.453125" style="444" customWidth="1"/>
    <col min="8962" max="8962" width="15.1796875" style="444" customWidth="1"/>
    <col min="8963" max="8963" width="17.1796875" style="444" customWidth="1"/>
    <col min="8964" max="8964" width="14.1796875" style="444" customWidth="1"/>
    <col min="8965" max="8965" width="9" style="444"/>
    <col min="8966" max="8966" width="11.453125" style="444" customWidth="1"/>
    <col min="8967" max="8967" width="15" style="444" customWidth="1"/>
    <col min="8968" max="8968" width="17.453125" style="444" customWidth="1"/>
    <col min="8969" max="8969" width="14.7265625" style="444" customWidth="1"/>
    <col min="8970" max="8970" width="9.1796875" style="444" customWidth="1"/>
    <col min="8971" max="8971" width="12.1796875" style="444" customWidth="1"/>
    <col min="8972" max="9215" width="9" style="444"/>
    <col min="9216" max="9216" width="5.81640625" style="444" customWidth="1"/>
    <col min="9217" max="9217" width="26.453125" style="444" customWidth="1"/>
    <col min="9218" max="9218" width="15.1796875" style="444" customWidth="1"/>
    <col min="9219" max="9219" width="17.1796875" style="444" customWidth="1"/>
    <col min="9220" max="9220" width="14.1796875" style="444" customWidth="1"/>
    <col min="9221" max="9221" width="9" style="444"/>
    <col min="9222" max="9222" width="11.453125" style="444" customWidth="1"/>
    <col min="9223" max="9223" width="15" style="444" customWidth="1"/>
    <col min="9224" max="9224" width="17.453125" style="444" customWidth="1"/>
    <col min="9225" max="9225" width="14.7265625" style="444" customWidth="1"/>
    <col min="9226" max="9226" width="9.1796875" style="444" customWidth="1"/>
    <col min="9227" max="9227" width="12.1796875" style="444" customWidth="1"/>
    <col min="9228" max="9471" width="9" style="444"/>
    <col min="9472" max="9472" width="5.81640625" style="444" customWidth="1"/>
    <col min="9473" max="9473" width="26.453125" style="444" customWidth="1"/>
    <col min="9474" max="9474" width="15.1796875" style="444" customWidth="1"/>
    <col min="9475" max="9475" width="17.1796875" style="444" customWidth="1"/>
    <col min="9476" max="9476" width="14.1796875" style="444" customWidth="1"/>
    <col min="9477" max="9477" width="9" style="444"/>
    <col min="9478" max="9478" width="11.453125" style="444" customWidth="1"/>
    <col min="9479" max="9479" width="15" style="444" customWidth="1"/>
    <col min="9480" max="9480" width="17.453125" style="444" customWidth="1"/>
    <col min="9481" max="9481" width="14.7265625" style="444" customWidth="1"/>
    <col min="9482" max="9482" width="9.1796875" style="444" customWidth="1"/>
    <col min="9483" max="9483" width="12.1796875" style="444" customWidth="1"/>
    <col min="9484" max="9727" width="9" style="444"/>
    <col min="9728" max="9728" width="5.81640625" style="444" customWidth="1"/>
    <col min="9729" max="9729" width="26.453125" style="444" customWidth="1"/>
    <col min="9730" max="9730" width="15.1796875" style="444" customWidth="1"/>
    <col min="9731" max="9731" width="17.1796875" style="444" customWidth="1"/>
    <col min="9732" max="9732" width="14.1796875" style="444" customWidth="1"/>
    <col min="9733" max="9733" width="9" style="444"/>
    <col min="9734" max="9734" width="11.453125" style="444" customWidth="1"/>
    <col min="9735" max="9735" width="15" style="444" customWidth="1"/>
    <col min="9736" max="9736" width="17.453125" style="444" customWidth="1"/>
    <col min="9737" max="9737" width="14.7265625" style="444" customWidth="1"/>
    <col min="9738" max="9738" width="9.1796875" style="444" customWidth="1"/>
    <col min="9739" max="9739" width="12.1796875" style="444" customWidth="1"/>
    <col min="9740" max="9983" width="9" style="444"/>
    <col min="9984" max="9984" width="5.81640625" style="444" customWidth="1"/>
    <col min="9985" max="9985" width="26.453125" style="444" customWidth="1"/>
    <col min="9986" max="9986" width="15.1796875" style="444" customWidth="1"/>
    <col min="9987" max="9987" width="17.1796875" style="444" customWidth="1"/>
    <col min="9988" max="9988" width="14.1796875" style="444" customWidth="1"/>
    <col min="9989" max="9989" width="9" style="444"/>
    <col min="9990" max="9990" width="11.453125" style="444" customWidth="1"/>
    <col min="9991" max="9991" width="15" style="444" customWidth="1"/>
    <col min="9992" max="9992" width="17.453125" style="444" customWidth="1"/>
    <col min="9993" max="9993" width="14.7265625" style="444" customWidth="1"/>
    <col min="9994" max="9994" width="9.1796875" style="444" customWidth="1"/>
    <col min="9995" max="9995" width="12.1796875" style="444" customWidth="1"/>
    <col min="9996" max="10239" width="9" style="444"/>
    <col min="10240" max="10240" width="5.81640625" style="444" customWidth="1"/>
    <col min="10241" max="10241" width="26.453125" style="444" customWidth="1"/>
    <col min="10242" max="10242" width="15.1796875" style="444" customWidth="1"/>
    <col min="10243" max="10243" width="17.1796875" style="444" customWidth="1"/>
    <col min="10244" max="10244" width="14.1796875" style="444" customWidth="1"/>
    <col min="10245" max="10245" width="9" style="444"/>
    <col min="10246" max="10246" width="11.453125" style="444" customWidth="1"/>
    <col min="10247" max="10247" width="15" style="444" customWidth="1"/>
    <col min="10248" max="10248" width="17.453125" style="444" customWidth="1"/>
    <col min="10249" max="10249" width="14.7265625" style="444" customWidth="1"/>
    <col min="10250" max="10250" width="9.1796875" style="444" customWidth="1"/>
    <col min="10251" max="10251" width="12.1796875" style="444" customWidth="1"/>
    <col min="10252" max="10495" width="9" style="444"/>
    <col min="10496" max="10496" width="5.81640625" style="444" customWidth="1"/>
    <col min="10497" max="10497" width="26.453125" style="444" customWidth="1"/>
    <col min="10498" max="10498" width="15.1796875" style="444" customWidth="1"/>
    <col min="10499" max="10499" width="17.1796875" style="444" customWidth="1"/>
    <col min="10500" max="10500" width="14.1796875" style="444" customWidth="1"/>
    <col min="10501" max="10501" width="9" style="444"/>
    <col min="10502" max="10502" width="11.453125" style="444" customWidth="1"/>
    <col min="10503" max="10503" width="15" style="444" customWidth="1"/>
    <col min="10504" max="10504" width="17.453125" style="444" customWidth="1"/>
    <col min="10505" max="10505" width="14.7265625" style="444" customWidth="1"/>
    <col min="10506" max="10506" width="9.1796875" style="444" customWidth="1"/>
    <col min="10507" max="10507" width="12.1796875" style="444" customWidth="1"/>
    <col min="10508" max="10751" width="9" style="444"/>
    <col min="10752" max="10752" width="5.81640625" style="444" customWidth="1"/>
    <col min="10753" max="10753" width="26.453125" style="444" customWidth="1"/>
    <col min="10754" max="10754" width="15.1796875" style="444" customWidth="1"/>
    <col min="10755" max="10755" width="17.1796875" style="444" customWidth="1"/>
    <col min="10756" max="10756" width="14.1796875" style="444" customWidth="1"/>
    <col min="10757" max="10757" width="9" style="444"/>
    <col min="10758" max="10758" width="11.453125" style="444" customWidth="1"/>
    <col min="10759" max="10759" width="15" style="444" customWidth="1"/>
    <col min="10760" max="10760" width="17.453125" style="444" customWidth="1"/>
    <col min="10761" max="10761" width="14.7265625" style="444" customWidth="1"/>
    <col min="10762" max="10762" width="9.1796875" style="444" customWidth="1"/>
    <col min="10763" max="10763" width="12.1796875" style="444" customWidth="1"/>
    <col min="10764" max="11007" width="9" style="444"/>
    <col min="11008" max="11008" width="5.81640625" style="444" customWidth="1"/>
    <col min="11009" max="11009" width="26.453125" style="444" customWidth="1"/>
    <col min="11010" max="11010" width="15.1796875" style="444" customWidth="1"/>
    <col min="11011" max="11011" width="17.1796875" style="444" customWidth="1"/>
    <col min="11012" max="11012" width="14.1796875" style="444" customWidth="1"/>
    <col min="11013" max="11013" width="9" style="444"/>
    <col min="11014" max="11014" width="11.453125" style="444" customWidth="1"/>
    <col min="11015" max="11015" width="15" style="444" customWidth="1"/>
    <col min="11016" max="11016" width="17.453125" style="444" customWidth="1"/>
    <col min="11017" max="11017" width="14.7265625" style="444" customWidth="1"/>
    <col min="11018" max="11018" width="9.1796875" style="444" customWidth="1"/>
    <col min="11019" max="11019" width="12.1796875" style="444" customWidth="1"/>
    <col min="11020" max="11263" width="9" style="444"/>
    <col min="11264" max="11264" width="5.81640625" style="444" customWidth="1"/>
    <col min="11265" max="11265" width="26.453125" style="444" customWidth="1"/>
    <col min="11266" max="11266" width="15.1796875" style="444" customWidth="1"/>
    <col min="11267" max="11267" width="17.1796875" style="444" customWidth="1"/>
    <col min="11268" max="11268" width="14.1796875" style="444" customWidth="1"/>
    <col min="11269" max="11269" width="9" style="444"/>
    <col min="11270" max="11270" width="11.453125" style="444" customWidth="1"/>
    <col min="11271" max="11271" width="15" style="444" customWidth="1"/>
    <col min="11272" max="11272" width="17.453125" style="444" customWidth="1"/>
    <col min="11273" max="11273" width="14.7265625" style="444" customWidth="1"/>
    <col min="11274" max="11274" width="9.1796875" style="444" customWidth="1"/>
    <col min="11275" max="11275" width="12.1796875" style="444" customWidth="1"/>
    <col min="11276" max="11519" width="9" style="444"/>
    <col min="11520" max="11520" width="5.81640625" style="444" customWidth="1"/>
    <col min="11521" max="11521" width="26.453125" style="444" customWidth="1"/>
    <col min="11522" max="11522" width="15.1796875" style="444" customWidth="1"/>
    <col min="11523" max="11523" width="17.1796875" style="444" customWidth="1"/>
    <col min="11524" max="11524" width="14.1796875" style="444" customWidth="1"/>
    <col min="11525" max="11525" width="9" style="444"/>
    <col min="11526" max="11526" width="11.453125" style="444" customWidth="1"/>
    <col min="11527" max="11527" width="15" style="444" customWidth="1"/>
    <col min="11528" max="11528" width="17.453125" style="444" customWidth="1"/>
    <col min="11529" max="11529" width="14.7265625" style="444" customWidth="1"/>
    <col min="11530" max="11530" width="9.1796875" style="444" customWidth="1"/>
    <col min="11531" max="11531" width="12.1796875" style="444" customWidth="1"/>
    <col min="11532" max="11775" width="9" style="444"/>
    <col min="11776" max="11776" width="5.81640625" style="444" customWidth="1"/>
    <col min="11777" max="11777" width="26.453125" style="444" customWidth="1"/>
    <col min="11778" max="11778" width="15.1796875" style="444" customWidth="1"/>
    <col min="11779" max="11779" width="17.1796875" style="444" customWidth="1"/>
    <col min="11780" max="11780" width="14.1796875" style="444" customWidth="1"/>
    <col min="11781" max="11781" width="9" style="444"/>
    <col min="11782" max="11782" width="11.453125" style="444" customWidth="1"/>
    <col min="11783" max="11783" width="15" style="444" customWidth="1"/>
    <col min="11784" max="11784" width="17.453125" style="444" customWidth="1"/>
    <col min="11785" max="11785" width="14.7265625" style="444" customWidth="1"/>
    <col min="11786" max="11786" width="9.1796875" style="444" customWidth="1"/>
    <col min="11787" max="11787" width="12.1796875" style="444" customWidth="1"/>
    <col min="11788" max="12031" width="9" style="444"/>
    <col min="12032" max="12032" width="5.81640625" style="444" customWidth="1"/>
    <col min="12033" max="12033" width="26.453125" style="444" customWidth="1"/>
    <col min="12034" max="12034" width="15.1796875" style="444" customWidth="1"/>
    <col min="12035" max="12035" width="17.1796875" style="444" customWidth="1"/>
    <col min="12036" max="12036" width="14.1796875" style="444" customWidth="1"/>
    <col min="12037" max="12037" width="9" style="444"/>
    <col min="12038" max="12038" width="11.453125" style="444" customWidth="1"/>
    <col min="12039" max="12039" width="15" style="444" customWidth="1"/>
    <col min="12040" max="12040" width="17.453125" style="444" customWidth="1"/>
    <col min="12041" max="12041" width="14.7265625" style="444" customWidth="1"/>
    <col min="12042" max="12042" width="9.1796875" style="444" customWidth="1"/>
    <col min="12043" max="12043" width="12.1796875" style="444" customWidth="1"/>
    <col min="12044" max="12287" width="9" style="444"/>
    <col min="12288" max="12288" width="5.81640625" style="444" customWidth="1"/>
    <col min="12289" max="12289" width="26.453125" style="444" customWidth="1"/>
    <col min="12290" max="12290" width="15.1796875" style="444" customWidth="1"/>
    <col min="12291" max="12291" width="17.1796875" style="444" customWidth="1"/>
    <col min="12292" max="12292" width="14.1796875" style="444" customWidth="1"/>
    <col min="12293" max="12293" width="9" style="444"/>
    <col min="12294" max="12294" width="11.453125" style="444" customWidth="1"/>
    <col min="12295" max="12295" width="15" style="444" customWidth="1"/>
    <col min="12296" max="12296" width="17.453125" style="444" customWidth="1"/>
    <col min="12297" max="12297" width="14.7265625" style="444" customWidth="1"/>
    <col min="12298" max="12298" width="9.1796875" style="444" customWidth="1"/>
    <col min="12299" max="12299" width="12.1796875" style="444" customWidth="1"/>
    <col min="12300" max="12543" width="9" style="444"/>
    <col min="12544" max="12544" width="5.81640625" style="444" customWidth="1"/>
    <col min="12545" max="12545" width="26.453125" style="444" customWidth="1"/>
    <col min="12546" max="12546" width="15.1796875" style="444" customWidth="1"/>
    <col min="12547" max="12547" width="17.1796875" style="444" customWidth="1"/>
    <col min="12548" max="12548" width="14.1796875" style="444" customWidth="1"/>
    <col min="12549" max="12549" width="9" style="444"/>
    <col min="12550" max="12550" width="11.453125" style="444" customWidth="1"/>
    <col min="12551" max="12551" width="15" style="444" customWidth="1"/>
    <col min="12552" max="12552" width="17.453125" style="444" customWidth="1"/>
    <col min="12553" max="12553" width="14.7265625" style="444" customWidth="1"/>
    <col min="12554" max="12554" width="9.1796875" style="444" customWidth="1"/>
    <col min="12555" max="12555" width="12.1796875" style="444" customWidth="1"/>
    <col min="12556" max="12799" width="9" style="444"/>
    <col min="12800" max="12800" width="5.81640625" style="444" customWidth="1"/>
    <col min="12801" max="12801" width="26.453125" style="444" customWidth="1"/>
    <col min="12802" max="12802" width="15.1796875" style="444" customWidth="1"/>
    <col min="12803" max="12803" width="17.1796875" style="444" customWidth="1"/>
    <col min="12804" max="12804" width="14.1796875" style="444" customWidth="1"/>
    <col min="12805" max="12805" width="9" style="444"/>
    <col min="12806" max="12806" width="11.453125" style="444" customWidth="1"/>
    <col min="12807" max="12807" width="15" style="444" customWidth="1"/>
    <col min="12808" max="12808" width="17.453125" style="444" customWidth="1"/>
    <col min="12809" max="12809" width="14.7265625" style="444" customWidth="1"/>
    <col min="12810" max="12810" width="9.1796875" style="444" customWidth="1"/>
    <col min="12811" max="12811" width="12.1796875" style="444" customWidth="1"/>
    <col min="12812" max="13055" width="9" style="444"/>
    <col min="13056" max="13056" width="5.81640625" style="444" customWidth="1"/>
    <col min="13057" max="13057" width="26.453125" style="444" customWidth="1"/>
    <col min="13058" max="13058" width="15.1796875" style="444" customWidth="1"/>
    <col min="13059" max="13059" width="17.1796875" style="444" customWidth="1"/>
    <col min="13060" max="13060" width="14.1796875" style="444" customWidth="1"/>
    <col min="13061" max="13061" width="9" style="444"/>
    <col min="13062" max="13062" width="11.453125" style="444" customWidth="1"/>
    <col min="13063" max="13063" width="15" style="444" customWidth="1"/>
    <col min="13064" max="13064" width="17.453125" style="444" customWidth="1"/>
    <col min="13065" max="13065" width="14.7265625" style="444" customWidth="1"/>
    <col min="13066" max="13066" width="9.1796875" style="444" customWidth="1"/>
    <col min="13067" max="13067" width="12.1796875" style="444" customWidth="1"/>
    <col min="13068" max="13311" width="9" style="444"/>
    <col min="13312" max="13312" width="5.81640625" style="444" customWidth="1"/>
    <col min="13313" max="13313" width="26.453125" style="444" customWidth="1"/>
    <col min="13314" max="13314" width="15.1796875" style="444" customWidth="1"/>
    <col min="13315" max="13315" width="17.1796875" style="444" customWidth="1"/>
    <col min="13316" max="13316" width="14.1796875" style="444" customWidth="1"/>
    <col min="13317" max="13317" width="9" style="444"/>
    <col min="13318" max="13318" width="11.453125" style="444" customWidth="1"/>
    <col min="13319" max="13319" width="15" style="444" customWidth="1"/>
    <col min="13320" max="13320" width="17.453125" style="444" customWidth="1"/>
    <col min="13321" max="13321" width="14.7265625" style="444" customWidth="1"/>
    <col min="13322" max="13322" width="9.1796875" style="444" customWidth="1"/>
    <col min="13323" max="13323" width="12.1796875" style="444" customWidth="1"/>
    <col min="13324" max="13567" width="9" style="444"/>
    <col min="13568" max="13568" width="5.81640625" style="444" customWidth="1"/>
    <col min="13569" max="13569" width="26.453125" style="444" customWidth="1"/>
    <col min="13570" max="13570" width="15.1796875" style="444" customWidth="1"/>
    <col min="13571" max="13571" width="17.1796875" style="444" customWidth="1"/>
    <col min="13572" max="13572" width="14.1796875" style="444" customWidth="1"/>
    <col min="13573" max="13573" width="9" style="444"/>
    <col min="13574" max="13574" width="11.453125" style="444" customWidth="1"/>
    <col min="13575" max="13575" width="15" style="444" customWidth="1"/>
    <col min="13576" max="13576" width="17.453125" style="444" customWidth="1"/>
    <col min="13577" max="13577" width="14.7265625" style="444" customWidth="1"/>
    <col min="13578" max="13578" width="9.1796875" style="444" customWidth="1"/>
    <col min="13579" max="13579" width="12.1796875" style="444" customWidth="1"/>
    <col min="13580" max="13823" width="9" style="444"/>
    <col min="13824" max="13824" width="5.81640625" style="444" customWidth="1"/>
    <col min="13825" max="13825" width="26.453125" style="444" customWidth="1"/>
    <col min="13826" max="13826" width="15.1796875" style="444" customWidth="1"/>
    <col min="13827" max="13827" width="17.1796875" style="444" customWidth="1"/>
    <col min="13828" max="13828" width="14.1796875" style="444" customWidth="1"/>
    <col min="13829" max="13829" width="9" style="444"/>
    <col min="13830" max="13830" width="11.453125" style="444" customWidth="1"/>
    <col min="13831" max="13831" width="15" style="444" customWidth="1"/>
    <col min="13832" max="13832" width="17.453125" style="444" customWidth="1"/>
    <col min="13833" max="13833" width="14.7265625" style="444" customWidth="1"/>
    <col min="13834" max="13834" width="9.1796875" style="444" customWidth="1"/>
    <col min="13835" max="13835" width="12.1796875" style="444" customWidth="1"/>
    <col min="13836" max="14079" width="9" style="444"/>
    <col min="14080" max="14080" width="5.81640625" style="444" customWidth="1"/>
    <col min="14081" max="14081" width="26.453125" style="444" customWidth="1"/>
    <col min="14082" max="14082" width="15.1796875" style="444" customWidth="1"/>
    <col min="14083" max="14083" width="17.1796875" style="444" customWidth="1"/>
    <col min="14084" max="14084" width="14.1796875" style="444" customWidth="1"/>
    <col min="14085" max="14085" width="9" style="444"/>
    <col min="14086" max="14086" width="11.453125" style="444" customWidth="1"/>
    <col min="14087" max="14087" width="15" style="444" customWidth="1"/>
    <col min="14088" max="14088" width="17.453125" style="444" customWidth="1"/>
    <col min="14089" max="14089" width="14.7265625" style="444" customWidth="1"/>
    <col min="14090" max="14090" width="9.1796875" style="444" customWidth="1"/>
    <col min="14091" max="14091" width="12.1796875" style="444" customWidth="1"/>
    <col min="14092" max="14335" width="9" style="444"/>
    <col min="14336" max="14336" width="5.81640625" style="444" customWidth="1"/>
    <col min="14337" max="14337" width="26.453125" style="444" customWidth="1"/>
    <col min="14338" max="14338" width="15.1796875" style="444" customWidth="1"/>
    <col min="14339" max="14339" width="17.1796875" style="444" customWidth="1"/>
    <col min="14340" max="14340" width="14.1796875" style="444" customWidth="1"/>
    <col min="14341" max="14341" width="9" style="444"/>
    <col min="14342" max="14342" width="11.453125" style="444" customWidth="1"/>
    <col min="14343" max="14343" width="15" style="444" customWidth="1"/>
    <col min="14344" max="14344" width="17.453125" style="444" customWidth="1"/>
    <col min="14345" max="14345" width="14.7265625" style="444" customWidth="1"/>
    <col min="14346" max="14346" width="9.1796875" style="444" customWidth="1"/>
    <col min="14347" max="14347" width="12.1796875" style="444" customWidth="1"/>
    <col min="14348" max="14591" width="9" style="444"/>
    <col min="14592" max="14592" width="5.81640625" style="444" customWidth="1"/>
    <col min="14593" max="14593" width="26.453125" style="444" customWidth="1"/>
    <col min="14594" max="14594" width="15.1796875" style="444" customWidth="1"/>
    <col min="14595" max="14595" width="17.1796875" style="444" customWidth="1"/>
    <col min="14596" max="14596" width="14.1796875" style="444" customWidth="1"/>
    <col min="14597" max="14597" width="9" style="444"/>
    <col min="14598" max="14598" width="11.453125" style="444" customWidth="1"/>
    <col min="14599" max="14599" width="15" style="444" customWidth="1"/>
    <col min="14600" max="14600" width="17.453125" style="444" customWidth="1"/>
    <col min="14601" max="14601" width="14.7265625" style="444" customWidth="1"/>
    <col min="14602" max="14602" width="9.1796875" style="444" customWidth="1"/>
    <col min="14603" max="14603" width="12.1796875" style="444" customWidth="1"/>
    <col min="14604" max="14847" width="9" style="444"/>
    <col min="14848" max="14848" width="5.81640625" style="444" customWidth="1"/>
    <col min="14849" max="14849" width="26.453125" style="444" customWidth="1"/>
    <col min="14850" max="14850" width="15.1796875" style="444" customWidth="1"/>
    <col min="14851" max="14851" width="17.1796875" style="444" customWidth="1"/>
    <col min="14852" max="14852" width="14.1796875" style="444" customWidth="1"/>
    <col min="14853" max="14853" width="9" style="444"/>
    <col min="14854" max="14854" width="11.453125" style="444" customWidth="1"/>
    <col min="14855" max="14855" width="15" style="444" customWidth="1"/>
    <col min="14856" max="14856" width="17.453125" style="444" customWidth="1"/>
    <col min="14857" max="14857" width="14.7265625" style="444" customWidth="1"/>
    <col min="14858" max="14858" width="9.1796875" style="444" customWidth="1"/>
    <col min="14859" max="14859" width="12.1796875" style="444" customWidth="1"/>
    <col min="14860" max="15103" width="9" style="444"/>
    <col min="15104" max="15104" width="5.81640625" style="444" customWidth="1"/>
    <col min="15105" max="15105" width="26.453125" style="444" customWidth="1"/>
    <col min="15106" max="15106" width="15.1796875" style="444" customWidth="1"/>
    <col min="15107" max="15107" width="17.1796875" style="444" customWidth="1"/>
    <col min="15108" max="15108" width="14.1796875" style="444" customWidth="1"/>
    <col min="15109" max="15109" width="9" style="444"/>
    <col min="15110" max="15110" width="11.453125" style="444" customWidth="1"/>
    <col min="15111" max="15111" width="15" style="444" customWidth="1"/>
    <col min="15112" max="15112" width="17.453125" style="444" customWidth="1"/>
    <col min="15113" max="15113" width="14.7265625" style="444" customWidth="1"/>
    <col min="15114" max="15114" width="9.1796875" style="444" customWidth="1"/>
    <col min="15115" max="15115" width="12.1796875" style="444" customWidth="1"/>
    <col min="15116" max="15359" width="9" style="444"/>
    <col min="15360" max="15360" width="5.81640625" style="444" customWidth="1"/>
    <col min="15361" max="15361" width="26.453125" style="444" customWidth="1"/>
    <col min="15362" max="15362" width="15.1796875" style="444" customWidth="1"/>
    <col min="15363" max="15363" width="17.1796875" style="444" customWidth="1"/>
    <col min="15364" max="15364" width="14.1796875" style="444" customWidth="1"/>
    <col min="15365" max="15365" width="9" style="444"/>
    <col min="15366" max="15366" width="11.453125" style="444" customWidth="1"/>
    <col min="15367" max="15367" width="15" style="444" customWidth="1"/>
    <col min="15368" max="15368" width="17.453125" style="444" customWidth="1"/>
    <col min="15369" max="15369" width="14.7265625" style="444" customWidth="1"/>
    <col min="15370" max="15370" width="9.1796875" style="444" customWidth="1"/>
    <col min="15371" max="15371" width="12.1796875" style="444" customWidth="1"/>
    <col min="15372" max="15615" width="9" style="444"/>
    <col min="15616" max="15616" width="5.81640625" style="444" customWidth="1"/>
    <col min="15617" max="15617" width="26.453125" style="444" customWidth="1"/>
    <col min="15618" max="15618" width="15.1796875" style="444" customWidth="1"/>
    <col min="15619" max="15619" width="17.1796875" style="444" customWidth="1"/>
    <col min="15620" max="15620" width="14.1796875" style="444" customWidth="1"/>
    <col min="15621" max="15621" width="9" style="444"/>
    <col min="15622" max="15622" width="11.453125" style="444" customWidth="1"/>
    <col min="15623" max="15623" width="15" style="444" customWidth="1"/>
    <col min="15624" max="15624" width="17.453125" style="444" customWidth="1"/>
    <col min="15625" max="15625" width="14.7265625" style="444" customWidth="1"/>
    <col min="15626" max="15626" width="9.1796875" style="444" customWidth="1"/>
    <col min="15627" max="15627" width="12.1796875" style="444" customWidth="1"/>
    <col min="15628" max="15871" width="9" style="444"/>
    <col min="15872" max="15872" width="5.81640625" style="444" customWidth="1"/>
    <col min="15873" max="15873" width="26.453125" style="444" customWidth="1"/>
    <col min="15874" max="15874" width="15.1796875" style="444" customWidth="1"/>
    <col min="15875" max="15875" width="17.1796875" style="444" customWidth="1"/>
    <col min="15876" max="15876" width="14.1796875" style="444" customWidth="1"/>
    <col min="15877" max="15877" width="9" style="444"/>
    <col min="15878" max="15878" width="11.453125" style="444" customWidth="1"/>
    <col min="15879" max="15879" width="15" style="444" customWidth="1"/>
    <col min="15880" max="15880" width="17.453125" style="444" customWidth="1"/>
    <col min="15881" max="15881" width="14.7265625" style="444" customWidth="1"/>
    <col min="15882" max="15882" width="9.1796875" style="444" customWidth="1"/>
    <col min="15883" max="15883" width="12.1796875" style="444" customWidth="1"/>
    <col min="15884" max="16127" width="9" style="444"/>
    <col min="16128" max="16128" width="5.81640625" style="444" customWidth="1"/>
    <col min="16129" max="16129" width="26.453125" style="444" customWidth="1"/>
    <col min="16130" max="16130" width="15.1796875" style="444" customWidth="1"/>
    <col min="16131" max="16131" width="17.1796875" style="444" customWidth="1"/>
    <col min="16132" max="16132" width="14.1796875" style="444" customWidth="1"/>
    <col min="16133" max="16133" width="9" style="444"/>
    <col min="16134" max="16134" width="11.453125" style="444" customWidth="1"/>
    <col min="16135" max="16135" width="15" style="444" customWidth="1"/>
    <col min="16136" max="16136" width="17.453125" style="444" customWidth="1"/>
    <col min="16137" max="16137" width="14.7265625" style="444" customWidth="1"/>
    <col min="16138" max="16138" width="9.1796875" style="444" customWidth="1"/>
    <col min="16139" max="16139" width="12.1796875" style="444" customWidth="1"/>
    <col min="16140" max="16384" width="9" style="444"/>
  </cols>
  <sheetData>
    <row r="1" spans="1:12" ht="27" customHeight="1">
      <c r="E1" s="446" t="s">
        <v>121</v>
      </c>
    </row>
    <row r="2" spans="1:12" s="442" customFormat="1" ht="27" customHeight="1">
      <c r="A2" s="1206" t="s">
        <v>122</v>
      </c>
      <c r="B2" s="1206"/>
      <c r="C2" s="1206"/>
      <c r="D2" s="1206"/>
      <c r="E2" s="1206"/>
      <c r="F2" s="501"/>
      <c r="G2" s="448"/>
      <c r="H2" s="1206"/>
      <c r="I2" s="1206"/>
      <c r="J2" s="1206"/>
      <c r="K2" s="1159"/>
    </row>
    <row r="3" spans="1:12" ht="27" customHeight="1">
      <c r="A3" s="447"/>
      <c r="B3" s="447"/>
      <c r="C3" s="447"/>
      <c r="D3" s="447"/>
      <c r="E3" s="447"/>
      <c r="F3" s="499"/>
      <c r="H3" s="1130"/>
      <c r="I3" s="1127"/>
    </row>
    <row r="4" spans="1:12" s="443" customFormat="1" ht="50.1" customHeight="1">
      <c r="A4" s="449" t="s">
        <v>123</v>
      </c>
      <c r="B4" s="449"/>
      <c r="C4" s="1207" t="s">
        <v>124</v>
      </c>
      <c r="D4" s="1207"/>
      <c r="E4" s="1207"/>
      <c r="F4" s="505"/>
      <c r="G4" s="451"/>
      <c r="H4" s="1131"/>
    </row>
    <row r="5" spans="1:12" ht="27" customHeight="1">
      <c r="A5" s="452" t="s">
        <v>125</v>
      </c>
      <c r="B5" s="452"/>
      <c r="C5" s="454" t="s">
        <v>126</v>
      </c>
      <c r="D5" s="454"/>
      <c r="E5" s="454"/>
      <c r="F5" s="501"/>
    </row>
    <row r="6" spans="1:12" ht="27" customHeight="1">
      <c r="A6" s="452" t="s">
        <v>127</v>
      </c>
      <c r="B6" s="452"/>
      <c r="C6" s="454" t="s">
        <v>128</v>
      </c>
      <c r="D6" s="454"/>
      <c r="E6" s="454"/>
      <c r="F6" s="501"/>
      <c r="H6" s="455"/>
    </row>
    <row r="7" spans="1:12" ht="27" customHeight="1">
      <c r="A7" s="452" t="s">
        <v>129</v>
      </c>
      <c r="B7" s="452"/>
      <c r="C7" s="1208" t="s">
        <v>130</v>
      </c>
      <c r="D7" s="1208"/>
      <c r="E7" s="1208"/>
      <c r="F7" s="1132"/>
      <c r="H7" s="1206"/>
      <c r="I7" s="1206"/>
      <c r="J7" s="1206"/>
      <c r="K7" s="1206"/>
    </row>
    <row r="8" spans="1:12" ht="27" customHeight="1">
      <c r="A8" s="452" t="s">
        <v>131</v>
      </c>
      <c r="B8" s="452"/>
      <c r="C8" s="454" t="s">
        <v>132</v>
      </c>
      <c r="D8" s="454"/>
      <c r="E8" s="454"/>
      <c r="F8" s="501">
        <f>136+212</f>
        <v>348</v>
      </c>
      <c r="H8" s="1206"/>
      <c r="I8" s="1206"/>
      <c r="J8" s="1206"/>
      <c r="K8" s="1206"/>
    </row>
    <row r="9" spans="1:12" ht="27" customHeight="1">
      <c r="A9" s="452" t="s">
        <v>133</v>
      </c>
      <c r="B9" s="452"/>
      <c r="C9" s="454" t="s">
        <v>134</v>
      </c>
      <c r="D9" s="457"/>
      <c r="E9" s="458"/>
      <c r="F9" s="1133"/>
      <c r="H9" s="499"/>
      <c r="I9" s="447"/>
      <c r="J9" s="447"/>
      <c r="K9" s="447"/>
      <c r="L9" s="447"/>
    </row>
    <row r="10" spans="1:12" ht="27" customHeight="1">
      <c r="A10" s="452" t="s">
        <v>135</v>
      </c>
      <c r="B10" s="452"/>
      <c r="C10" s="1134" t="s">
        <v>136</v>
      </c>
      <c r="D10" s="457"/>
      <c r="E10" s="459"/>
      <c r="F10" s="501"/>
      <c r="H10" s="447"/>
      <c r="I10" s="447"/>
      <c r="J10" s="447"/>
      <c r="K10" s="447"/>
    </row>
    <row r="11" spans="1:12" ht="27" customHeight="1">
      <c r="A11" s="1135"/>
      <c r="B11" s="447"/>
      <c r="C11" s="1136"/>
      <c r="D11" s="447"/>
      <c r="E11" s="1107"/>
      <c r="H11" s="447"/>
      <c r="I11" s="447"/>
      <c r="J11" s="447"/>
      <c r="K11" s="447"/>
    </row>
    <row r="12" spans="1:12" s="442" customFormat="1" ht="27" customHeight="1">
      <c r="A12" s="1216" t="s">
        <v>137</v>
      </c>
      <c r="B12" s="1220" t="s">
        <v>138</v>
      </c>
      <c r="C12" s="1221"/>
      <c r="D12" s="1218" t="s">
        <v>139</v>
      </c>
      <c r="E12" s="1216" t="s">
        <v>140</v>
      </c>
      <c r="F12" s="448"/>
      <c r="G12" s="448"/>
      <c r="H12" s="1127"/>
      <c r="I12" s="444"/>
      <c r="J12" s="1160"/>
      <c r="K12" s="444"/>
    </row>
    <row r="13" spans="1:12" s="442" customFormat="1" ht="27" customHeight="1">
      <c r="A13" s="1217"/>
      <c r="B13" s="1222"/>
      <c r="C13" s="1223"/>
      <c r="D13" s="1219"/>
      <c r="E13" s="1217"/>
      <c r="F13" s="448"/>
      <c r="G13" s="448"/>
      <c r="H13" s="444"/>
      <c r="I13" s="444"/>
      <c r="J13" s="1161"/>
      <c r="K13" s="444"/>
    </row>
    <row r="14" spans="1:12" ht="27" customHeight="1">
      <c r="A14" s="471">
        <v>1</v>
      </c>
      <c r="B14" s="1137" t="s">
        <v>141</v>
      </c>
      <c r="C14" s="1138"/>
      <c r="D14" s="1139"/>
      <c r="E14" s="1140"/>
      <c r="J14" s="1161"/>
    </row>
    <row r="15" spans="1:12" ht="27" customHeight="1">
      <c r="A15" s="471"/>
      <c r="B15" s="1141" t="s">
        <v>142</v>
      </c>
      <c r="C15" s="1138"/>
      <c r="D15" s="1139">
        <f>'RKCA1_ปร.5 (ก)'!E31</f>
        <v>592699488.10175085</v>
      </c>
      <c r="E15" s="1140"/>
      <c r="G15" s="445">
        <v>634383486.65999997</v>
      </c>
      <c r="J15" s="1161"/>
    </row>
    <row r="16" spans="1:12" ht="27" customHeight="1">
      <c r="A16" s="471"/>
      <c r="B16" s="1141" t="s">
        <v>143</v>
      </c>
      <c r="C16" s="1138"/>
      <c r="D16" s="1139">
        <v>107696556.30453201</v>
      </c>
      <c r="E16" s="1140"/>
      <c r="G16" s="445">
        <v>116185153.41</v>
      </c>
      <c r="J16" s="1161"/>
    </row>
    <row r="17" spans="1:11" ht="27" customHeight="1">
      <c r="A17" s="471"/>
      <c r="B17" s="1141"/>
      <c r="C17" s="1138"/>
      <c r="D17" s="1139"/>
      <c r="E17" s="1140"/>
      <c r="J17" s="1161"/>
    </row>
    <row r="18" spans="1:11" ht="27" customHeight="1">
      <c r="A18" s="471">
        <v>2</v>
      </c>
      <c r="B18" s="1137" t="s">
        <v>144</v>
      </c>
      <c r="C18" s="1138"/>
      <c r="D18" s="1139"/>
      <c r="E18" s="1140"/>
      <c r="J18" s="1161"/>
    </row>
    <row r="19" spans="1:11" ht="27" customHeight="1">
      <c r="A19" s="471"/>
      <c r="B19" s="1141" t="s">
        <v>145</v>
      </c>
      <c r="C19" s="1138"/>
      <c r="D19" s="1139">
        <f>'แบบ ปร.5(ข)'!E25</f>
        <v>148871173.87368855</v>
      </c>
      <c r="E19" s="1140"/>
      <c r="G19" s="445">
        <v>159236166.97</v>
      </c>
      <c r="J19" s="1161"/>
    </row>
    <row r="20" spans="1:11" ht="27" customHeight="1">
      <c r="A20" s="471"/>
      <c r="B20" s="1141" t="s">
        <v>146</v>
      </c>
      <c r="C20" s="1142"/>
      <c r="D20" s="1143">
        <v>33207814.0550979</v>
      </c>
      <c r="E20" s="1124"/>
      <c r="G20" s="445">
        <v>35519871.890000001</v>
      </c>
      <c r="J20" s="1161"/>
    </row>
    <row r="21" spans="1:11" ht="27" customHeight="1">
      <c r="A21" s="471"/>
      <c r="B21" s="1141"/>
      <c r="C21" s="1142"/>
      <c r="D21" s="1143"/>
      <c r="E21" s="1124"/>
      <c r="J21" s="1161"/>
    </row>
    <row r="22" spans="1:11" ht="27" customHeight="1">
      <c r="A22" s="471">
        <v>3</v>
      </c>
      <c r="B22" s="1137" t="s">
        <v>147</v>
      </c>
      <c r="C22" s="1142"/>
      <c r="D22" s="1143"/>
      <c r="E22" s="1124"/>
      <c r="J22" s="1161"/>
    </row>
    <row r="23" spans="1:11" ht="27" customHeight="1">
      <c r="A23" s="471"/>
      <c r="B23" s="1141" t="s">
        <v>148</v>
      </c>
      <c r="C23" s="1142"/>
      <c r="D23" s="484">
        <v>14524968.140000001</v>
      </c>
      <c r="E23" s="1124"/>
      <c r="G23" s="445">
        <v>15536253.199999999</v>
      </c>
      <c r="J23" s="1161"/>
    </row>
    <row r="24" spans="1:11" ht="27" customHeight="1">
      <c r="A24" s="476"/>
      <c r="B24" s="1144"/>
      <c r="C24" s="1142"/>
      <c r="D24" s="478"/>
      <c r="E24" s="1124"/>
      <c r="J24" s="1161"/>
      <c r="K24" s="1161"/>
    </row>
    <row r="25" spans="1:11" ht="27" customHeight="1">
      <c r="A25" s="1145"/>
      <c r="B25" s="1146"/>
      <c r="C25" s="1147"/>
      <c r="D25" s="1148"/>
      <c r="E25" s="1149"/>
      <c r="H25" s="447"/>
      <c r="I25" s="1209"/>
      <c r="J25" s="1209"/>
      <c r="K25" s="1209"/>
    </row>
    <row r="26" spans="1:11" ht="27" customHeight="1">
      <c r="A26" s="1150" t="s">
        <v>149</v>
      </c>
      <c r="B26" s="1210" t="s">
        <v>150</v>
      </c>
      <c r="C26" s="1211"/>
      <c r="D26" s="1151">
        <f>SUM(D15:D25)</f>
        <v>897000000.4750694</v>
      </c>
      <c r="E26" s="1152"/>
      <c r="F26" s="445" t="s">
        <v>151</v>
      </c>
      <c r="G26" s="445">
        <f>SUM(G15:G25)</f>
        <v>960860932.13</v>
      </c>
      <c r="I26" s="445" t="s">
        <v>151</v>
      </c>
    </row>
    <row r="27" spans="1:11" ht="27" customHeight="1">
      <c r="A27" s="1153"/>
      <c r="B27" s="1212" t="s">
        <v>152</v>
      </c>
      <c r="C27" s="1213"/>
      <c r="D27" s="1154">
        <v>897000000</v>
      </c>
      <c r="E27" s="1155"/>
    </row>
    <row r="28" spans="1:11" ht="27" customHeight="1">
      <c r="A28" s="1156"/>
      <c r="B28" s="1157" t="s">
        <v>153</v>
      </c>
      <c r="C28" s="1214" t="str">
        <f>"("&amp;BAHTTEXT(D27)&amp;")"</f>
        <v>(แปดร้อยเก้าสิบเจ็ดล้านบาทถ้วน)</v>
      </c>
      <c r="D28" s="1214"/>
      <c r="E28" s="1215"/>
      <c r="F28" s="445" t="s">
        <v>151</v>
      </c>
    </row>
    <row r="29" spans="1:11" ht="27" customHeight="1">
      <c r="B29" s="504"/>
      <c r="C29" s="1158"/>
      <c r="D29" s="1158"/>
      <c r="E29" s="1158"/>
    </row>
    <row r="30" spans="1:11" ht="27" customHeight="1">
      <c r="B30" s="1127"/>
      <c r="C30" s="1128"/>
      <c r="F30" s="444"/>
      <c r="G30" s="444"/>
    </row>
    <row r="31" spans="1:11" ht="22.7" customHeight="1">
      <c r="B31" s="1127"/>
      <c r="C31" s="1128"/>
      <c r="F31" s="444"/>
      <c r="G31" s="444"/>
    </row>
    <row r="32" spans="1:11" ht="22.7" customHeight="1">
      <c r="B32" s="1127"/>
      <c r="C32" s="1128"/>
      <c r="F32" s="444"/>
      <c r="G32" s="444"/>
    </row>
    <row r="33" spans="2:7" ht="22.7" customHeight="1">
      <c r="B33" s="1127"/>
      <c r="C33" s="1128"/>
      <c r="D33" s="1129"/>
      <c r="F33" s="444"/>
      <c r="G33" s="444"/>
    </row>
    <row r="34" spans="2:7" ht="22.7" customHeight="1">
      <c r="B34" s="1127"/>
      <c r="C34" s="1128"/>
      <c r="F34" s="444"/>
      <c r="G34" s="444"/>
    </row>
    <row r="35" spans="2:7" ht="22.7" customHeight="1">
      <c r="B35" s="1127"/>
      <c r="C35" s="1128"/>
      <c r="F35" s="444"/>
      <c r="G35" s="444"/>
    </row>
    <row r="36" spans="2:7" ht="22.7" customHeight="1">
      <c r="B36" s="1127"/>
      <c r="C36" s="1128"/>
      <c r="F36" s="444"/>
      <c r="G36" s="444"/>
    </row>
    <row r="37" spans="2:7" ht="22.7" customHeight="1">
      <c r="B37" s="1127"/>
      <c r="C37" s="1128"/>
    </row>
  </sheetData>
  <mergeCells count="15">
    <mergeCell ref="B26:C26"/>
    <mergeCell ref="B27:C27"/>
    <mergeCell ref="C28:E28"/>
    <mergeCell ref="A12:A13"/>
    <mergeCell ref="D12:D13"/>
    <mergeCell ref="E12:E13"/>
    <mergeCell ref="B12:C13"/>
    <mergeCell ref="A2:E2"/>
    <mergeCell ref="H2:J2"/>
    <mergeCell ref="C4:E4"/>
    <mergeCell ref="C7:E7"/>
    <mergeCell ref="I25:K25"/>
    <mergeCell ref="J7:J8"/>
    <mergeCell ref="K7:K8"/>
    <mergeCell ref="H7:I8"/>
  </mergeCells>
  <printOptions horizontalCentered="1"/>
  <pageMargins left="0.39370078740157499" right="0.39370078740157499" top="0.59055118110236204" bottom="0.70866141732283505" header="0.39370078740157499" footer="0.35433070866141703"/>
  <pageSetup paperSize="9" scale="85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M49"/>
  <sheetViews>
    <sheetView view="pageBreakPreview" topLeftCell="A13" zoomScale="86" zoomScaleNormal="115" workbookViewId="0">
      <selection activeCell="G20" sqref="G20"/>
    </sheetView>
  </sheetViews>
  <sheetFormatPr defaultColWidth="9" defaultRowHeight="26.25"/>
  <cols>
    <col min="1" max="1" width="8.7265625" style="444" customWidth="1"/>
    <col min="2" max="2" width="45.7265625" style="444" customWidth="1"/>
    <col min="3" max="3" width="20.7265625" style="444" customWidth="1"/>
    <col min="4" max="4" width="12.54296875" style="444" customWidth="1"/>
    <col min="5" max="7" width="20.7265625" style="444" customWidth="1"/>
    <col min="8" max="8" width="16.81640625" style="445" customWidth="1"/>
    <col min="9" max="9" width="15.7265625" style="445" customWidth="1"/>
    <col min="10" max="10" width="28.1796875" style="444" customWidth="1"/>
    <col min="11" max="235" width="9" style="444"/>
    <col min="236" max="236" width="5.81640625" style="444" customWidth="1"/>
    <col min="237" max="237" width="28.453125" style="444" customWidth="1"/>
    <col min="238" max="238" width="14.7265625" style="444" customWidth="1"/>
    <col min="239" max="239" width="7.453125" style="444" customWidth="1"/>
    <col min="240" max="240" width="14.453125" style="444" customWidth="1"/>
    <col min="241" max="241" width="9.1796875" style="444" customWidth="1"/>
    <col min="242" max="242" width="9" style="444"/>
    <col min="243" max="243" width="11.453125" style="444" customWidth="1"/>
    <col min="244" max="244" width="13.453125" style="444" customWidth="1"/>
    <col min="245" max="245" width="9" style="444"/>
    <col min="246" max="246" width="8.54296875" style="444" customWidth="1"/>
    <col min="247" max="491" width="9" style="444"/>
    <col min="492" max="492" width="5.81640625" style="444" customWidth="1"/>
    <col min="493" max="493" width="28.453125" style="444" customWidth="1"/>
    <col min="494" max="494" width="14.7265625" style="444" customWidth="1"/>
    <col min="495" max="495" width="7.453125" style="444" customWidth="1"/>
    <col min="496" max="496" width="14.453125" style="444" customWidth="1"/>
    <col min="497" max="497" width="9.1796875" style="444" customWidth="1"/>
    <col min="498" max="498" width="9" style="444"/>
    <col min="499" max="499" width="11.453125" style="444" customWidth="1"/>
    <col min="500" max="500" width="13.453125" style="444" customWidth="1"/>
    <col min="501" max="501" width="9" style="444"/>
    <col min="502" max="502" width="8.54296875" style="444" customWidth="1"/>
    <col min="503" max="747" width="9" style="444"/>
    <col min="748" max="748" width="5.81640625" style="444" customWidth="1"/>
    <col min="749" max="749" width="28.453125" style="444" customWidth="1"/>
    <col min="750" max="750" width="14.7265625" style="444" customWidth="1"/>
    <col min="751" max="751" width="7.453125" style="444" customWidth="1"/>
    <col min="752" max="752" width="14.453125" style="444" customWidth="1"/>
    <col min="753" max="753" width="9.1796875" style="444" customWidth="1"/>
    <col min="754" max="754" width="9" style="444"/>
    <col min="755" max="755" width="11.453125" style="444" customWidth="1"/>
    <col min="756" max="756" width="13.453125" style="444" customWidth="1"/>
    <col min="757" max="757" width="9" style="444"/>
    <col min="758" max="758" width="8.54296875" style="444" customWidth="1"/>
    <col min="759" max="1003" width="9" style="444"/>
    <col min="1004" max="1004" width="5.81640625" style="444" customWidth="1"/>
    <col min="1005" max="1005" width="28.453125" style="444" customWidth="1"/>
    <col min="1006" max="1006" width="14.7265625" style="444" customWidth="1"/>
    <col min="1007" max="1007" width="7.453125" style="444" customWidth="1"/>
    <col min="1008" max="1008" width="14.453125" style="444" customWidth="1"/>
    <col min="1009" max="1009" width="9.1796875" style="444" customWidth="1"/>
    <col min="1010" max="1010" width="9" style="444"/>
    <col min="1011" max="1011" width="11.453125" style="444" customWidth="1"/>
    <col min="1012" max="1012" width="13.453125" style="444" customWidth="1"/>
    <col min="1013" max="1013" width="9" style="444"/>
    <col min="1014" max="1014" width="8.54296875" style="444" customWidth="1"/>
    <col min="1015" max="1259" width="9" style="444"/>
    <col min="1260" max="1260" width="5.81640625" style="444" customWidth="1"/>
    <col min="1261" max="1261" width="28.453125" style="444" customWidth="1"/>
    <col min="1262" max="1262" width="14.7265625" style="444" customWidth="1"/>
    <col min="1263" max="1263" width="7.453125" style="444" customWidth="1"/>
    <col min="1264" max="1264" width="14.453125" style="444" customWidth="1"/>
    <col min="1265" max="1265" width="9.1796875" style="444" customWidth="1"/>
    <col min="1266" max="1266" width="9" style="444"/>
    <col min="1267" max="1267" width="11.453125" style="444" customWidth="1"/>
    <col min="1268" max="1268" width="13.453125" style="444" customWidth="1"/>
    <col min="1269" max="1269" width="9" style="444"/>
    <col min="1270" max="1270" width="8.54296875" style="444" customWidth="1"/>
    <col min="1271" max="1515" width="9" style="444"/>
    <col min="1516" max="1516" width="5.81640625" style="444" customWidth="1"/>
    <col min="1517" max="1517" width="28.453125" style="444" customWidth="1"/>
    <col min="1518" max="1518" width="14.7265625" style="444" customWidth="1"/>
    <col min="1519" max="1519" width="7.453125" style="444" customWidth="1"/>
    <col min="1520" max="1520" width="14.453125" style="444" customWidth="1"/>
    <col min="1521" max="1521" width="9.1796875" style="444" customWidth="1"/>
    <col min="1522" max="1522" width="9" style="444"/>
    <col min="1523" max="1523" width="11.453125" style="444" customWidth="1"/>
    <col min="1524" max="1524" width="13.453125" style="444" customWidth="1"/>
    <col min="1525" max="1525" width="9" style="444"/>
    <col min="1526" max="1526" width="8.54296875" style="444" customWidth="1"/>
    <col min="1527" max="1771" width="9" style="444"/>
    <col min="1772" max="1772" width="5.81640625" style="444" customWidth="1"/>
    <col min="1773" max="1773" width="28.453125" style="444" customWidth="1"/>
    <col min="1774" max="1774" width="14.7265625" style="444" customWidth="1"/>
    <col min="1775" max="1775" width="7.453125" style="444" customWidth="1"/>
    <col min="1776" max="1776" width="14.453125" style="444" customWidth="1"/>
    <col min="1777" max="1777" width="9.1796875" style="444" customWidth="1"/>
    <col min="1778" max="1778" width="9" style="444"/>
    <col min="1779" max="1779" width="11.453125" style="444" customWidth="1"/>
    <col min="1780" max="1780" width="13.453125" style="444" customWidth="1"/>
    <col min="1781" max="1781" width="9" style="444"/>
    <col min="1782" max="1782" width="8.54296875" style="444" customWidth="1"/>
    <col min="1783" max="2027" width="9" style="444"/>
    <col min="2028" max="2028" width="5.81640625" style="444" customWidth="1"/>
    <col min="2029" max="2029" width="28.453125" style="444" customWidth="1"/>
    <col min="2030" max="2030" width="14.7265625" style="444" customWidth="1"/>
    <col min="2031" max="2031" width="7.453125" style="444" customWidth="1"/>
    <col min="2032" max="2032" width="14.453125" style="444" customWidth="1"/>
    <col min="2033" max="2033" width="9.1796875" style="444" customWidth="1"/>
    <col min="2034" max="2034" width="9" style="444"/>
    <col min="2035" max="2035" width="11.453125" style="444" customWidth="1"/>
    <col min="2036" max="2036" width="13.453125" style="444" customWidth="1"/>
    <col min="2037" max="2037" width="9" style="444"/>
    <col min="2038" max="2038" width="8.54296875" style="444" customWidth="1"/>
    <col min="2039" max="2283" width="9" style="444"/>
    <col min="2284" max="2284" width="5.81640625" style="444" customWidth="1"/>
    <col min="2285" max="2285" width="28.453125" style="444" customWidth="1"/>
    <col min="2286" max="2286" width="14.7265625" style="444" customWidth="1"/>
    <col min="2287" max="2287" width="7.453125" style="444" customWidth="1"/>
    <col min="2288" max="2288" width="14.453125" style="444" customWidth="1"/>
    <col min="2289" max="2289" width="9.1796875" style="444" customWidth="1"/>
    <col min="2290" max="2290" width="9" style="444"/>
    <col min="2291" max="2291" width="11.453125" style="444" customWidth="1"/>
    <col min="2292" max="2292" width="13.453125" style="444" customWidth="1"/>
    <col min="2293" max="2293" width="9" style="444"/>
    <col min="2294" max="2294" width="8.54296875" style="444" customWidth="1"/>
    <col min="2295" max="2539" width="9" style="444"/>
    <col min="2540" max="2540" width="5.81640625" style="444" customWidth="1"/>
    <col min="2541" max="2541" width="28.453125" style="444" customWidth="1"/>
    <col min="2542" max="2542" width="14.7265625" style="444" customWidth="1"/>
    <col min="2543" max="2543" width="7.453125" style="444" customWidth="1"/>
    <col min="2544" max="2544" width="14.453125" style="444" customWidth="1"/>
    <col min="2545" max="2545" width="9.1796875" style="444" customWidth="1"/>
    <col min="2546" max="2546" width="9" style="444"/>
    <col min="2547" max="2547" width="11.453125" style="444" customWidth="1"/>
    <col min="2548" max="2548" width="13.453125" style="444" customWidth="1"/>
    <col min="2549" max="2549" width="9" style="444"/>
    <col min="2550" max="2550" width="8.54296875" style="444" customWidth="1"/>
    <col min="2551" max="2795" width="9" style="444"/>
    <col min="2796" max="2796" width="5.81640625" style="444" customWidth="1"/>
    <col min="2797" max="2797" width="28.453125" style="444" customWidth="1"/>
    <col min="2798" max="2798" width="14.7265625" style="444" customWidth="1"/>
    <col min="2799" max="2799" width="7.453125" style="444" customWidth="1"/>
    <col min="2800" max="2800" width="14.453125" style="444" customWidth="1"/>
    <col min="2801" max="2801" width="9.1796875" style="444" customWidth="1"/>
    <col min="2802" max="2802" width="9" style="444"/>
    <col min="2803" max="2803" width="11.453125" style="444" customWidth="1"/>
    <col min="2804" max="2804" width="13.453125" style="444" customWidth="1"/>
    <col min="2805" max="2805" width="9" style="444"/>
    <col min="2806" max="2806" width="8.54296875" style="444" customWidth="1"/>
    <col min="2807" max="3051" width="9" style="444"/>
    <col min="3052" max="3052" width="5.81640625" style="444" customWidth="1"/>
    <col min="3053" max="3053" width="28.453125" style="444" customWidth="1"/>
    <col min="3054" max="3054" width="14.7265625" style="444" customWidth="1"/>
    <col min="3055" max="3055" width="7.453125" style="444" customWidth="1"/>
    <col min="3056" max="3056" width="14.453125" style="444" customWidth="1"/>
    <col min="3057" max="3057" width="9.1796875" style="444" customWidth="1"/>
    <col min="3058" max="3058" width="9" style="444"/>
    <col min="3059" max="3059" width="11.453125" style="444" customWidth="1"/>
    <col min="3060" max="3060" width="13.453125" style="444" customWidth="1"/>
    <col min="3061" max="3061" width="9" style="444"/>
    <col min="3062" max="3062" width="8.54296875" style="444" customWidth="1"/>
    <col min="3063" max="3307" width="9" style="444"/>
    <col min="3308" max="3308" width="5.81640625" style="444" customWidth="1"/>
    <col min="3309" max="3309" width="28.453125" style="444" customWidth="1"/>
    <col min="3310" max="3310" width="14.7265625" style="444" customWidth="1"/>
    <col min="3311" max="3311" width="7.453125" style="444" customWidth="1"/>
    <col min="3312" max="3312" width="14.453125" style="444" customWidth="1"/>
    <col min="3313" max="3313" width="9.1796875" style="444" customWidth="1"/>
    <col min="3314" max="3314" width="9" style="444"/>
    <col min="3315" max="3315" width="11.453125" style="444" customWidth="1"/>
    <col min="3316" max="3316" width="13.453125" style="444" customWidth="1"/>
    <col min="3317" max="3317" width="9" style="444"/>
    <col min="3318" max="3318" width="8.54296875" style="444" customWidth="1"/>
    <col min="3319" max="3563" width="9" style="444"/>
    <col min="3564" max="3564" width="5.81640625" style="444" customWidth="1"/>
    <col min="3565" max="3565" width="28.453125" style="444" customWidth="1"/>
    <col min="3566" max="3566" width="14.7265625" style="444" customWidth="1"/>
    <col min="3567" max="3567" width="7.453125" style="444" customWidth="1"/>
    <col min="3568" max="3568" width="14.453125" style="444" customWidth="1"/>
    <col min="3569" max="3569" width="9.1796875" style="444" customWidth="1"/>
    <col min="3570" max="3570" width="9" style="444"/>
    <col min="3571" max="3571" width="11.453125" style="444" customWidth="1"/>
    <col min="3572" max="3572" width="13.453125" style="444" customWidth="1"/>
    <col min="3573" max="3573" width="9" style="444"/>
    <col min="3574" max="3574" width="8.54296875" style="444" customWidth="1"/>
    <col min="3575" max="3819" width="9" style="444"/>
    <col min="3820" max="3820" width="5.81640625" style="444" customWidth="1"/>
    <col min="3821" max="3821" width="28.453125" style="444" customWidth="1"/>
    <col min="3822" max="3822" width="14.7265625" style="444" customWidth="1"/>
    <col min="3823" max="3823" width="7.453125" style="444" customWidth="1"/>
    <col min="3824" max="3824" width="14.453125" style="444" customWidth="1"/>
    <col min="3825" max="3825" width="9.1796875" style="444" customWidth="1"/>
    <col min="3826" max="3826" width="9" style="444"/>
    <col min="3827" max="3827" width="11.453125" style="444" customWidth="1"/>
    <col min="3828" max="3828" width="13.453125" style="444" customWidth="1"/>
    <col min="3829" max="3829" width="9" style="444"/>
    <col min="3830" max="3830" width="8.54296875" style="444" customWidth="1"/>
    <col min="3831" max="4075" width="9" style="444"/>
    <col min="4076" max="4076" width="5.81640625" style="444" customWidth="1"/>
    <col min="4077" max="4077" width="28.453125" style="444" customWidth="1"/>
    <col min="4078" max="4078" width="14.7265625" style="444" customWidth="1"/>
    <col min="4079" max="4079" width="7.453125" style="444" customWidth="1"/>
    <col min="4080" max="4080" width="14.453125" style="444" customWidth="1"/>
    <col min="4081" max="4081" width="9.1796875" style="444" customWidth="1"/>
    <col min="4082" max="4082" width="9" style="444"/>
    <col min="4083" max="4083" width="11.453125" style="444" customWidth="1"/>
    <col min="4084" max="4084" width="13.453125" style="444" customWidth="1"/>
    <col min="4085" max="4085" width="9" style="444"/>
    <col min="4086" max="4086" width="8.54296875" style="444" customWidth="1"/>
    <col min="4087" max="4331" width="9" style="444"/>
    <col min="4332" max="4332" width="5.81640625" style="444" customWidth="1"/>
    <col min="4333" max="4333" width="28.453125" style="444" customWidth="1"/>
    <col min="4334" max="4334" width="14.7265625" style="444" customWidth="1"/>
    <col min="4335" max="4335" width="7.453125" style="444" customWidth="1"/>
    <col min="4336" max="4336" width="14.453125" style="444" customWidth="1"/>
    <col min="4337" max="4337" width="9.1796875" style="444" customWidth="1"/>
    <col min="4338" max="4338" width="9" style="444"/>
    <col min="4339" max="4339" width="11.453125" style="444" customWidth="1"/>
    <col min="4340" max="4340" width="13.453125" style="444" customWidth="1"/>
    <col min="4341" max="4341" width="9" style="444"/>
    <col min="4342" max="4342" width="8.54296875" style="444" customWidth="1"/>
    <col min="4343" max="4587" width="9" style="444"/>
    <col min="4588" max="4588" width="5.81640625" style="444" customWidth="1"/>
    <col min="4589" max="4589" width="28.453125" style="444" customWidth="1"/>
    <col min="4590" max="4590" width="14.7265625" style="444" customWidth="1"/>
    <col min="4591" max="4591" width="7.453125" style="444" customWidth="1"/>
    <col min="4592" max="4592" width="14.453125" style="444" customWidth="1"/>
    <col min="4593" max="4593" width="9.1796875" style="444" customWidth="1"/>
    <col min="4594" max="4594" width="9" style="444"/>
    <col min="4595" max="4595" width="11.453125" style="444" customWidth="1"/>
    <col min="4596" max="4596" width="13.453125" style="444" customWidth="1"/>
    <col min="4597" max="4597" width="9" style="444"/>
    <col min="4598" max="4598" width="8.54296875" style="444" customWidth="1"/>
    <col min="4599" max="4843" width="9" style="444"/>
    <col min="4844" max="4844" width="5.81640625" style="444" customWidth="1"/>
    <col min="4845" max="4845" width="28.453125" style="444" customWidth="1"/>
    <col min="4846" max="4846" width="14.7265625" style="444" customWidth="1"/>
    <col min="4847" max="4847" width="7.453125" style="444" customWidth="1"/>
    <col min="4848" max="4848" width="14.453125" style="444" customWidth="1"/>
    <col min="4849" max="4849" width="9.1796875" style="444" customWidth="1"/>
    <col min="4850" max="4850" width="9" style="444"/>
    <col min="4851" max="4851" width="11.453125" style="444" customWidth="1"/>
    <col min="4852" max="4852" width="13.453125" style="444" customWidth="1"/>
    <col min="4853" max="4853" width="9" style="444"/>
    <col min="4854" max="4854" width="8.54296875" style="444" customWidth="1"/>
    <col min="4855" max="5099" width="9" style="444"/>
    <col min="5100" max="5100" width="5.81640625" style="444" customWidth="1"/>
    <col min="5101" max="5101" width="28.453125" style="444" customWidth="1"/>
    <col min="5102" max="5102" width="14.7265625" style="444" customWidth="1"/>
    <col min="5103" max="5103" width="7.453125" style="444" customWidth="1"/>
    <col min="5104" max="5104" width="14.453125" style="444" customWidth="1"/>
    <col min="5105" max="5105" width="9.1796875" style="444" customWidth="1"/>
    <col min="5106" max="5106" width="9" style="444"/>
    <col min="5107" max="5107" width="11.453125" style="444" customWidth="1"/>
    <col min="5108" max="5108" width="13.453125" style="444" customWidth="1"/>
    <col min="5109" max="5109" width="9" style="444"/>
    <col min="5110" max="5110" width="8.54296875" style="444" customWidth="1"/>
    <col min="5111" max="5355" width="9" style="444"/>
    <col min="5356" max="5356" width="5.81640625" style="444" customWidth="1"/>
    <col min="5357" max="5357" width="28.453125" style="444" customWidth="1"/>
    <col min="5358" max="5358" width="14.7265625" style="444" customWidth="1"/>
    <col min="5359" max="5359" width="7.453125" style="444" customWidth="1"/>
    <col min="5360" max="5360" width="14.453125" style="444" customWidth="1"/>
    <col min="5361" max="5361" width="9.1796875" style="444" customWidth="1"/>
    <col min="5362" max="5362" width="9" style="444"/>
    <col min="5363" max="5363" width="11.453125" style="444" customWidth="1"/>
    <col min="5364" max="5364" width="13.453125" style="444" customWidth="1"/>
    <col min="5365" max="5365" width="9" style="444"/>
    <col min="5366" max="5366" width="8.54296875" style="444" customWidth="1"/>
    <col min="5367" max="5611" width="9" style="444"/>
    <col min="5612" max="5612" width="5.81640625" style="444" customWidth="1"/>
    <col min="5613" max="5613" width="28.453125" style="444" customWidth="1"/>
    <col min="5614" max="5614" width="14.7265625" style="444" customWidth="1"/>
    <col min="5615" max="5615" width="7.453125" style="444" customWidth="1"/>
    <col min="5616" max="5616" width="14.453125" style="444" customWidth="1"/>
    <col min="5617" max="5617" width="9.1796875" style="444" customWidth="1"/>
    <col min="5618" max="5618" width="9" style="444"/>
    <col min="5619" max="5619" width="11.453125" style="444" customWidth="1"/>
    <col min="5620" max="5620" width="13.453125" style="444" customWidth="1"/>
    <col min="5621" max="5621" width="9" style="444"/>
    <col min="5622" max="5622" width="8.54296875" style="444" customWidth="1"/>
    <col min="5623" max="5867" width="9" style="444"/>
    <col min="5868" max="5868" width="5.81640625" style="444" customWidth="1"/>
    <col min="5869" max="5869" width="28.453125" style="444" customWidth="1"/>
    <col min="5870" max="5870" width="14.7265625" style="444" customWidth="1"/>
    <col min="5871" max="5871" width="7.453125" style="444" customWidth="1"/>
    <col min="5872" max="5872" width="14.453125" style="444" customWidth="1"/>
    <col min="5873" max="5873" width="9.1796875" style="444" customWidth="1"/>
    <col min="5874" max="5874" width="9" style="444"/>
    <col min="5875" max="5875" width="11.453125" style="444" customWidth="1"/>
    <col min="5876" max="5876" width="13.453125" style="444" customWidth="1"/>
    <col min="5877" max="5877" width="9" style="444"/>
    <col min="5878" max="5878" width="8.54296875" style="444" customWidth="1"/>
    <col min="5879" max="6123" width="9" style="444"/>
    <col min="6124" max="6124" width="5.81640625" style="444" customWidth="1"/>
    <col min="6125" max="6125" width="28.453125" style="444" customWidth="1"/>
    <col min="6126" max="6126" width="14.7265625" style="444" customWidth="1"/>
    <col min="6127" max="6127" width="7.453125" style="444" customWidth="1"/>
    <col min="6128" max="6128" width="14.453125" style="444" customWidth="1"/>
    <col min="6129" max="6129" width="9.1796875" style="444" customWidth="1"/>
    <col min="6130" max="6130" width="9" style="444"/>
    <col min="6131" max="6131" width="11.453125" style="444" customWidth="1"/>
    <col min="6132" max="6132" width="13.453125" style="444" customWidth="1"/>
    <col min="6133" max="6133" width="9" style="444"/>
    <col min="6134" max="6134" width="8.54296875" style="444" customWidth="1"/>
    <col min="6135" max="6379" width="9" style="444"/>
    <col min="6380" max="6380" width="5.81640625" style="444" customWidth="1"/>
    <col min="6381" max="6381" width="28.453125" style="444" customWidth="1"/>
    <col min="6382" max="6382" width="14.7265625" style="444" customWidth="1"/>
    <col min="6383" max="6383" width="7.453125" style="444" customWidth="1"/>
    <col min="6384" max="6384" width="14.453125" style="444" customWidth="1"/>
    <col min="6385" max="6385" width="9.1796875" style="444" customWidth="1"/>
    <col min="6386" max="6386" width="9" style="444"/>
    <col min="6387" max="6387" width="11.453125" style="444" customWidth="1"/>
    <col min="6388" max="6388" width="13.453125" style="444" customWidth="1"/>
    <col min="6389" max="6389" width="9" style="444"/>
    <col min="6390" max="6390" width="8.54296875" style="444" customWidth="1"/>
    <col min="6391" max="6635" width="9" style="444"/>
    <col min="6636" max="6636" width="5.81640625" style="444" customWidth="1"/>
    <col min="6637" max="6637" width="28.453125" style="444" customWidth="1"/>
    <col min="6638" max="6638" width="14.7265625" style="444" customWidth="1"/>
    <col min="6639" max="6639" width="7.453125" style="444" customWidth="1"/>
    <col min="6640" max="6640" width="14.453125" style="444" customWidth="1"/>
    <col min="6641" max="6641" width="9.1796875" style="444" customWidth="1"/>
    <col min="6642" max="6642" width="9" style="444"/>
    <col min="6643" max="6643" width="11.453125" style="444" customWidth="1"/>
    <col min="6644" max="6644" width="13.453125" style="444" customWidth="1"/>
    <col min="6645" max="6645" width="9" style="444"/>
    <col min="6646" max="6646" width="8.54296875" style="444" customWidth="1"/>
    <col min="6647" max="6891" width="9" style="444"/>
    <col min="6892" max="6892" width="5.81640625" style="444" customWidth="1"/>
    <col min="6893" max="6893" width="28.453125" style="444" customWidth="1"/>
    <col min="6894" max="6894" width="14.7265625" style="444" customWidth="1"/>
    <col min="6895" max="6895" width="7.453125" style="444" customWidth="1"/>
    <col min="6896" max="6896" width="14.453125" style="444" customWidth="1"/>
    <col min="6897" max="6897" width="9.1796875" style="444" customWidth="1"/>
    <col min="6898" max="6898" width="9" style="444"/>
    <col min="6899" max="6899" width="11.453125" style="444" customWidth="1"/>
    <col min="6900" max="6900" width="13.453125" style="444" customWidth="1"/>
    <col min="6901" max="6901" width="9" style="444"/>
    <col min="6902" max="6902" width="8.54296875" style="444" customWidth="1"/>
    <col min="6903" max="7147" width="9" style="444"/>
    <col min="7148" max="7148" width="5.81640625" style="444" customWidth="1"/>
    <col min="7149" max="7149" width="28.453125" style="444" customWidth="1"/>
    <col min="7150" max="7150" width="14.7265625" style="444" customWidth="1"/>
    <col min="7151" max="7151" width="7.453125" style="444" customWidth="1"/>
    <col min="7152" max="7152" width="14.453125" style="444" customWidth="1"/>
    <col min="7153" max="7153" width="9.1796875" style="444" customWidth="1"/>
    <col min="7154" max="7154" width="9" style="444"/>
    <col min="7155" max="7155" width="11.453125" style="444" customWidth="1"/>
    <col min="7156" max="7156" width="13.453125" style="444" customWidth="1"/>
    <col min="7157" max="7157" width="9" style="444"/>
    <col min="7158" max="7158" width="8.54296875" style="444" customWidth="1"/>
    <col min="7159" max="7403" width="9" style="444"/>
    <col min="7404" max="7404" width="5.81640625" style="444" customWidth="1"/>
    <col min="7405" max="7405" width="28.453125" style="444" customWidth="1"/>
    <col min="7406" max="7406" width="14.7265625" style="444" customWidth="1"/>
    <col min="7407" max="7407" width="7.453125" style="444" customWidth="1"/>
    <col min="7408" max="7408" width="14.453125" style="444" customWidth="1"/>
    <col min="7409" max="7409" width="9.1796875" style="444" customWidth="1"/>
    <col min="7410" max="7410" width="9" style="444"/>
    <col min="7411" max="7411" width="11.453125" style="444" customWidth="1"/>
    <col min="7412" max="7412" width="13.453125" style="444" customWidth="1"/>
    <col min="7413" max="7413" width="9" style="444"/>
    <col min="7414" max="7414" width="8.54296875" style="444" customWidth="1"/>
    <col min="7415" max="7659" width="9" style="444"/>
    <col min="7660" max="7660" width="5.81640625" style="444" customWidth="1"/>
    <col min="7661" max="7661" width="28.453125" style="444" customWidth="1"/>
    <col min="7662" max="7662" width="14.7265625" style="444" customWidth="1"/>
    <col min="7663" max="7663" width="7.453125" style="444" customWidth="1"/>
    <col min="7664" max="7664" width="14.453125" style="444" customWidth="1"/>
    <col min="7665" max="7665" width="9.1796875" style="444" customWidth="1"/>
    <col min="7666" max="7666" width="9" style="444"/>
    <col min="7667" max="7667" width="11.453125" style="444" customWidth="1"/>
    <col min="7668" max="7668" width="13.453125" style="444" customWidth="1"/>
    <col min="7669" max="7669" width="9" style="444"/>
    <col min="7670" max="7670" width="8.54296875" style="444" customWidth="1"/>
    <col min="7671" max="7915" width="9" style="444"/>
    <col min="7916" max="7916" width="5.81640625" style="444" customWidth="1"/>
    <col min="7917" max="7917" width="28.453125" style="444" customWidth="1"/>
    <col min="7918" max="7918" width="14.7265625" style="444" customWidth="1"/>
    <col min="7919" max="7919" width="7.453125" style="444" customWidth="1"/>
    <col min="7920" max="7920" width="14.453125" style="444" customWidth="1"/>
    <col min="7921" max="7921" width="9.1796875" style="444" customWidth="1"/>
    <col min="7922" max="7922" width="9" style="444"/>
    <col min="7923" max="7923" width="11.453125" style="444" customWidth="1"/>
    <col min="7924" max="7924" width="13.453125" style="444" customWidth="1"/>
    <col min="7925" max="7925" width="9" style="444"/>
    <col min="7926" max="7926" width="8.54296875" style="444" customWidth="1"/>
    <col min="7927" max="8171" width="9" style="444"/>
    <col min="8172" max="8172" width="5.81640625" style="444" customWidth="1"/>
    <col min="8173" max="8173" width="28.453125" style="444" customWidth="1"/>
    <col min="8174" max="8174" width="14.7265625" style="444" customWidth="1"/>
    <col min="8175" max="8175" width="7.453125" style="444" customWidth="1"/>
    <col min="8176" max="8176" width="14.453125" style="444" customWidth="1"/>
    <col min="8177" max="8177" width="9.1796875" style="444" customWidth="1"/>
    <col min="8178" max="8178" width="9" style="444"/>
    <col min="8179" max="8179" width="11.453125" style="444" customWidth="1"/>
    <col min="8180" max="8180" width="13.453125" style="444" customWidth="1"/>
    <col min="8181" max="8181" width="9" style="444"/>
    <col min="8182" max="8182" width="8.54296875" style="444" customWidth="1"/>
    <col min="8183" max="8427" width="9" style="444"/>
    <col min="8428" max="8428" width="5.81640625" style="444" customWidth="1"/>
    <col min="8429" max="8429" width="28.453125" style="444" customWidth="1"/>
    <col min="8430" max="8430" width="14.7265625" style="444" customWidth="1"/>
    <col min="8431" max="8431" width="7.453125" style="444" customWidth="1"/>
    <col min="8432" max="8432" width="14.453125" style="444" customWidth="1"/>
    <col min="8433" max="8433" width="9.1796875" style="444" customWidth="1"/>
    <col min="8434" max="8434" width="9" style="444"/>
    <col min="8435" max="8435" width="11.453125" style="444" customWidth="1"/>
    <col min="8436" max="8436" width="13.453125" style="444" customWidth="1"/>
    <col min="8437" max="8437" width="9" style="444"/>
    <col min="8438" max="8438" width="8.54296875" style="444" customWidth="1"/>
    <col min="8439" max="8683" width="9" style="444"/>
    <col min="8684" max="8684" width="5.81640625" style="444" customWidth="1"/>
    <col min="8685" max="8685" width="28.453125" style="444" customWidth="1"/>
    <col min="8686" max="8686" width="14.7265625" style="444" customWidth="1"/>
    <col min="8687" max="8687" width="7.453125" style="444" customWidth="1"/>
    <col min="8688" max="8688" width="14.453125" style="444" customWidth="1"/>
    <col min="8689" max="8689" width="9.1796875" style="444" customWidth="1"/>
    <col min="8690" max="8690" width="9" style="444"/>
    <col min="8691" max="8691" width="11.453125" style="444" customWidth="1"/>
    <col min="8692" max="8692" width="13.453125" style="444" customWidth="1"/>
    <col min="8693" max="8693" width="9" style="444"/>
    <col min="8694" max="8694" width="8.54296875" style="444" customWidth="1"/>
    <col min="8695" max="8939" width="9" style="444"/>
    <col min="8940" max="8940" width="5.81640625" style="444" customWidth="1"/>
    <col min="8941" max="8941" width="28.453125" style="444" customWidth="1"/>
    <col min="8942" max="8942" width="14.7265625" style="444" customWidth="1"/>
    <col min="8943" max="8943" width="7.453125" style="444" customWidth="1"/>
    <col min="8944" max="8944" width="14.453125" style="444" customWidth="1"/>
    <col min="8945" max="8945" width="9.1796875" style="444" customWidth="1"/>
    <col min="8946" max="8946" width="9" style="444"/>
    <col min="8947" max="8947" width="11.453125" style="444" customWidth="1"/>
    <col min="8948" max="8948" width="13.453125" style="444" customWidth="1"/>
    <col min="8949" max="8949" width="9" style="444"/>
    <col min="8950" max="8950" width="8.54296875" style="444" customWidth="1"/>
    <col min="8951" max="9195" width="9" style="444"/>
    <col min="9196" max="9196" width="5.81640625" style="444" customWidth="1"/>
    <col min="9197" max="9197" width="28.453125" style="444" customWidth="1"/>
    <col min="9198" max="9198" width="14.7265625" style="444" customWidth="1"/>
    <col min="9199" max="9199" width="7.453125" style="444" customWidth="1"/>
    <col min="9200" max="9200" width="14.453125" style="444" customWidth="1"/>
    <col min="9201" max="9201" width="9.1796875" style="444" customWidth="1"/>
    <col min="9202" max="9202" width="9" style="444"/>
    <col min="9203" max="9203" width="11.453125" style="444" customWidth="1"/>
    <col min="9204" max="9204" width="13.453125" style="444" customWidth="1"/>
    <col min="9205" max="9205" width="9" style="444"/>
    <col min="9206" max="9206" width="8.54296875" style="444" customWidth="1"/>
    <col min="9207" max="9451" width="9" style="444"/>
    <col min="9452" max="9452" width="5.81640625" style="444" customWidth="1"/>
    <col min="9453" max="9453" width="28.453125" style="444" customWidth="1"/>
    <col min="9454" max="9454" width="14.7265625" style="444" customWidth="1"/>
    <col min="9455" max="9455" width="7.453125" style="444" customWidth="1"/>
    <col min="9456" max="9456" width="14.453125" style="444" customWidth="1"/>
    <col min="9457" max="9457" width="9.1796875" style="444" customWidth="1"/>
    <col min="9458" max="9458" width="9" style="444"/>
    <col min="9459" max="9459" width="11.453125" style="444" customWidth="1"/>
    <col min="9460" max="9460" width="13.453125" style="444" customWidth="1"/>
    <col min="9461" max="9461" width="9" style="444"/>
    <col min="9462" max="9462" width="8.54296875" style="444" customWidth="1"/>
    <col min="9463" max="9707" width="9" style="444"/>
    <col min="9708" max="9708" width="5.81640625" style="444" customWidth="1"/>
    <col min="9709" max="9709" width="28.453125" style="444" customWidth="1"/>
    <col min="9710" max="9710" width="14.7265625" style="444" customWidth="1"/>
    <col min="9711" max="9711" width="7.453125" style="444" customWidth="1"/>
    <col min="9712" max="9712" width="14.453125" style="444" customWidth="1"/>
    <col min="9713" max="9713" width="9.1796875" style="444" customWidth="1"/>
    <col min="9714" max="9714" width="9" style="444"/>
    <col min="9715" max="9715" width="11.453125" style="444" customWidth="1"/>
    <col min="9716" max="9716" width="13.453125" style="444" customWidth="1"/>
    <col min="9717" max="9717" width="9" style="444"/>
    <col min="9718" max="9718" width="8.54296875" style="444" customWidth="1"/>
    <col min="9719" max="9963" width="9" style="444"/>
    <col min="9964" max="9964" width="5.81640625" style="444" customWidth="1"/>
    <col min="9965" max="9965" width="28.453125" style="444" customWidth="1"/>
    <col min="9966" max="9966" width="14.7265625" style="444" customWidth="1"/>
    <col min="9967" max="9967" width="7.453125" style="444" customWidth="1"/>
    <col min="9968" max="9968" width="14.453125" style="444" customWidth="1"/>
    <col min="9969" max="9969" width="9.1796875" style="444" customWidth="1"/>
    <col min="9970" max="9970" width="9" style="444"/>
    <col min="9971" max="9971" width="11.453125" style="444" customWidth="1"/>
    <col min="9972" max="9972" width="13.453125" style="444" customWidth="1"/>
    <col min="9973" max="9973" width="9" style="444"/>
    <col min="9974" max="9974" width="8.54296875" style="444" customWidth="1"/>
    <col min="9975" max="10219" width="9" style="444"/>
    <col min="10220" max="10220" width="5.81640625" style="444" customWidth="1"/>
    <col min="10221" max="10221" width="28.453125" style="444" customWidth="1"/>
    <col min="10222" max="10222" width="14.7265625" style="444" customWidth="1"/>
    <col min="10223" max="10223" width="7.453125" style="444" customWidth="1"/>
    <col min="10224" max="10224" width="14.453125" style="444" customWidth="1"/>
    <col min="10225" max="10225" width="9.1796875" style="444" customWidth="1"/>
    <col min="10226" max="10226" width="9" style="444"/>
    <col min="10227" max="10227" width="11.453125" style="444" customWidth="1"/>
    <col min="10228" max="10228" width="13.453125" style="444" customWidth="1"/>
    <col min="10229" max="10229" width="9" style="444"/>
    <col min="10230" max="10230" width="8.54296875" style="444" customWidth="1"/>
    <col min="10231" max="10475" width="9" style="444"/>
    <col min="10476" max="10476" width="5.81640625" style="444" customWidth="1"/>
    <col min="10477" max="10477" width="28.453125" style="444" customWidth="1"/>
    <col min="10478" max="10478" width="14.7265625" style="444" customWidth="1"/>
    <col min="10479" max="10479" width="7.453125" style="444" customWidth="1"/>
    <col min="10480" max="10480" width="14.453125" style="444" customWidth="1"/>
    <col min="10481" max="10481" width="9.1796875" style="444" customWidth="1"/>
    <col min="10482" max="10482" width="9" style="444"/>
    <col min="10483" max="10483" width="11.453125" style="444" customWidth="1"/>
    <col min="10484" max="10484" width="13.453125" style="444" customWidth="1"/>
    <col min="10485" max="10485" width="9" style="444"/>
    <col min="10486" max="10486" width="8.54296875" style="444" customWidth="1"/>
    <col min="10487" max="10731" width="9" style="444"/>
    <col min="10732" max="10732" width="5.81640625" style="444" customWidth="1"/>
    <col min="10733" max="10733" width="28.453125" style="444" customWidth="1"/>
    <col min="10734" max="10734" width="14.7265625" style="444" customWidth="1"/>
    <col min="10735" max="10735" width="7.453125" style="444" customWidth="1"/>
    <col min="10736" max="10736" width="14.453125" style="444" customWidth="1"/>
    <col min="10737" max="10737" width="9.1796875" style="444" customWidth="1"/>
    <col min="10738" max="10738" width="9" style="444"/>
    <col min="10739" max="10739" width="11.453125" style="444" customWidth="1"/>
    <col min="10740" max="10740" width="13.453125" style="444" customWidth="1"/>
    <col min="10741" max="10741" width="9" style="444"/>
    <col min="10742" max="10742" width="8.54296875" style="444" customWidth="1"/>
    <col min="10743" max="10987" width="9" style="444"/>
    <col min="10988" max="10988" width="5.81640625" style="444" customWidth="1"/>
    <col min="10989" max="10989" width="28.453125" style="444" customWidth="1"/>
    <col min="10990" max="10990" width="14.7265625" style="444" customWidth="1"/>
    <col min="10991" max="10991" width="7.453125" style="444" customWidth="1"/>
    <col min="10992" max="10992" width="14.453125" style="444" customWidth="1"/>
    <col min="10993" max="10993" width="9.1796875" style="444" customWidth="1"/>
    <col min="10994" max="10994" width="9" style="444"/>
    <col min="10995" max="10995" width="11.453125" style="444" customWidth="1"/>
    <col min="10996" max="10996" width="13.453125" style="444" customWidth="1"/>
    <col min="10997" max="10997" width="9" style="444"/>
    <col min="10998" max="10998" width="8.54296875" style="444" customWidth="1"/>
    <col min="10999" max="11243" width="9" style="444"/>
    <col min="11244" max="11244" width="5.81640625" style="444" customWidth="1"/>
    <col min="11245" max="11245" width="28.453125" style="444" customWidth="1"/>
    <col min="11246" max="11246" width="14.7265625" style="444" customWidth="1"/>
    <col min="11247" max="11247" width="7.453125" style="444" customWidth="1"/>
    <col min="11248" max="11248" width="14.453125" style="444" customWidth="1"/>
    <col min="11249" max="11249" width="9.1796875" style="444" customWidth="1"/>
    <col min="11250" max="11250" width="9" style="444"/>
    <col min="11251" max="11251" width="11.453125" style="444" customWidth="1"/>
    <col min="11252" max="11252" width="13.453125" style="444" customWidth="1"/>
    <col min="11253" max="11253" width="9" style="444"/>
    <col min="11254" max="11254" width="8.54296875" style="444" customWidth="1"/>
    <col min="11255" max="11499" width="9" style="444"/>
    <col min="11500" max="11500" width="5.81640625" style="444" customWidth="1"/>
    <col min="11501" max="11501" width="28.453125" style="444" customWidth="1"/>
    <col min="11502" max="11502" width="14.7265625" style="444" customWidth="1"/>
    <col min="11503" max="11503" width="7.453125" style="444" customWidth="1"/>
    <col min="11504" max="11504" width="14.453125" style="444" customWidth="1"/>
    <col min="11505" max="11505" width="9.1796875" style="444" customWidth="1"/>
    <col min="11506" max="11506" width="9" style="444"/>
    <col min="11507" max="11507" width="11.453125" style="444" customWidth="1"/>
    <col min="11508" max="11508" width="13.453125" style="444" customWidth="1"/>
    <col min="11509" max="11509" width="9" style="444"/>
    <col min="11510" max="11510" width="8.54296875" style="444" customWidth="1"/>
    <col min="11511" max="11755" width="9" style="444"/>
    <col min="11756" max="11756" width="5.81640625" style="444" customWidth="1"/>
    <col min="11757" max="11757" width="28.453125" style="444" customWidth="1"/>
    <col min="11758" max="11758" width="14.7265625" style="444" customWidth="1"/>
    <col min="11759" max="11759" width="7.453125" style="444" customWidth="1"/>
    <col min="11760" max="11760" width="14.453125" style="444" customWidth="1"/>
    <col min="11761" max="11761" width="9.1796875" style="444" customWidth="1"/>
    <col min="11762" max="11762" width="9" style="444"/>
    <col min="11763" max="11763" width="11.453125" style="444" customWidth="1"/>
    <col min="11764" max="11764" width="13.453125" style="444" customWidth="1"/>
    <col min="11765" max="11765" width="9" style="444"/>
    <col min="11766" max="11766" width="8.54296875" style="444" customWidth="1"/>
    <col min="11767" max="12011" width="9" style="444"/>
    <col min="12012" max="12012" width="5.81640625" style="444" customWidth="1"/>
    <col min="12013" max="12013" width="28.453125" style="444" customWidth="1"/>
    <col min="12014" max="12014" width="14.7265625" style="444" customWidth="1"/>
    <col min="12015" max="12015" width="7.453125" style="444" customWidth="1"/>
    <col min="12016" max="12016" width="14.453125" style="444" customWidth="1"/>
    <col min="12017" max="12017" width="9.1796875" style="444" customWidth="1"/>
    <col min="12018" max="12018" width="9" style="444"/>
    <col min="12019" max="12019" width="11.453125" style="444" customWidth="1"/>
    <col min="12020" max="12020" width="13.453125" style="444" customWidth="1"/>
    <col min="12021" max="12021" width="9" style="444"/>
    <col min="12022" max="12022" width="8.54296875" style="444" customWidth="1"/>
    <col min="12023" max="12267" width="9" style="444"/>
    <col min="12268" max="12268" width="5.81640625" style="444" customWidth="1"/>
    <col min="12269" max="12269" width="28.453125" style="444" customWidth="1"/>
    <col min="12270" max="12270" width="14.7265625" style="444" customWidth="1"/>
    <col min="12271" max="12271" width="7.453125" style="444" customWidth="1"/>
    <col min="12272" max="12272" width="14.453125" style="444" customWidth="1"/>
    <col min="12273" max="12273" width="9.1796875" style="444" customWidth="1"/>
    <col min="12274" max="12274" width="9" style="444"/>
    <col min="12275" max="12275" width="11.453125" style="444" customWidth="1"/>
    <col min="12276" max="12276" width="13.453125" style="444" customWidth="1"/>
    <col min="12277" max="12277" width="9" style="444"/>
    <col min="12278" max="12278" width="8.54296875" style="444" customWidth="1"/>
    <col min="12279" max="12523" width="9" style="444"/>
    <col min="12524" max="12524" width="5.81640625" style="444" customWidth="1"/>
    <col min="12525" max="12525" width="28.453125" style="444" customWidth="1"/>
    <col min="12526" max="12526" width="14.7265625" style="444" customWidth="1"/>
    <col min="12527" max="12527" width="7.453125" style="444" customWidth="1"/>
    <col min="12528" max="12528" width="14.453125" style="444" customWidth="1"/>
    <col min="12529" max="12529" width="9.1796875" style="444" customWidth="1"/>
    <col min="12530" max="12530" width="9" style="444"/>
    <col min="12531" max="12531" width="11.453125" style="444" customWidth="1"/>
    <col min="12532" max="12532" width="13.453125" style="444" customWidth="1"/>
    <col min="12533" max="12533" width="9" style="444"/>
    <col min="12534" max="12534" width="8.54296875" style="444" customWidth="1"/>
    <col min="12535" max="12779" width="9" style="444"/>
    <col min="12780" max="12780" width="5.81640625" style="444" customWidth="1"/>
    <col min="12781" max="12781" width="28.453125" style="444" customWidth="1"/>
    <col min="12782" max="12782" width="14.7265625" style="444" customWidth="1"/>
    <col min="12783" max="12783" width="7.453125" style="444" customWidth="1"/>
    <col min="12784" max="12784" width="14.453125" style="444" customWidth="1"/>
    <col min="12785" max="12785" width="9.1796875" style="444" customWidth="1"/>
    <col min="12786" max="12786" width="9" style="444"/>
    <col min="12787" max="12787" width="11.453125" style="444" customWidth="1"/>
    <col min="12788" max="12788" width="13.453125" style="444" customWidth="1"/>
    <col min="12789" max="12789" width="9" style="444"/>
    <col min="12790" max="12790" width="8.54296875" style="444" customWidth="1"/>
    <col min="12791" max="13035" width="9" style="444"/>
    <col min="13036" max="13036" width="5.81640625" style="444" customWidth="1"/>
    <col min="13037" max="13037" width="28.453125" style="444" customWidth="1"/>
    <col min="13038" max="13038" width="14.7265625" style="444" customWidth="1"/>
    <col min="13039" max="13039" width="7.453125" style="444" customWidth="1"/>
    <col min="13040" max="13040" width="14.453125" style="444" customWidth="1"/>
    <col min="13041" max="13041" width="9.1796875" style="444" customWidth="1"/>
    <col min="13042" max="13042" width="9" style="444"/>
    <col min="13043" max="13043" width="11.453125" style="444" customWidth="1"/>
    <col min="13044" max="13044" width="13.453125" style="444" customWidth="1"/>
    <col min="13045" max="13045" width="9" style="444"/>
    <col min="13046" max="13046" width="8.54296875" style="444" customWidth="1"/>
    <col min="13047" max="13291" width="9" style="444"/>
    <col min="13292" max="13292" width="5.81640625" style="444" customWidth="1"/>
    <col min="13293" max="13293" width="28.453125" style="444" customWidth="1"/>
    <col min="13294" max="13294" width="14.7265625" style="444" customWidth="1"/>
    <col min="13295" max="13295" width="7.453125" style="444" customWidth="1"/>
    <col min="13296" max="13296" width="14.453125" style="444" customWidth="1"/>
    <col min="13297" max="13297" width="9.1796875" style="444" customWidth="1"/>
    <col min="13298" max="13298" width="9" style="444"/>
    <col min="13299" max="13299" width="11.453125" style="444" customWidth="1"/>
    <col min="13300" max="13300" width="13.453125" style="444" customWidth="1"/>
    <col min="13301" max="13301" width="9" style="444"/>
    <col min="13302" max="13302" width="8.54296875" style="444" customWidth="1"/>
    <col min="13303" max="13547" width="9" style="444"/>
    <col min="13548" max="13548" width="5.81640625" style="444" customWidth="1"/>
    <col min="13549" max="13549" width="28.453125" style="444" customWidth="1"/>
    <col min="13550" max="13550" width="14.7265625" style="444" customWidth="1"/>
    <col min="13551" max="13551" width="7.453125" style="444" customWidth="1"/>
    <col min="13552" max="13552" width="14.453125" style="444" customWidth="1"/>
    <col min="13553" max="13553" width="9.1796875" style="444" customWidth="1"/>
    <col min="13554" max="13554" width="9" style="444"/>
    <col min="13555" max="13555" width="11.453125" style="444" customWidth="1"/>
    <col min="13556" max="13556" width="13.453125" style="444" customWidth="1"/>
    <col min="13557" max="13557" width="9" style="444"/>
    <col min="13558" max="13558" width="8.54296875" style="444" customWidth="1"/>
    <col min="13559" max="13803" width="9" style="444"/>
    <col min="13804" max="13804" width="5.81640625" style="444" customWidth="1"/>
    <col min="13805" max="13805" width="28.453125" style="444" customWidth="1"/>
    <col min="13806" max="13806" width="14.7265625" style="444" customWidth="1"/>
    <col min="13807" max="13807" width="7.453125" style="444" customWidth="1"/>
    <col min="13808" max="13808" width="14.453125" style="444" customWidth="1"/>
    <col min="13809" max="13809" width="9.1796875" style="444" customWidth="1"/>
    <col min="13810" max="13810" width="9" style="444"/>
    <col min="13811" max="13811" width="11.453125" style="444" customWidth="1"/>
    <col min="13812" max="13812" width="13.453125" style="444" customWidth="1"/>
    <col min="13813" max="13813" width="9" style="444"/>
    <col min="13814" max="13814" width="8.54296875" style="444" customWidth="1"/>
    <col min="13815" max="14059" width="9" style="444"/>
    <col min="14060" max="14060" width="5.81640625" style="444" customWidth="1"/>
    <col min="14061" max="14061" width="28.453125" style="444" customWidth="1"/>
    <col min="14062" max="14062" width="14.7265625" style="444" customWidth="1"/>
    <col min="14063" max="14063" width="7.453125" style="444" customWidth="1"/>
    <col min="14064" max="14064" width="14.453125" style="444" customWidth="1"/>
    <col min="14065" max="14065" width="9.1796875" style="444" customWidth="1"/>
    <col min="14066" max="14066" width="9" style="444"/>
    <col min="14067" max="14067" width="11.453125" style="444" customWidth="1"/>
    <col min="14068" max="14068" width="13.453125" style="444" customWidth="1"/>
    <col min="14069" max="14069" width="9" style="444"/>
    <col min="14070" max="14070" width="8.54296875" style="444" customWidth="1"/>
    <col min="14071" max="14315" width="9" style="444"/>
    <col min="14316" max="14316" width="5.81640625" style="444" customWidth="1"/>
    <col min="14317" max="14317" width="28.453125" style="444" customWidth="1"/>
    <col min="14318" max="14318" width="14.7265625" style="444" customWidth="1"/>
    <col min="14319" max="14319" width="7.453125" style="444" customWidth="1"/>
    <col min="14320" max="14320" width="14.453125" style="444" customWidth="1"/>
    <col min="14321" max="14321" width="9.1796875" style="444" customWidth="1"/>
    <col min="14322" max="14322" width="9" style="444"/>
    <col min="14323" max="14323" width="11.453125" style="444" customWidth="1"/>
    <col min="14324" max="14324" width="13.453125" style="444" customWidth="1"/>
    <col min="14325" max="14325" width="9" style="444"/>
    <col min="14326" max="14326" width="8.54296875" style="444" customWidth="1"/>
    <col min="14327" max="14571" width="9" style="444"/>
    <col min="14572" max="14572" width="5.81640625" style="444" customWidth="1"/>
    <col min="14573" max="14573" width="28.453125" style="444" customWidth="1"/>
    <col min="14574" max="14574" width="14.7265625" style="444" customWidth="1"/>
    <col min="14575" max="14575" width="7.453125" style="444" customWidth="1"/>
    <col min="14576" max="14576" width="14.453125" style="444" customWidth="1"/>
    <col min="14577" max="14577" width="9.1796875" style="444" customWidth="1"/>
    <col min="14578" max="14578" width="9" style="444"/>
    <col min="14579" max="14579" width="11.453125" style="444" customWidth="1"/>
    <col min="14580" max="14580" width="13.453125" style="444" customWidth="1"/>
    <col min="14581" max="14581" width="9" style="444"/>
    <col min="14582" max="14582" width="8.54296875" style="444" customWidth="1"/>
    <col min="14583" max="14827" width="9" style="444"/>
    <col min="14828" max="14828" width="5.81640625" style="444" customWidth="1"/>
    <col min="14829" max="14829" width="28.453125" style="444" customWidth="1"/>
    <col min="14830" max="14830" width="14.7265625" style="444" customWidth="1"/>
    <col min="14831" max="14831" width="7.453125" style="444" customWidth="1"/>
    <col min="14832" max="14832" width="14.453125" style="444" customWidth="1"/>
    <col min="14833" max="14833" width="9.1796875" style="444" customWidth="1"/>
    <col min="14834" max="14834" width="9" style="444"/>
    <col min="14835" max="14835" width="11.453125" style="444" customWidth="1"/>
    <col min="14836" max="14836" width="13.453125" style="444" customWidth="1"/>
    <col min="14837" max="14837" width="9" style="444"/>
    <col min="14838" max="14838" width="8.54296875" style="444" customWidth="1"/>
    <col min="14839" max="15083" width="9" style="444"/>
    <col min="15084" max="15084" width="5.81640625" style="444" customWidth="1"/>
    <col min="15085" max="15085" width="28.453125" style="444" customWidth="1"/>
    <col min="15086" max="15086" width="14.7265625" style="444" customWidth="1"/>
    <col min="15087" max="15087" width="7.453125" style="444" customWidth="1"/>
    <col min="15088" max="15088" width="14.453125" style="444" customWidth="1"/>
    <col min="15089" max="15089" width="9.1796875" style="444" customWidth="1"/>
    <col min="15090" max="15090" width="9" style="444"/>
    <col min="15091" max="15091" width="11.453125" style="444" customWidth="1"/>
    <col min="15092" max="15092" width="13.453125" style="444" customWidth="1"/>
    <col min="15093" max="15093" width="9" style="444"/>
    <col min="15094" max="15094" width="8.54296875" style="444" customWidth="1"/>
    <col min="15095" max="15339" width="9" style="444"/>
    <col min="15340" max="15340" width="5.81640625" style="444" customWidth="1"/>
    <col min="15341" max="15341" width="28.453125" style="444" customWidth="1"/>
    <col min="15342" max="15342" width="14.7265625" style="444" customWidth="1"/>
    <col min="15343" max="15343" width="7.453125" style="444" customWidth="1"/>
    <col min="15344" max="15344" width="14.453125" style="444" customWidth="1"/>
    <col min="15345" max="15345" width="9.1796875" style="444" customWidth="1"/>
    <col min="15346" max="15346" width="9" style="444"/>
    <col min="15347" max="15347" width="11.453125" style="444" customWidth="1"/>
    <col min="15348" max="15348" width="13.453125" style="444" customWidth="1"/>
    <col min="15349" max="15349" width="9" style="444"/>
    <col min="15350" max="15350" width="8.54296875" style="444" customWidth="1"/>
    <col min="15351" max="15595" width="9" style="444"/>
    <col min="15596" max="15596" width="5.81640625" style="444" customWidth="1"/>
    <col min="15597" max="15597" width="28.453125" style="444" customWidth="1"/>
    <col min="15598" max="15598" width="14.7265625" style="444" customWidth="1"/>
    <col min="15599" max="15599" width="7.453125" style="444" customWidth="1"/>
    <col min="15600" max="15600" width="14.453125" style="444" customWidth="1"/>
    <col min="15601" max="15601" width="9.1796875" style="444" customWidth="1"/>
    <col min="15602" max="15602" width="9" style="444"/>
    <col min="15603" max="15603" width="11.453125" style="444" customWidth="1"/>
    <col min="15604" max="15604" width="13.453125" style="444" customWidth="1"/>
    <col min="15605" max="15605" width="9" style="444"/>
    <col min="15606" max="15606" width="8.54296875" style="444" customWidth="1"/>
    <col min="15607" max="15851" width="9" style="444"/>
    <col min="15852" max="15852" width="5.81640625" style="444" customWidth="1"/>
    <col min="15853" max="15853" width="28.453125" style="444" customWidth="1"/>
    <col min="15854" max="15854" width="14.7265625" style="444" customWidth="1"/>
    <col min="15855" max="15855" width="7.453125" style="444" customWidth="1"/>
    <col min="15856" max="15856" width="14.453125" style="444" customWidth="1"/>
    <col min="15857" max="15857" width="9.1796875" style="444" customWidth="1"/>
    <col min="15858" max="15858" width="9" style="444"/>
    <col min="15859" max="15859" width="11.453125" style="444" customWidth="1"/>
    <col min="15860" max="15860" width="13.453125" style="444" customWidth="1"/>
    <col min="15861" max="15861" width="9" style="444"/>
    <col min="15862" max="15862" width="8.54296875" style="444" customWidth="1"/>
    <col min="15863" max="16107" width="9" style="444"/>
    <col min="16108" max="16108" width="5.81640625" style="444" customWidth="1"/>
    <col min="16109" max="16109" width="28.453125" style="444" customWidth="1"/>
    <col min="16110" max="16110" width="14.7265625" style="444" customWidth="1"/>
    <col min="16111" max="16111" width="7.453125" style="444" customWidth="1"/>
    <col min="16112" max="16112" width="14.453125" style="444" customWidth="1"/>
    <col min="16113" max="16113" width="9.1796875" style="444" customWidth="1"/>
    <col min="16114" max="16114" width="9" style="444"/>
    <col min="16115" max="16115" width="11.453125" style="444" customWidth="1"/>
    <col min="16116" max="16116" width="13.453125" style="444" customWidth="1"/>
    <col min="16117" max="16117" width="9" style="444"/>
    <col min="16118" max="16118" width="8.54296875" style="444" customWidth="1"/>
    <col min="16119" max="16363" width="9" style="444"/>
    <col min="16364" max="16364" width="8" style="444" customWidth="1"/>
    <col min="16365" max="16384" width="9.1796875" style="444" customWidth="1"/>
  </cols>
  <sheetData>
    <row r="1" spans="1:13" ht="27" customHeight="1">
      <c r="E1" s="1227" t="s">
        <v>154</v>
      </c>
      <c r="F1" s="1227"/>
      <c r="G1" s="446"/>
    </row>
    <row r="2" spans="1:13" s="442" customFormat="1" ht="27" customHeight="1">
      <c r="A2" s="1206" t="s">
        <v>155</v>
      </c>
      <c r="B2" s="1206"/>
      <c r="C2" s="1206"/>
      <c r="D2" s="1206"/>
      <c r="E2" s="1206"/>
      <c r="F2" s="1206"/>
      <c r="G2" s="447"/>
      <c r="H2" s="448"/>
      <c r="I2" s="448"/>
    </row>
    <row r="3" spans="1:13" s="442" customFormat="1" ht="27" customHeight="1">
      <c r="A3" s="447"/>
      <c r="B3" s="447"/>
      <c r="C3" s="447"/>
      <c r="D3" s="447"/>
      <c r="E3" s="447"/>
      <c r="F3" s="447"/>
      <c r="G3" s="447"/>
      <c r="H3" s="448"/>
      <c r="I3" s="448"/>
    </row>
    <row r="4" spans="1:13" s="443" customFormat="1" ht="50.1" customHeight="1">
      <c r="A4" s="449" t="s">
        <v>123</v>
      </c>
      <c r="B4" s="449"/>
      <c r="C4" s="1228" t="str">
        <f>+'แบบ ปร.6'!C4</f>
        <v>โครงการจัดตั้งศูนย์การเรียนรู้แห่งชาติ OKMD : OKMD National Knowledge Center (Ratchadamnoen Center 1 และ 2)</v>
      </c>
      <c r="D4" s="1228"/>
      <c r="E4" s="1228"/>
      <c r="F4" s="1228"/>
      <c r="G4" s="450"/>
      <c r="H4" s="451"/>
      <c r="I4" s="451"/>
    </row>
    <row r="5" spans="1:13" ht="27" customHeight="1">
      <c r="A5" s="452" t="s">
        <v>125</v>
      </c>
      <c r="B5" s="452"/>
      <c r="C5" s="454" t="str">
        <f>+'แบบ ปร.6'!C5</f>
        <v>แขวงตลาดยอด เขตพระนคร กรุงเทพมหานคร</v>
      </c>
      <c r="D5" s="454"/>
      <c r="E5" s="454"/>
      <c r="F5" s="454"/>
      <c r="G5" s="455"/>
    </row>
    <row r="6" spans="1:13" ht="27" customHeight="1">
      <c r="A6" s="452" t="s">
        <v>127</v>
      </c>
      <c r="B6" s="452"/>
      <c r="C6" s="454" t="str">
        <f>+'แบบ ปร.6'!C6</f>
        <v>สำนักงานบริหารและพัฒนาองค์ความรู้ (องค์การมหาชน)</v>
      </c>
      <c r="D6" s="454"/>
      <c r="E6" s="454"/>
      <c r="F6" s="454"/>
      <c r="G6" s="455"/>
    </row>
    <row r="7" spans="1:13" ht="27" customHeight="1">
      <c r="A7" s="452" t="s">
        <v>129</v>
      </c>
      <c r="B7" s="452"/>
      <c r="C7" s="1208" t="s">
        <v>130</v>
      </c>
      <c r="D7" s="1208"/>
      <c r="E7" s="1208"/>
      <c r="F7" s="1208"/>
      <c r="G7" s="456"/>
    </row>
    <row r="8" spans="1:13" ht="27" customHeight="1">
      <c r="A8" s="452" t="s">
        <v>156</v>
      </c>
      <c r="B8" s="452"/>
      <c r="C8" s="454" t="s">
        <v>157</v>
      </c>
      <c r="D8" s="454"/>
      <c r="E8" s="454"/>
      <c r="F8" s="454"/>
      <c r="G8" s="455">
        <f>166+44+1+1</f>
        <v>212</v>
      </c>
    </row>
    <row r="9" spans="1:13" ht="27" customHeight="1">
      <c r="A9" s="452" t="s">
        <v>133</v>
      </c>
      <c r="B9" s="452"/>
      <c r="C9" s="454" t="str">
        <f>+'แบบ ปร.6'!C9</f>
        <v>คณะกรรมการกำหนดราคากลาง</v>
      </c>
      <c r="D9" s="457"/>
      <c r="E9" s="458"/>
      <c r="F9" s="459"/>
      <c r="G9" s="460"/>
      <c r="I9" s="499"/>
      <c r="J9" s="447"/>
      <c r="K9" s="447"/>
      <c r="L9" s="447"/>
      <c r="M9" s="447"/>
    </row>
    <row r="10" spans="1:13" ht="27" customHeight="1">
      <c r="A10" s="458" t="s">
        <v>135</v>
      </c>
      <c r="B10" s="461"/>
      <c r="C10" s="454" t="str">
        <f>+'แบบ ปร.6'!C10</f>
        <v xml:space="preserve">  16 กรกฎาคม 2568</v>
      </c>
      <c r="D10" s="461"/>
      <c r="E10" s="461"/>
      <c r="F10" s="461"/>
      <c r="G10" s="447"/>
    </row>
    <row r="11" spans="1:13" ht="27" customHeight="1">
      <c r="A11" s="455"/>
      <c r="C11" s="1107"/>
      <c r="D11" s="1107"/>
      <c r="E11" s="1107"/>
    </row>
    <row r="12" spans="1:13" s="442" customFormat="1" ht="27" customHeight="1">
      <c r="A12" s="1220" t="s">
        <v>137</v>
      </c>
      <c r="B12" s="1216" t="s">
        <v>138</v>
      </c>
      <c r="C12" s="463" t="s">
        <v>158</v>
      </c>
      <c r="D12" s="1216" t="s">
        <v>159</v>
      </c>
      <c r="E12" s="463" t="s">
        <v>160</v>
      </c>
      <c r="F12" s="1216" t="s">
        <v>140</v>
      </c>
      <c r="G12" s="1216"/>
      <c r="H12" s="448"/>
      <c r="I12" s="448"/>
      <c r="J12" s="444"/>
    </row>
    <row r="13" spans="1:13" s="442" customFormat="1" ht="27" customHeight="1">
      <c r="A13" s="1222"/>
      <c r="B13" s="1217"/>
      <c r="C13" s="465" t="s">
        <v>161</v>
      </c>
      <c r="D13" s="1217"/>
      <c r="E13" s="465" t="s">
        <v>161</v>
      </c>
      <c r="F13" s="1217"/>
      <c r="G13" s="1217"/>
      <c r="H13" s="448"/>
      <c r="I13" s="448"/>
    </row>
    <row r="14" spans="1:13" ht="27" customHeight="1">
      <c r="A14" s="466"/>
      <c r="B14" s="1108" t="s">
        <v>141</v>
      </c>
      <c r="C14" s="469"/>
      <c r="D14" s="469"/>
      <c r="E14" s="470"/>
      <c r="F14" s="470"/>
      <c r="G14" s="470"/>
    </row>
    <row r="15" spans="1:13" ht="27" customHeight="1">
      <c r="A15" s="471"/>
      <c r="B15" s="472" t="s">
        <v>162</v>
      </c>
      <c r="C15" s="474"/>
      <c r="D15" s="474"/>
      <c r="E15" s="475"/>
      <c r="F15" s="475"/>
      <c r="G15" s="471"/>
      <c r="H15" s="448"/>
    </row>
    <row r="16" spans="1:13" ht="27" customHeight="1">
      <c r="A16" s="471">
        <v>1</v>
      </c>
      <c r="B16" s="482" t="s">
        <v>163</v>
      </c>
      <c r="C16" s="1109">
        <v>112936282.043421</v>
      </c>
      <c r="D16" s="474">
        <v>1.1923999999999999</v>
      </c>
      <c r="E16" s="1110">
        <f>SUM(C16*D16)</f>
        <v>134665222.70857519</v>
      </c>
      <c r="F16" s="475"/>
      <c r="G16" s="481"/>
      <c r="J16" s="1129"/>
    </row>
    <row r="17" spans="1:10" ht="27" customHeight="1">
      <c r="A17" s="476">
        <v>2</v>
      </c>
      <c r="B17" s="473" t="s">
        <v>164</v>
      </c>
      <c r="C17" s="1109">
        <f>RKCA1_Interior!M16</f>
        <v>29951397.611474354</v>
      </c>
      <c r="D17" s="474">
        <f>+D16</f>
        <v>1.1923999999999999</v>
      </c>
      <c r="E17" s="1110">
        <f t="shared" ref="E17:E23" si="0">SUM(C17*D17)</f>
        <v>35714046.511922017</v>
      </c>
      <c r="F17" s="480"/>
      <c r="G17" s="481"/>
      <c r="J17" s="1129"/>
    </row>
    <row r="18" spans="1:10" ht="27" customHeight="1">
      <c r="A18" s="476">
        <v>3</v>
      </c>
      <c r="B18" s="473" t="s">
        <v>165</v>
      </c>
      <c r="C18" s="1111">
        <f>'RKCA1_Built-in'!M21</f>
        <v>37557810.463800281</v>
      </c>
      <c r="D18" s="1112">
        <f>+D16</f>
        <v>1.1923999999999999</v>
      </c>
      <c r="E18" s="1113">
        <f t="shared" si="0"/>
        <v>44783933.197035454</v>
      </c>
      <c r="F18" s="480"/>
      <c r="G18" s="481"/>
      <c r="J18" s="1129"/>
    </row>
    <row r="19" spans="1:10" ht="27" customHeight="1">
      <c r="A19" s="476">
        <v>4</v>
      </c>
      <c r="B19" s="473" t="s">
        <v>166</v>
      </c>
      <c r="C19" s="1111">
        <v>170693801.508816</v>
      </c>
      <c r="D19" s="1112">
        <f>+D16</f>
        <v>1.1923999999999999</v>
      </c>
      <c r="E19" s="1113">
        <f t="shared" si="0"/>
        <v>203535288.91911218</v>
      </c>
      <c r="F19" s="480"/>
      <c r="G19" s="481"/>
      <c r="J19" s="1129"/>
    </row>
    <row r="20" spans="1:10" ht="27" customHeight="1">
      <c r="A20" s="476">
        <v>5</v>
      </c>
      <c r="B20" s="473" t="s">
        <v>167</v>
      </c>
      <c r="C20" s="1111">
        <f>+RKCA1_Ele!M34</f>
        <v>96770786.264006421</v>
      </c>
      <c r="D20" s="1112">
        <f>+D16</f>
        <v>1.1923999999999999</v>
      </c>
      <c r="E20" s="1113">
        <f t="shared" si="0"/>
        <v>115389485.54120125</v>
      </c>
      <c r="F20" s="480"/>
      <c r="G20" s="481"/>
      <c r="J20" s="1129"/>
    </row>
    <row r="21" spans="1:10" ht="27" customHeight="1">
      <c r="A21" s="476">
        <v>6</v>
      </c>
      <c r="B21" s="473" t="s">
        <v>168</v>
      </c>
      <c r="C21" s="1111">
        <f>'RC1_San+FP'!M16</f>
        <v>23315775.399991848</v>
      </c>
      <c r="D21" s="1112">
        <f>+D16</f>
        <v>1.1923999999999999</v>
      </c>
      <c r="E21" s="1113">
        <f t="shared" si="0"/>
        <v>27801730.586950276</v>
      </c>
      <c r="F21" s="480"/>
      <c r="G21" s="481"/>
      <c r="J21" s="1129"/>
    </row>
    <row r="22" spans="1:10" ht="27" customHeight="1">
      <c r="A22" s="476">
        <v>7</v>
      </c>
      <c r="B22" s="473" t="s">
        <v>169</v>
      </c>
      <c r="C22" s="1109">
        <v>18486639.247610498</v>
      </c>
      <c r="D22" s="474">
        <f>+D16</f>
        <v>1.1923999999999999</v>
      </c>
      <c r="E22" s="1110">
        <f t="shared" si="0"/>
        <v>22043468.638850756</v>
      </c>
      <c r="F22" s="480"/>
      <c r="G22" s="481"/>
      <c r="J22" s="1129"/>
    </row>
    <row r="23" spans="1:10" ht="27" customHeight="1">
      <c r="A23" s="476">
        <v>8</v>
      </c>
      <c r="B23" s="473" t="s">
        <v>170</v>
      </c>
      <c r="C23" s="1109">
        <f>HARDSCAPE!M16</f>
        <v>7351821.5348068727</v>
      </c>
      <c r="D23" s="474">
        <f>+D16</f>
        <v>1.1923999999999999</v>
      </c>
      <c r="E23" s="1110">
        <f t="shared" si="0"/>
        <v>8766311.9981037136</v>
      </c>
      <c r="F23" s="480"/>
      <c r="G23" s="481"/>
    </row>
    <row r="24" spans="1:10" ht="27" customHeight="1">
      <c r="A24" s="476"/>
      <c r="B24" s="473"/>
      <c r="C24" s="1114"/>
      <c r="D24" s="1115"/>
      <c r="E24" s="478"/>
      <c r="F24" s="480"/>
      <c r="G24" s="481"/>
    </row>
    <row r="25" spans="1:10" ht="27" customHeight="1">
      <c r="A25" s="1116"/>
      <c r="B25" s="1117"/>
      <c r="C25" s="1118"/>
      <c r="D25" s="1119"/>
      <c r="E25" s="1120"/>
      <c r="F25" s="1121"/>
      <c r="G25" s="481"/>
    </row>
    <row r="26" spans="1:10" ht="27" customHeight="1">
      <c r="A26" s="475"/>
      <c r="B26" s="1122" t="s">
        <v>171</v>
      </c>
      <c r="C26" s="469"/>
      <c r="D26" s="474"/>
      <c r="E26" s="475"/>
      <c r="F26" s="475"/>
      <c r="G26" s="481"/>
    </row>
    <row r="27" spans="1:10" ht="27" customHeight="1">
      <c r="A27" s="480"/>
      <c r="B27" s="1123" t="s">
        <v>172</v>
      </c>
      <c r="C27" s="1124"/>
      <c r="D27" s="473"/>
      <c r="E27" s="480"/>
      <c r="F27" s="480"/>
      <c r="G27" s="481"/>
    </row>
    <row r="28" spans="1:10" ht="27" customHeight="1">
      <c r="A28" s="480"/>
      <c r="B28" s="1123" t="s">
        <v>173</v>
      </c>
      <c r="C28" s="473"/>
      <c r="D28" s="473"/>
      <c r="E28" s="480"/>
      <c r="F28" s="480"/>
      <c r="G28" s="481"/>
    </row>
    <row r="29" spans="1:10" ht="27" customHeight="1">
      <c r="A29" s="480"/>
      <c r="B29" s="1123" t="s">
        <v>174</v>
      </c>
      <c r="C29" s="473"/>
      <c r="D29" s="473"/>
      <c r="E29" s="480"/>
      <c r="F29" s="480"/>
      <c r="G29" s="481"/>
    </row>
    <row r="30" spans="1:10" ht="27" customHeight="1">
      <c r="A30" s="1121"/>
      <c r="B30" s="1125" t="s">
        <v>175</v>
      </c>
      <c r="C30" s="1117"/>
      <c r="D30" s="1117"/>
      <c r="E30" s="1121"/>
      <c r="F30" s="1121"/>
      <c r="G30" s="481"/>
    </row>
    <row r="31" spans="1:10" ht="27" customHeight="1">
      <c r="A31" s="464" t="s">
        <v>149</v>
      </c>
      <c r="B31" s="1224" t="s">
        <v>176</v>
      </c>
      <c r="C31" s="1225"/>
      <c r="D31" s="1226"/>
      <c r="E31" s="491">
        <f>SUM(E14:E30)</f>
        <v>592699488.10175085</v>
      </c>
      <c r="F31" s="492"/>
      <c r="G31" s="481">
        <v>633965543.41999996</v>
      </c>
      <c r="H31" s="445">
        <f>G31*0.934908047</f>
        <v>592699488.06408584</v>
      </c>
    </row>
    <row r="32" spans="1:10" ht="27" customHeight="1">
      <c r="A32" s="493"/>
      <c r="B32" s="494" t="str">
        <f>"("&amp;BAHTTEXT(E31)&amp;")"</f>
        <v>(ห้าร้อยเก้าสิบสองล้านหกแสนเก้าหมื่นเก้าพันสี่ร้อยแปดสิบแปดบาทสิบสตางค์)</v>
      </c>
      <c r="C32" s="495"/>
      <c r="D32" s="495"/>
      <c r="E32" s="496"/>
      <c r="F32" s="497"/>
      <c r="G32" s="481"/>
      <c r="H32" s="445" t="s">
        <v>151</v>
      </c>
    </row>
    <row r="33" spans="2:4" ht="27" customHeight="1">
      <c r="B33" s="498" t="s">
        <v>177</v>
      </c>
      <c r="C33" s="499">
        <v>16450</v>
      </c>
      <c r="D33" s="444" t="s">
        <v>178</v>
      </c>
    </row>
    <row r="34" spans="2:4" ht="27" customHeight="1">
      <c r="B34" s="498" t="s">
        <v>179</v>
      </c>
      <c r="C34" s="499">
        <f>+E31/C33</f>
        <v>36030.36401834352</v>
      </c>
      <c r="D34" s="444" t="s">
        <v>180</v>
      </c>
    </row>
    <row r="35" spans="2:4" ht="25.35" customHeight="1">
      <c r="B35" s="1126"/>
      <c r="C35" s="499">
        <f>+C34+'แบบ ปร.5(ข)'!C28</f>
        <v>45080.283402762274</v>
      </c>
    </row>
    <row r="36" spans="2:4" ht="25.35" customHeight="1">
      <c r="B36" s="498"/>
      <c r="C36" s="499"/>
    </row>
    <row r="37" spans="2:4" ht="19.5" customHeight="1">
      <c r="B37" s="446"/>
      <c r="C37" s="500"/>
    </row>
    <row r="38" spans="2:4" ht="19.5" customHeight="1">
      <c r="B38" s="446"/>
      <c r="C38" s="502"/>
    </row>
    <row r="39" spans="2:4" ht="19.5" customHeight="1">
      <c r="B39" s="446"/>
      <c r="C39" s="502"/>
    </row>
    <row r="40" spans="2:4" ht="19.5" customHeight="1">
      <c r="B40" s="446"/>
      <c r="C40" s="502"/>
    </row>
    <row r="41" spans="2:4" ht="19.5" customHeight="1">
      <c r="B41" s="446"/>
      <c r="C41" s="502"/>
    </row>
    <row r="42" spans="2:4" ht="19.5" customHeight="1">
      <c r="B42" s="1127"/>
      <c r="C42" s="502"/>
    </row>
    <row r="43" spans="2:4" ht="19.5" customHeight="1">
      <c r="B43" s="1127"/>
      <c r="C43" s="1128"/>
    </row>
    <row r="44" spans="2:4" ht="19.5" customHeight="1">
      <c r="B44" s="1127"/>
      <c r="C44" s="1128"/>
    </row>
    <row r="45" spans="2:4" ht="19.5" customHeight="1">
      <c r="B45" s="1127"/>
      <c r="C45" s="1128"/>
    </row>
    <row r="46" spans="2:4" ht="19.5" customHeight="1">
      <c r="B46" s="1127"/>
      <c r="C46" s="1128"/>
    </row>
    <row r="47" spans="2:4" ht="19.5" customHeight="1">
      <c r="B47" s="1127"/>
      <c r="C47" s="1128"/>
    </row>
    <row r="48" spans="2:4" ht="19.5" customHeight="1">
      <c r="B48" s="1127"/>
      <c r="C48" s="1128"/>
    </row>
    <row r="49" spans="2:3" ht="19.5" customHeight="1">
      <c r="B49" s="1127"/>
      <c r="C49" s="1128"/>
    </row>
  </sheetData>
  <mergeCells count="10">
    <mergeCell ref="G12:G13"/>
    <mergeCell ref="E1:F1"/>
    <mergeCell ref="A2:F2"/>
    <mergeCell ref="C4:F4"/>
    <mergeCell ref="C7:F7"/>
    <mergeCell ref="B31:D31"/>
    <mergeCell ref="A12:A13"/>
    <mergeCell ref="B12:B13"/>
    <mergeCell ref="D12:D13"/>
    <mergeCell ref="F12:F13"/>
  </mergeCells>
  <printOptions horizontalCentered="1"/>
  <pageMargins left="0.59055118110236204" right="0.39370078740157499" top="0.59055118110236204" bottom="0.70866141732283505" header="0.39370078740157499" footer="0.35433070866141703"/>
  <pageSetup paperSize="9" scale="8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777"/>
  <sheetViews>
    <sheetView view="pageBreakPreview" zoomScale="80" zoomScaleNormal="70" workbookViewId="0">
      <pane ySplit="6" topLeftCell="C254" activePane="bottomLeft" state="frozen"/>
      <selection pane="bottomLeft" activeCell="C253" sqref="C253"/>
    </sheetView>
  </sheetViews>
  <sheetFormatPr defaultColWidth="10.453125" defaultRowHeight="18.95" customHeight="1" outlineLevelCol="1"/>
  <cols>
    <col min="1" max="1" width="6.7265625" style="203" customWidth="1"/>
    <col min="2" max="2" width="6.1796875" style="631" customWidth="1"/>
    <col min="3" max="3" width="24.453125" style="731" customWidth="1"/>
    <col min="4" max="4" width="52.453125" style="560" customWidth="1"/>
    <col min="5" max="5" width="13.7265625" style="157" customWidth="1"/>
    <col min="6" max="6" width="9.54296875" style="157" customWidth="1"/>
    <col min="7" max="7" width="15.7265625" style="986" customWidth="1" outlineLevel="1"/>
    <col min="8" max="9" width="15.7265625" style="157" customWidth="1"/>
    <col min="10" max="10" width="15.7265625" style="986" customWidth="1" outlineLevel="1"/>
    <col min="11" max="12" width="15.7265625" style="157" customWidth="1"/>
    <col min="13" max="13" width="19.81640625" style="157" customWidth="1"/>
    <col min="14" max="14" width="13" style="987" customWidth="1"/>
    <col min="15" max="15" width="17.81640625" style="962" customWidth="1"/>
    <col min="16" max="16" width="19.81640625" style="157" customWidth="1"/>
    <col min="17" max="17" width="18.26953125" style="157" customWidth="1"/>
    <col min="18" max="18" width="12.453125" style="203" customWidth="1"/>
    <col min="19" max="16384" width="10.453125" style="203"/>
  </cols>
  <sheetData>
    <row r="1" spans="1:17" s="1" customFormat="1" ht="18.95" customHeight="1">
      <c r="A1" s="1229" t="s">
        <v>181</v>
      </c>
      <c r="B1" s="1229"/>
      <c r="C1" s="1229"/>
      <c r="D1" s="7" t="str">
        <f>+'RKCA1_ปร.5 (ก)'!C4</f>
        <v>โครงการจัดตั้งศูนย์การเรียนรู้แห่งชาติ OKMD : OKMD National Knowledge Center (Ratchadamnoen Center 1 และ 2)</v>
      </c>
      <c r="E1" s="304"/>
      <c r="F1" s="304"/>
      <c r="G1" s="988"/>
      <c r="H1" s="634"/>
      <c r="I1" s="95"/>
      <c r="J1" s="1006" t="s">
        <v>182</v>
      </c>
      <c r="K1" s="95" t="s">
        <v>182</v>
      </c>
      <c r="L1" s="1230" t="s">
        <v>183</v>
      </c>
      <c r="M1" s="1230"/>
      <c r="N1" s="304"/>
      <c r="O1" s="966"/>
      <c r="P1" s="3"/>
      <c r="Q1" s="3"/>
    </row>
    <row r="2" spans="1:17" s="1" customFormat="1" ht="18.95" customHeight="1">
      <c r="A2" s="1231" t="s">
        <v>125</v>
      </c>
      <c r="B2" s="1231"/>
      <c r="C2" s="1231"/>
      <c r="D2" s="9" t="str">
        <f>+'RKCA1_ปร.5 (ก)'!C5</f>
        <v>แขวงตลาดยอด เขตพระนคร กรุงเทพมหานคร</v>
      </c>
      <c r="E2" s="8"/>
      <c r="F2" s="8"/>
      <c r="G2" s="989"/>
      <c r="H2" s="8"/>
      <c r="I2" s="8"/>
      <c r="J2" s="1007" t="s">
        <v>184</v>
      </c>
      <c r="K2" s="96" t="s">
        <v>184</v>
      </c>
      <c r="L2" s="97" t="str">
        <f>+'RKCA1_ปร.5 (ก)'!C10</f>
        <v xml:space="preserve">  16 กรกฎาคม 2568</v>
      </c>
      <c r="M2" s="98"/>
      <c r="N2" s="8"/>
      <c r="O2" s="966"/>
      <c r="P2" s="3"/>
      <c r="Q2" s="3"/>
    </row>
    <row r="3" spans="1:17" s="1" customFormat="1" ht="18.95" customHeight="1">
      <c r="A3" s="1231" t="s">
        <v>185</v>
      </c>
      <c r="B3" s="1231"/>
      <c r="C3" s="1231"/>
      <c r="D3" s="9" t="str">
        <f>+'RKCA1_ปร.5 (ก)'!C9</f>
        <v>คณะกรรมการกำหนดราคากลาง</v>
      </c>
      <c r="E3" s="8"/>
      <c r="F3" s="8"/>
      <c r="G3" s="989"/>
      <c r="H3" s="8"/>
      <c r="I3" s="96"/>
      <c r="J3" s="1007"/>
      <c r="K3" s="96"/>
      <c r="L3" s="97"/>
      <c r="M3" s="8"/>
      <c r="N3" s="8"/>
      <c r="O3" s="966"/>
      <c r="P3" s="723" t="s">
        <v>151</v>
      </c>
      <c r="Q3" s="3"/>
    </row>
    <row r="4" spans="1:17" s="1" customFormat="1" ht="18.95" customHeight="1">
      <c r="B4" s="343"/>
      <c r="C4" s="819"/>
      <c r="D4" s="343"/>
      <c r="E4" s="3"/>
      <c r="F4" s="3"/>
      <c r="G4" s="990"/>
      <c r="H4" s="3"/>
      <c r="I4" s="3"/>
      <c r="J4" s="990"/>
      <c r="K4" s="3"/>
      <c r="L4" s="3"/>
      <c r="M4" s="3"/>
      <c r="N4" s="1008"/>
      <c r="O4" s="966"/>
      <c r="P4" s="3"/>
      <c r="Q4" s="3"/>
    </row>
    <row r="5" spans="1:17" ht="18.95" customHeight="1">
      <c r="A5" s="1235" t="s">
        <v>186</v>
      </c>
      <c r="B5" s="1251" t="s">
        <v>138</v>
      </c>
      <c r="C5" s="1252"/>
      <c r="D5" s="1253"/>
      <c r="E5" s="1237" t="s">
        <v>187</v>
      </c>
      <c r="F5" s="1237" t="s">
        <v>188</v>
      </c>
      <c r="G5" s="1232" t="s">
        <v>189</v>
      </c>
      <c r="H5" s="1233"/>
      <c r="I5" s="1234"/>
      <c r="J5" s="1232" t="s">
        <v>190</v>
      </c>
      <c r="K5" s="1233"/>
      <c r="L5" s="1234"/>
      <c r="M5" s="10" t="s">
        <v>191</v>
      </c>
      <c r="N5" s="1237" t="s">
        <v>140</v>
      </c>
      <c r="O5" s="967"/>
    </row>
    <row r="6" spans="1:17" ht="18.95" customHeight="1">
      <c r="A6" s="1236"/>
      <c r="B6" s="1254"/>
      <c r="C6" s="1255"/>
      <c r="D6" s="1256"/>
      <c r="E6" s="1238"/>
      <c r="F6" s="1238"/>
      <c r="G6" s="991" t="s">
        <v>192</v>
      </c>
      <c r="H6" s="12" t="s">
        <v>192</v>
      </c>
      <c r="I6" s="12" t="s">
        <v>193</v>
      </c>
      <c r="J6" s="991" t="s">
        <v>192</v>
      </c>
      <c r="K6" s="12" t="s">
        <v>192</v>
      </c>
      <c r="L6" s="12" t="s">
        <v>193</v>
      </c>
      <c r="M6" s="12" t="s">
        <v>194</v>
      </c>
      <c r="N6" s="1238"/>
      <c r="O6" s="967"/>
    </row>
    <row r="7" spans="1:17" ht="18.95" customHeight="1">
      <c r="A7" s="506"/>
      <c r="B7" s="329" t="s">
        <v>195</v>
      </c>
      <c r="C7" s="330"/>
      <c r="D7" s="331"/>
      <c r="E7" s="18"/>
      <c r="F7" s="19"/>
      <c r="G7" s="752"/>
      <c r="H7" s="18"/>
      <c r="I7" s="18"/>
      <c r="J7" s="832"/>
      <c r="K7" s="20"/>
      <c r="L7" s="218"/>
      <c r="M7" s="19"/>
      <c r="N7" s="19"/>
      <c r="O7" s="590"/>
    </row>
    <row r="8" spans="1:17" ht="18.95" customHeight="1">
      <c r="A8" s="265"/>
      <c r="B8" s="332" t="s">
        <v>162</v>
      </c>
      <c r="C8" s="333"/>
      <c r="D8" s="507"/>
      <c r="E8" s="25"/>
      <c r="F8" s="26"/>
      <c r="G8" s="759"/>
      <c r="H8" s="25"/>
      <c r="I8" s="25"/>
      <c r="J8" s="765"/>
      <c r="K8" s="30"/>
      <c r="L8" s="30"/>
      <c r="M8" s="72"/>
      <c r="N8" s="26"/>
      <c r="O8" s="590"/>
    </row>
    <row r="9" spans="1:17" ht="18.95" customHeight="1">
      <c r="A9" s="508">
        <v>1</v>
      </c>
      <c r="B9" s="335" t="s">
        <v>196</v>
      </c>
      <c r="C9" s="333"/>
      <c r="D9" s="509"/>
      <c r="E9" s="25"/>
      <c r="F9" s="26"/>
      <c r="G9" s="759"/>
      <c r="H9" s="25"/>
      <c r="I9" s="25"/>
      <c r="J9" s="765"/>
      <c r="K9" s="30"/>
      <c r="L9" s="30"/>
      <c r="M9" s="72">
        <f>M75</f>
        <v>5837065.6696628537</v>
      </c>
      <c r="N9" s="26"/>
      <c r="O9" s="157">
        <f>P9*0.934908047</f>
        <v>5837065.6696628546</v>
      </c>
      <c r="P9" s="157">
        <v>6243465</v>
      </c>
      <c r="Q9" s="203"/>
    </row>
    <row r="10" spans="1:17" ht="18.95" customHeight="1">
      <c r="A10" s="508">
        <v>2</v>
      </c>
      <c r="B10" s="335" t="s">
        <v>197</v>
      </c>
      <c r="C10" s="333"/>
      <c r="D10" s="509"/>
      <c r="E10" s="25"/>
      <c r="F10" s="26"/>
      <c r="G10" s="759"/>
      <c r="H10" s="25"/>
      <c r="I10" s="25"/>
      <c r="J10" s="765"/>
      <c r="K10" s="30"/>
      <c r="L10" s="30"/>
      <c r="M10" s="72">
        <f>M142</f>
        <v>17861361.208544131</v>
      </c>
      <c r="N10" s="26"/>
      <c r="O10" s="157">
        <f t="shared" ref="O10:O18" si="0">P10*0.934908047</f>
        <v>17861361.208544131</v>
      </c>
      <c r="P10" s="157">
        <v>19104939</v>
      </c>
      <c r="Q10" s="203"/>
    </row>
    <row r="11" spans="1:17" ht="18.95" customHeight="1">
      <c r="A11" s="508">
        <v>3</v>
      </c>
      <c r="B11" s="335" t="s">
        <v>198</v>
      </c>
      <c r="C11" s="333"/>
      <c r="D11" s="509"/>
      <c r="E11" s="25"/>
      <c r="F11" s="26"/>
      <c r="G11" s="759"/>
      <c r="H11" s="25"/>
      <c r="I11" s="25"/>
      <c r="J11" s="765"/>
      <c r="K11" s="30"/>
      <c r="L11" s="30"/>
      <c r="M11" s="72">
        <f>M202</f>
        <v>11773457.840055082</v>
      </c>
      <c r="N11" s="26"/>
      <c r="O11" s="157">
        <f t="shared" si="0"/>
        <v>11773457.840055084</v>
      </c>
      <c r="P11" s="157">
        <v>12593172</v>
      </c>
      <c r="Q11" s="203"/>
    </row>
    <row r="12" spans="1:17" ht="18.95" customHeight="1">
      <c r="A12" s="508">
        <v>4</v>
      </c>
      <c r="B12" s="335" t="s">
        <v>199</v>
      </c>
      <c r="C12" s="333"/>
      <c r="D12" s="509"/>
      <c r="E12" s="25"/>
      <c r="F12" s="26"/>
      <c r="G12" s="759"/>
      <c r="H12" s="25"/>
      <c r="I12" s="25"/>
      <c r="J12" s="765"/>
      <c r="K12" s="30"/>
      <c r="L12" s="30"/>
      <c r="M12" s="72">
        <f>M309</f>
        <v>6357286.8382435804</v>
      </c>
      <c r="N12" s="26"/>
      <c r="O12" s="157">
        <f t="shared" si="0"/>
        <v>6357286.8382435814</v>
      </c>
      <c r="P12" s="157">
        <v>6799906</v>
      </c>
      <c r="Q12" s="203"/>
    </row>
    <row r="13" spans="1:17" ht="18.95" customHeight="1">
      <c r="A13" s="508">
        <v>5</v>
      </c>
      <c r="B13" s="335" t="s">
        <v>200</v>
      </c>
      <c r="C13" s="333"/>
      <c r="D13" s="509"/>
      <c r="E13" s="25"/>
      <c r="F13" s="26"/>
      <c r="G13" s="759"/>
      <c r="H13" s="25"/>
      <c r="I13" s="25"/>
      <c r="J13" s="765"/>
      <c r="K13" s="30"/>
      <c r="L13" s="30"/>
      <c r="M13" s="72">
        <f>M410</f>
        <v>32524966.672761649</v>
      </c>
      <c r="N13" s="26"/>
      <c r="O13" s="157">
        <f t="shared" si="0"/>
        <v>32524966.672761653</v>
      </c>
      <c r="P13" s="157">
        <v>34789482</v>
      </c>
      <c r="Q13" s="203"/>
    </row>
    <row r="14" spans="1:17" ht="18.95" customHeight="1">
      <c r="A14" s="508">
        <v>6</v>
      </c>
      <c r="B14" s="335" t="s">
        <v>201</v>
      </c>
      <c r="C14" s="333"/>
      <c r="D14" s="509"/>
      <c r="E14" s="25"/>
      <c r="F14" s="26"/>
      <c r="G14" s="765"/>
      <c r="H14" s="30"/>
      <c r="I14" s="30"/>
      <c r="J14" s="765"/>
      <c r="K14" s="30"/>
      <c r="L14" s="72"/>
      <c r="M14" s="72">
        <f>M441</f>
        <v>3401585.7990956232</v>
      </c>
      <c r="N14" s="26"/>
      <c r="O14" s="157">
        <f t="shared" si="0"/>
        <v>3401585.7990956223</v>
      </c>
      <c r="P14" s="157">
        <v>3638417.5</v>
      </c>
      <c r="Q14" s="203"/>
    </row>
    <row r="15" spans="1:17" ht="18.95" customHeight="1">
      <c r="A15" s="508">
        <v>7</v>
      </c>
      <c r="B15" s="335" t="s">
        <v>202</v>
      </c>
      <c r="C15" s="333"/>
      <c r="D15" s="509"/>
      <c r="E15" s="25"/>
      <c r="F15" s="26"/>
      <c r="G15" s="759"/>
      <c r="H15" s="25"/>
      <c r="I15" s="25"/>
      <c r="J15" s="765"/>
      <c r="K15" s="30"/>
      <c r="L15" s="30"/>
      <c r="M15" s="72">
        <f>M577</f>
        <v>6553576.9464264279</v>
      </c>
      <c r="N15" s="26"/>
      <c r="O15" s="157">
        <f t="shared" si="0"/>
        <v>6553576.9437552616</v>
      </c>
      <c r="P15" s="157">
        <v>7009862.5899999999</v>
      </c>
      <c r="Q15" s="203"/>
    </row>
    <row r="16" spans="1:17" ht="18.95" customHeight="1">
      <c r="A16" s="508">
        <v>8</v>
      </c>
      <c r="B16" s="335" t="s">
        <v>203</v>
      </c>
      <c r="C16" s="333"/>
      <c r="D16" s="334"/>
      <c r="E16" s="25"/>
      <c r="F16" s="26"/>
      <c r="G16" s="765"/>
      <c r="H16" s="30"/>
      <c r="I16" s="30"/>
      <c r="J16" s="765"/>
      <c r="K16" s="30"/>
      <c r="L16" s="72"/>
      <c r="M16" s="72">
        <f>M638</f>
        <v>11333993.09366617</v>
      </c>
      <c r="N16" s="26"/>
      <c r="O16" s="157">
        <f t="shared" si="0"/>
        <v>11333993.09366617</v>
      </c>
      <c r="P16" s="157">
        <v>12123110</v>
      </c>
      <c r="Q16" s="203"/>
    </row>
    <row r="17" spans="1:20" ht="18.95" customHeight="1">
      <c r="A17" s="508">
        <v>9</v>
      </c>
      <c r="B17" s="335" t="s">
        <v>204</v>
      </c>
      <c r="C17" s="333"/>
      <c r="D17" s="509"/>
      <c r="E17" s="25"/>
      <c r="F17" s="26"/>
      <c r="G17" s="765"/>
      <c r="H17" s="30"/>
      <c r="I17" s="30"/>
      <c r="J17" s="765"/>
      <c r="K17" s="30"/>
      <c r="L17" s="72"/>
      <c r="M17" s="72">
        <f>M678</f>
        <v>16799203.762175009</v>
      </c>
      <c r="N17" s="26"/>
      <c r="O17" s="157">
        <f t="shared" si="0"/>
        <v>16799203.762175009</v>
      </c>
      <c r="P17" s="157">
        <v>17968830</v>
      </c>
      <c r="Q17" s="203"/>
    </row>
    <row r="18" spans="1:20" ht="18.95" customHeight="1">
      <c r="A18" s="508">
        <v>10</v>
      </c>
      <c r="B18" s="335" t="s">
        <v>205</v>
      </c>
      <c r="C18" s="333"/>
      <c r="D18" s="509"/>
      <c r="E18" s="25"/>
      <c r="F18" s="26"/>
      <c r="G18" s="765"/>
      <c r="H18" s="30"/>
      <c r="I18" s="30"/>
      <c r="J18" s="765"/>
      <c r="K18" s="30"/>
      <c r="L18" s="72"/>
      <c r="M18" s="72">
        <f>M702</f>
        <v>493784.21279087971</v>
      </c>
      <c r="N18" s="26"/>
      <c r="O18" s="157">
        <f t="shared" si="0"/>
        <v>493784.21279087983</v>
      </c>
      <c r="P18" s="157">
        <v>528163.4</v>
      </c>
      <c r="Q18" s="203"/>
    </row>
    <row r="19" spans="1:20" ht="18.95" customHeight="1">
      <c r="A19" s="508"/>
      <c r="B19" s="335"/>
      <c r="C19" s="333"/>
      <c r="D19" s="509"/>
      <c r="E19" s="25"/>
      <c r="F19" s="26"/>
      <c r="G19" s="765"/>
      <c r="H19" s="30"/>
      <c r="I19" s="30"/>
      <c r="J19" s="765"/>
      <c r="K19" s="30"/>
      <c r="L19" s="72"/>
      <c r="M19" s="26"/>
      <c r="N19" s="26"/>
      <c r="O19" s="157"/>
      <c r="Q19" s="203"/>
    </row>
    <row r="20" spans="1:20" ht="18.95" customHeight="1">
      <c r="A20" s="265"/>
      <c r="B20" s="1260" t="s">
        <v>206</v>
      </c>
      <c r="C20" s="1261"/>
      <c r="D20" s="1262"/>
      <c r="E20" s="25"/>
      <c r="F20" s="26"/>
      <c r="G20" s="759"/>
      <c r="H20" s="25"/>
      <c r="I20" s="25"/>
      <c r="J20" s="759"/>
      <c r="K20" s="25"/>
      <c r="L20" s="30"/>
      <c r="M20" s="34">
        <f>SUM(M9:M19)</f>
        <v>112936282.0434214</v>
      </c>
      <c r="N20" s="26"/>
      <c r="O20" s="157">
        <f>SUM(O9:O19)</f>
        <v>112936282.04075022</v>
      </c>
      <c r="P20" s="157">
        <f>SUM(P9:P19)</f>
        <v>120799347.49000001</v>
      </c>
      <c r="Q20" s="203"/>
    </row>
    <row r="21" spans="1:20" ht="18.95" customHeight="1">
      <c r="A21" s="265"/>
      <c r="B21" s="265"/>
      <c r="C21" s="992"/>
      <c r="D21" s="993"/>
      <c r="E21" s="25"/>
      <c r="F21" s="26"/>
      <c r="G21" s="759"/>
      <c r="H21" s="25"/>
      <c r="I21" s="25"/>
      <c r="J21" s="759"/>
      <c r="K21" s="25"/>
      <c r="L21" s="30"/>
      <c r="M21" s="25"/>
      <c r="N21" s="26"/>
      <c r="O21" s="590"/>
    </row>
    <row r="22" spans="1:20" ht="18.95" customHeight="1">
      <c r="A22" s="508"/>
      <c r="B22" s="335"/>
      <c r="C22" s="333"/>
      <c r="D22" s="993"/>
      <c r="E22" s="25"/>
      <c r="F22" s="30"/>
      <c r="G22" s="759"/>
      <c r="H22" s="25"/>
      <c r="I22" s="25"/>
      <c r="J22" s="759"/>
      <c r="K22" s="25"/>
      <c r="L22" s="30"/>
      <c r="M22" s="72"/>
      <c r="N22" s="26"/>
      <c r="O22" s="590"/>
    </row>
    <row r="23" spans="1:20" ht="18.95" customHeight="1">
      <c r="A23" s="508"/>
      <c r="B23" s="335"/>
      <c r="C23" s="333"/>
      <c r="D23" s="993"/>
      <c r="E23" s="25"/>
      <c r="F23" s="30"/>
      <c r="G23" s="759"/>
      <c r="H23" s="25"/>
      <c r="I23" s="25"/>
      <c r="J23" s="759"/>
      <c r="K23" s="25"/>
      <c r="L23" s="30"/>
      <c r="M23" s="72"/>
      <c r="N23" s="26"/>
      <c r="O23" s="590"/>
    </row>
    <row r="24" spans="1:20" ht="18.95" customHeight="1">
      <c r="A24" s="265"/>
      <c r="B24" s="265"/>
      <c r="C24" s="992"/>
      <c r="D24" s="993"/>
      <c r="E24" s="25"/>
      <c r="F24" s="30"/>
      <c r="G24" s="759"/>
      <c r="H24" s="25"/>
      <c r="I24" s="25"/>
      <c r="J24" s="759"/>
      <c r="K24" s="25"/>
      <c r="L24" s="30"/>
      <c r="M24" s="25"/>
      <c r="N24" s="26"/>
      <c r="O24" s="590"/>
    </row>
    <row r="25" spans="1:20" ht="18.95" customHeight="1">
      <c r="A25" s="265"/>
      <c r="B25" s="265"/>
      <c r="C25" s="992"/>
      <c r="D25" s="993"/>
      <c r="E25" s="25"/>
      <c r="F25" s="30"/>
      <c r="G25" s="759"/>
      <c r="H25" s="25"/>
      <c r="I25" s="25"/>
      <c r="J25" s="759"/>
      <c r="K25" s="25"/>
      <c r="L25" s="30"/>
      <c r="M25" s="25"/>
      <c r="N25" s="26"/>
      <c r="O25" s="590"/>
    </row>
    <row r="26" spans="1:20" ht="18.95" customHeight="1">
      <c r="A26" s="265"/>
      <c r="B26" s="335" t="s">
        <v>207</v>
      </c>
      <c r="C26" s="992"/>
      <c r="D26" s="993"/>
      <c r="E26" s="25"/>
      <c r="F26" s="30"/>
      <c r="G26" s="759"/>
      <c r="H26" s="25"/>
      <c r="I26" s="25"/>
      <c r="J26" s="759"/>
      <c r="K26" s="25"/>
      <c r="L26" s="30"/>
      <c r="M26" s="25"/>
      <c r="N26" s="26"/>
      <c r="O26" s="590"/>
    </row>
    <row r="27" spans="1:20" ht="18.95" customHeight="1">
      <c r="A27" s="265"/>
      <c r="B27" s="335" t="s">
        <v>208</v>
      </c>
      <c r="C27" s="992"/>
      <c r="D27" s="993"/>
      <c r="E27" s="25"/>
      <c r="F27" s="30"/>
      <c r="G27" s="759"/>
      <c r="H27" s="25"/>
      <c r="I27" s="25"/>
      <c r="J27" s="759"/>
      <c r="K27" s="25"/>
      <c r="L27" s="30"/>
      <c r="M27" s="25"/>
      <c r="N27" s="26"/>
      <c r="O27" s="590"/>
    </row>
    <row r="28" spans="1:20" ht="18.95" customHeight="1">
      <c r="A28" s="265"/>
      <c r="B28" s="265"/>
      <c r="C28" s="992"/>
      <c r="D28" s="993"/>
      <c r="E28" s="25"/>
      <c r="F28" s="30"/>
      <c r="G28" s="759"/>
      <c r="H28" s="25"/>
      <c r="I28" s="25"/>
      <c r="J28" s="759"/>
      <c r="K28" s="25"/>
      <c r="L28" s="30"/>
      <c r="M28" s="25"/>
      <c r="N28" s="26"/>
      <c r="O28" s="590"/>
    </row>
    <row r="29" spans="1:20" ht="18.95" customHeight="1">
      <c r="A29" s="265"/>
      <c r="B29" s="265"/>
      <c r="C29" s="992"/>
      <c r="D29" s="993"/>
      <c r="E29" s="25"/>
      <c r="F29" s="30"/>
      <c r="G29" s="759"/>
      <c r="H29" s="25"/>
      <c r="I29" s="25"/>
      <c r="J29" s="759"/>
      <c r="K29" s="25"/>
      <c r="L29" s="30"/>
      <c r="M29" s="25"/>
      <c r="N29" s="26"/>
      <c r="O29" s="590"/>
    </row>
    <row r="30" spans="1:20" ht="18.95" customHeight="1">
      <c r="A30" s="265"/>
      <c r="B30" s="265"/>
      <c r="C30" s="992"/>
      <c r="D30" s="993"/>
      <c r="E30" s="25"/>
      <c r="F30" s="30"/>
      <c r="G30" s="759"/>
      <c r="H30" s="25"/>
      <c r="I30" s="25"/>
      <c r="J30" s="759"/>
      <c r="K30" s="25"/>
      <c r="L30" s="30"/>
      <c r="M30" s="25"/>
      <c r="N30" s="26"/>
      <c r="O30" s="590"/>
    </row>
    <row r="31" spans="1:20" ht="18.95" customHeight="1">
      <c r="A31" s="256">
        <v>1</v>
      </c>
      <c r="B31" s="994" t="s">
        <v>196</v>
      </c>
      <c r="C31" s="995"/>
      <c r="D31" s="334"/>
      <c r="E31" s="25"/>
      <c r="F31" s="30"/>
      <c r="G31" s="759"/>
      <c r="H31" s="25"/>
      <c r="I31" s="25"/>
      <c r="J31" s="765"/>
      <c r="K31" s="30"/>
      <c r="L31" s="34"/>
      <c r="M31" s="26"/>
      <c r="N31" s="26"/>
      <c r="O31" s="590"/>
      <c r="R31" s="163"/>
      <c r="S31" s="163"/>
      <c r="T31" s="163"/>
    </row>
    <row r="32" spans="1:20" ht="18.95" customHeight="1">
      <c r="A32" s="651"/>
      <c r="B32" s="335"/>
      <c r="C32" s="333"/>
      <c r="D32" s="507"/>
      <c r="E32" s="25"/>
      <c r="F32" s="30"/>
      <c r="G32" s="759"/>
      <c r="H32" s="25"/>
      <c r="I32" s="25"/>
      <c r="J32" s="765"/>
      <c r="K32" s="30"/>
      <c r="L32" s="30"/>
      <c r="M32" s="72"/>
      <c r="N32" s="26"/>
      <c r="O32" s="590"/>
    </row>
    <row r="33" spans="1:17" ht="18.95" customHeight="1">
      <c r="A33" s="651">
        <v>1.1000000000000001</v>
      </c>
      <c r="B33" s="714" t="s">
        <v>209</v>
      </c>
      <c r="C33" s="996" t="s">
        <v>210</v>
      </c>
      <c r="D33" s="997"/>
      <c r="E33" s="25">
        <v>4755</v>
      </c>
      <c r="F33" s="30" t="s">
        <v>211</v>
      </c>
      <c r="G33" s="998">
        <v>80</v>
      </c>
      <c r="H33" s="242">
        <f>G33*O33</f>
        <v>74.792643760000004</v>
      </c>
      <c r="I33" s="242">
        <f>H33*E33</f>
        <v>355639.02107880003</v>
      </c>
      <c r="J33" s="998">
        <v>0</v>
      </c>
      <c r="K33" s="242"/>
      <c r="L33" s="242">
        <f>J33*E33</f>
        <v>0</v>
      </c>
      <c r="M33" s="242">
        <f>SUM(I33,L33)</f>
        <v>355639.02107880003</v>
      </c>
      <c r="N33" s="72"/>
      <c r="O33" s="921">
        <v>0.93490804699999996</v>
      </c>
    </row>
    <row r="34" spans="1:17" s="725" customFormat="1" ht="18.95" customHeight="1">
      <c r="A34" s="651">
        <v>1.2</v>
      </c>
      <c r="B34" s="714" t="s">
        <v>212</v>
      </c>
      <c r="C34" s="996" t="s">
        <v>213</v>
      </c>
      <c r="D34" s="997"/>
      <c r="E34" s="25">
        <v>465</v>
      </c>
      <c r="F34" s="30" t="s">
        <v>211</v>
      </c>
      <c r="G34" s="759">
        <v>96</v>
      </c>
      <c r="H34" s="242">
        <f t="shared" ref="H34:H73" si="1">G34*O34</f>
        <v>89.751172511999997</v>
      </c>
      <c r="I34" s="242">
        <f t="shared" ref="I34:I73" si="2">H34*E34</f>
        <v>41734.295218079998</v>
      </c>
      <c r="J34" s="759">
        <v>87</v>
      </c>
      <c r="K34" s="25">
        <f>J34*O34</f>
        <v>81.337000089</v>
      </c>
      <c r="L34" s="72">
        <f>K34*E34</f>
        <v>37821.705041385001</v>
      </c>
      <c r="M34" s="72">
        <f>SUM(I34,L34)</f>
        <v>79556.000259465</v>
      </c>
      <c r="N34" s="72"/>
      <c r="O34" s="921">
        <v>0.93490804699999996</v>
      </c>
      <c r="P34" s="986" t="s">
        <v>214</v>
      </c>
      <c r="Q34" s="986"/>
    </row>
    <row r="35" spans="1:17" s="725" customFormat="1" ht="18.95" customHeight="1">
      <c r="A35" s="651"/>
      <c r="B35" s="714"/>
      <c r="C35" s="996" t="s">
        <v>215</v>
      </c>
      <c r="D35" s="997"/>
      <c r="E35" s="25"/>
      <c r="F35" s="30"/>
      <c r="G35" s="759"/>
      <c r="H35" s="242"/>
      <c r="I35" s="242"/>
      <c r="J35" s="759"/>
      <c r="K35" s="25"/>
      <c r="L35" s="72"/>
      <c r="M35" s="72"/>
      <c r="N35" s="72"/>
      <c r="O35" s="921">
        <v>0.93490804699999996</v>
      </c>
      <c r="P35" s="986"/>
      <c r="Q35" s="986"/>
    </row>
    <row r="36" spans="1:17" ht="18.95" customHeight="1">
      <c r="A36" s="651">
        <v>1.3</v>
      </c>
      <c r="B36" s="714" t="s">
        <v>216</v>
      </c>
      <c r="C36" s="996" t="s">
        <v>217</v>
      </c>
      <c r="D36" s="997"/>
      <c r="E36" s="1263" t="s">
        <v>218</v>
      </c>
      <c r="F36" s="1264"/>
      <c r="G36" s="759"/>
      <c r="H36" s="242"/>
      <c r="I36" s="242"/>
      <c r="J36" s="759"/>
      <c r="K36" s="25"/>
      <c r="L36" s="72"/>
      <c r="M36" s="72"/>
      <c r="N36" s="72"/>
      <c r="O36" s="921">
        <v>0.93490804699999996</v>
      </c>
    </row>
    <row r="37" spans="1:17" ht="18.95" customHeight="1">
      <c r="A37" s="651">
        <v>1.4</v>
      </c>
      <c r="B37" s="714" t="s">
        <v>219</v>
      </c>
      <c r="C37" s="996" t="s">
        <v>220</v>
      </c>
      <c r="D37" s="997"/>
      <c r="E37" s="1263" t="s">
        <v>218</v>
      </c>
      <c r="F37" s="1264"/>
      <c r="G37" s="759"/>
      <c r="H37" s="242"/>
      <c r="I37" s="242"/>
      <c r="J37" s="759"/>
      <c r="K37" s="25"/>
      <c r="L37" s="72"/>
      <c r="M37" s="72"/>
      <c r="N37" s="72"/>
      <c r="O37" s="921">
        <v>0.93490804699999996</v>
      </c>
    </row>
    <row r="38" spans="1:17" ht="18.95" customHeight="1">
      <c r="A38" s="651">
        <v>1.5</v>
      </c>
      <c r="B38" s="714" t="s">
        <v>221</v>
      </c>
      <c r="C38" s="996" t="s">
        <v>222</v>
      </c>
      <c r="D38" s="997"/>
      <c r="E38" s="25">
        <v>1595</v>
      </c>
      <c r="F38" s="30" t="s">
        <v>211</v>
      </c>
      <c r="G38" s="759">
        <v>80</v>
      </c>
      <c r="H38" s="242">
        <f t="shared" si="1"/>
        <v>74.792643760000004</v>
      </c>
      <c r="I38" s="242">
        <f t="shared" si="2"/>
        <v>119294.26679720001</v>
      </c>
      <c r="J38" s="759">
        <v>80</v>
      </c>
      <c r="K38" s="25">
        <f t="shared" ref="K38:K73" si="3">J38*O38</f>
        <v>74.792643760000004</v>
      </c>
      <c r="L38" s="72">
        <f t="shared" ref="L38:L73" si="4">K38*E38</f>
        <v>119294.26679720001</v>
      </c>
      <c r="M38" s="72">
        <f>SUM(I38,L38)</f>
        <v>238588.53359440001</v>
      </c>
      <c r="N38" s="73"/>
      <c r="O38" s="921">
        <v>0.93490804699999996</v>
      </c>
    </row>
    <row r="39" spans="1:17" ht="18.95" customHeight="1">
      <c r="A39" s="651">
        <v>1.6</v>
      </c>
      <c r="B39" s="714" t="s">
        <v>223</v>
      </c>
      <c r="C39" s="996" t="s">
        <v>224</v>
      </c>
      <c r="D39" s="997"/>
      <c r="E39" s="25">
        <v>2447</v>
      </c>
      <c r="F39" s="30" t="s">
        <v>211</v>
      </c>
      <c r="G39" s="759">
        <v>100</v>
      </c>
      <c r="H39" s="242">
        <f t="shared" si="1"/>
        <v>93.490804699999998</v>
      </c>
      <c r="I39" s="242">
        <f t="shared" si="2"/>
        <v>228771.99910089999</v>
      </c>
      <c r="J39" s="759">
        <v>60</v>
      </c>
      <c r="K39" s="25">
        <f t="shared" si="3"/>
        <v>56.094482819999996</v>
      </c>
      <c r="L39" s="72">
        <f t="shared" si="4"/>
        <v>137263.19946054</v>
      </c>
      <c r="M39" s="72">
        <f>SUM(I39,L39)</f>
        <v>366035.19856143999</v>
      </c>
      <c r="N39" s="72"/>
      <c r="O39" s="921">
        <v>0.93490804699999996</v>
      </c>
    </row>
    <row r="40" spans="1:17" ht="18.95" customHeight="1">
      <c r="A40" s="651">
        <v>1.7</v>
      </c>
      <c r="B40" s="714" t="s">
        <v>225</v>
      </c>
      <c r="C40" s="333" t="s">
        <v>226</v>
      </c>
      <c r="D40" s="334"/>
      <c r="E40" s="25">
        <v>597</v>
      </c>
      <c r="F40" s="30" t="s">
        <v>211</v>
      </c>
      <c r="G40" s="759">
        <v>350</v>
      </c>
      <c r="H40" s="242">
        <f t="shared" si="1"/>
        <v>327.21781644999999</v>
      </c>
      <c r="I40" s="242">
        <f t="shared" si="2"/>
        <v>195349.03642064999</v>
      </c>
      <c r="J40" s="765">
        <v>150</v>
      </c>
      <c r="K40" s="25">
        <f t="shared" si="3"/>
        <v>140.23620704999999</v>
      </c>
      <c r="L40" s="72">
        <f t="shared" si="4"/>
        <v>83721.015608849993</v>
      </c>
      <c r="M40" s="72">
        <f>SUM(I40,L40)</f>
        <v>279070.05202950002</v>
      </c>
      <c r="N40" s="26"/>
      <c r="O40" s="921">
        <v>0.93490804699999996</v>
      </c>
    </row>
    <row r="41" spans="1:17" ht="18.95" customHeight="1">
      <c r="A41" s="651"/>
      <c r="B41" s="714"/>
      <c r="C41" s="996" t="s">
        <v>227</v>
      </c>
      <c r="D41" s="997"/>
      <c r="E41" s="25"/>
      <c r="F41" s="30"/>
      <c r="G41" s="759"/>
      <c r="H41" s="242"/>
      <c r="I41" s="242"/>
      <c r="J41" s="759"/>
      <c r="K41" s="25"/>
      <c r="L41" s="72"/>
      <c r="M41" s="72"/>
      <c r="N41" s="26"/>
      <c r="O41" s="921">
        <v>0.93490804699999996</v>
      </c>
    </row>
    <row r="42" spans="1:17" ht="18.95" customHeight="1">
      <c r="A42" s="651">
        <v>1.8</v>
      </c>
      <c r="B42" s="714" t="s">
        <v>228</v>
      </c>
      <c r="C42" s="999" t="s">
        <v>229</v>
      </c>
      <c r="D42" s="997"/>
      <c r="E42" s="25">
        <v>210</v>
      </c>
      <c r="F42" s="30" t="s">
        <v>211</v>
      </c>
      <c r="G42" s="765">
        <v>650</v>
      </c>
      <c r="H42" s="242">
        <f t="shared" si="1"/>
        <v>607.69023055000002</v>
      </c>
      <c r="I42" s="242">
        <f t="shared" si="2"/>
        <v>127614.94841550001</v>
      </c>
      <c r="J42" s="765">
        <v>140</v>
      </c>
      <c r="K42" s="25">
        <f t="shared" si="3"/>
        <v>130.88712658</v>
      </c>
      <c r="L42" s="72">
        <f t="shared" si="4"/>
        <v>27486.296581800001</v>
      </c>
      <c r="M42" s="72">
        <f>SUM(I42,L42)</f>
        <v>155101.2449973</v>
      </c>
      <c r="N42" s="26"/>
      <c r="O42" s="921">
        <v>0.93490804699999996</v>
      </c>
    </row>
    <row r="43" spans="1:17" ht="18.95" customHeight="1">
      <c r="A43" s="651"/>
      <c r="B43" s="714"/>
      <c r="C43" s="999" t="s">
        <v>230</v>
      </c>
      <c r="D43" s="997"/>
      <c r="E43" s="25"/>
      <c r="F43" s="30"/>
      <c r="G43" s="759"/>
      <c r="H43" s="242"/>
      <c r="I43" s="242"/>
      <c r="J43" s="759"/>
      <c r="K43" s="25"/>
      <c r="L43" s="72"/>
      <c r="M43" s="72"/>
      <c r="N43" s="26"/>
      <c r="O43" s="921">
        <v>0.93490804699999996</v>
      </c>
    </row>
    <row r="44" spans="1:17" ht="18.95" customHeight="1">
      <c r="A44" s="667">
        <v>1.9</v>
      </c>
      <c r="B44" s="714" t="s">
        <v>231</v>
      </c>
      <c r="C44" s="509" t="s">
        <v>232</v>
      </c>
      <c r="D44" s="997"/>
      <c r="E44" s="25">
        <v>3800</v>
      </c>
      <c r="F44" s="30" t="s">
        <v>211</v>
      </c>
      <c r="G44" s="765">
        <v>388</v>
      </c>
      <c r="H44" s="242">
        <f t="shared" si="1"/>
        <v>362.74432223599996</v>
      </c>
      <c r="I44" s="242">
        <f t="shared" si="2"/>
        <v>1378428.4244967999</v>
      </c>
      <c r="J44" s="765">
        <v>161</v>
      </c>
      <c r="K44" s="25">
        <f t="shared" si="3"/>
        <v>150.520195567</v>
      </c>
      <c r="L44" s="72">
        <f t="shared" si="4"/>
        <v>571976.74315460003</v>
      </c>
      <c r="M44" s="72">
        <f>SUM(I44,L44)</f>
        <v>1950405.1676514</v>
      </c>
      <c r="N44" s="26"/>
      <c r="O44" s="921">
        <v>0.93490804699999996</v>
      </c>
      <c r="P44" s="1009"/>
    </row>
    <row r="45" spans="1:17" ht="18.95" customHeight="1">
      <c r="A45" s="667"/>
      <c r="B45" s="714"/>
      <c r="C45" s="999" t="s">
        <v>233</v>
      </c>
      <c r="D45" s="997"/>
      <c r="E45" s="25"/>
      <c r="F45" s="30"/>
      <c r="G45" s="759"/>
      <c r="H45" s="242"/>
      <c r="I45" s="242"/>
      <c r="J45" s="759"/>
      <c r="K45" s="25"/>
      <c r="L45" s="72"/>
      <c r="M45" s="72"/>
      <c r="N45" s="26"/>
      <c r="O45" s="921">
        <v>0.93490804699999996</v>
      </c>
    </row>
    <row r="46" spans="1:17" ht="18.95" customHeight="1">
      <c r="A46" s="573">
        <v>1.1000000000000001</v>
      </c>
      <c r="B46" s="714" t="s">
        <v>234</v>
      </c>
      <c r="C46" s="999" t="s">
        <v>232</v>
      </c>
      <c r="D46" s="334"/>
      <c r="E46" s="25">
        <v>1165</v>
      </c>
      <c r="F46" s="30" t="s">
        <v>211</v>
      </c>
      <c r="G46" s="765">
        <v>388</v>
      </c>
      <c r="H46" s="242">
        <f t="shared" si="1"/>
        <v>362.74432223599996</v>
      </c>
      <c r="I46" s="242">
        <f t="shared" si="2"/>
        <v>422597.13540493994</v>
      </c>
      <c r="J46" s="765">
        <v>161</v>
      </c>
      <c r="K46" s="25">
        <f t="shared" si="3"/>
        <v>150.520195567</v>
      </c>
      <c r="L46" s="72">
        <f t="shared" si="4"/>
        <v>175356.027835555</v>
      </c>
      <c r="M46" s="72">
        <f>SUM(I46,L46)</f>
        <v>597953.16324049491</v>
      </c>
      <c r="N46" s="26"/>
      <c r="O46" s="921">
        <v>0.93490804699999996</v>
      </c>
      <c r="P46" s="1009"/>
    </row>
    <row r="47" spans="1:17" ht="18.95" customHeight="1">
      <c r="A47" s="265"/>
      <c r="B47" s="714"/>
      <c r="C47" s="999" t="s">
        <v>235</v>
      </c>
      <c r="D47" s="334"/>
      <c r="E47" s="25"/>
      <c r="F47" s="30"/>
      <c r="G47" s="759"/>
      <c r="H47" s="242"/>
      <c r="I47" s="242"/>
      <c r="J47" s="759"/>
      <c r="K47" s="25"/>
      <c r="L47" s="72"/>
      <c r="M47" s="72"/>
      <c r="N47" s="26"/>
      <c r="O47" s="921">
        <v>0.93490804699999996</v>
      </c>
    </row>
    <row r="48" spans="1:17" s="725" customFormat="1" ht="18.95" customHeight="1">
      <c r="A48" s="573">
        <v>1.1100000000000001</v>
      </c>
      <c r="B48" s="714" t="s">
        <v>236</v>
      </c>
      <c r="C48" s="999" t="s">
        <v>237</v>
      </c>
      <c r="D48" s="334"/>
      <c r="E48" s="25">
        <v>115</v>
      </c>
      <c r="F48" s="30" t="s">
        <v>211</v>
      </c>
      <c r="G48" s="1000">
        <v>469</v>
      </c>
      <c r="H48" s="242">
        <f t="shared" si="1"/>
        <v>438.47187404299996</v>
      </c>
      <c r="I48" s="242">
        <f t="shared" si="2"/>
        <v>50424.265514944993</v>
      </c>
      <c r="J48" s="1010">
        <v>222</v>
      </c>
      <c r="K48" s="25">
        <f t="shared" si="3"/>
        <v>207.54958643399999</v>
      </c>
      <c r="L48" s="72">
        <f t="shared" si="4"/>
        <v>23868.202439909997</v>
      </c>
      <c r="M48" s="72">
        <f>SUM(I48,L48)</f>
        <v>74292.46795485499</v>
      </c>
      <c r="N48" s="26"/>
      <c r="O48" s="921">
        <v>0.93490804699999996</v>
      </c>
      <c r="P48" s="986" t="s">
        <v>214</v>
      </c>
      <c r="Q48" s="986"/>
    </row>
    <row r="49" spans="1:17" s="725" customFormat="1" ht="18.95" customHeight="1">
      <c r="A49" s="981"/>
      <c r="B49" s="714"/>
      <c r="C49" s="999" t="s">
        <v>238</v>
      </c>
      <c r="D49" s="334"/>
      <c r="E49" s="25"/>
      <c r="F49" s="30"/>
      <c r="G49" s="1001"/>
      <c r="H49" s="242"/>
      <c r="I49" s="242"/>
      <c r="J49" s="1001"/>
      <c r="K49" s="25"/>
      <c r="L49" s="72"/>
      <c r="M49" s="72"/>
      <c r="N49" s="26"/>
      <c r="O49" s="921">
        <v>0.93490804699999996</v>
      </c>
      <c r="P49" s="986"/>
      <c r="Q49" s="986"/>
    </row>
    <row r="50" spans="1:17" s="725" customFormat="1" ht="18.95" customHeight="1">
      <c r="A50" s="573">
        <v>1.1200000000000001</v>
      </c>
      <c r="B50" s="714" t="s">
        <v>239</v>
      </c>
      <c r="C50" s="999" t="s">
        <v>240</v>
      </c>
      <c r="D50" s="993"/>
      <c r="E50" s="25">
        <v>555</v>
      </c>
      <c r="F50" s="30" t="s">
        <v>211</v>
      </c>
      <c r="G50" s="759">
        <v>469</v>
      </c>
      <c r="H50" s="242">
        <f t="shared" si="1"/>
        <v>438.47187404299996</v>
      </c>
      <c r="I50" s="242">
        <f t="shared" si="2"/>
        <v>243351.89009386499</v>
      </c>
      <c r="J50" s="759">
        <v>222</v>
      </c>
      <c r="K50" s="25">
        <f t="shared" si="3"/>
        <v>207.54958643399999</v>
      </c>
      <c r="L50" s="72">
        <f t="shared" si="4"/>
        <v>115190.02047086999</v>
      </c>
      <c r="M50" s="72">
        <f>SUM(I50,L50)</f>
        <v>358541.91056473495</v>
      </c>
      <c r="N50" s="26"/>
      <c r="O50" s="921">
        <v>0.93490804699999996</v>
      </c>
      <c r="P50" s="986" t="s">
        <v>214</v>
      </c>
      <c r="Q50" s="986"/>
    </row>
    <row r="51" spans="1:17" s="725" customFormat="1" ht="18.95" customHeight="1">
      <c r="A51" s="265"/>
      <c r="B51" s="709"/>
      <c r="C51" s="999" t="s">
        <v>241</v>
      </c>
      <c r="D51" s="993"/>
      <c r="E51" s="25"/>
      <c r="F51" s="30"/>
      <c r="G51" s="759"/>
      <c r="H51" s="242"/>
      <c r="I51" s="242"/>
      <c r="J51" s="759"/>
      <c r="K51" s="25"/>
      <c r="L51" s="72"/>
      <c r="M51" s="72"/>
      <c r="N51" s="26"/>
      <c r="O51" s="921">
        <v>0.93490804699999996</v>
      </c>
      <c r="P51" s="986"/>
      <c r="Q51" s="986"/>
    </row>
    <row r="52" spans="1:17" s="725" customFormat="1" ht="18.95" customHeight="1">
      <c r="A52" s="573">
        <v>1.1299999999999999</v>
      </c>
      <c r="B52" s="709" t="s">
        <v>242</v>
      </c>
      <c r="C52" s="999" t="s">
        <v>243</v>
      </c>
      <c r="D52" s="993"/>
      <c r="E52" s="25">
        <v>70</v>
      </c>
      <c r="F52" s="30" t="s">
        <v>211</v>
      </c>
      <c r="G52" s="765">
        <v>308</v>
      </c>
      <c r="H52" s="242">
        <f t="shared" si="1"/>
        <v>287.95167847599998</v>
      </c>
      <c r="I52" s="242">
        <f t="shared" si="2"/>
        <v>20156.617493319998</v>
      </c>
      <c r="J52" s="765">
        <v>104</v>
      </c>
      <c r="K52" s="25">
        <f t="shared" si="3"/>
        <v>97.230436888</v>
      </c>
      <c r="L52" s="72">
        <f t="shared" si="4"/>
        <v>6806.1305821599999</v>
      </c>
      <c r="M52" s="72">
        <f>SUM(I52,L52)</f>
        <v>26962.748075479998</v>
      </c>
      <c r="N52" s="26"/>
      <c r="O52" s="921">
        <v>0.93490804699999996</v>
      </c>
      <c r="P52" s="986" t="s">
        <v>214</v>
      </c>
      <c r="Q52" s="986"/>
    </row>
    <row r="53" spans="1:17" s="725" customFormat="1" ht="18.95" customHeight="1">
      <c r="A53" s="573"/>
      <c r="B53" s="709"/>
      <c r="C53" s="999" t="s">
        <v>244</v>
      </c>
      <c r="D53" s="993"/>
      <c r="E53" s="25"/>
      <c r="F53" s="30"/>
      <c r="G53" s="759"/>
      <c r="H53" s="242"/>
      <c r="I53" s="242"/>
      <c r="J53" s="759"/>
      <c r="K53" s="25"/>
      <c r="L53" s="72"/>
      <c r="M53" s="72"/>
      <c r="N53" s="26"/>
      <c r="O53" s="921">
        <v>0.93490804699999996</v>
      </c>
      <c r="P53" s="986"/>
      <c r="Q53" s="986"/>
    </row>
    <row r="54" spans="1:17" ht="18.95" customHeight="1">
      <c r="A54" s="573">
        <v>1.1399999999999999</v>
      </c>
      <c r="B54" s="709" t="s">
        <v>245</v>
      </c>
      <c r="C54" s="999" t="s">
        <v>246</v>
      </c>
      <c r="D54" s="1002"/>
      <c r="E54" s="25" t="s">
        <v>247</v>
      </c>
      <c r="F54" s="30"/>
      <c r="G54" s="765"/>
      <c r="H54" s="242"/>
      <c r="I54" s="242"/>
      <c r="J54" s="765"/>
      <c r="K54" s="25"/>
      <c r="L54" s="72"/>
      <c r="M54" s="72"/>
      <c r="N54" s="288" t="s">
        <v>248</v>
      </c>
      <c r="O54" s="921">
        <v>0.93490804699999996</v>
      </c>
    </row>
    <row r="55" spans="1:17" ht="18.95" customHeight="1">
      <c r="A55" s="265"/>
      <c r="B55" s="709"/>
      <c r="C55" s="999" t="s">
        <v>249</v>
      </c>
      <c r="D55" s="993"/>
      <c r="E55" s="25"/>
      <c r="F55" s="30"/>
      <c r="G55" s="759"/>
      <c r="H55" s="242"/>
      <c r="I55" s="242"/>
      <c r="J55" s="759"/>
      <c r="K55" s="25"/>
      <c r="L55" s="72"/>
      <c r="M55" s="72"/>
      <c r="N55" s="26"/>
      <c r="O55" s="921">
        <v>0.93490804699999996</v>
      </c>
    </row>
    <row r="56" spans="1:17" s="725" customFormat="1" ht="18.95" customHeight="1">
      <c r="A56" s="573">
        <v>1.1499999999999999</v>
      </c>
      <c r="B56" s="709" t="s">
        <v>250</v>
      </c>
      <c r="C56" s="992" t="s">
        <v>251</v>
      </c>
      <c r="D56" s="1003"/>
      <c r="E56" s="25">
        <v>153</v>
      </c>
      <c r="F56" s="30" t="s">
        <v>211</v>
      </c>
      <c r="G56" s="759">
        <v>377</v>
      </c>
      <c r="H56" s="242">
        <f t="shared" si="1"/>
        <v>352.460333719</v>
      </c>
      <c r="I56" s="242">
        <f t="shared" si="2"/>
        <v>53926.431059007002</v>
      </c>
      <c r="J56" s="759">
        <v>222</v>
      </c>
      <c r="K56" s="25">
        <f t="shared" si="3"/>
        <v>207.54958643399999</v>
      </c>
      <c r="L56" s="72">
        <f t="shared" si="4"/>
        <v>31755.086724401997</v>
      </c>
      <c r="M56" s="72">
        <f>SUM(I56,L56)</f>
        <v>85681.517783408999</v>
      </c>
      <c r="N56" s="26"/>
      <c r="O56" s="921">
        <v>0.93490804699999996</v>
      </c>
      <c r="P56" s="986" t="s">
        <v>214</v>
      </c>
      <c r="Q56" s="986"/>
    </row>
    <row r="57" spans="1:17" ht="18.95" customHeight="1">
      <c r="A57" s="265"/>
      <c r="B57" s="287"/>
      <c r="C57" s="992"/>
      <c r="D57" s="993"/>
      <c r="E57" s="25"/>
      <c r="F57" s="30"/>
      <c r="G57" s="759"/>
      <c r="H57" s="242"/>
      <c r="I57" s="242"/>
      <c r="J57" s="759"/>
      <c r="K57" s="25"/>
      <c r="L57" s="72"/>
      <c r="M57" s="72"/>
      <c r="N57" s="26"/>
      <c r="O57" s="921">
        <v>0.93490804699999996</v>
      </c>
    </row>
    <row r="58" spans="1:17" s="725" customFormat="1" ht="18.95" customHeight="1">
      <c r="A58" s="697">
        <v>1.1599999999999999</v>
      </c>
      <c r="B58" s="335" t="s">
        <v>252</v>
      </c>
      <c r="C58" s="333" t="s">
        <v>253</v>
      </c>
      <c r="D58" s="334"/>
      <c r="E58" s="25">
        <v>323</v>
      </c>
      <c r="F58" s="30" t="s">
        <v>211</v>
      </c>
      <c r="G58" s="759">
        <v>377</v>
      </c>
      <c r="H58" s="242">
        <f t="shared" si="1"/>
        <v>352.460333719</v>
      </c>
      <c r="I58" s="242">
        <f t="shared" si="2"/>
        <v>113844.687791237</v>
      </c>
      <c r="J58" s="765">
        <v>222</v>
      </c>
      <c r="K58" s="25">
        <f t="shared" si="3"/>
        <v>207.54958643399999</v>
      </c>
      <c r="L58" s="72">
        <f t="shared" si="4"/>
        <v>67038.516418182</v>
      </c>
      <c r="M58" s="72">
        <f>SUM(I58,L58)</f>
        <v>180883.204209419</v>
      </c>
      <c r="N58" s="26"/>
      <c r="O58" s="921">
        <v>0.93490804699999996</v>
      </c>
      <c r="P58" s="986" t="s">
        <v>214</v>
      </c>
      <c r="Q58" s="986"/>
    </row>
    <row r="59" spans="1:17" s="725" customFormat="1" ht="18.95" customHeight="1">
      <c r="A59" s="137">
        <v>1.17</v>
      </c>
      <c r="B59" s="335" t="s">
        <v>254</v>
      </c>
      <c r="C59" s="1004" t="s">
        <v>255</v>
      </c>
      <c r="D59" s="509"/>
      <c r="E59" s="25">
        <v>102</v>
      </c>
      <c r="F59" s="30" t="s">
        <v>211</v>
      </c>
      <c r="G59" s="765">
        <v>299</v>
      </c>
      <c r="H59" s="242">
        <f t="shared" si="1"/>
        <v>279.53750605300002</v>
      </c>
      <c r="I59" s="242">
        <f t="shared" si="2"/>
        <v>28512.825617406001</v>
      </c>
      <c r="J59" s="765">
        <v>158</v>
      </c>
      <c r="K59" s="25">
        <f t="shared" si="3"/>
        <v>147.71547142599999</v>
      </c>
      <c r="L59" s="72">
        <f t="shared" si="4"/>
        <v>15066.978085452</v>
      </c>
      <c r="M59" s="72">
        <f>SUM(I59,L59)</f>
        <v>43579.803702858</v>
      </c>
      <c r="N59" s="72"/>
      <c r="O59" s="921">
        <v>0.93490804699999996</v>
      </c>
      <c r="P59" s="986" t="s">
        <v>214</v>
      </c>
      <c r="Q59" s="986"/>
    </row>
    <row r="60" spans="1:17" ht="18.95" customHeight="1">
      <c r="A60" s="573">
        <v>1.18</v>
      </c>
      <c r="B60" s="709" t="s">
        <v>256</v>
      </c>
      <c r="C60" s="1004" t="s">
        <v>257</v>
      </c>
      <c r="D60" s="509"/>
      <c r="E60" s="1265" t="s">
        <v>258</v>
      </c>
      <c r="F60" s="1266"/>
      <c r="G60" s="1267"/>
      <c r="H60" s="1268"/>
      <c r="I60" s="242"/>
      <c r="J60" s="765"/>
      <c r="K60" s="25"/>
      <c r="L60" s="72"/>
      <c r="M60" s="72"/>
      <c r="N60" s="72" t="s">
        <v>259</v>
      </c>
      <c r="O60" s="921">
        <v>0.93490804699999996</v>
      </c>
    </row>
    <row r="61" spans="1:17" ht="18.95" customHeight="1">
      <c r="A61" s="1005"/>
      <c r="B61" s="335"/>
      <c r="C61" s="1004" t="s">
        <v>260</v>
      </c>
      <c r="D61" s="509"/>
      <c r="E61" s="25"/>
      <c r="F61" s="30"/>
      <c r="G61" s="759"/>
      <c r="H61" s="242"/>
      <c r="I61" s="242"/>
      <c r="J61" s="759"/>
      <c r="K61" s="25"/>
      <c r="L61" s="72"/>
      <c r="M61" s="72"/>
      <c r="N61" s="72"/>
      <c r="O61" s="921">
        <v>0.93490804699999996</v>
      </c>
    </row>
    <row r="62" spans="1:17" s="725" customFormat="1" ht="18.95" customHeight="1">
      <c r="A62" s="372">
        <v>1.19</v>
      </c>
      <c r="B62" s="335" t="s">
        <v>261</v>
      </c>
      <c r="C62" s="1004" t="s">
        <v>262</v>
      </c>
      <c r="D62" s="509"/>
      <c r="E62" s="25">
        <v>337</v>
      </c>
      <c r="F62" s="30" t="s">
        <v>211</v>
      </c>
      <c r="G62" s="759">
        <v>535</v>
      </c>
      <c r="H62" s="242">
        <f t="shared" si="1"/>
        <v>500.17580514499997</v>
      </c>
      <c r="I62" s="242">
        <f t="shared" si="2"/>
        <v>168559.24633386498</v>
      </c>
      <c r="J62" s="759">
        <v>222</v>
      </c>
      <c r="K62" s="25">
        <f t="shared" si="3"/>
        <v>207.54958643399999</v>
      </c>
      <c r="L62" s="72">
        <f t="shared" si="4"/>
        <v>69944.210628257992</v>
      </c>
      <c r="M62" s="72">
        <f>SUM(I62,L62)</f>
        <v>238503.45696212299</v>
      </c>
      <c r="N62" s="72"/>
      <c r="O62" s="921">
        <v>0.93490804699999996</v>
      </c>
      <c r="P62" s="986" t="s">
        <v>214</v>
      </c>
      <c r="Q62" s="986"/>
    </row>
    <row r="63" spans="1:17" ht="18.95" customHeight="1">
      <c r="A63" s="573">
        <v>1.2</v>
      </c>
      <c r="B63" s="335" t="s">
        <v>263</v>
      </c>
      <c r="C63" s="1004" t="s">
        <v>264</v>
      </c>
      <c r="D63" s="509"/>
      <c r="E63" s="25">
        <v>83</v>
      </c>
      <c r="F63" s="30" t="s">
        <v>211</v>
      </c>
      <c r="G63" s="765">
        <v>520</v>
      </c>
      <c r="H63" s="242">
        <f t="shared" si="1"/>
        <v>486.15218443999998</v>
      </c>
      <c r="I63" s="242">
        <f t="shared" si="2"/>
        <v>40350.631308520002</v>
      </c>
      <c r="J63" s="765">
        <v>156</v>
      </c>
      <c r="K63" s="25">
        <f t="shared" si="3"/>
        <v>145.84565533200001</v>
      </c>
      <c r="L63" s="72">
        <f t="shared" si="4"/>
        <v>12105.189392556</v>
      </c>
      <c r="M63" s="72">
        <f>SUM(I63,L63)</f>
        <v>52455.820701076002</v>
      </c>
      <c r="N63" s="72"/>
      <c r="O63" s="921">
        <v>0.93490804699999996</v>
      </c>
    </row>
    <row r="64" spans="1:17" ht="18.95" customHeight="1">
      <c r="A64" s="372"/>
      <c r="B64" s="335"/>
      <c r="C64" s="1004" t="s">
        <v>265</v>
      </c>
      <c r="D64" s="509"/>
      <c r="E64" s="25"/>
      <c r="F64" s="30"/>
      <c r="G64" s="765"/>
      <c r="H64" s="242"/>
      <c r="I64" s="242"/>
      <c r="J64" s="765"/>
      <c r="K64" s="25"/>
      <c r="L64" s="72"/>
      <c r="M64" s="72"/>
      <c r="N64" s="72"/>
      <c r="O64" s="921">
        <v>0.93490804699999996</v>
      </c>
    </row>
    <row r="65" spans="1:17" ht="18.95" customHeight="1">
      <c r="A65" s="573">
        <v>1.21</v>
      </c>
      <c r="B65" s="335" t="s">
        <v>266</v>
      </c>
      <c r="C65" s="1004" t="s">
        <v>267</v>
      </c>
      <c r="D65" s="509"/>
      <c r="E65" s="25">
        <v>29</v>
      </c>
      <c r="F65" s="30" t="s">
        <v>211</v>
      </c>
      <c r="G65" s="759">
        <v>2200</v>
      </c>
      <c r="H65" s="242">
        <f t="shared" si="1"/>
        <v>2056.7977034</v>
      </c>
      <c r="I65" s="242">
        <f t="shared" si="2"/>
        <v>59647.133398600003</v>
      </c>
      <c r="J65" s="765">
        <v>350</v>
      </c>
      <c r="K65" s="25">
        <f t="shared" si="3"/>
        <v>327.21781644999999</v>
      </c>
      <c r="L65" s="72">
        <f t="shared" si="4"/>
        <v>9489.3166770499993</v>
      </c>
      <c r="M65" s="72">
        <f>SUM(I65,L65)</f>
        <v>69136.450075650006</v>
      </c>
      <c r="N65" s="72"/>
      <c r="O65" s="921">
        <v>0.93490804699999996</v>
      </c>
    </row>
    <row r="66" spans="1:17" ht="18.95" customHeight="1">
      <c r="A66" s="372"/>
      <c r="B66" s="335"/>
      <c r="C66" s="1004" t="s">
        <v>268</v>
      </c>
      <c r="D66" s="509"/>
      <c r="E66" s="25"/>
      <c r="F66" s="30"/>
      <c r="G66" s="759"/>
      <c r="H66" s="242"/>
      <c r="I66" s="242"/>
      <c r="J66" s="765"/>
      <c r="K66" s="25"/>
      <c r="L66" s="72"/>
      <c r="M66" s="72"/>
      <c r="N66" s="72"/>
      <c r="O66" s="921">
        <v>0.93490804699999996</v>
      </c>
    </row>
    <row r="67" spans="1:17" ht="18.95" customHeight="1">
      <c r="A67" s="573">
        <v>1.22</v>
      </c>
      <c r="B67" s="709" t="s">
        <v>269</v>
      </c>
      <c r="C67" s="1004" t="s">
        <v>270</v>
      </c>
      <c r="D67" s="509"/>
      <c r="E67" s="25">
        <v>5215</v>
      </c>
      <c r="F67" s="30" t="s">
        <v>211</v>
      </c>
      <c r="G67" s="765">
        <v>0</v>
      </c>
      <c r="H67" s="242"/>
      <c r="I67" s="242"/>
      <c r="J67" s="759"/>
      <c r="K67" s="25"/>
      <c r="L67" s="72"/>
      <c r="M67" s="72">
        <f>SUM(I67,L67)</f>
        <v>0</v>
      </c>
      <c r="N67" s="72"/>
      <c r="O67" s="921">
        <v>0.93490804699999996</v>
      </c>
    </row>
    <row r="68" spans="1:17" ht="18.95" customHeight="1">
      <c r="A68" s="573">
        <v>1.23</v>
      </c>
      <c r="B68" s="335" t="s">
        <v>271</v>
      </c>
      <c r="C68" s="1004"/>
      <c r="D68" s="509"/>
      <c r="E68" s="25">
        <v>475</v>
      </c>
      <c r="F68" s="30" t="s">
        <v>211</v>
      </c>
      <c r="G68" s="759">
        <v>80</v>
      </c>
      <c r="H68" s="242">
        <f t="shared" si="1"/>
        <v>74.792643760000004</v>
      </c>
      <c r="I68" s="242">
        <f t="shared" si="2"/>
        <v>35526.505786000002</v>
      </c>
      <c r="J68" s="759">
        <v>0</v>
      </c>
      <c r="K68" s="25">
        <f t="shared" si="3"/>
        <v>0</v>
      </c>
      <c r="L68" s="72">
        <f t="shared" si="4"/>
        <v>0</v>
      </c>
      <c r="M68" s="72">
        <f>SUM(I68,L68)</f>
        <v>35526.505786000002</v>
      </c>
      <c r="N68" s="26"/>
      <c r="O68" s="921">
        <v>0.93490804699999996</v>
      </c>
    </row>
    <row r="69" spans="1:17" ht="18.95" customHeight="1">
      <c r="A69" s="372">
        <v>1.24</v>
      </c>
      <c r="B69" s="335" t="s">
        <v>272</v>
      </c>
      <c r="C69" s="1004"/>
      <c r="D69" s="509"/>
      <c r="E69" s="25"/>
      <c r="F69" s="30"/>
      <c r="G69" s="765"/>
      <c r="H69" s="242"/>
      <c r="I69" s="242"/>
      <c r="J69" s="765"/>
      <c r="K69" s="25"/>
      <c r="L69" s="72"/>
      <c r="M69" s="72"/>
      <c r="N69" s="26"/>
      <c r="O69" s="921">
        <v>0.93490804699999996</v>
      </c>
    </row>
    <row r="70" spans="1:17" ht="18.95" customHeight="1">
      <c r="A70" s="573"/>
      <c r="B70" s="1011" t="s">
        <v>273</v>
      </c>
      <c r="C70" s="399" t="s">
        <v>274</v>
      </c>
      <c r="D70" s="43"/>
      <c r="E70" s="25">
        <v>315</v>
      </c>
      <c r="F70" s="30" t="s">
        <v>275</v>
      </c>
      <c r="G70" s="759">
        <v>220</v>
      </c>
      <c r="H70" s="242">
        <f t="shared" si="1"/>
        <v>205.67977034</v>
      </c>
      <c r="I70" s="242">
        <f t="shared" si="2"/>
        <v>64789.127657099998</v>
      </c>
      <c r="J70" s="759">
        <v>45</v>
      </c>
      <c r="K70" s="25">
        <f t="shared" si="3"/>
        <v>42.070862114999997</v>
      </c>
      <c r="L70" s="72">
        <f t="shared" si="4"/>
        <v>13252.321566224999</v>
      </c>
      <c r="M70" s="72">
        <f>SUM(I70,L70)</f>
        <v>78041.449223324991</v>
      </c>
      <c r="N70" s="26"/>
      <c r="O70" s="921">
        <v>0.93490804699999996</v>
      </c>
    </row>
    <row r="71" spans="1:17" ht="18.95" customHeight="1">
      <c r="A71" s="573"/>
      <c r="B71" s="1011" t="s">
        <v>273</v>
      </c>
      <c r="C71" s="399" t="s">
        <v>276</v>
      </c>
      <c r="D71" s="43"/>
      <c r="E71" s="25">
        <v>50</v>
      </c>
      <c r="F71" s="30" t="s">
        <v>275</v>
      </c>
      <c r="G71" s="759">
        <v>400</v>
      </c>
      <c r="H71" s="242">
        <f t="shared" si="1"/>
        <v>373.96321879999999</v>
      </c>
      <c r="I71" s="242">
        <f t="shared" si="2"/>
        <v>18698.160939999998</v>
      </c>
      <c r="J71" s="759">
        <v>45</v>
      </c>
      <c r="K71" s="25">
        <f t="shared" si="3"/>
        <v>42.070862114999997</v>
      </c>
      <c r="L71" s="72">
        <f t="shared" si="4"/>
        <v>2103.54310575</v>
      </c>
      <c r="M71" s="72">
        <f>SUM(I71,L71)</f>
        <v>20801.704045749997</v>
      </c>
      <c r="N71" s="26"/>
      <c r="O71" s="921">
        <v>0.93490804699999996</v>
      </c>
    </row>
    <row r="72" spans="1:17" ht="18.95" customHeight="1">
      <c r="A72" s="573"/>
      <c r="B72" s="1011" t="s">
        <v>273</v>
      </c>
      <c r="C72" s="399" t="s">
        <v>277</v>
      </c>
      <c r="D72" s="334"/>
      <c r="E72" s="25">
        <v>925</v>
      </c>
      <c r="F72" s="30" t="s">
        <v>275</v>
      </c>
      <c r="G72" s="759">
        <v>380</v>
      </c>
      <c r="H72" s="242">
        <f t="shared" si="1"/>
        <v>355.26505786000001</v>
      </c>
      <c r="I72" s="242">
        <f t="shared" si="2"/>
        <v>328620.17852050002</v>
      </c>
      <c r="J72" s="759">
        <v>45</v>
      </c>
      <c r="K72" s="25">
        <f t="shared" si="3"/>
        <v>42.070862114999997</v>
      </c>
      <c r="L72" s="72">
        <f t="shared" si="4"/>
        <v>38915.547456374996</v>
      </c>
      <c r="M72" s="72">
        <f>SUM(I72,L72)</f>
        <v>367535.72597687499</v>
      </c>
      <c r="N72" s="26"/>
      <c r="O72" s="921">
        <v>0.93490804699999996</v>
      </c>
    </row>
    <row r="73" spans="1:17" ht="18.95" customHeight="1">
      <c r="A73" s="573"/>
      <c r="B73" s="1011" t="s">
        <v>273</v>
      </c>
      <c r="C73" s="399" t="s">
        <v>278</v>
      </c>
      <c r="D73" s="993"/>
      <c r="E73" s="25">
        <v>460</v>
      </c>
      <c r="F73" s="30" t="s">
        <v>275</v>
      </c>
      <c r="G73" s="759">
        <v>380</v>
      </c>
      <c r="H73" s="242">
        <f t="shared" si="1"/>
        <v>355.26505786000001</v>
      </c>
      <c r="I73" s="242">
        <f t="shared" si="2"/>
        <v>163421.92661560001</v>
      </c>
      <c r="J73" s="759">
        <v>45</v>
      </c>
      <c r="K73" s="25">
        <f t="shared" si="3"/>
        <v>42.070862114999997</v>
      </c>
      <c r="L73" s="72">
        <f t="shared" si="4"/>
        <v>19352.596572899998</v>
      </c>
      <c r="M73" s="72">
        <f>SUM(I73,L73)</f>
        <v>182774.5231885</v>
      </c>
      <c r="N73" s="26"/>
      <c r="O73" s="921">
        <v>0.93490804699999996</v>
      </c>
    </row>
    <row r="74" spans="1:17" ht="18.95" customHeight="1">
      <c r="A74" s="372"/>
      <c r="B74" s="335"/>
      <c r="C74" s="1004"/>
      <c r="D74" s="509"/>
      <c r="E74" s="25"/>
      <c r="F74" s="30"/>
      <c r="G74" s="765"/>
      <c r="H74" s="30"/>
      <c r="I74" s="30"/>
      <c r="J74" s="759"/>
      <c r="K74" s="25"/>
      <c r="L74" s="30"/>
      <c r="M74" s="72"/>
      <c r="N74" s="26"/>
      <c r="O74" s="590"/>
    </row>
    <row r="75" spans="1:17" s="724" customFormat="1" ht="20.100000000000001" customHeight="1">
      <c r="A75" s="1012"/>
      <c r="B75" s="1245" t="s">
        <v>279</v>
      </c>
      <c r="C75" s="1246"/>
      <c r="D75" s="1247"/>
      <c r="E75" s="676"/>
      <c r="F75" s="670"/>
      <c r="G75" s="1013"/>
      <c r="H75" s="670"/>
      <c r="I75" s="670"/>
      <c r="J75" s="1025"/>
      <c r="K75" s="676"/>
      <c r="L75" s="670"/>
      <c r="M75" s="1026">
        <f>SUM(M33:M74)</f>
        <v>5837065.6696628537</v>
      </c>
      <c r="N75" s="670"/>
      <c r="O75" s="1027"/>
      <c r="P75" s="1028"/>
      <c r="Q75" s="1028"/>
    </row>
    <row r="76" spans="1:17" ht="18.95" customHeight="1">
      <c r="A76" s="265"/>
      <c r="B76" s="348"/>
      <c r="C76" s="1004"/>
      <c r="D76" s="334"/>
      <c r="E76" s="25"/>
      <c r="F76" s="30"/>
      <c r="G76" s="759"/>
      <c r="H76" s="25"/>
      <c r="I76" s="25"/>
      <c r="J76" s="759"/>
      <c r="K76" s="25"/>
      <c r="L76" s="72"/>
      <c r="M76" s="26"/>
      <c r="N76" s="26"/>
      <c r="O76" s="590"/>
    </row>
    <row r="77" spans="1:17" ht="18.95" customHeight="1">
      <c r="A77" s="1014"/>
      <c r="B77" s="1015"/>
      <c r="C77" s="992"/>
      <c r="D77" s="993"/>
      <c r="E77" s="25"/>
      <c r="F77" s="30"/>
      <c r="G77" s="759"/>
      <c r="H77" s="25"/>
      <c r="I77" s="25"/>
      <c r="J77" s="759"/>
      <c r="K77" s="25"/>
      <c r="L77" s="72"/>
      <c r="M77" s="26"/>
      <c r="N77" s="26"/>
      <c r="O77" s="590"/>
    </row>
    <row r="78" spans="1:17" ht="18.95" customHeight="1">
      <c r="A78" s="1014"/>
      <c r="B78" s="1015"/>
      <c r="C78" s="992"/>
      <c r="D78" s="993"/>
      <c r="E78" s="25"/>
      <c r="F78" s="30"/>
      <c r="G78" s="759"/>
      <c r="H78" s="25"/>
      <c r="I78" s="25"/>
      <c r="J78" s="759"/>
      <c r="K78" s="25"/>
      <c r="L78" s="72"/>
      <c r="M78" s="26"/>
      <c r="N78" s="26"/>
      <c r="O78" s="590"/>
    </row>
    <row r="79" spans="1:17" ht="18.95" customHeight="1">
      <c r="A79" s="1005"/>
      <c r="B79" s="1016"/>
      <c r="C79" s="992"/>
      <c r="D79" s="993"/>
      <c r="E79" s="25"/>
      <c r="F79" s="30"/>
      <c r="G79" s="759"/>
      <c r="H79" s="25"/>
      <c r="I79" s="25"/>
      <c r="J79" s="759"/>
      <c r="K79" s="25"/>
      <c r="L79" s="72"/>
      <c r="M79" s="26"/>
      <c r="N79" s="26"/>
      <c r="O79" s="590"/>
    </row>
    <row r="80" spans="1:17" ht="18.95" customHeight="1">
      <c r="A80" s="265"/>
      <c r="B80" s="265"/>
      <c r="C80" s="992"/>
      <c r="D80" s="993"/>
      <c r="E80" s="25"/>
      <c r="F80" s="30"/>
      <c r="G80" s="759"/>
      <c r="H80" s="25"/>
      <c r="I80" s="25"/>
      <c r="J80" s="759"/>
      <c r="K80" s="25"/>
      <c r="L80" s="30"/>
      <c r="M80" s="25"/>
      <c r="N80" s="26"/>
      <c r="O80" s="590"/>
    </row>
    <row r="81" spans="1:17" ht="18.95" customHeight="1">
      <c r="A81" s="265"/>
      <c r="B81" s="265"/>
      <c r="C81" s="992"/>
      <c r="D81" s="993"/>
      <c r="E81" s="25"/>
      <c r="F81" s="30"/>
      <c r="G81" s="759"/>
      <c r="H81" s="25"/>
      <c r="I81" s="25"/>
      <c r="J81" s="759"/>
      <c r="K81" s="25"/>
      <c r="L81" s="30"/>
      <c r="M81" s="25"/>
      <c r="N81" s="26"/>
      <c r="O81" s="590"/>
    </row>
    <row r="82" spans="1:17" ht="18.95" customHeight="1">
      <c r="A82" s="265"/>
      <c r="B82" s="265"/>
      <c r="C82" s="992"/>
      <c r="D82" s="993"/>
      <c r="E82" s="25"/>
      <c r="F82" s="30"/>
      <c r="G82" s="759"/>
      <c r="H82" s="25"/>
      <c r="I82" s="25"/>
      <c r="J82" s="759"/>
      <c r="K82" s="25"/>
      <c r="L82" s="30"/>
      <c r="M82" s="25"/>
      <c r="N82" s="26"/>
      <c r="O82" s="590"/>
    </row>
    <row r="83" spans="1:17" ht="18.95" customHeight="1">
      <c r="A83" s="1014">
        <v>2</v>
      </c>
      <c r="B83" s="1015" t="s">
        <v>280</v>
      </c>
      <c r="C83" s="419"/>
      <c r="D83" s="1017"/>
      <c r="E83" s="25"/>
      <c r="F83" s="30"/>
      <c r="G83" s="759"/>
      <c r="H83" s="25"/>
      <c r="I83" s="25"/>
      <c r="J83" s="798"/>
      <c r="K83" s="407"/>
      <c r="L83" s="30"/>
      <c r="M83" s="25"/>
      <c r="N83" s="26"/>
      <c r="O83" s="590"/>
    </row>
    <row r="84" spans="1:17" s="725" customFormat="1" ht="18.95" customHeight="1">
      <c r="A84" s="1005">
        <v>2.1</v>
      </c>
      <c r="B84" s="1018" t="s">
        <v>281</v>
      </c>
      <c r="C84" s="399"/>
      <c r="D84" s="286"/>
      <c r="E84" s="25">
        <v>5825</v>
      </c>
      <c r="F84" s="30" t="s">
        <v>211</v>
      </c>
      <c r="G84" s="759">
        <v>240</v>
      </c>
      <c r="H84" s="242">
        <f t="shared" ref="H84:H123" si="5">G84*O84</f>
        <v>224.37793127999998</v>
      </c>
      <c r="I84" s="25">
        <f>H84*E84</f>
        <v>1307001.4497059998</v>
      </c>
      <c r="J84" s="759">
        <v>60</v>
      </c>
      <c r="K84" s="25">
        <f t="shared" ref="K84:K123" si="6">J84*O84</f>
        <v>56.094482819999996</v>
      </c>
      <c r="L84" s="72">
        <f>K84*E84</f>
        <v>326750.36242649995</v>
      </c>
      <c r="M84" s="72">
        <f t="shared" ref="M84:M99" si="7">SUM(I84,L84)</f>
        <v>1633751.8121324996</v>
      </c>
      <c r="N84" s="72"/>
      <c r="O84" s="921">
        <v>0.93490804699999996</v>
      </c>
      <c r="P84" s="986" t="s">
        <v>214</v>
      </c>
      <c r="Q84" s="986"/>
    </row>
    <row r="85" spans="1:17" s="725" customFormat="1" ht="18.95" customHeight="1">
      <c r="A85" s="1005">
        <v>2.2000000000000002</v>
      </c>
      <c r="B85" s="1018" t="s">
        <v>282</v>
      </c>
      <c r="C85" s="399"/>
      <c r="D85" s="286"/>
      <c r="E85" s="25">
        <v>353</v>
      </c>
      <c r="F85" s="30" t="s">
        <v>211</v>
      </c>
      <c r="G85" s="759">
        <v>353</v>
      </c>
      <c r="H85" s="242">
        <f t="shared" si="5"/>
        <v>330.02254059099999</v>
      </c>
      <c r="I85" s="25">
        <f t="shared" ref="I85:I140" si="8">H85*E85</f>
        <v>116497.95682862299</v>
      </c>
      <c r="J85" s="759">
        <v>68</v>
      </c>
      <c r="K85" s="25">
        <f t="shared" si="6"/>
        <v>63.573747195999999</v>
      </c>
      <c r="L85" s="72">
        <f t="shared" ref="L85:L140" si="9">K85*E85</f>
        <v>22441.532760187998</v>
      </c>
      <c r="M85" s="72">
        <f t="shared" si="7"/>
        <v>138939.489588811</v>
      </c>
      <c r="N85" s="72"/>
      <c r="O85" s="921">
        <v>0.93490804699999996</v>
      </c>
      <c r="P85" s="986" t="s">
        <v>214</v>
      </c>
      <c r="Q85" s="986"/>
    </row>
    <row r="86" spans="1:17" s="725" customFormat="1" ht="18.95" customHeight="1">
      <c r="A86" s="1005">
        <v>2.2999999999999998</v>
      </c>
      <c r="B86" s="1018" t="s">
        <v>283</v>
      </c>
      <c r="C86" s="399"/>
      <c r="D86" s="286"/>
      <c r="E86" s="25">
        <v>445</v>
      </c>
      <c r="F86" s="30" t="s">
        <v>211</v>
      </c>
      <c r="G86" s="759">
        <v>470</v>
      </c>
      <c r="H86" s="242">
        <f t="shared" si="5"/>
        <v>439.40678208999998</v>
      </c>
      <c r="I86" s="25">
        <f t="shared" si="8"/>
        <v>195536.01803004998</v>
      </c>
      <c r="J86" s="759">
        <v>78</v>
      </c>
      <c r="K86" s="25">
        <f t="shared" si="6"/>
        <v>72.922827666000003</v>
      </c>
      <c r="L86" s="72">
        <f t="shared" si="9"/>
        <v>32450.65831137</v>
      </c>
      <c r="M86" s="72">
        <f t="shared" si="7"/>
        <v>227986.67634141998</v>
      </c>
      <c r="N86" s="72"/>
      <c r="O86" s="921">
        <v>0.93490804699999996</v>
      </c>
      <c r="P86" s="986" t="s">
        <v>214</v>
      </c>
      <c r="Q86" s="986"/>
    </row>
    <row r="87" spans="1:17" s="725" customFormat="1" ht="18.95" customHeight="1">
      <c r="A87" s="1005">
        <v>2.4</v>
      </c>
      <c r="B87" s="1018" t="s">
        <v>284</v>
      </c>
      <c r="C87" s="399"/>
      <c r="D87" s="286"/>
      <c r="E87" s="25">
        <v>125</v>
      </c>
      <c r="F87" s="30" t="s">
        <v>211</v>
      </c>
      <c r="G87" s="759">
        <v>684</v>
      </c>
      <c r="H87" s="242">
        <f t="shared" si="5"/>
        <v>639.47710414799997</v>
      </c>
      <c r="I87" s="25">
        <f t="shared" si="8"/>
        <v>79934.638018500002</v>
      </c>
      <c r="J87" s="759">
        <v>136</v>
      </c>
      <c r="K87" s="25">
        <f t="shared" si="6"/>
        <v>127.147494392</v>
      </c>
      <c r="L87" s="72">
        <f t="shared" si="9"/>
        <v>15893.436798999999</v>
      </c>
      <c r="M87" s="72">
        <f t="shared" si="7"/>
        <v>95828.074817500004</v>
      </c>
      <c r="N87" s="72"/>
      <c r="O87" s="921">
        <v>0.93490804699999996</v>
      </c>
      <c r="P87" s="986" t="s">
        <v>214</v>
      </c>
      <c r="Q87" s="986"/>
    </row>
    <row r="88" spans="1:17" s="725" customFormat="1" ht="18.95" customHeight="1">
      <c r="A88" s="1005">
        <v>2.5</v>
      </c>
      <c r="B88" s="1018" t="s">
        <v>285</v>
      </c>
      <c r="C88" s="399"/>
      <c r="D88" s="286"/>
      <c r="E88" s="25">
        <v>3885</v>
      </c>
      <c r="F88" s="30" t="s">
        <v>286</v>
      </c>
      <c r="G88" s="759">
        <v>79</v>
      </c>
      <c r="H88" s="242">
        <f t="shared" si="5"/>
        <v>73.857735712999997</v>
      </c>
      <c r="I88" s="25">
        <f t="shared" si="8"/>
        <v>286937.30324500496</v>
      </c>
      <c r="J88" s="759">
        <v>46</v>
      </c>
      <c r="K88" s="25">
        <f t="shared" si="6"/>
        <v>43.005770161999997</v>
      </c>
      <c r="L88" s="72">
        <f t="shared" si="9"/>
        <v>167077.41707937</v>
      </c>
      <c r="M88" s="72">
        <f t="shared" si="7"/>
        <v>454014.72032437497</v>
      </c>
      <c r="N88" s="72"/>
      <c r="O88" s="921">
        <v>0.93490804699999996</v>
      </c>
      <c r="P88" s="986" t="s">
        <v>214</v>
      </c>
      <c r="Q88" s="986"/>
    </row>
    <row r="89" spans="1:17" s="725" customFormat="1" ht="18.95" customHeight="1">
      <c r="A89" s="1005">
        <v>2.6</v>
      </c>
      <c r="B89" s="1018" t="s">
        <v>287</v>
      </c>
      <c r="C89" s="399"/>
      <c r="D89" s="286"/>
      <c r="E89" s="25">
        <v>240</v>
      </c>
      <c r="F89" s="30" t="s">
        <v>286</v>
      </c>
      <c r="G89" s="759">
        <v>114</v>
      </c>
      <c r="H89" s="242">
        <f t="shared" si="5"/>
        <v>106.57951735799999</v>
      </c>
      <c r="I89" s="25">
        <f t="shared" si="8"/>
        <v>25579.084165919998</v>
      </c>
      <c r="J89" s="759">
        <v>64</v>
      </c>
      <c r="K89" s="25">
        <f t="shared" si="6"/>
        <v>59.834115007999998</v>
      </c>
      <c r="L89" s="72">
        <f t="shared" si="9"/>
        <v>14360.187601919999</v>
      </c>
      <c r="M89" s="72">
        <f t="shared" si="7"/>
        <v>39939.271767839993</v>
      </c>
      <c r="N89" s="72"/>
      <c r="O89" s="921">
        <v>0.93490804699999996</v>
      </c>
      <c r="P89" s="986" t="s">
        <v>214</v>
      </c>
      <c r="Q89" s="986"/>
    </row>
    <row r="90" spans="1:17" s="725" customFormat="1" ht="18.95" customHeight="1">
      <c r="A90" s="1005">
        <v>2.7</v>
      </c>
      <c r="B90" s="1018" t="s">
        <v>288</v>
      </c>
      <c r="C90" s="399"/>
      <c r="D90" s="286"/>
      <c r="E90" s="25">
        <v>195</v>
      </c>
      <c r="F90" s="30" t="s">
        <v>286</v>
      </c>
      <c r="G90" s="759">
        <v>118</v>
      </c>
      <c r="H90" s="242">
        <f t="shared" si="5"/>
        <v>110.31914954599999</v>
      </c>
      <c r="I90" s="25">
        <f t="shared" si="8"/>
        <v>21512.234161469998</v>
      </c>
      <c r="J90" s="759">
        <v>81</v>
      </c>
      <c r="K90" s="25">
        <f t="shared" si="6"/>
        <v>75.727551806999998</v>
      </c>
      <c r="L90" s="72">
        <f t="shared" si="9"/>
        <v>14766.872602365</v>
      </c>
      <c r="M90" s="72">
        <f t="shared" si="7"/>
        <v>36279.106763835</v>
      </c>
      <c r="N90" s="72"/>
      <c r="O90" s="921">
        <v>0.93490804699999996</v>
      </c>
      <c r="P90" s="986" t="s">
        <v>214</v>
      </c>
      <c r="Q90" s="986"/>
    </row>
    <row r="91" spans="1:17" s="725" customFormat="1" ht="18.95" customHeight="1">
      <c r="A91" s="1005">
        <v>2.8</v>
      </c>
      <c r="B91" s="1018" t="s">
        <v>289</v>
      </c>
      <c r="C91" s="399"/>
      <c r="D91" s="286"/>
      <c r="E91" s="25">
        <v>125</v>
      </c>
      <c r="F91" s="30" t="s">
        <v>286</v>
      </c>
      <c r="G91" s="759">
        <v>216</v>
      </c>
      <c r="H91" s="242">
        <f t="shared" si="5"/>
        <v>201.940138152</v>
      </c>
      <c r="I91" s="25">
        <f t="shared" si="8"/>
        <v>25242.517269</v>
      </c>
      <c r="J91" s="759">
        <v>100</v>
      </c>
      <c r="K91" s="25">
        <f t="shared" si="6"/>
        <v>93.490804699999998</v>
      </c>
      <c r="L91" s="72">
        <f t="shared" si="9"/>
        <v>11686.350587499999</v>
      </c>
      <c r="M91" s="72">
        <f t="shared" si="7"/>
        <v>36928.867856500001</v>
      </c>
      <c r="N91" s="72"/>
      <c r="O91" s="921">
        <v>0.93490804699999996</v>
      </c>
      <c r="P91" s="986" t="s">
        <v>214</v>
      </c>
      <c r="Q91" s="986"/>
    </row>
    <row r="92" spans="1:17" s="725" customFormat="1" ht="18.95" customHeight="1">
      <c r="A92" s="1005">
        <v>2.9</v>
      </c>
      <c r="B92" s="1019" t="s">
        <v>290</v>
      </c>
      <c r="C92" s="399"/>
      <c r="D92" s="286"/>
      <c r="E92" s="25">
        <v>12533</v>
      </c>
      <c r="F92" s="30" t="s">
        <v>211</v>
      </c>
      <c r="G92" s="759">
        <v>29</v>
      </c>
      <c r="H92" s="242">
        <f t="shared" si="5"/>
        <v>27.112333362999998</v>
      </c>
      <c r="I92" s="25">
        <f t="shared" si="8"/>
        <v>339798.87403847894</v>
      </c>
      <c r="J92" s="759">
        <v>87</v>
      </c>
      <c r="K92" s="25">
        <f t="shared" si="6"/>
        <v>81.337000089</v>
      </c>
      <c r="L92" s="72">
        <f t="shared" si="9"/>
        <v>1019396.6221154371</v>
      </c>
      <c r="M92" s="72">
        <f t="shared" si="7"/>
        <v>1359195.496153916</v>
      </c>
      <c r="N92" s="72"/>
      <c r="O92" s="921">
        <v>0.93490804699999996</v>
      </c>
      <c r="P92" s="986" t="s">
        <v>214</v>
      </c>
      <c r="Q92" s="986"/>
    </row>
    <row r="93" spans="1:17" s="725" customFormat="1" ht="18.95" customHeight="1">
      <c r="A93" s="981">
        <v>2.1</v>
      </c>
      <c r="B93" s="1019" t="s">
        <v>291</v>
      </c>
      <c r="C93" s="1020"/>
      <c r="D93" s="368"/>
      <c r="E93" s="25">
        <v>6798</v>
      </c>
      <c r="F93" s="30" t="s">
        <v>211</v>
      </c>
      <c r="G93" s="759">
        <v>68</v>
      </c>
      <c r="H93" s="242">
        <f t="shared" si="5"/>
        <v>63.573747195999999</v>
      </c>
      <c r="I93" s="25">
        <f t="shared" si="8"/>
        <v>432174.33343840798</v>
      </c>
      <c r="J93" s="759">
        <v>105</v>
      </c>
      <c r="K93" s="25">
        <f t="shared" si="6"/>
        <v>98.165344934999993</v>
      </c>
      <c r="L93" s="72">
        <f t="shared" si="9"/>
        <v>667328.01486812998</v>
      </c>
      <c r="M93" s="72">
        <f t="shared" si="7"/>
        <v>1099502.3483065381</v>
      </c>
      <c r="N93" s="72"/>
      <c r="O93" s="921">
        <v>0.93490804699999996</v>
      </c>
      <c r="P93" s="986" t="s">
        <v>214</v>
      </c>
      <c r="Q93" s="986"/>
    </row>
    <row r="94" spans="1:17" ht="18.95" customHeight="1">
      <c r="A94" s="137">
        <v>2.11</v>
      </c>
      <c r="B94" s="714" t="s">
        <v>292</v>
      </c>
      <c r="C94" s="1020" t="s">
        <v>293</v>
      </c>
      <c r="D94" s="368"/>
      <c r="E94" s="25">
        <v>0</v>
      </c>
      <c r="F94" s="30" t="s">
        <v>211</v>
      </c>
      <c r="G94" s="759">
        <v>0</v>
      </c>
      <c r="H94" s="242">
        <f t="shared" si="5"/>
        <v>0</v>
      </c>
      <c r="I94" s="25">
        <f t="shared" si="8"/>
        <v>0</v>
      </c>
      <c r="J94" s="759">
        <v>0</v>
      </c>
      <c r="K94" s="25">
        <f t="shared" si="6"/>
        <v>0</v>
      </c>
      <c r="L94" s="72">
        <f t="shared" si="9"/>
        <v>0</v>
      </c>
      <c r="M94" s="72">
        <f t="shared" si="7"/>
        <v>0</v>
      </c>
      <c r="N94" s="72"/>
      <c r="O94" s="921">
        <v>0.93490804699999996</v>
      </c>
    </row>
    <row r="95" spans="1:17" ht="18.95" customHeight="1">
      <c r="A95" s="137">
        <v>2.12</v>
      </c>
      <c r="B95" s="714" t="s">
        <v>294</v>
      </c>
      <c r="C95" s="1020" t="s">
        <v>295</v>
      </c>
      <c r="D95" s="368"/>
      <c r="E95" s="25">
        <v>11265</v>
      </c>
      <c r="F95" s="30" t="s">
        <v>211</v>
      </c>
      <c r="G95" s="759">
        <v>30</v>
      </c>
      <c r="H95" s="242">
        <f t="shared" si="5"/>
        <v>28.047241409999998</v>
      </c>
      <c r="I95" s="25">
        <f t="shared" si="8"/>
        <v>315952.17448364996</v>
      </c>
      <c r="J95" s="759">
        <v>28</v>
      </c>
      <c r="K95" s="25">
        <f t="shared" si="6"/>
        <v>26.177425315999997</v>
      </c>
      <c r="L95" s="72">
        <f t="shared" si="9"/>
        <v>294888.69618473999</v>
      </c>
      <c r="M95" s="72">
        <f t="shared" si="7"/>
        <v>610840.87066838995</v>
      </c>
      <c r="N95" s="26"/>
      <c r="O95" s="921">
        <v>0.93490804699999996</v>
      </c>
    </row>
    <row r="96" spans="1:17" ht="18.95" customHeight="1">
      <c r="A96" s="137">
        <v>2.13</v>
      </c>
      <c r="B96" s="714" t="s">
        <v>296</v>
      </c>
      <c r="C96" s="1020" t="s">
        <v>297</v>
      </c>
      <c r="D96" s="267"/>
      <c r="E96" s="25">
        <v>905</v>
      </c>
      <c r="F96" s="30" t="s">
        <v>211</v>
      </c>
      <c r="G96" s="759">
        <v>45</v>
      </c>
      <c r="H96" s="242">
        <f t="shared" si="5"/>
        <v>42.070862114999997</v>
      </c>
      <c r="I96" s="25">
        <f t="shared" si="8"/>
        <v>38074.130214074998</v>
      </c>
      <c r="J96" s="759">
        <v>31</v>
      </c>
      <c r="K96" s="25">
        <f t="shared" si="6"/>
        <v>28.982149456999998</v>
      </c>
      <c r="L96" s="72">
        <f t="shared" si="9"/>
        <v>26228.845258584999</v>
      </c>
      <c r="M96" s="72">
        <f t="shared" si="7"/>
        <v>64302.975472659993</v>
      </c>
      <c r="N96" s="26"/>
      <c r="O96" s="921">
        <v>0.93490804699999996</v>
      </c>
    </row>
    <row r="97" spans="1:16" ht="18.95" customHeight="1">
      <c r="A97" s="137">
        <v>2.14</v>
      </c>
      <c r="B97" s="709" t="s">
        <v>298</v>
      </c>
      <c r="C97" s="1020" t="s">
        <v>299</v>
      </c>
      <c r="D97" s="267"/>
      <c r="E97" s="25">
        <v>200</v>
      </c>
      <c r="F97" s="30" t="s">
        <v>211</v>
      </c>
      <c r="G97" s="759">
        <v>137</v>
      </c>
      <c r="H97" s="242">
        <f t="shared" si="5"/>
        <v>128.08240243899999</v>
      </c>
      <c r="I97" s="25">
        <f t="shared" si="8"/>
        <v>25616.4804878</v>
      </c>
      <c r="J97" s="759">
        <v>135</v>
      </c>
      <c r="K97" s="25">
        <f t="shared" si="6"/>
        <v>126.21258634499999</v>
      </c>
      <c r="L97" s="72">
        <f t="shared" si="9"/>
        <v>25242.517269</v>
      </c>
      <c r="M97" s="72">
        <f t="shared" si="7"/>
        <v>50858.997756800003</v>
      </c>
      <c r="N97" s="26"/>
      <c r="O97" s="921">
        <v>0.93490804699999996</v>
      </c>
      <c r="P97" s="986"/>
    </row>
    <row r="98" spans="1:16" ht="18.95" customHeight="1">
      <c r="A98" s="137">
        <v>2.15</v>
      </c>
      <c r="B98" s="714" t="s">
        <v>300</v>
      </c>
      <c r="C98" s="1020" t="s">
        <v>301</v>
      </c>
      <c r="D98" s="267"/>
      <c r="E98" s="25">
        <v>630</v>
      </c>
      <c r="F98" s="30" t="s">
        <v>211</v>
      </c>
      <c r="G98" s="759">
        <v>50</v>
      </c>
      <c r="H98" s="242">
        <f t="shared" si="5"/>
        <v>46.745402349999999</v>
      </c>
      <c r="I98" s="25">
        <f t="shared" si="8"/>
        <v>29449.603480499998</v>
      </c>
      <c r="J98" s="759">
        <v>20</v>
      </c>
      <c r="K98" s="25">
        <f t="shared" si="6"/>
        <v>18.698160940000001</v>
      </c>
      <c r="L98" s="72">
        <f t="shared" si="9"/>
        <v>11779.8413922</v>
      </c>
      <c r="M98" s="72">
        <f t="shared" si="7"/>
        <v>41229.444872699998</v>
      </c>
      <c r="N98" s="26"/>
      <c r="O98" s="921">
        <v>0.93490804699999996</v>
      </c>
    </row>
    <row r="99" spans="1:16" ht="18.95" customHeight="1">
      <c r="A99" s="137">
        <v>2.16</v>
      </c>
      <c r="B99" s="714" t="s">
        <v>302</v>
      </c>
      <c r="C99" s="1021" t="s">
        <v>303</v>
      </c>
      <c r="D99" s="24"/>
      <c r="E99" s="25">
        <v>1170</v>
      </c>
      <c r="F99" s="30" t="s">
        <v>211</v>
      </c>
      <c r="G99" s="759">
        <v>0</v>
      </c>
      <c r="H99" s="242">
        <f t="shared" si="5"/>
        <v>0</v>
      </c>
      <c r="I99" s="25">
        <f t="shared" si="8"/>
        <v>0</v>
      </c>
      <c r="J99" s="759">
        <v>40</v>
      </c>
      <c r="K99" s="25">
        <f t="shared" si="6"/>
        <v>37.396321880000002</v>
      </c>
      <c r="L99" s="72">
        <f t="shared" si="9"/>
        <v>43753.6965996</v>
      </c>
      <c r="M99" s="72">
        <f t="shared" si="7"/>
        <v>43753.6965996</v>
      </c>
      <c r="N99" s="26"/>
      <c r="O99" s="921">
        <v>0.93490804699999996</v>
      </c>
    </row>
    <row r="100" spans="1:16" ht="18.95" customHeight="1">
      <c r="A100" s="137">
        <v>2.17</v>
      </c>
      <c r="B100" s="714" t="s">
        <v>304</v>
      </c>
      <c r="C100" s="1021" t="s">
        <v>305</v>
      </c>
      <c r="D100" s="24"/>
      <c r="E100" s="25">
        <v>0</v>
      </c>
      <c r="F100" s="30" t="s">
        <v>211</v>
      </c>
      <c r="G100" s="759">
        <v>0</v>
      </c>
      <c r="H100" s="242">
        <f t="shared" si="5"/>
        <v>0</v>
      </c>
      <c r="I100" s="25">
        <f t="shared" si="8"/>
        <v>0</v>
      </c>
      <c r="J100" s="759">
        <v>0</v>
      </c>
      <c r="K100" s="25">
        <f t="shared" si="6"/>
        <v>0</v>
      </c>
      <c r="L100" s="72">
        <f t="shared" si="9"/>
        <v>0</v>
      </c>
      <c r="M100" s="72">
        <v>0</v>
      </c>
      <c r="N100" s="26"/>
      <c r="O100" s="921">
        <v>0.93490804699999996</v>
      </c>
    </row>
    <row r="101" spans="1:16" ht="18.95" customHeight="1">
      <c r="A101" s="137">
        <v>2.1800000000000002</v>
      </c>
      <c r="B101" s="714" t="s">
        <v>306</v>
      </c>
      <c r="C101" s="1021" t="s">
        <v>307</v>
      </c>
      <c r="D101" s="24"/>
      <c r="E101" s="25">
        <v>0</v>
      </c>
      <c r="F101" s="30" t="s">
        <v>211</v>
      </c>
      <c r="G101" s="759">
        <v>0</v>
      </c>
      <c r="H101" s="242">
        <f t="shared" si="5"/>
        <v>0</v>
      </c>
      <c r="I101" s="25">
        <f t="shared" si="8"/>
        <v>0</v>
      </c>
      <c r="J101" s="759">
        <v>0</v>
      </c>
      <c r="K101" s="25">
        <f t="shared" si="6"/>
        <v>0</v>
      </c>
      <c r="L101" s="72">
        <f t="shared" si="9"/>
        <v>0</v>
      </c>
      <c r="M101" s="72">
        <f>SUM(I101+L101)</f>
        <v>0</v>
      </c>
      <c r="N101" s="26"/>
      <c r="O101" s="921">
        <v>0.93490804699999996</v>
      </c>
    </row>
    <row r="102" spans="1:16" ht="18.95" customHeight="1">
      <c r="A102" s="137">
        <v>2.19</v>
      </c>
      <c r="B102" s="714" t="s">
        <v>308</v>
      </c>
      <c r="C102" s="1021" t="s">
        <v>309</v>
      </c>
      <c r="D102" s="40"/>
      <c r="E102" s="25">
        <v>1867</v>
      </c>
      <c r="F102" s="30" t="s">
        <v>211</v>
      </c>
      <c r="G102" s="759">
        <v>2300</v>
      </c>
      <c r="H102" s="242">
        <f t="shared" si="5"/>
        <v>2150.2885080999999</v>
      </c>
      <c r="I102" s="25">
        <f t="shared" si="8"/>
        <v>4014588.6446226998</v>
      </c>
      <c r="J102" s="759">
        <v>350</v>
      </c>
      <c r="K102" s="25">
        <f t="shared" si="6"/>
        <v>327.21781644999999</v>
      </c>
      <c r="L102" s="72">
        <f t="shared" si="9"/>
        <v>610915.66331214993</v>
      </c>
      <c r="M102" s="72">
        <f>SUM(I102,L102)</f>
        <v>4625504.3079348495</v>
      </c>
      <c r="N102" s="26"/>
      <c r="O102" s="921">
        <v>0.93490804699999996</v>
      </c>
    </row>
    <row r="103" spans="1:16" ht="18.95" customHeight="1">
      <c r="A103" s="137"/>
      <c r="B103" s="714"/>
      <c r="C103" s="1021" t="s">
        <v>310</v>
      </c>
      <c r="D103" s="24"/>
      <c r="E103" s="25"/>
      <c r="F103" s="30"/>
      <c r="G103" s="759"/>
      <c r="H103" s="242">
        <f t="shared" si="5"/>
        <v>0</v>
      </c>
      <c r="I103" s="25">
        <f t="shared" si="8"/>
        <v>0</v>
      </c>
      <c r="J103" s="759"/>
      <c r="K103" s="25">
        <f t="shared" si="6"/>
        <v>0</v>
      </c>
      <c r="L103" s="72">
        <f t="shared" si="9"/>
        <v>0</v>
      </c>
      <c r="M103" s="72"/>
      <c r="N103" s="26"/>
      <c r="O103" s="921">
        <v>0.93490804699999996</v>
      </c>
    </row>
    <row r="104" spans="1:16" ht="18.95" customHeight="1">
      <c r="A104" s="137">
        <v>2.2000000000000002</v>
      </c>
      <c r="B104" s="714" t="s">
        <v>311</v>
      </c>
      <c r="C104" s="1021" t="s">
        <v>312</v>
      </c>
      <c r="D104" s="286"/>
      <c r="E104" s="25">
        <v>1876</v>
      </c>
      <c r="F104" s="30" t="s">
        <v>211</v>
      </c>
      <c r="G104" s="759">
        <v>137</v>
      </c>
      <c r="H104" s="242">
        <f t="shared" si="5"/>
        <v>128.08240243899999</v>
      </c>
      <c r="I104" s="25">
        <f t="shared" si="8"/>
        <v>240282.58697556399</v>
      </c>
      <c r="J104" s="759">
        <v>135</v>
      </c>
      <c r="K104" s="25">
        <f t="shared" si="6"/>
        <v>126.21258634499999</v>
      </c>
      <c r="L104" s="72">
        <f t="shared" si="9"/>
        <v>236774.81198321999</v>
      </c>
      <c r="M104" s="72">
        <f>SUM(I104,L104)</f>
        <v>477057.39895878395</v>
      </c>
      <c r="N104" s="26"/>
      <c r="O104" s="921">
        <v>0.93490804699999996</v>
      </c>
      <c r="P104" s="986"/>
    </row>
    <row r="105" spans="1:16" ht="18.95" customHeight="1">
      <c r="A105" s="137">
        <v>2.21</v>
      </c>
      <c r="B105" s="714" t="s">
        <v>313</v>
      </c>
      <c r="C105" s="368" t="s">
        <v>314</v>
      </c>
      <c r="D105" s="368"/>
      <c r="E105" s="25">
        <v>1050</v>
      </c>
      <c r="F105" s="30" t="s">
        <v>211</v>
      </c>
      <c r="G105" s="759">
        <v>30</v>
      </c>
      <c r="H105" s="242">
        <f t="shared" si="5"/>
        <v>28.047241409999998</v>
      </c>
      <c r="I105" s="25">
        <f t="shared" si="8"/>
        <v>29449.603480499998</v>
      </c>
      <c r="J105" s="759">
        <v>28</v>
      </c>
      <c r="K105" s="25">
        <f t="shared" si="6"/>
        <v>26.177425315999997</v>
      </c>
      <c r="L105" s="72">
        <f t="shared" si="9"/>
        <v>27486.296581799998</v>
      </c>
      <c r="M105" s="72">
        <f>SUM(I105,L105)</f>
        <v>56935.900062299996</v>
      </c>
      <c r="N105" s="26"/>
      <c r="O105" s="921">
        <v>0.93490804699999996</v>
      </c>
    </row>
    <row r="106" spans="1:16" ht="18.95" customHeight="1">
      <c r="A106" s="137"/>
      <c r="B106" s="714"/>
      <c r="C106" s="368"/>
      <c r="D106" s="368"/>
      <c r="E106" s="25"/>
      <c r="F106" s="30"/>
      <c r="G106" s="759"/>
      <c r="H106" s="242"/>
      <c r="I106" s="25"/>
      <c r="J106" s="759"/>
      <c r="K106" s="25"/>
      <c r="L106" s="72"/>
      <c r="M106" s="72"/>
      <c r="N106" s="26"/>
      <c r="O106" s="921">
        <v>0.93490804699999996</v>
      </c>
    </row>
    <row r="107" spans="1:16" ht="18.95" customHeight="1">
      <c r="A107" s="137"/>
      <c r="B107" s="714"/>
      <c r="C107" s="368"/>
      <c r="D107" s="24"/>
      <c r="E107" s="25"/>
      <c r="F107" s="30"/>
      <c r="G107" s="759"/>
      <c r="H107" s="242"/>
      <c r="I107" s="25"/>
      <c r="J107" s="759"/>
      <c r="K107" s="25"/>
      <c r="L107" s="72"/>
      <c r="M107" s="72"/>
      <c r="N107" s="26"/>
      <c r="O107" s="921">
        <v>0.93490804699999996</v>
      </c>
    </row>
    <row r="108" spans="1:16" ht="18.600000000000001" customHeight="1">
      <c r="A108" s="265">
        <v>2.2200000000000002</v>
      </c>
      <c r="B108" s="1022" t="s">
        <v>315</v>
      </c>
      <c r="C108" s="368" t="s">
        <v>316</v>
      </c>
      <c r="D108" s="303"/>
      <c r="E108" s="25">
        <v>875</v>
      </c>
      <c r="F108" s="30" t="s">
        <v>211</v>
      </c>
      <c r="G108" s="759">
        <v>1800</v>
      </c>
      <c r="H108" s="242">
        <f t="shared" si="5"/>
        <v>1682.8344846</v>
      </c>
      <c r="I108" s="25">
        <f t="shared" si="8"/>
        <v>1472480.1740250001</v>
      </c>
      <c r="J108" s="765">
        <v>500</v>
      </c>
      <c r="K108" s="25">
        <f t="shared" si="6"/>
        <v>467.45402350000001</v>
      </c>
      <c r="L108" s="72">
        <f t="shared" si="9"/>
        <v>409022.27056249999</v>
      </c>
      <c r="M108" s="72">
        <f>SUM(I108,L108)</f>
        <v>1881502.4445875001</v>
      </c>
      <c r="N108" s="26"/>
      <c r="O108" s="921">
        <v>0.93490804699999996</v>
      </c>
      <c r="P108" s="986"/>
    </row>
    <row r="109" spans="1:16" ht="18.95" customHeight="1">
      <c r="A109" s="981"/>
      <c r="B109" s="1023" t="s">
        <v>273</v>
      </c>
      <c r="C109" s="285" t="s">
        <v>317</v>
      </c>
      <c r="D109" s="286"/>
      <c r="E109" s="25">
        <v>875</v>
      </c>
      <c r="F109" s="30" t="s">
        <v>211</v>
      </c>
      <c r="G109" s="759">
        <v>137</v>
      </c>
      <c r="H109" s="242">
        <f t="shared" si="5"/>
        <v>128.08240243899999</v>
      </c>
      <c r="I109" s="25">
        <f t="shared" si="8"/>
        <v>112072.10213412499</v>
      </c>
      <c r="J109" s="759">
        <v>135</v>
      </c>
      <c r="K109" s="25">
        <f t="shared" si="6"/>
        <v>126.21258634499999</v>
      </c>
      <c r="L109" s="72">
        <f t="shared" si="9"/>
        <v>110436.01305187499</v>
      </c>
      <c r="M109" s="72">
        <f>SUM(I109,L109)</f>
        <v>222508.11518599998</v>
      </c>
      <c r="N109" s="26"/>
      <c r="O109" s="921">
        <v>0.93490804699999996</v>
      </c>
    </row>
    <row r="110" spans="1:16" ht="18.95" customHeight="1">
      <c r="A110" s="265">
        <v>2.23</v>
      </c>
      <c r="B110" s="714" t="s">
        <v>318</v>
      </c>
      <c r="C110" s="399" t="s">
        <v>319</v>
      </c>
      <c r="D110" s="24"/>
      <c r="E110" s="25" t="s">
        <v>320</v>
      </c>
      <c r="F110" s="30"/>
      <c r="G110" s="759"/>
      <c r="H110" s="242"/>
      <c r="I110" s="25"/>
      <c r="J110" s="1029"/>
      <c r="K110" s="25"/>
      <c r="L110" s="72"/>
      <c r="M110" s="72"/>
      <c r="N110" s="72" t="s">
        <v>321</v>
      </c>
      <c r="O110" s="921">
        <v>0.93490804699999996</v>
      </c>
    </row>
    <row r="111" spans="1:16" ht="18.95" customHeight="1">
      <c r="A111" s="265"/>
      <c r="B111" s="1023" t="s">
        <v>273</v>
      </c>
      <c r="C111" s="399" t="s">
        <v>322</v>
      </c>
      <c r="D111" s="24"/>
      <c r="E111" s="25" t="s">
        <v>320</v>
      </c>
      <c r="F111" s="30"/>
      <c r="G111" s="759"/>
      <c r="H111" s="242"/>
      <c r="I111" s="25"/>
      <c r="J111" s="1029"/>
      <c r="K111" s="25"/>
      <c r="L111" s="72"/>
      <c r="M111" s="72"/>
      <c r="N111" s="72" t="s">
        <v>321</v>
      </c>
      <c r="O111" s="921">
        <v>0.93490804699999996</v>
      </c>
    </row>
    <row r="112" spans="1:16" ht="18.95" customHeight="1">
      <c r="A112" s="265">
        <v>2.2400000000000002</v>
      </c>
      <c r="B112" s="714" t="s">
        <v>323</v>
      </c>
      <c r="C112" s="399" t="s">
        <v>316</v>
      </c>
      <c r="D112" s="286"/>
      <c r="E112" s="25">
        <v>393</v>
      </c>
      <c r="F112" s="30" t="s">
        <v>211</v>
      </c>
      <c r="G112" s="759">
        <v>1800</v>
      </c>
      <c r="H112" s="242">
        <f t="shared" si="5"/>
        <v>1682.8344846</v>
      </c>
      <c r="I112" s="25">
        <f t="shared" si="8"/>
        <v>661353.95244779997</v>
      </c>
      <c r="J112" s="765">
        <v>500</v>
      </c>
      <c r="K112" s="25">
        <f t="shared" si="6"/>
        <v>467.45402350000001</v>
      </c>
      <c r="L112" s="72">
        <f t="shared" si="9"/>
        <v>183709.4312355</v>
      </c>
      <c r="M112" s="72">
        <f>SUM(I112,L112)</f>
        <v>845063.3836833</v>
      </c>
      <c r="N112" s="72"/>
      <c r="O112" s="921">
        <v>0.93490804699999996</v>
      </c>
    </row>
    <row r="113" spans="1:15" ht="18.95" customHeight="1">
      <c r="A113" s="265"/>
      <c r="B113" s="1023" t="s">
        <v>273</v>
      </c>
      <c r="C113" s="368" t="s">
        <v>314</v>
      </c>
      <c r="D113" s="286"/>
      <c r="E113" s="25">
        <v>393</v>
      </c>
      <c r="F113" s="30" t="s">
        <v>211</v>
      </c>
      <c r="G113" s="759">
        <v>30</v>
      </c>
      <c r="H113" s="242">
        <f t="shared" si="5"/>
        <v>28.047241409999998</v>
      </c>
      <c r="I113" s="25">
        <f t="shared" si="8"/>
        <v>11022.565874129999</v>
      </c>
      <c r="J113" s="759">
        <v>28</v>
      </c>
      <c r="K113" s="25">
        <f t="shared" si="6"/>
        <v>26.177425315999997</v>
      </c>
      <c r="L113" s="72">
        <f t="shared" si="9"/>
        <v>10287.728149187998</v>
      </c>
      <c r="M113" s="72">
        <f>SUM(I113,L113)</f>
        <v>21310.294023317998</v>
      </c>
      <c r="N113" s="72"/>
      <c r="O113" s="921">
        <v>0.93490804699999996</v>
      </c>
    </row>
    <row r="114" spans="1:15" ht="18.95" customHeight="1">
      <c r="A114" s="573">
        <v>2.25</v>
      </c>
      <c r="B114" s="714" t="s">
        <v>324</v>
      </c>
      <c r="C114" s="1020" t="s">
        <v>325</v>
      </c>
      <c r="D114" s="368"/>
      <c r="E114" s="25">
        <v>475</v>
      </c>
      <c r="F114" s="30" t="s">
        <v>211</v>
      </c>
      <c r="G114" s="759">
        <v>1000</v>
      </c>
      <c r="H114" s="242">
        <f t="shared" si="5"/>
        <v>934.90804700000001</v>
      </c>
      <c r="I114" s="25">
        <f t="shared" si="8"/>
        <v>444081.32232500002</v>
      </c>
      <c r="J114" s="759">
        <v>174</v>
      </c>
      <c r="K114" s="25">
        <f t="shared" si="6"/>
        <v>162.674000178</v>
      </c>
      <c r="L114" s="72">
        <f t="shared" si="9"/>
        <v>77270.150084549998</v>
      </c>
      <c r="M114" s="72">
        <f>SUM(I114,L114)</f>
        <v>521351.47240954998</v>
      </c>
      <c r="N114" s="72"/>
      <c r="O114" s="921">
        <v>0.93490804699999996</v>
      </c>
    </row>
    <row r="115" spans="1:15" ht="18.95" customHeight="1">
      <c r="A115" s="981"/>
      <c r="B115" s="714"/>
      <c r="C115" s="1021" t="s">
        <v>326</v>
      </c>
      <c r="D115" s="1024"/>
      <c r="E115" s="25"/>
      <c r="F115" s="30"/>
      <c r="G115" s="759"/>
      <c r="H115" s="242"/>
      <c r="I115" s="25"/>
      <c r="J115" s="759"/>
      <c r="K115" s="25"/>
      <c r="L115" s="72"/>
      <c r="M115" s="72"/>
      <c r="N115" s="72"/>
      <c r="O115" s="921">
        <v>0.93490804699999996</v>
      </c>
    </row>
    <row r="116" spans="1:15" ht="18.95" customHeight="1">
      <c r="A116" s="981">
        <v>2.2599999999999998</v>
      </c>
      <c r="B116" s="714" t="s">
        <v>327</v>
      </c>
      <c r="C116" s="1020" t="s">
        <v>325</v>
      </c>
      <c r="D116" s="267"/>
      <c r="E116" s="25">
        <v>617</v>
      </c>
      <c r="F116" s="30" t="s">
        <v>211</v>
      </c>
      <c r="G116" s="759">
        <v>900</v>
      </c>
      <c r="H116" s="242">
        <f t="shared" si="5"/>
        <v>841.4172423</v>
      </c>
      <c r="I116" s="25">
        <f t="shared" si="8"/>
        <v>519154.43849909998</v>
      </c>
      <c r="J116" s="759">
        <v>174</v>
      </c>
      <c r="K116" s="25">
        <f t="shared" si="6"/>
        <v>162.674000178</v>
      </c>
      <c r="L116" s="72">
        <f t="shared" si="9"/>
        <v>100369.858109826</v>
      </c>
      <c r="M116" s="72">
        <f>SUM(I116,L116)</f>
        <v>619524.29660892603</v>
      </c>
      <c r="N116" s="26"/>
      <c r="O116" s="921">
        <v>0.93490804699999996</v>
      </c>
    </row>
    <row r="117" spans="1:15" ht="18.95" customHeight="1">
      <c r="A117" s="265"/>
      <c r="B117" s="714"/>
      <c r="C117" s="1020" t="s">
        <v>328</v>
      </c>
      <c r="D117" s="368"/>
      <c r="E117" s="25"/>
      <c r="F117" s="30"/>
      <c r="G117" s="765"/>
      <c r="H117" s="242"/>
      <c r="I117" s="25"/>
      <c r="J117" s="765"/>
      <c r="K117" s="25"/>
      <c r="L117" s="72"/>
      <c r="M117" s="72"/>
      <c r="N117" s="26"/>
      <c r="O117" s="921">
        <v>0.93490804699999996</v>
      </c>
    </row>
    <row r="118" spans="1:15" ht="18.95" customHeight="1">
      <c r="A118" s="981">
        <v>2.27</v>
      </c>
      <c r="B118" s="714" t="s">
        <v>329</v>
      </c>
      <c r="C118" s="1021" t="s">
        <v>330</v>
      </c>
      <c r="D118" s="24"/>
      <c r="E118" s="25">
        <v>175</v>
      </c>
      <c r="F118" s="30" t="s">
        <v>211</v>
      </c>
      <c r="G118" s="765">
        <v>500</v>
      </c>
      <c r="H118" s="242">
        <f t="shared" si="5"/>
        <v>467.45402350000001</v>
      </c>
      <c r="I118" s="25">
        <f t="shared" si="8"/>
        <v>81804.454112499996</v>
      </c>
      <c r="J118" s="765">
        <v>174</v>
      </c>
      <c r="K118" s="25">
        <f t="shared" si="6"/>
        <v>162.674000178</v>
      </c>
      <c r="L118" s="72">
        <f t="shared" si="9"/>
        <v>28467.950031150001</v>
      </c>
      <c r="M118" s="72">
        <f>SUM(I118,L118)</f>
        <v>110272.40414365</v>
      </c>
      <c r="N118" s="26"/>
      <c r="O118" s="921">
        <v>0.93490804699999996</v>
      </c>
    </row>
    <row r="119" spans="1:15" ht="18.95" customHeight="1">
      <c r="A119" s="265">
        <v>2.2799999999999998</v>
      </c>
      <c r="B119" s="714" t="s">
        <v>331</v>
      </c>
      <c r="C119" s="1020" t="s">
        <v>332</v>
      </c>
      <c r="D119" s="368"/>
      <c r="E119" s="25" t="s">
        <v>258</v>
      </c>
      <c r="F119" s="30"/>
      <c r="G119" s="765"/>
      <c r="H119" s="242"/>
      <c r="I119" s="25"/>
      <c r="J119" s="765"/>
      <c r="K119" s="25"/>
      <c r="L119" s="72"/>
      <c r="M119" s="72"/>
      <c r="N119" s="72" t="s">
        <v>259</v>
      </c>
      <c r="O119" s="921">
        <v>0.93490804699999996</v>
      </c>
    </row>
    <row r="120" spans="1:15" ht="18.95" customHeight="1">
      <c r="A120" s="981"/>
      <c r="B120" s="1023" t="s">
        <v>273</v>
      </c>
      <c r="C120" s="1020" t="s">
        <v>333</v>
      </c>
      <c r="D120" s="368"/>
      <c r="E120" s="25"/>
      <c r="F120" s="30"/>
      <c r="G120" s="759"/>
      <c r="H120" s="242"/>
      <c r="I120" s="25"/>
      <c r="J120" s="759"/>
      <c r="K120" s="25"/>
      <c r="L120" s="72"/>
      <c r="M120" s="72"/>
      <c r="N120" s="26"/>
      <c r="O120" s="921">
        <v>0.93490804699999996</v>
      </c>
    </row>
    <row r="121" spans="1:15" ht="18.95" customHeight="1">
      <c r="A121" s="265">
        <v>2.29</v>
      </c>
      <c r="B121" s="714" t="s">
        <v>334</v>
      </c>
      <c r="C121" s="399" t="s">
        <v>335</v>
      </c>
      <c r="D121" s="267"/>
      <c r="E121" s="25">
        <v>526</v>
      </c>
      <c r="F121" s="30" t="s">
        <v>211</v>
      </c>
      <c r="G121" s="759">
        <v>3500</v>
      </c>
      <c r="H121" s="242">
        <f t="shared" si="5"/>
        <v>3272.1781645000001</v>
      </c>
      <c r="I121" s="25">
        <f t="shared" si="8"/>
        <v>1721165.714527</v>
      </c>
      <c r="J121" s="759">
        <v>385</v>
      </c>
      <c r="K121" s="25">
        <f t="shared" si="6"/>
        <v>359.93959809500001</v>
      </c>
      <c r="L121" s="72">
        <f t="shared" si="9"/>
        <v>189328.22859797001</v>
      </c>
      <c r="M121" s="72">
        <f>SUM(I121,L121)</f>
        <v>1910493.94312497</v>
      </c>
      <c r="N121" s="26"/>
      <c r="O121" s="921">
        <v>0.93490804699999996</v>
      </c>
    </row>
    <row r="122" spans="1:15" ht="18.95" customHeight="1">
      <c r="A122" s="981"/>
      <c r="B122" s="714"/>
      <c r="C122" s="1020" t="s">
        <v>336</v>
      </c>
      <c r="D122" s="267"/>
      <c r="E122" s="25"/>
      <c r="F122" s="30"/>
      <c r="G122" s="759"/>
      <c r="H122" s="242"/>
      <c r="I122" s="25"/>
      <c r="J122" s="759"/>
      <c r="K122" s="25"/>
      <c r="L122" s="72"/>
      <c r="M122" s="72"/>
      <c r="N122" s="26"/>
      <c r="O122" s="921">
        <v>0.93490804699999996</v>
      </c>
    </row>
    <row r="123" spans="1:15" ht="18.95" customHeight="1">
      <c r="A123" s="981">
        <v>2.2999999999999998</v>
      </c>
      <c r="B123" s="714" t="s">
        <v>337</v>
      </c>
      <c r="C123" s="1020" t="s">
        <v>338</v>
      </c>
      <c r="D123" s="267"/>
      <c r="E123" s="25">
        <v>35</v>
      </c>
      <c r="F123" s="30" t="s">
        <v>211</v>
      </c>
      <c r="G123" s="759">
        <v>1750</v>
      </c>
      <c r="H123" s="242">
        <f t="shared" si="5"/>
        <v>1636.08908225</v>
      </c>
      <c r="I123" s="25">
        <f t="shared" si="8"/>
        <v>57263.117878750003</v>
      </c>
      <c r="J123" s="759">
        <v>250</v>
      </c>
      <c r="K123" s="25">
        <f t="shared" si="6"/>
        <v>233.72701175</v>
      </c>
      <c r="L123" s="72">
        <f t="shared" si="9"/>
        <v>8180.4454112499998</v>
      </c>
      <c r="M123" s="72">
        <f>SUM(I123,L123)</f>
        <v>65443.563290000006</v>
      </c>
      <c r="N123" s="26"/>
      <c r="O123" s="921">
        <v>0.93490804699999996</v>
      </c>
    </row>
    <row r="124" spans="1:15" ht="18.95" customHeight="1">
      <c r="A124" s="265">
        <v>2.31</v>
      </c>
      <c r="B124" s="714" t="s">
        <v>339</v>
      </c>
      <c r="C124" s="1021" t="s">
        <v>340</v>
      </c>
      <c r="D124" s="24"/>
      <c r="E124" s="25" t="s">
        <v>341</v>
      </c>
      <c r="F124" s="30"/>
      <c r="G124" s="759"/>
      <c r="H124" s="25"/>
      <c r="I124" s="25"/>
      <c r="J124" s="759"/>
      <c r="K124" s="25"/>
      <c r="L124" s="72"/>
      <c r="M124" s="72"/>
      <c r="N124" s="72" t="s">
        <v>342</v>
      </c>
      <c r="O124" s="921">
        <v>0.93490804699999996</v>
      </c>
    </row>
    <row r="125" spans="1:15" ht="18.95" customHeight="1">
      <c r="A125" s="981"/>
      <c r="B125" s="714"/>
      <c r="C125" s="1021" t="s">
        <v>343</v>
      </c>
      <c r="D125" s="24"/>
      <c r="E125" s="25"/>
      <c r="F125" s="30"/>
      <c r="G125" s="759"/>
      <c r="H125" s="25"/>
      <c r="I125" s="25"/>
      <c r="J125" s="759"/>
      <c r="K125" s="25"/>
      <c r="L125" s="72"/>
      <c r="M125" s="26"/>
      <c r="N125" s="26"/>
      <c r="O125" s="921">
        <v>0.93490804699999996</v>
      </c>
    </row>
    <row r="126" spans="1:15" ht="18.95" customHeight="1">
      <c r="A126" s="265">
        <v>2.3199999999999998</v>
      </c>
      <c r="B126" s="714" t="s">
        <v>344</v>
      </c>
      <c r="C126" s="1021" t="s">
        <v>345</v>
      </c>
      <c r="D126" s="24"/>
      <c r="E126" s="25" t="s">
        <v>320</v>
      </c>
      <c r="F126" s="30"/>
      <c r="G126" s="759"/>
      <c r="H126" s="25"/>
      <c r="I126" s="25"/>
      <c r="J126" s="759"/>
      <c r="K126" s="25"/>
      <c r="L126" s="72"/>
      <c r="M126" s="26"/>
      <c r="N126" s="72" t="s">
        <v>321</v>
      </c>
      <c r="O126" s="921">
        <v>0.93490804699999996</v>
      </c>
    </row>
    <row r="127" spans="1:15" ht="18.95" customHeight="1">
      <c r="A127" s="981"/>
      <c r="B127" s="265"/>
      <c r="C127" s="1021" t="s">
        <v>343</v>
      </c>
      <c r="D127" s="40"/>
      <c r="E127" s="25"/>
      <c r="F127" s="30"/>
      <c r="G127" s="759" t="s">
        <v>151</v>
      </c>
      <c r="H127" s="25"/>
      <c r="I127" s="25"/>
      <c r="J127" s="759"/>
      <c r="K127" s="25"/>
      <c r="L127" s="72"/>
      <c r="M127" s="26"/>
      <c r="N127" s="26"/>
      <c r="O127" s="921">
        <v>0.93490804699999996</v>
      </c>
    </row>
    <row r="128" spans="1:15" ht="18.95" customHeight="1">
      <c r="A128" s="265">
        <v>2.33</v>
      </c>
      <c r="B128" s="287" t="s">
        <v>346</v>
      </c>
      <c r="C128" s="1021"/>
      <c r="D128" s="40"/>
      <c r="E128" s="25"/>
      <c r="F128" s="30"/>
      <c r="G128" s="759"/>
      <c r="H128" s="25"/>
      <c r="I128" s="25"/>
      <c r="J128" s="759"/>
      <c r="K128" s="25"/>
      <c r="L128" s="72"/>
      <c r="M128" s="26"/>
      <c r="N128" s="26"/>
      <c r="O128" s="921">
        <v>0.93490804699999996</v>
      </c>
    </row>
    <row r="129" spans="1:17" ht="18.95" customHeight="1">
      <c r="A129" s="981"/>
      <c r="B129" s="287" t="s">
        <v>347</v>
      </c>
      <c r="C129" s="1021"/>
      <c r="D129" s="40"/>
      <c r="E129" s="25"/>
      <c r="F129" s="30"/>
      <c r="G129" s="759"/>
      <c r="H129" s="25"/>
      <c r="I129" s="25"/>
      <c r="J129" s="759"/>
      <c r="K129" s="25"/>
      <c r="L129" s="72"/>
      <c r="M129" s="26"/>
      <c r="N129" s="26"/>
      <c r="O129" s="921">
        <v>0.93490804699999996</v>
      </c>
    </row>
    <row r="130" spans="1:17" ht="18.95" customHeight="1">
      <c r="A130" s="981"/>
      <c r="B130" s="1023" t="s">
        <v>273</v>
      </c>
      <c r="C130" s="1021" t="s">
        <v>348</v>
      </c>
      <c r="D130" s="40"/>
      <c r="E130" s="25">
        <v>1</v>
      </c>
      <c r="F130" s="30" t="s">
        <v>349</v>
      </c>
      <c r="G130" s="759">
        <v>25000</v>
      </c>
      <c r="H130" s="242">
        <f t="shared" ref="H130:H140" si="10">G130*O130</f>
        <v>23372.701174999998</v>
      </c>
      <c r="I130" s="25">
        <f t="shared" si="8"/>
        <v>23372.701174999998</v>
      </c>
      <c r="J130" s="765">
        <v>0</v>
      </c>
      <c r="K130" s="25">
        <f t="shared" ref="K130:K193" si="11">J130*O130</f>
        <v>0</v>
      </c>
      <c r="L130" s="72">
        <f t="shared" si="9"/>
        <v>0</v>
      </c>
      <c r="M130" s="72">
        <f>SUM(I130,L130)</f>
        <v>23372.701174999998</v>
      </c>
      <c r="N130" s="26"/>
      <c r="O130" s="921">
        <v>0.93490804699999996</v>
      </c>
    </row>
    <row r="131" spans="1:17" ht="18.95" customHeight="1">
      <c r="A131" s="265"/>
      <c r="B131" s="714"/>
      <c r="C131" s="1020"/>
      <c r="D131" s="267"/>
      <c r="E131" s="25"/>
      <c r="F131" s="30"/>
      <c r="G131" s="759"/>
      <c r="H131" s="242"/>
      <c r="I131" s="25"/>
      <c r="J131" s="759"/>
      <c r="K131" s="25"/>
      <c r="L131" s="72"/>
      <c r="M131" s="26"/>
      <c r="N131" s="26"/>
      <c r="O131" s="921">
        <v>0.93490804699999996</v>
      </c>
    </row>
    <row r="132" spans="1:17" ht="18.95" customHeight="1">
      <c r="A132" s="265"/>
      <c r="B132" s="714"/>
      <c r="C132" s="1020"/>
      <c r="D132" s="267"/>
      <c r="E132" s="25"/>
      <c r="F132" s="30"/>
      <c r="G132" s="759"/>
      <c r="H132" s="242"/>
      <c r="I132" s="25"/>
      <c r="J132" s="759"/>
      <c r="K132" s="25"/>
      <c r="L132" s="72"/>
      <c r="M132" s="26"/>
      <c r="N132" s="26"/>
      <c r="O132" s="921">
        <v>0.93490804699999996</v>
      </c>
    </row>
    <row r="133" spans="1:17" ht="18.95" customHeight="1">
      <c r="A133" s="981"/>
      <c r="B133" s="1023" t="s">
        <v>273</v>
      </c>
      <c r="C133" s="1021" t="s">
        <v>350</v>
      </c>
      <c r="D133" s="40"/>
      <c r="E133" s="25">
        <v>5</v>
      </c>
      <c r="F133" s="30" t="s">
        <v>349</v>
      </c>
      <c r="G133" s="759">
        <v>25000</v>
      </c>
      <c r="H133" s="242">
        <f t="shared" si="10"/>
        <v>23372.701174999998</v>
      </c>
      <c r="I133" s="25">
        <f t="shared" si="8"/>
        <v>116863.50587499999</v>
      </c>
      <c r="J133" s="765">
        <v>0</v>
      </c>
      <c r="K133" s="25">
        <f t="shared" si="11"/>
        <v>0</v>
      </c>
      <c r="L133" s="72">
        <f t="shared" si="9"/>
        <v>0</v>
      </c>
      <c r="M133" s="72">
        <f>SUM(I133,L133)</f>
        <v>116863.50587499999</v>
      </c>
      <c r="N133" s="26"/>
      <c r="O133" s="921">
        <v>0.93490804699999996</v>
      </c>
    </row>
    <row r="134" spans="1:17" ht="18.95" customHeight="1">
      <c r="A134" s="981"/>
      <c r="B134" s="1023" t="s">
        <v>273</v>
      </c>
      <c r="C134" s="1021" t="s">
        <v>351</v>
      </c>
      <c r="D134" s="40"/>
      <c r="E134" s="25">
        <v>3</v>
      </c>
      <c r="F134" s="30" t="s">
        <v>349</v>
      </c>
      <c r="G134" s="759">
        <v>25000</v>
      </c>
      <c r="H134" s="242">
        <f t="shared" si="10"/>
        <v>23372.701174999998</v>
      </c>
      <c r="I134" s="25">
        <f t="shared" si="8"/>
        <v>70118.103524999999</v>
      </c>
      <c r="J134" s="765">
        <v>0</v>
      </c>
      <c r="K134" s="25">
        <f t="shared" si="11"/>
        <v>0</v>
      </c>
      <c r="L134" s="72">
        <f t="shared" si="9"/>
        <v>0</v>
      </c>
      <c r="M134" s="72">
        <f>SUM(I134,L134)</f>
        <v>70118.103524999999</v>
      </c>
      <c r="N134" s="26"/>
      <c r="O134" s="921">
        <v>0.93490804699999996</v>
      </c>
    </row>
    <row r="135" spans="1:17" ht="18.95" customHeight="1">
      <c r="A135" s="981"/>
      <c r="B135" s="1023" t="s">
        <v>273</v>
      </c>
      <c r="C135" s="1021" t="s">
        <v>352</v>
      </c>
      <c r="D135" s="40"/>
      <c r="E135" s="25">
        <v>2</v>
      </c>
      <c r="F135" s="30" t="s">
        <v>349</v>
      </c>
      <c r="G135" s="759">
        <v>25000</v>
      </c>
      <c r="H135" s="242">
        <f t="shared" si="10"/>
        <v>23372.701174999998</v>
      </c>
      <c r="I135" s="25">
        <f t="shared" si="8"/>
        <v>46745.402349999997</v>
      </c>
      <c r="J135" s="765">
        <v>0</v>
      </c>
      <c r="K135" s="25">
        <f t="shared" si="11"/>
        <v>0</v>
      </c>
      <c r="L135" s="72">
        <f t="shared" si="9"/>
        <v>0</v>
      </c>
      <c r="M135" s="72">
        <f>SUM(I135,L135)</f>
        <v>46745.402349999997</v>
      </c>
      <c r="N135" s="26"/>
      <c r="O135" s="921">
        <v>0.93490804699999996</v>
      </c>
    </row>
    <row r="136" spans="1:17" ht="18.95" customHeight="1">
      <c r="A136" s="265">
        <v>2.34</v>
      </c>
      <c r="B136" s="714" t="s">
        <v>353</v>
      </c>
      <c r="C136" s="1030"/>
      <c r="D136" s="1024"/>
      <c r="E136" s="25"/>
      <c r="F136" s="30"/>
      <c r="G136" s="759"/>
      <c r="H136" s="242">
        <f t="shared" si="10"/>
        <v>0</v>
      </c>
      <c r="I136" s="25">
        <f t="shared" si="8"/>
        <v>0</v>
      </c>
      <c r="J136" s="759"/>
      <c r="K136" s="25">
        <f t="shared" si="11"/>
        <v>0</v>
      </c>
      <c r="L136" s="72">
        <f t="shared" si="9"/>
        <v>0</v>
      </c>
      <c r="M136" s="26"/>
      <c r="N136" s="26"/>
      <c r="O136" s="921">
        <v>0.93490804699999996</v>
      </c>
    </row>
    <row r="137" spans="1:17" ht="18.95" customHeight="1">
      <c r="A137" s="981"/>
      <c r="B137" s="1023" t="s">
        <v>273</v>
      </c>
      <c r="C137" s="1020" t="s">
        <v>354</v>
      </c>
      <c r="D137" s="1031"/>
      <c r="E137" s="25">
        <v>95</v>
      </c>
      <c r="F137" s="30" t="s">
        <v>275</v>
      </c>
      <c r="G137" s="759">
        <v>150</v>
      </c>
      <c r="H137" s="242">
        <f t="shared" si="10"/>
        <v>140.23620704999999</v>
      </c>
      <c r="I137" s="25">
        <f t="shared" si="8"/>
        <v>13322.43966975</v>
      </c>
      <c r="J137" s="759">
        <v>45</v>
      </c>
      <c r="K137" s="25">
        <f t="shared" si="11"/>
        <v>42.070862114999997</v>
      </c>
      <c r="L137" s="72">
        <f t="shared" si="9"/>
        <v>3996.7319009249995</v>
      </c>
      <c r="M137" s="72">
        <f>SUM(I137,L137)</f>
        <v>17319.171570675</v>
      </c>
      <c r="N137" s="26"/>
      <c r="O137" s="921">
        <v>0.93490804699999996</v>
      </c>
    </row>
    <row r="138" spans="1:17" ht="18.95" customHeight="1">
      <c r="A138" s="981"/>
      <c r="B138" s="1023" t="s">
        <v>273</v>
      </c>
      <c r="C138" s="1020" t="s">
        <v>355</v>
      </c>
      <c r="D138" s="1031"/>
      <c r="E138" s="25">
        <v>1295</v>
      </c>
      <c r="F138" s="30" t="s">
        <v>275</v>
      </c>
      <c r="G138" s="759">
        <v>90</v>
      </c>
      <c r="H138" s="242">
        <f t="shared" si="10"/>
        <v>84.141724229999994</v>
      </c>
      <c r="I138" s="25">
        <f t="shared" si="8"/>
        <v>108963.53287785</v>
      </c>
      <c r="J138" s="759">
        <v>75</v>
      </c>
      <c r="K138" s="25">
        <f t="shared" si="11"/>
        <v>70.118103524999995</v>
      </c>
      <c r="L138" s="72">
        <f t="shared" si="9"/>
        <v>90802.944064874988</v>
      </c>
      <c r="M138" s="72">
        <f>SUM(I138,L138)</f>
        <v>199766.47694272498</v>
      </c>
      <c r="N138" s="26"/>
      <c r="O138" s="921">
        <v>0.93490804699999996</v>
      </c>
    </row>
    <row r="139" spans="1:17" ht="18.95" customHeight="1">
      <c r="A139" s="981"/>
      <c r="B139" s="1023" t="s">
        <v>273</v>
      </c>
      <c r="C139" s="1020" t="s">
        <v>356</v>
      </c>
      <c r="D139" s="1031"/>
      <c r="E139" s="25">
        <v>130</v>
      </c>
      <c r="F139" s="30" t="s">
        <v>275</v>
      </c>
      <c r="G139" s="759">
        <v>20</v>
      </c>
      <c r="H139" s="242">
        <f t="shared" si="10"/>
        <v>18.698160940000001</v>
      </c>
      <c r="I139" s="25">
        <f t="shared" si="8"/>
        <v>2430.7609222000001</v>
      </c>
      <c r="J139" s="759">
        <v>20</v>
      </c>
      <c r="K139" s="25">
        <f t="shared" si="11"/>
        <v>18.698160940000001</v>
      </c>
      <c r="L139" s="72">
        <f t="shared" si="9"/>
        <v>2430.7609222000001</v>
      </c>
      <c r="M139" s="72">
        <f>SUM(I139,L139)</f>
        <v>4861.5218444000002</v>
      </c>
      <c r="N139" s="26"/>
      <c r="O139" s="921">
        <v>0.93490804699999996</v>
      </c>
    </row>
    <row r="140" spans="1:17" ht="18.95" customHeight="1">
      <c r="A140" s="981"/>
      <c r="B140" s="1023" t="s">
        <v>273</v>
      </c>
      <c r="C140" s="1020" t="s">
        <v>357</v>
      </c>
      <c r="D140" s="1031"/>
      <c r="E140" s="25">
        <v>820</v>
      </c>
      <c r="F140" s="30" t="s">
        <v>275</v>
      </c>
      <c r="G140" s="759">
        <v>100</v>
      </c>
      <c r="H140" s="242">
        <f t="shared" si="10"/>
        <v>93.490804699999998</v>
      </c>
      <c r="I140" s="25">
        <f t="shared" si="8"/>
        <v>76662.459854000001</v>
      </c>
      <c r="J140" s="759">
        <v>20</v>
      </c>
      <c r="K140" s="25">
        <f t="shared" si="11"/>
        <v>18.698160940000001</v>
      </c>
      <c r="L140" s="72">
        <f t="shared" si="9"/>
        <v>15332.491970800002</v>
      </c>
      <c r="M140" s="72">
        <f>SUM(I140,L140)</f>
        <v>91994.951824799995</v>
      </c>
      <c r="N140" s="26"/>
      <c r="O140" s="921">
        <v>0.93490804699999996</v>
      </c>
    </row>
    <row r="141" spans="1:17" ht="18.95" customHeight="1">
      <c r="A141" s="981"/>
      <c r="B141" s="1023"/>
      <c r="C141" s="1020"/>
      <c r="D141" s="1031"/>
      <c r="E141" s="25"/>
      <c r="F141" s="30"/>
      <c r="G141" s="759"/>
      <c r="H141" s="25"/>
      <c r="I141" s="25"/>
      <c r="J141" s="759"/>
      <c r="K141" s="25"/>
      <c r="L141" s="72"/>
      <c r="M141" s="26"/>
      <c r="N141" s="26"/>
      <c r="O141" s="921">
        <v>0.93490804699999996</v>
      </c>
    </row>
    <row r="142" spans="1:17" s="724" customFormat="1" ht="18.95" customHeight="1">
      <c r="A142" s="1032"/>
      <c r="B142" s="1245" t="s">
        <v>358</v>
      </c>
      <c r="C142" s="1246"/>
      <c r="D142" s="1247"/>
      <c r="E142" s="676"/>
      <c r="F142" s="670"/>
      <c r="G142" s="1025"/>
      <c r="H142" s="676"/>
      <c r="I142" s="676"/>
      <c r="J142" s="1025"/>
      <c r="K142" s="676"/>
      <c r="L142" s="676"/>
      <c r="M142" s="1050">
        <f>SUM(M84:M141)</f>
        <v>17861361.208544131</v>
      </c>
      <c r="N142" s="670"/>
      <c r="O142" s="1051">
        <v>0.93490804699999996</v>
      </c>
      <c r="P142" s="1028"/>
      <c r="Q142" s="1028"/>
    </row>
    <row r="143" spans="1:17" ht="18.95" customHeight="1">
      <c r="A143" s="981"/>
      <c r="B143" s="317"/>
      <c r="C143" s="318"/>
      <c r="D143" s="319"/>
      <c r="E143" s="25"/>
      <c r="F143" s="30"/>
      <c r="G143" s="759"/>
      <c r="H143" s="25"/>
      <c r="I143" s="25"/>
      <c r="J143" s="759"/>
      <c r="K143" s="25"/>
      <c r="L143" s="72"/>
      <c r="M143" s="26"/>
      <c r="N143" s="26"/>
      <c r="O143" s="921">
        <v>0.93490804699999996</v>
      </c>
    </row>
    <row r="144" spans="1:17" ht="18.95" customHeight="1">
      <c r="A144" s="981"/>
      <c r="B144" s="317"/>
      <c r="C144" s="318"/>
      <c r="D144" s="319"/>
      <c r="E144" s="25"/>
      <c r="F144" s="30"/>
      <c r="G144" s="759"/>
      <c r="H144" s="25"/>
      <c r="I144" s="25"/>
      <c r="J144" s="759"/>
      <c r="K144" s="25"/>
      <c r="L144" s="72"/>
      <c r="M144" s="26"/>
      <c r="N144" s="26"/>
      <c r="O144" s="921">
        <v>0.93490804699999996</v>
      </c>
    </row>
    <row r="145" spans="1:15" ht="18.95" customHeight="1">
      <c r="A145" s="981"/>
      <c r="B145" s="317"/>
      <c r="C145" s="318"/>
      <c r="D145" s="319"/>
      <c r="E145" s="25"/>
      <c r="F145" s="30"/>
      <c r="G145" s="759"/>
      <c r="H145" s="25"/>
      <c r="I145" s="25"/>
      <c r="J145" s="759"/>
      <c r="K145" s="25"/>
      <c r="L145" s="72"/>
      <c r="M145" s="26"/>
      <c r="N145" s="26"/>
      <c r="O145" s="921">
        <v>0.93490804699999996</v>
      </c>
    </row>
    <row r="146" spans="1:15" ht="18.95" customHeight="1">
      <c r="A146" s="981"/>
      <c r="B146" s="317"/>
      <c r="C146" s="318"/>
      <c r="D146" s="319"/>
      <c r="E146" s="25"/>
      <c r="F146" s="30"/>
      <c r="G146" s="759"/>
      <c r="H146" s="25"/>
      <c r="I146" s="25"/>
      <c r="J146" s="759"/>
      <c r="K146" s="25"/>
      <c r="L146" s="72"/>
      <c r="M146" s="26"/>
      <c r="N146" s="26"/>
      <c r="O146" s="921">
        <v>0.93490804699999996</v>
      </c>
    </row>
    <row r="147" spans="1:15" ht="18.95" customHeight="1">
      <c r="A147" s="981"/>
      <c r="B147" s="317"/>
      <c r="C147" s="318"/>
      <c r="D147" s="319"/>
      <c r="E147" s="25"/>
      <c r="F147" s="30"/>
      <c r="G147" s="759"/>
      <c r="H147" s="25"/>
      <c r="I147" s="25"/>
      <c r="J147" s="759"/>
      <c r="K147" s="25"/>
      <c r="L147" s="72"/>
      <c r="M147" s="26"/>
      <c r="N147" s="26"/>
      <c r="O147" s="921">
        <v>0.93490804699999996</v>
      </c>
    </row>
    <row r="148" spans="1:15" ht="18.95" customHeight="1">
      <c r="A148" s="981"/>
      <c r="B148" s="317"/>
      <c r="C148" s="318"/>
      <c r="D148" s="319"/>
      <c r="E148" s="25"/>
      <c r="F148" s="30"/>
      <c r="G148" s="759"/>
      <c r="H148" s="25"/>
      <c r="I148" s="25"/>
      <c r="J148" s="759"/>
      <c r="K148" s="25"/>
      <c r="L148" s="72"/>
      <c r="M148" s="26"/>
      <c r="N148" s="26"/>
      <c r="O148" s="921">
        <v>0.93490804699999996</v>
      </c>
    </row>
    <row r="149" spans="1:15" ht="18.95" customHeight="1">
      <c r="A149" s="981"/>
      <c r="B149" s="317"/>
      <c r="C149" s="318"/>
      <c r="D149" s="319"/>
      <c r="E149" s="25"/>
      <c r="F149" s="30"/>
      <c r="G149" s="759"/>
      <c r="H149" s="25"/>
      <c r="I149" s="25"/>
      <c r="J149" s="759"/>
      <c r="K149" s="25"/>
      <c r="L149" s="72"/>
      <c r="M149" s="26"/>
      <c r="N149" s="26"/>
      <c r="O149" s="921">
        <v>0.93490804699999996</v>
      </c>
    </row>
    <row r="150" spans="1:15" ht="18.95" customHeight="1">
      <c r="A150" s="981"/>
      <c r="B150" s="317"/>
      <c r="C150" s="318"/>
      <c r="D150" s="319"/>
      <c r="E150" s="25"/>
      <c r="F150" s="30"/>
      <c r="G150" s="759"/>
      <c r="H150" s="25"/>
      <c r="I150" s="25"/>
      <c r="J150" s="759"/>
      <c r="K150" s="25"/>
      <c r="L150" s="72"/>
      <c r="M150" s="26"/>
      <c r="N150" s="26"/>
      <c r="O150" s="921">
        <v>0.93490804699999996</v>
      </c>
    </row>
    <row r="151" spans="1:15" ht="18.95" customHeight="1">
      <c r="A151" s="265"/>
      <c r="B151" s="317"/>
      <c r="C151" s="419"/>
      <c r="D151" s="319"/>
      <c r="E151" s="25"/>
      <c r="F151" s="30"/>
      <c r="G151" s="759"/>
      <c r="H151" s="25"/>
      <c r="I151" s="25"/>
      <c r="J151" s="759"/>
      <c r="K151" s="25"/>
      <c r="L151" s="72"/>
      <c r="M151" s="26"/>
      <c r="N151" s="26"/>
      <c r="O151" s="921">
        <v>0.93490804699999996</v>
      </c>
    </row>
    <row r="152" spans="1:15" ht="18.95" customHeight="1">
      <c r="A152" s="265"/>
      <c r="B152" s="317"/>
      <c r="C152" s="318"/>
      <c r="D152" s="319"/>
      <c r="E152" s="25"/>
      <c r="F152" s="30"/>
      <c r="G152" s="759"/>
      <c r="H152" s="25"/>
      <c r="I152" s="25"/>
      <c r="J152" s="759"/>
      <c r="K152" s="25"/>
      <c r="L152" s="30"/>
      <c r="M152" s="25"/>
      <c r="N152" s="26"/>
      <c r="O152" s="921">
        <v>0.93490804699999996</v>
      </c>
    </row>
    <row r="153" spans="1:15" ht="18.95" customHeight="1">
      <c r="A153" s="265"/>
      <c r="B153" s="317"/>
      <c r="C153" s="318"/>
      <c r="D153" s="319"/>
      <c r="E153" s="25"/>
      <c r="F153" s="30"/>
      <c r="G153" s="759"/>
      <c r="H153" s="25"/>
      <c r="I153" s="25"/>
      <c r="J153" s="759"/>
      <c r="K153" s="25"/>
      <c r="L153" s="30"/>
      <c r="M153" s="25"/>
      <c r="N153" s="26"/>
      <c r="O153" s="921">
        <v>0.93490804699999996</v>
      </c>
    </row>
    <row r="154" spans="1:15" ht="18.95" customHeight="1">
      <c r="A154" s="265"/>
      <c r="B154" s="317"/>
      <c r="C154" s="318"/>
      <c r="D154" s="319"/>
      <c r="E154" s="25"/>
      <c r="F154" s="30"/>
      <c r="G154" s="759"/>
      <c r="H154" s="25"/>
      <c r="I154" s="25"/>
      <c r="J154" s="759"/>
      <c r="K154" s="25"/>
      <c r="L154" s="30"/>
      <c r="M154" s="25"/>
      <c r="N154" s="26"/>
      <c r="O154" s="921">
        <v>0.93490804699999996</v>
      </c>
    </row>
    <row r="155" spans="1:15" ht="18.95" customHeight="1">
      <c r="A155" s="265"/>
      <c r="B155" s="317"/>
      <c r="C155" s="318"/>
      <c r="D155" s="319"/>
      <c r="E155" s="25"/>
      <c r="F155" s="30"/>
      <c r="G155" s="759"/>
      <c r="H155" s="25"/>
      <c r="I155" s="25"/>
      <c r="J155" s="759"/>
      <c r="K155" s="25"/>
      <c r="L155" s="30"/>
      <c r="M155" s="25"/>
      <c r="N155" s="26"/>
      <c r="O155" s="921">
        <v>0.93490804699999996</v>
      </c>
    </row>
    <row r="156" spans="1:15" ht="18.95" customHeight="1">
      <c r="A156" s="265"/>
      <c r="B156" s="1023"/>
      <c r="C156" s="1020"/>
      <c r="D156" s="1031"/>
      <c r="E156" s="25"/>
      <c r="F156" s="30"/>
      <c r="G156" s="759"/>
      <c r="H156" s="25"/>
      <c r="I156" s="25"/>
      <c r="J156" s="759"/>
      <c r="K156" s="25"/>
      <c r="L156" s="30"/>
      <c r="M156" s="25"/>
      <c r="N156" s="26"/>
      <c r="O156" s="921">
        <v>0.93490804699999996</v>
      </c>
    </row>
    <row r="157" spans="1:15" ht="18.95" customHeight="1">
      <c r="A157" s="265"/>
      <c r="B157" s="1033"/>
      <c r="C157" s="1034"/>
      <c r="D157" s="1031"/>
      <c r="E157" s="25"/>
      <c r="F157" s="30"/>
      <c r="G157" s="759"/>
      <c r="H157" s="25"/>
      <c r="I157" s="25"/>
      <c r="J157" s="759"/>
      <c r="K157" s="25"/>
      <c r="L157" s="30"/>
      <c r="M157" s="25"/>
      <c r="N157" s="26"/>
      <c r="O157" s="921">
        <v>0.93490804699999996</v>
      </c>
    </row>
    <row r="158" spans="1:15" ht="18.95" customHeight="1">
      <c r="A158" s="265"/>
      <c r="B158" s="1033"/>
      <c r="C158" s="1034"/>
      <c r="D158" s="1031"/>
      <c r="E158" s="25"/>
      <c r="F158" s="30"/>
      <c r="G158" s="759"/>
      <c r="H158" s="25"/>
      <c r="I158" s="25"/>
      <c r="J158" s="759"/>
      <c r="K158" s="25"/>
      <c r="L158" s="30"/>
      <c r="M158" s="25"/>
      <c r="N158" s="26"/>
      <c r="O158" s="921">
        <v>0.93490804699999996</v>
      </c>
    </row>
    <row r="159" spans="1:15" ht="18.95" customHeight="1">
      <c r="A159" s="265"/>
      <c r="B159" s="1033"/>
      <c r="C159" s="1034"/>
      <c r="D159" s="1031"/>
      <c r="E159" s="25"/>
      <c r="F159" s="30"/>
      <c r="G159" s="759"/>
      <c r="H159" s="25"/>
      <c r="I159" s="25"/>
      <c r="J159" s="759"/>
      <c r="K159" s="25"/>
      <c r="L159" s="30"/>
      <c r="M159" s="25"/>
      <c r="N159" s="26"/>
      <c r="O159" s="921">
        <v>0.93490804699999996</v>
      </c>
    </row>
    <row r="160" spans="1:15" ht="18.95" customHeight="1">
      <c r="A160" s="268">
        <v>3</v>
      </c>
      <c r="B160" s="1162" t="s">
        <v>359</v>
      </c>
      <c r="C160" s="1035"/>
      <c r="D160" s="1036"/>
      <c r="E160" s="25"/>
      <c r="F160" s="30"/>
      <c r="G160" s="759"/>
      <c r="H160" s="25"/>
      <c r="I160" s="25"/>
      <c r="J160" s="765"/>
      <c r="K160" s="25"/>
      <c r="L160" s="34"/>
      <c r="M160" s="26"/>
      <c r="N160" s="26"/>
      <c r="O160" s="921">
        <v>0.93490804699999996</v>
      </c>
    </row>
    <row r="161" spans="1:17" ht="18.95" customHeight="1">
      <c r="A161" s="1014"/>
      <c r="B161" s="994"/>
      <c r="C161" s="1035"/>
      <c r="D161" s="1037"/>
      <c r="E161" s="25"/>
      <c r="F161" s="30"/>
      <c r="G161" s="759"/>
      <c r="H161" s="25"/>
      <c r="I161" s="25"/>
      <c r="J161" s="765"/>
      <c r="K161" s="25"/>
      <c r="L161" s="34"/>
      <c r="M161" s="26"/>
      <c r="N161" s="26"/>
      <c r="O161" s="921">
        <v>0.93490804699999996</v>
      </c>
    </row>
    <row r="162" spans="1:17" ht="18.95" customHeight="1">
      <c r="A162" s="372">
        <v>3.1</v>
      </c>
      <c r="B162" s="714" t="s">
        <v>360</v>
      </c>
      <c r="C162" s="1038" t="s">
        <v>361</v>
      </c>
      <c r="D162" s="1039"/>
      <c r="E162" s="25">
        <v>2567</v>
      </c>
      <c r="F162" s="30" t="s">
        <v>211</v>
      </c>
      <c r="G162" s="759">
        <v>0</v>
      </c>
      <c r="H162" s="25"/>
      <c r="I162" s="25">
        <v>0</v>
      </c>
      <c r="J162" s="759">
        <v>0</v>
      </c>
      <c r="K162" s="25"/>
      <c r="L162" s="72">
        <v>0</v>
      </c>
      <c r="M162" s="72">
        <v>0</v>
      </c>
      <c r="N162" s="72"/>
      <c r="O162" s="921">
        <v>0.93490804699999996</v>
      </c>
    </row>
    <row r="163" spans="1:17" ht="18.95" customHeight="1">
      <c r="A163" s="372">
        <v>3.2</v>
      </c>
      <c r="B163" s="714" t="s">
        <v>362</v>
      </c>
      <c r="C163" s="1038" t="s">
        <v>363</v>
      </c>
      <c r="D163" s="1039"/>
      <c r="E163" s="25">
        <v>375</v>
      </c>
      <c r="F163" s="30" t="s">
        <v>211</v>
      </c>
      <c r="G163" s="1010">
        <v>0</v>
      </c>
      <c r="H163" s="1040"/>
      <c r="I163" s="25">
        <f>G163*E163</f>
        <v>0</v>
      </c>
      <c r="J163" s="1010">
        <v>30</v>
      </c>
      <c r="K163" s="25">
        <f t="shared" si="11"/>
        <v>28.047241409999998</v>
      </c>
      <c r="L163" s="72">
        <f>K163*E163</f>
        <v>10517.715528749999</v>
      </c>
      <c r="M163" s="72">
        <f t="shared" ref="M163:M168" si="12">SUM(I163,L163)</f>
        <v>10517.715528749999</v>
      </c>
      <c r="N163" s="72"/>
      <c r="O163" s="921">
        <v>0.93490804699999996</v>
      </c>
    </row>
    <row r="164" spans="1:17" s="725" customFormat="1" ht="18.95" customHeight="1">
      <c r="A164" s="372">
        <v>3.3</v>
      </c>
      <c r="B164" s="714" t="s">
        <v>364</v>
      </c>
      <c r="C164" s="1038" t="s">
        <v>365</v>
      </c>
      <c r="D164" s="1039"/>
      <c r="E164" s="25">
        <v>3080</v>
      </c>
      <c r="F164" s="30" t="s">
        <v>211</v>
      </c>
      <c r="G164" s="1010">
        <v>30</v>
      </c>
      <c r="H164" s="242">
        <f t="shared" ref="H164:H200" si="13">G164*O164</f>
        <v>28.047241409999998</v>
      </c>
      <c r="I164" s="25">
        <f>H164*E164</f>
        <v>86385.503542799997</v>
      </c>
      <c r="J164" s="1010">
        <v>30</v>
      </c>
      <c r="K164" s="25">
        <f t="shared" si="11"/>
        <v>28.047241409999998</v>
      </c>
      <c r="L164" s="72">
        <f t="shared" ref="L164:L200" si="14">K164*E164</f>
        <v>86385.503542799997</v>
      </c>
      <c r="M164" s="72">
        <f t="shared" si="12"/>
        <v>172771.00708559999</v>
      </c>
      <c r="N164" s="72"/>
      <c r="O164" s="921">
        <v>0.93490804699999996</v>
      </c>
      <c r="P164" s="986" t="s">
        <v>214</v>
      </c>
      <c r="Q164" s="986"/>
    </row>
    <row r="165" spans="1:17" s="725" customFormat="1" ht="18.95" customHeight="1">
      <c r="A165" s="372">
        <v>3.4</v>
      </c>
      <c r="B165" s="714" t="s">
        <v>366</v>
      </c>
      <c r="C165" s="1039" t="s">
        <v>367</v>
      </c>
      <c r="D165" s="1039"/>
      <c r="E165" s="25">
        <v>310</v>
      </c>
      <c r="F165" s="30" t="s">
        <v>211</v>
      </c>
      <c r="G165" s="759">
        <v>68</v>
      </c>
      <c r="H165" s="242">
        <f t="shared" si="13"/>
        <v>63.573747195999999</v>
      </c>
      <c r="I165" s="25">
        <f t="shared" ref="I165:I200" si="15">H165*E165</f>
        <v>19707.861630759999</v>
      </c>
      <c r="J165" s="759">
        <v>99</v>
      </c>
      <c r="K165" s="25">
        <f t="shared" si="11"/>
        <v>92.555896652999991</v>
      </c>
      <c r="L165" s="72">
        <f t="shared" si="14"/>
        <v>28692.327962429998</v>
      </c>
      <c r="M165" s="72">
        <f t="shared" si="12"/>
        <v>48400.189593189993</v>
      </c>
      <c r="N165" s="72"/>
      <c r="O165" s="921">
        <v>0.93490804699999996</v>
      </c>
      <c r="P165" s="986" t="s">
        <v>214</v>
      </c>
      <c r="Q165" s="986"/>
    </row>
    <row r="166" spans="1:17" s="725" customFormat="1" ht="18.95" customHeight="1">
      <c r="A166" s="372">
        <v>3.5</v>
      </c>
      <c r="B166" s="714" t="s">
        <v>368</v>
      </c>
      <c r="C166" s="1039" t="s">
        <v>369</v>
      </c>
      <c r="D166" s="1036"/>
      <c r="E166" s="25">
        <v>960</v>
      </c>
      <c r="F166" s="30" t="s">
        <v>211</v>
      </c>
      <c r="G166" s="759">
        <v>270</v>
      </c>
      <c r="H166" s="242">
        <f t="shared" si="13"/>
        <v>252.42517268999998</v>
      </c>
      <c r="I166" s="25">
        <f t="shared" si="15"/>
        <v>242328.16578239997</v>
      </c>
      <c r="J166" s="759">
        <v>75</v>
      </c>
      <c r="K166" s="25">
        <f t="shared" si="11"/>
        <v>70.118103524999995</v>
      </c>
      <c r="L166" s="72">
        <f t="shared" si="14"/>
        <v>67313.379384</v>
      </c>
      <c r="M166" s="72">
        <f t="shared" si="12"/>
        <v>309641.54516639997</v>
      </c>
      <c r="N166" s="72"/>
      <c r="O166" s="921">
        <v>0.93490804699999996</v>
      </c>
      <c r="P166" s="986" t="s">
        <v>214</v>
      </c>
      <c r="Q166" s="986"/>
    </row>
    <row r="167" spans="1:17" s="725" customFormat="1" ht="18.95" customHeight="1">
      <c r="A167" s="372">
        <v>3.6</v>
      </c>
      <c r="B167" s="714" t="s">
        <v>370</v>
      </c>
      <c r="C167" s="1038" t="s">
        <v>371</v>
      </c>
      <c r="D167" s="1039"/>
      <c r="E167" s="25">
        <v>255</v>
      </c>
      <c r="F167" s="30" t="s">
        <v>211</v>
      </c>
      <c r="G167" s="765">
        <v>370</v>
      </c>
      <c r="H167" s="242">
        <f t="shared" si="13"/>
        <v>345.91597738999997</v>
      </c>
      <c r="I167" s="25">
        <f t="shared" si="15"/>
        <v>88208.574234449989</v>
      </c>
      <c r="J167" s="759">
        <v>75</v>
      </c>
      <c r="K167" s="25">
        <f t="shared" si="11"/>
        <v>70.118103524999995</v>
      </c>
      <c r="L167" s="72">
        <f t="shared" si="14"/>
        <v>17880.116398874998</v>
      </c>
      <c r="M167" s="72">
        <f t="shared" si="12"/>
        <v>106088.69063332499</v>
      </c>
      <c r="N167" s="72"/>
      <c r="O167" s="921">
        <v>0.93490804699999996</v>
      </c>
      <c r="P167" s="986" t="s">
        <v>214</v>
      </c>
      <c r="Q167" s="986"/>
    </row>
    <row r="168" spans="1:17" s="725" customFormat="1" ht="18.95" customHeight="1">
      <c r="A168" s="372">
        <v>3.7</v>
      </c>
      <c r="B168" s="714" t="s">
        <v>372</v>
      </c>
      <c r="C168" s="1041" t="s">
        <v>373</v>
      </c>
      <c r="D168" s="1039"/>
      <c r="E168" s="25">
        <v>58</v>
      </c>
      <c r="F168" s="30" t="s">
        <v>211</v>
      </c>
      <c r="G168" s="759">
        <v>392</v>
      </c>
      <c r="H168" s="242">
        <f t="shared" si="13"/>
        <v>366.48395442399999</v>
      </c>
      <c r="I168" s="25">
        <f t="shared" si="15"/>
        <v>21256.069356592001</v>
      </c>
      <c r="J168" s="759">
        <v>75</v>
      </c>
      <c r="K168" s="25">
        <f t="shared" si="11"/>
        <v>70.118103524999995</v>
      </c>
      <c r="L168" s="72">
        <f t="shared" si="14"/>
        <v>4066.8500044499997</v>
      </c>
      <c r="M168" s="72">
        <f t="shared" si="12"/>
        <v>25322.919361042001</v>
      </c>
      <c r="N168" s="72"/>
      <c r="O168" s="921">
        <v>0.93490804699999996</v>
      </c>
      <c r="P168" s="986" t="s">
        <v>214</v>
      </c>
      <c r="Q168" s="986"/>
    </row>
    <row r="169" spans="1:17" s="725" customFormat="1" ht="18.95" customHeight="1">
      <c r="A169" s="372"/>
      <c r="B169" s="714"/>
      <c r="C169" s="1038" t="s">
        <v>374</v>
      </c>
      <c r="D169" s="1036"/>
      <c r="E169" s="25"/>
      <c r="F169" s="30"/>
      <c r="G169" s="759"/>
      <c r="H169" s="242"/>
      <c r="I169" s="25"/>
      <c r="J169" s="759"/>
      <c r="K169" s="25"/>
      <c r="L169" s="72"/>
      <c r="M169" s="72"/>
      <c r="N169" s="26"/>
      <c r="O169" s="921">
        <v>0.93490804699999996</v>
      </c>
      <c r="P169" s="986"/>
      <c r="Q169" s="986"/>
    </row>
    <row r="170" spans="1:17" ht="18.95" customHeight="1">
      <c r="A170" s="372">
        <v>3.8</v>
      </c>
      <c r="B170" s="714" t="s">
        <v>375</v>
      </c>
      <c r="C170" s="1038" t="s">
        <v>376</v>
      </c>
      <c r="D170" s="1039"/>
      <c r="E170" s="25">
        <v>2210</v>
      </c>
      <c r="F170" s="30" t="s">
        <v>211</v>
      </c>
      <c r="G170" s="765">
        <v>558</v>
      </c>
      <c r="H170" s="242">
        <f t="shared" si="13"/>
        <v>521.67869022599996</v>
      </c>
      <c r="I170" s="25">
        <f t="shared" si="15"/>
        <v>1152909.9053994599</v>
      </c>
      <c r="J170" s="759">
        <v>75</v>
      </c>
      <c r="K170" s="25">
        <f t="shared" si="11"/>
        <v>70.118103524999995</v>
      </c>
      <c r="L170" s="72">
        <f t="shared" si="14"/>
        <v>154961.00879024999</v>
      </c>
      <c r="M170" s="72">
        <f>SUM(I170,L170)</f>
        <v>1307870.9141897098</v>
      </c>
      <c r="N170" s="26"/>
      <c r="O170" s="921">
        <v>0.93490804699999996</v>
      </c>
    </row>
    <row r="171" spans="1:17" ht="18.95" customHeight="1">
      <c r="A171" s="573"/>
      <c r="B171" s="714"/>
      <c r="C171" s="1038" t="s">
        <v>377</v>
      </c>
      <c r="D171" s="1039"/>
      <c r="E171" s="25"/>
      <c r="F171" s="30"/>
      <c r="G171" s="765"/>
      <c r="H171" s="242"/>
      <c r="I171" s="25"/>
      <c r="J171" s="759"/>
      <c r="K171" s="25"/>
      <c r="L171" s="72"/>
      <c r="M171" s="72"/>
      <c r="N171" s="26"/>
      <c r="O171" s="921">
        <v>0.93490804699999996</v>
      </c>
    </row>
    <row r="172" spans="1:17" ht="18.95" customHeight="1">
      <c r="A172" s="372">
        <v>3.9</v>
      </c>
      <c r="B172" s="714" t="s">
        <v>378</v>
      </c>
      <c r="C172" s="1038" t="s">
        <v>379</v>
      </c>
      <c r="D172" s="1039"/>
      <c r="E172" s="25">
        <v>350</v>
      </c>
      <c r="F172" s="30" t="s">
        <v>211</v>
      </c>
      <c r="G172" s="759">
        <v>1450</v>
      </c>
      <c r="H172" s="242">
        <f t="shared" si="13"/>
        <v>1355.6166681499999</v>
      </c>
      <c r="I172" s="25">
        <f t="shared" si="15"/>
        <v>474465.83385249996</v>
      </c>
      <c r="J172" s="759">
        <v>1500</v>
      </c>
      <c r="K172" s="25">
        <f t="shared" si="11"/>
        <v>1402.3620704999998</v>
      </c>
      <c r="L172" s="72">
        <f t="shared" si="14"/>
        <v>490826.72467499995</v>
      </c>
      <c r="M172" s="72">
        <f>SUM(I172,L172)</f>
        <v>965292.5585274999</v>
      </c>
      <c r="N172" s="26"/>
      <c r="O172" s="921">
        <v>0.93490804699999996</v>
      </c>
    </row>
    <row r="173" spans="1:17" ht="18.95" customHeight="1">
      <c r="A173" s="1005"/>
      <c r="B173" s="714"/>
      <c r="C173" s="1042" t="s">
        <v>343</v>
      </c>
      <c r="D173" s="1039"/>
      <c r="E173" s="25"/>
      <c r="F173" s="30"/>
      <c r="G173" s="759"/>
      <c r="H173" s="242"/>
      <c r="I173" s="25"/>
      <c r="J173" s="759"/>
      <c r="K173" s="25"/>
      <c r="L173" s="72"/>
      <c r="M173" s="72"/>
      <c r="N173" s="26"/>
      <c r="O173" s="921">
        <v>0.93490804699999996</v>
      </c>
    </row>
    <row r="174" spans="1:17" ht="18.95" customHeight="1">
      <c r="A174" s="573">
        <v>3.1</v>
      </c>
      <c r="B174" s="714" t="s">
        <v>380</v>
      </c>
      <c r="C174" s="1038" t="s">
        <v>381</v>
      </c>
      <c r="D174" s="1036"/>
      <c r="E174" s="25" t="s">
        <v>258</v>
      </c>
      <c r="F174" s="30"/>
      <c r="G174" s="759"/>
      <c r="H174" s="242"/>
      <c r="I174" s="25"/>
      <c r="J174" s="759"/>
      <c r="K174" s="25"/>
      <c r="L174" s="72"/>
      <c r="M174" s="72"/>
      <c r="N174" s="288" t="s">
        <v>259</v>
      </c>
      <c r="O174" s="921">
        <v>0.93490804699999996</v>
      </c>
    </row>
    <row r="175" spans="1:17" ht="18.95" customHeight="1">
      <c r="A175" s="981"/>
      <c r="B175" s="714"/>
      <c r="C175" s="1038" t="s">
        <v>343</v>
      </c>
      <c r="D175" s="1036"/>
      <c r="E175" s="25"/>
      <c r="F175" s="30"/>
      <c r="G175" s="759"/>
      <c r="H175" s="242"/>
      <c r="I175" s="25"/>
      <c r="J175" s="759"/>
      <c r="K175" s="25"/>
      <c r="L175" s="72"/>
      <c r="M175" s="72"/>
      <c r="N175" s="26"/>
      <c r="O175" s="921">
        <v>0.93490804699999996</v>
      </c>
    </row>
    <row r="176" spans="1:17" ht="18.95" customHeight="1">
      <c r="A176" s="981">
        <v>3.11</v>
      </c>
      <c r="B176" s="714" t="s">
        <v>382</v>
      </c>
      <c r="C176" s="1038" t="s">
        <v>383</v>
      </c>
      <c r="D176" s="1036"/>
      <c r="E176" s="25">
        <v>2335</v>
      </c>
      <c r="F176" s="30" t="s">
        <v>211</v>
      </c>
      <c r="G176" s="759">
        <v>1150</v>
      </c>
      <c r="H176" s="242">
        <f t="shared" si="13"/>
        <v>1075.14425405</v>
      </c>
      <c r="I176" s="25">
        <f t="shared" si="15"/>
        <v>2510461.83320675</v>
      </c>
      <c r="J176" s="759">
        <v>500</v>
      </c>
      <c r="K176" s="25">
        <f t="shared" si="11"/>
        <v>467.45402350000001</v>
      </c>
      <c r="L176" s="72">
        <f t="shared" si="14"/>
        <v>1091505.1448725001</v>
      </c>
      <c r="M176" s="72">
        <f t="shared" ref="M176:M182" si="16">SUM(I176,L176)</f>
        <v>3601966.9780792501</v>
      </c>
      <c r="N176" s="26"/>
      <c r="O176" s="921">
        <v>0.93490804699999996</v>
      </c>
    </row>
    <row r="177" spans="1:15" ht="18.95" customHeight="1">
      <c r="A177" s="981"/>
      <c r="B177" s="714"/>
      <c r="C177" s="1038" t="s">
        <v>384</v>
      </c>
      <c r="D177" s="1036"/>
      <c r="E177" s="25"/>
      <c r="F177" s="30"/>
      <c r="G177" s="759"/>
      <c r="H177" s="242"/>
      <c r="I177" s="25"/>
      <c r="J177" s="759"/>
      <c r="K177" s="25"/>
      <c r="L177" s="72"/>
      <c r="M177" s="72"/>
      <c r="N177" s="26"/>
      <c r="O177" s="921">
        <v>0.93490804699999996</v>
      </c>
    </row>
    <row r="178" spans="1:15" ht="18.95" customHeight="1">
      <c r="A178" s="981">
        <v>3.12</v>
      </c>
      <c r="B178" s="1043" t="s">
        <v>385</v>
      </c>
      <c r="C178" s="1044" t="s">
        <v>386</v>
      </c>
      <c r="D178" s="1045"/>
      <c r="E178" s="25">
        <v>2315</v>
      </c>
      <c r="F178" s="30" t="s">
        <v>211</v>
      </c>
      <c r="G178" s="759">
        <v>1200</v>
      </c>
      <c r="H178" s="242">
        <f t="shared" si="13"/>
        <v>1121.8896563999999</v>
      </c>
      <c r="I178" s="25">
        <f t="shared" si="15"/>
        <v>2597174.5545659997</v>
      </c>
      <c r="J178" s="759">
        <v>150</v>
      </c>
      <c r="K178" s="25">
        <f t="shared" si="11"/>
        <v>140.23620704999999</v>
      </c>
      <c r="L178" s="72">
        <f t="shared" si="14"/>
        <v>324646.81932074996</v>
      </c>
      <c r="M178" s="72">
        <f t="shared" si="16"/>
        <v>2921821.3738867496</v>
      </c>
      <c r="N178" s="26"/>
      <c r="O178" s="921">
        <v>0.93490804699999996</v>
      </c>
    </row>
    <row r="179" spans="1:15" ht="18.95" customHeight="1">
      <c r="A179" s="981">
        <v>3.13</v>
      </c>
      <c r="B179" s="1043" t="s">
        <v>387</v>
      </c>
      <c r="C179" s="1038" t="s">
        <v>388</v>
      </c>
      <c r="D179" s="1045"/>
      <c r="E179" s="25">
        <v>537</v>
      </c>
      <c r="F179" s="30" t="s">
        <v>211</v>
      </c>
      <c r="G179" s="759">
        <v>1200</v>
      </c>
      <c r="H179" s="242">
        <f t="shared" si="13"/>
        <v>1121.8896563999999</v>
      </c>
      <c r="I179" s="25">
        <f t="shared" si="15"/>
        <v>602454.74548679998</v>
      </c>
      <c r="J179" s="759">
        <v>150</v>
      </c>
      <c r="K179" s="25">
        <f t="shared" si="11"/>
        <v>140.23620704999999</v>
      </c>
      <c r="L179" s="72">
        <f t="shared" si="14"/>
        <v>75306.843185849997</v>
      </c>
      <c r="M179" s="72">
        <f t="shared" si="16"/>
        <v>677761.58867264993</v>
      </c>
      <c r="N179" s="26"/>
      <c r="O179" s="921">
        <v>0.93490804699999996</v>
      </c>
    </row>
    <row r="180" spans="1:15" ht="18.95" customHeight="1">
      <c r="A180" s="981">
        <v>3.14</v>
      </c>
      <c r="B180" s="1018" t="s">
        <v>389</v>
      </c>
      <c r="C180" s="1038" t="s">
        <v>390</v>
      </c>
      <c r="D180" s="1045"/>
      <c r="E180" s="25">
        <v>100</v>
      </c>
      <c r="F180" s="30" t="s">
        <v>211</v>
      </c>
      <c r="G180" s="759">
        <v>2250</v>
      </c>
      <c r="H180" s="242">
        <f t="shared" si="13"/>
        <v>2103.54310575</v>
      </c>
      <c r="I180" s="25">
        <f t="shared" si="15"/>
        <v>210354.31057500001</v>
      </c>
      <c r="J180" s="759">
        <v>150</v>
      </c>
      <c r="K180" s="25">
        <f t="shared" si="11"/>
        <v>140.23620704999999</v>
      </c>
      <c r="L180" s="72">
        <f t="shared" si="14"/>
        <v>14023.620704999999</v>
      </c>
      <c r="M180" s="72">
        <f t="shared" si="16"/>
        <v>224377.93128000002</v>
      </c>
      <c r="N180" s="26"/>
      <c r="O180" s="921">
        <v>0.93490804699999996</v>
      </c>
    </row>
    <row r="181" spans="1:15" ht="18.95" customHeight="1">
      <c r="A181" s="981">
        <v>3.15</v>
      </c>
      <c r="B181" s="1018" t="s">
        <v>391</v>
      </c>
      <c r="C181" s="1038" t="s">
        <v>392</v>
      </c>
      <c r="D181" s="1045"/>
      <c r="E181" s="25">
        <v>40</v>
      </c>
      <c r="F181" s="30" t="s">
        <v>211</v>
      </c>
      <c r="G181" s="759">
        <v>1200</v>
      </c>
      <c r="H181" s="242">
        <f t="shared" si="13"/>
        <v>1121.8896563999999</v>
      </c>
      <c r="I181" s="25">
        <f t="shared" si="15"/>
        <v>44875.586255999995</v>
      </c>
      <c r="J181" s="759">
        <v>500</v>
      </c>
      <c r="K181" s="25">
        <f t="shared" si="11"/>
        <v>467.45402350000001</v>
      </c>
      <c r="L181" s="72">
        <f t="shared" si="14"/>
        <v>18698.160940000002</v>
      </c>
      <c r="M181" s="72">
        <f t="shared" si="16"/>
        <v>63573.747195999997</v>
      </c>
      <c r="N181" s="26"/>
      <c r="O181" s="921">
        <v>0.93490804699999996</v>
      </c>
    </row>
    <row r="182" spans="1:15" ht="18.95" customHeight="1">
      <c r="A182" s="981"/>
      <c r="B182" s="1046" t="s">
        <v>273</v>
      </c>
      <c r="C182" s="1038" t="s">
        <v>393</v>
      </c>
      <c r="D182" s="1045"/>
      <c r="E182" s="25">
        <v>40</v>
      </c>
      <c r="F182" s="30" t="s">
        <v>211</v>
      </c>
      <c r="G182" s="759">
        <v>120</v>
      </c>
      <c r="H182" s="242">
        <f t="shared" si="13"/>
        <v>112.18896563999999</v>
      </c>
      <c r="I182" s="25">
        <f t="shared" si="15"/>
        <v>4487.5586255999997</v>
      </c>
      <c r="J182" s="759">
        <v>80</v>
      </c>
      <c r="K182" s="25">
        <f t="shared" si="11"/>
        <v>74.792643760000004</v>
      </c>
      <c r="L182" s="72">
        <f t="shared" si="14"/>
        <v>2991.7057504000004</v>
      </c>
      <c r="M182" s="72">
        <f t="shared" si="16"/>
        <v>7479.2643760000001</v>
      </c>
      <c r="N182" s="26"/>
      <c r="O182" s="921">
        <v>0.93490804699999996</v>
      </c>
    </row>
    <row r="183" spans="1:15" ht="18.95" customHeight="1">
      <c r="A183" s="981">
        <v>3.16</v>
      </c>
      <c r="B183" s="1043" t="s">
        <v>394</v>
      </c>
      <c r="C183" s="1038"/>
      <c r="D183" s="1045"/>
      <c r="E183" s="25"/>
      <c r="F183" s="30"/>
      <c r="G183" s="759"/>
      <c r="H183" s="242"/>
      <c r="I183" s="25"/>
      <c r="J183" s="759"/>
      <c r="K183" s="25"/>
      <c r="L183" s="72"/>
      <c r="M183" s="72"/>
      <c r="N183" s="26"/>
      <c r="O183" s="921">
        <v>0.93490804699999996</v>
      </c>
    </row>
    <row r="184" spans="1:15" ht="18.95" customHeight="1">
      <c r="A184" s="981"/>
      <c r="B184" s="1046" t="s">
        <v>273</v>
      </c>
      <c r="C184" s="1038" t="s">
        <v>395</v>
      </c>
      <c r="D184" s="1045"/>
      <c r="E184" s="25">
        <v>340</v>
      </c>
      <c r="F184" s="30" t="s">
        <v>275</v>
      </c>
      <c r="G184" s="759">
        <v>200</v>
      </c>
      <c r="H184" s="242">
        <f t="shared" si="13"/>
        <v>186.9816094</v>
      </c>
      <c r="I184" s="25">
        <f t="shared" si="15"/>
        <v>63573.747195999997</v>
      </c>
      <c r="J184" s="759">
        <v>40</v>
      </c>
      <c r="K184" s="25">
        <f t="shared" si="11"/>
        <v>37.396321880000002</v>
      </c>
      <c r="L184" s="72">
        <f t="shared" si="14"/>
        <v>12714.749439200001</v>
      </c>
      <c r="M184" s="72">
        <f>SUM(I184,L184)</f>
        <v>76288.49663519999</v>
      </c>
      <c r="N184" s="26"/>
      <c r="O184" s="921">
        <v>0.93490804699999996</v>
      </c>
    </row>
    <row r="185" spans="1:15" ht="18.95" customHeight="1">
      <c r="A185" s="981"/>
      <c r="B185" s="1046" t="s">
        <v>273</v>
      </c>
      <c r="C185" s="944" t="s">
        <v>396</v>
      </c>
      <c r="D185" s="1047"/>
      <c r="E185" s="25">
        <v>760</v>
      </c>
      <c r="F185" s="30" t="s">
        <v>397</v>
      </c>
      <c r="G185" s="759">
        <v>27.25</v>
      </c>
      <c r="H185" s="242">
        <f t="shared" si="13"/>
        <v>25.476244280749999</v>
      </c>
      <c r="I185" s="25">
        <f t="shared" si="15"/>
        <v>19361.945653369999</v>
      </c>
      <c r="J185" s="759">
        <v>12</v>
      </c>
      <c r="K185" s="25">
        <f t="shared" si="11"/>
        <v>11.218896564</v>
      </c>
      <c r="L185" s="72">
        <f t="shared" si="14"/>
        <v>8526.3613886399999</v>
      </c>
      <c r="M185" s="72">
        <f>SUM(I185,L185)</f>
        <v>27888.307042009998</v>
      </c>
      <c r="N185" s="26"/>
      <c r="O185" s="921">
        <v>0.93490804699999996</v>
      </c>
    </row>
    <row r="186" spans="1:15" ht="18.95" customHeight="1">
      <c r="A186" s="981"/>
      <c r="B186" s="1046" t="s">
        <v>273</v>
      </c>
      <c r="C186" s="1038" t="s">
        <v>398</v>
      </c>
      <c r="D186" s="1047"/>
      <c r="E186" s="25">
        <v>340</v>
      </c>
      <c r="F186" s="30" t="s">
        <v>275</v>
      </c>
      <c r="G186" s="759">
        <v>175</v>
      </c>
      <c r="H186" s="242">
        <f t="shared" si="13"/>
        <v>163.60890822499999</v>
      </c>
      <c r="I186" s="25">
        <f t="shared" si="15"/>
        <v>55627.028796499995</v>
      </c>
      <c r="J186" s="759">
        <v>100</v>
      </c>
      <c r="K186" s="25">
        <f t="shared" si="11"/>
        <v>93.490804699999998</v>
      </c>
      <c r="L186" s="72">
        <f t="shared" si="14"/>
        <v>31786.873597999998</v>
      </c>
      <c r="M186" s="72">
        <f>SUM(I186,L186)</f>
        <v>87413.902394499994</v>
      </c>
      <c r="N186" s="26"/>
      <c r="O186" s="921">
        <v>0.93490804699999996</v>
      </c>
    </row>
    <row r="187" spans="1:15" ht="18.95" customHeight="1">
      <c r="A187" s="265"/>
      <c r="B187" s="1033"/>
      <c r="C187" s="1048"/>
      <c r="D187" s="1049"/>
      <c r="E187" s="25"/>
      <c r="F187" s="30"/>
      <c r="G187" s="759"/>
      <c r="H187" s="242"/>
      <c r="I187" s="25"/>
      <c r="J187" s="759"/>
      <c r="K187" s="25"/>
      <c r="L187" s="72"/>
      <c r="M187" s="34"/>
      <c r="N187" s="26"/>
      <c r="O187" s="921">
        <v>0.93490804699999996</v>
      </c>
    </row>
    <row r="188" spans="1:15" ht="18.95" customHeight="1">
      <c r="A188" s="265"/>
      <c r="B188" s="1033"/>
      <c r="C188" s="1048"/>
      <c r="D188" s="1049"/>
      <c r="E188" s="25"/>
      <c r="F188" s="30"/>
      <c r="G188" s="759"/>
      <c r="H188" s="242"/>
      <c r="I188" s="25"/>
      <c r="J188" s="759"/>
      <c r="K188" s="25"/>
      <c r="L188" s="72"/>
      <c r="M188" s="34"/>
      <c r="N188" s="26"/>
      <c r="O188" s="921">
        <v>0.93490804699999996</v>
      </c>
    </row>
    <row r="189" spans="1:15" ht="18.95" customHeight="1">
      <c r="A189" s="981"/>
      <c r="B189" s="1046" t="s">
        <v>273</v>
      </c>
      <c r="C189" s="944" t="s">
        <v>399</v>
      </c>
      <c r="D189" s="1045"/>
      <c r="E189" s="25">
        <v>340</v>
      </c>
      <c r="F189" s="30" t="s">
        <v>275</v>
      </c>
      <c r="G189" s="759">
        <v>65</v>
      </c>
      <c r="H189" s="242">
        <f t="shared" si="13"/>
        <v>60.769023054999998</v>
      </c>
      <c r="I189" s="25">
        <f t="shared" si="15"/>
        <v>20661.467838699999</v>
      </c>
      <c r="J189" s="759">
        <v>60</v>
      </c>
      <c r="K189" s="25">
        <f t="shared" si="11"/>
        <v>56.094482819999996</v>
      </c>
      <c r="L189" s="72">
        <f t="shared" si="14"/>
        <v>19072.124158799998</v>
      </c>
      <c r="M189" s="72">
        <f>SUM(I189,L189)</f>
        <v>39733.5919975</v>
      </c>
      <c r="N189" s="26"/>
      <c r="O189" s="921">
        <v>0.93490804699999996</v>
      </c>
    </row>
    <row r="190" spans="1:15" ht="18.95" customHeight="1">
      <c r="A190" s="981">
        <v>3.17</v>
      </c>
      <c r="B190" s="1043" t="s">
        <v>400</v>
      </c>
      <c r="C190" s="1038"/>
      <c r="D190" s="1045"/>
      <c r="E190" s="25">
        <v>750</v>
      </c>
      <c r="F190" s="30" t="s">
        <v>275</v>
      </c>
      <c r="G190" s="759">
        <v>80</v>
      </c>
      <c r="H190" s="242">
        <f t="shared" si="13"/>
        <v>74.792643760000004</v>
      </c>
      <c r="I190" s="25">
        <f t="shared" si="15"/>
        <v>56094.482820000005</v>
      </c>
      <c r="J190" s="759">
        <v>30</v>
      </c>
      <c r="K190" s="25">
        <f t="shared" si="11"/>
        <v>28.047241409999998</v>
      </c>
      <c r="L190" s="72">
        <f t="shared" si="14"/>
        <v>21035.431057499998</v>
      </c>
      <c r="M190" s="72">
        <f t="shared" ref="M190:M195" si="17">SUM(I190,L190)</f>
        <v>77129.913877500003</v>
      </c>
      <c r="N190" s="26"/>
      <c r="O190" s="921">
        <v>0.93490804699999996</v>
      </c>
    </row>
    <row r="191" spans="1:15" ht="18.95" customHeight="1">
      <c r="A191" s="981">
        <v>3.18</v>
      </c>
      <c r="B191" s="1043" t="s">
        <v>401</v>
      </c>
      <c r="C191" s="1038"/>
      <c r="D191" s="1045"/>
      <c r="E191" s="25"/>
      <c r="F191" s="30"/>
      <c r="G191" s="759"/>
      <c r="H191" s="242"/>
      <c r="I191" s="25"/>
      <c r="J191" s="759"/>
      <c r="K191" s="25"/>
      <c r="L191" s="72"/>
      <c r="M191" s="72"/>
      <c r="N191" s="26"/>
      <c r="O191" s="921">
        <v>0.93490804699999996</v>
      </c>
    </row>
    <row r="192" spans="1:15" ht="18.95" customHeight="1">
      <c r="A192" s="981"/>
      <c r="B192" s="1046" t="s">
        <v>273</v>
      </c>
      <c r="C192" s="1038" t="s">
        <v>402</v>
      </c>
      <c r="D192" s="1045"/>
      <c r="E192" s="25">
        <v>230</v>
      </c>
      <c r="F192" s="30" t="s">
        <v>275</v>
      </c>
      <c r="G192" s="998">
        <v>1000</v>
      </c>
      <c r="H192" s="242">
        <f t="shared" si="13"/>
        <v>934.90804700000001</v>
      </c>
      <c r="I192" s="25">
        <f t="shared" si="15"/>
        <v>215028.85081</v>
      </c>
      <c r="J192" s="759">
        <v>200</v>
      </c>
      <c r="K192" s="25">
        <f t="shared" si="11"/>
        <v>186.9816094</v>
      </c>
      <c r="L192" s="72">
        <f t="shared" si="14"/>
        <v>43005.770162000001</v>
      </c>
      <c r="M192" s="72">
        <f t="shared" si="17"/>
        <v>258034.620972</v>
      </c>
      <c r="N192" s="26"/>
      <c r="O192" s="921">
        <v>0.93490804699999996</v>
      </c>
    </row>
    <row r="193" spans="1:17" ht="18.95" customHeight="1">
      <c r="A193" s="981"/>
      <c r="B193" s="1046" t="s">
        <v>273</v>
      </c>
      <c r="C193" s="1038" t="s">
        <v>395</v>
      </c>
      <c r="D193" s="1047"/>
      <c r="E193" s="25">
        <v>325</v>
      </c>
      <c r="F193" s="30" t="s">
        <v>275</v>
      </c>
      <c r="G193" s="759">
        <v>200</v>
      </c>
      <c r="H193" s="242">
        <f t="shared" si="13"/>
        <v>186.9816094</v>
      </c>
      <c r="I193" s="25">
        <f t="shared" si="15"/>
        <v>60769.023054999998</v>
      </c>
      <c r="J193" s="759">
        <v>40</v>
      </c>
      <c r="K193" s="25">
        <f t="shared" si="11"/>
        <v>37.396321880000002</v>
      </c>
      <c r="L193" s="72">
        <f t="shared" si="14"/>
        <v>12153.804611000001</v>
      </c>
      <c r="M193" s="72">
        <f t="shared" si="17"/>
        <v>72922.827665999997</v>
      </c>
      <c r="N193" s="26"/>
      <c r="O193" s="921">
        <v>0.93490804699999996</v>
      </c>
    </row>
    <row r="194" spans="1:17" ht="18.95" customHeight="1">
      <c r="A194" s="981"/>
      <c r="B194" s="1046" t="s">
        <v>273</v>
      </c>
      <c r="C194" s="944" t="s">
        <v>403</v>
      </c>
      <c r="D194" s="1047"/>
      <c r="E194" s="25">
        <v>325</v>
      </c>
      <c r="F194" s="30" t="s">
        <v>275</v>
      </c>
      <c r="G194" s="759">
        <v>200</v>
      </c>
      <c r="H194" s="242">
        <f t="shared" si="13"/>
        <v>186.9816094</v>
      </c>
      <c r="I194" s="25">
        <f t="shared" si="15"/>
        <v>60769.023054999998</v>
      </c>
      <c r="J194" s="759">
        <v>115</v>
      </c>
      <c r="K194" s="25">
        <f t="shared" ref="K194:K200" si="18">J194*O194</f>
        <v>107.514425405</v>
      </c>
      <c r="L194" s="72">
        <f t="shared" si="14"/>
        <v>34942.188256624999</v>
      </c>
      <c r="M194" s="72">
        <f t="shared" si="17"/>
        <v>95711.211311624997</v>
      </c>
      <c r="N194" s="26"/>
      <c r="O194" s="921">
        <v>0.93490804699999996</v>
      </c>
    </row>
    <row r="195" spans="1:17" ht="18.95" customHeight="1">
      <c r="A195" s="981"/>
      <c r="B195" s="1046" t="s">
        <v>273</v>
      </c>
      <c r="C195" s="944" t="s">
        <v>399</v>
      </c>
      <c r="D195" s="1045"/>
      <c r="E195" s="25">
        <v>322</v>
      </c>
      <c r="F195" s="30" t="s">
        <v>275</v>
      </c>
      <c r="G195" s="759">
        <v>65</v>
      </c>
      <c r="H195" s="242">
        <f t="shared" si="13"/>
        <v>60.769023054999998</v>
      </c>
      <c r="I195" s="25">
        <f t="shared" si="15"/>
        <v>19567.62542371</v>
      </c>
      <c r="J195" s="759">
        <v>20</v>
      </c>
      <c r="K195" s="25">
        <f t="shared" si="18"/>
        <v>18.698160940000001</v>
      </c>
      <c r="L195" s="72">
        <f t="shared" si="14"/>
        <v>6020.8078226800008</v>
      </c>
      <c r="M195" s="72">
        <f t="shared" si="17"/>
        <v>25588.433246389999</v>
      </c>
      <c r="N195" s="26"/>
      <c r="O195" s="921">
        <v>0.93490804699999996</v>
      </c>
    </row>
    <row r="196" spans="1:17" ht="18.95" customHeight="1">
      <c r="A196" s="265">
        <v>3.19</v>
      </c>
      <c r="B196" s="1043" t="s">
        <v>404</v>
      </c>
      <c r="C196" s="1048"/>
      <c r="D196" s="1049"/>
      <c r="E196" s="25"/>
      <c r="F196" s="30"/>
      <c r="G196" s="759"/>
      <c r="H196" s="242"/>
      <c r="I196" s="25"/>
      <c r="J196" s="759"/>
      <c r="K196" s="25"/>
      <c r="L196" s="72"/>
      <c r="M196" s="34"/>
      <c r="N196" s="26"/>
      <c r="O196" s="921">
        <v>0.93490804699999996</v>
      </c>
    </row>
    <row r="197" spans="1:17" ht="18.95" customHeight="1">
      <c r="A197" s="265"/>
      <c r="B197" s="1046" t="s">
        <v>273</v>
      </c>
      <c r="C197" s="944" t="s">
        <v>403</v>
      </c>
      <c r="D197" s="1047"/>
      <c r="E197" s="25">
        <v>284</v>
      </c>
      <c r="F197" s="30" t="s">
        <v>275</v>
      </c>
      <c r="G197" s="759">
        <v>265</v>
      </c>
      <c r="H197" s="242">
        <f t="shared" si="13"/>
        <v>247.75063245499999</v>
      </c>
      <c r="I197" s="25">
        <f t="shared" si="15"/>
        <v>70361.179617219997</v>
      </c>
      <c r="J197" s="759">
        <v>145</v>
      </c>
      <c r="K197" s="25">
        <f t="shared" si="18"/>
        <v>135.561666815</v>
      </c>
      <c r="L197" s="72">
        <f t="shared" si="14"/>
        <v>38499.513375459996</v>
      </c>
      <c r="M197" s="72">
        <f>SUM(I197,L197)</f>
        <v>108860.69299267999</v>
      </c>
      <c r="N197" s="26"/>
      <c r="O197" s="921">
        <v>0.93490804699999996</v>
      </c>
    </row>
    <row r="198" spans="1:17" ht="18.95" customHeight="1">
      <c r="A198" s="265"/>
      <c r="B198" s="1046" t="s">
        <v>273</v>
      </c>
      <c r="C198" s="944" t="s">
        <v>399</v>
      </c>
      <c r="D198" s="1045"/>
      <c r="E198" s="25">
        <v>284</v>
      </c>
      <c r="F198" s="30" t="s">
        <v>275</v>
      </c>
      <c r="G198" s="759">
        <v>25</v>
      </c>
      <c r="H198" s="242">
        <f t="shared" si="13"/>
        <v>23.372701175</v>
      </c>
      <c r="I198" s="25">
        <f t="shared" si="15"/>
        <v>6637.8471337000001</v>
      </c>
      <c r="J198" s="759">
        <v>25</v>
      </c>
      <c r="K198" s="25">
        <f t="shared" si="18"/>
        <v>23.372701175</v>
      </c>
      <c r="L198" s="72">
        <f t="shared" si="14"/>
        <v>6637.8471337000001</v>
      </c>
      <c r="M198" s="72">
        <f>SUM(I198,L198)</f>
        <v>13275.6942674</v>
      </c>
      <c r="N198" s="26"/>
      <c r="O198" s="921">
        <v>0.93490804699999996</v>
      </c>
    </row>
    <row r="199" spans="1:17" ht="18.95" customHeight="1">
      <c r="A199" s="981">
        <v>3.2</v>
      </c>
      <c r="B199" s="714" t="s">
        <v>405</v>
      </c>
      <c r="C199" s="1052"/>
      <c r="D199" s="1049"/>
      <c r="E199" s="25">
        <v>80</v>
      </c>
      <c r="F199" s="30" t="s">
        <v>211</v>
      </c>
      <c r="G199" s="759">
        <v>45</v>
      </c>
      <c r="H199" s="242">
        <f t="shared" si="13"/>
        <v>42.070862114999997</v>
      </c>
      <c r="I199" s="25">
        <f t="shared" si="15"/>
        <v>3365.6689692</v>
      </c>
      <c r="J199" s="759">
        <v>31</v>
      </c>
      <c r="K199" s="25">
        <f t="shared" si="18"/>
        <v>28.982149456999998</v>
      </c>
      <c r="L199" s="72">
        <f t="shared" si="14"/>
        <v>2318.5719565599998</v>
      </c>
      <c r="M199" s="72">
        <f>SUM(I199,L199)</f>
        <v>5684.2409257599993</v>
      </c>
      <c r="N199" s="26"/>
      <c r="O199" s="921">
        <v>0.93490804699999996</v>
      </c>
    </row>
    <row r="200" spans="1:17" ht="18.95" customHeight="1">
      <c r="A200" s="981">
        <v>3.21</v>
      </c>
      <c r="B200" s="714" t="s">
        <v>406</v>
      </c>
      <c r="C200" s="1038"/>
      <c r="D200" s="1049"/>
      <c r="E200" s="25">
        <v>8152</v>
      </c>
      <c r="F200" s="30" t="s">
        <v>211</v>
      </c>
      <c r="G200" s="759">
        <v>30</v>
      </c>
      <c r="H200" s="242">
        <f t="shared" si="13"/>
        <v>28.047241409999998</v>
      </c>
      <c r="I200" s="25">
        <f t="shared" si="15"/>
        <v>228641.11197432</v>
      </c>
      <c r="J200" s="759">
        <v>28</v>
      </c>
      <c r="K200" s="25">
        <f t="shared" si="18"/>
        <v>26.177425315999997</v>
      </c>
      <c r="L200" s="72">
        <f t="shared" si="14"/>
        <v>213398.37117603197</v>
      </c>
      <c r="M200" s="72">
        <f>SUM(I200,L200)</f>
        <v>442039.48315035197</v>
      </c>
      <c r="N200" s="26"/>
      <c r="O200" s="921">
        <v>0.93490804699999996</v>
      </c>
    </row>
    <row r="201" spans="1:17" ht="18.95" customHeight="1">
      <c r="A201" s="265"/>
      <c r="B201" s="1053"/>
      <c r="C201" s="1048"/>
      <c r="D201" s="1049"/>
      <c r="E201" s="25"/>
      <c r="F201" s="30"/>
      <c r="G201" s="759"/>
      <c r="H201" s="25"/>
      <c r="I201" s="25"/>
      <c r="J201" s="759"/>
      <c r="K201" s="25"/>
      <c r="L201" s="30"/>
      <c r="M201" s="34"/>
      <c r="N201" s="26"/>
      <c r="O201" s="921">
        <v>0.93490804699999996</v>
      </c>
    </row>
    <row r="202" spans="1:17" s="724" customFormat="1" ht="18.95" customHeight="1">
      <c r="A202" s="1054"/>
      <c r="B202" s="1257" t="s">
        <v>359</v>
      </c>
      <c r="C202" s="1258"/>
      <c r="D202" s="1259"/>
      <c r="E202" s="676"/>
      <c r="F202" s="670"/>
      <c r="G202" s="1025"/>
      <c r="H202" s="676"/>
      <c r="I202" s="676"/>
      <c r="J202" s="1025"/>
      <c r="K202" s="676"/>
      <c r="L202" s="670"/>
      <c r="M202" s="1026">
        <f>SUM(M162:M201)</f>
        <v>11773457.840055082</v>
      </c>
      <c r="N202" s="670"/>
      <c r="O202" s="1051">
        <v>0.93490804699999996</v>
      </c>
      <c r="P202" s="1028"/>
      <c r="Q202" s="1028"/>
    </row>
    <row r="203" spans="1:17" ht="18.95" customHeight="1">
      <c r="A203" s="265"/>
      <c r="B203" s="1033"/>
      <c r="C203" s="1048"/>
      <c r="D203" s="1049"/>
      <c r="E203" s="25"/>
      <c r="F203" s="30"/>
      <c r="G203" s="759"/>
      <c r="H203" s="25"/>
      <c r="I203" s="25"/>
      <c r="J203" s="759"/>
      <c r="K203" s="25"/>
      <c r="L203" s="30"/>
      <c r="M203" s="34"/>
      <c r="N203" s="26"/>
      <c r="O203" s="921">
        <v>0.93490804699999996</v>
      </c>
    </row>
    <row r="204" spans="1:17" ht="18.95" customHeight="1">
      <c r="A204" s="981"/>
      <c r="B204" s="1043"/>
      <c r="C204" s="1038"/>
      <c r="D204" s="1049"/>
      <c r="E204" s="25"/>
      <c r="F204" s="30"/>
      <c r="G204" s="759"/>
      <c r="H204" s="25"/>
      <c r="I204" s="25"/>
      <c r="J204" s="759"/>
      <c r="K204" s="25"/>
      <c r="L204" s="30"/>
      <c r="M204" s="34"/>
      <c r="N204" s="26"/>
      <c r="O204" s="921">
        <v>0.93490804699999996</v>
      </c>
    </row>
    <row r="205" spans="1:17" ht="18.95" customHeight="1">
      <c r="A205" s="981"/>
      <c r="B205" s="1043"/>
      <c r="C205" s="1038"/>
      <c r="D205" s="1049"/>
      <c r="E205" s="25"/>
      <c r="F205" s="30"/>
      <c r="G205" s="759"/>
      <c r="H205" s="25"/>
      <c r="I205" s="25"/>
      <c r="J205" s="759"/>
      <c r="K205" s="25"/>
      <c r="L205" s="30"/>
      <c r="M205" s="34"/>
      <c r="N205" s="26"/>
      <c r="O205" s="921">
        <v>0.93490804699999996</v>
      </c>
    </row>
    <row r="206" spans="1:17" ht="18.95" customHeight="1">
      <c r="A206" s="981"/>
      <c r="B206" s="1043"/>
      <c r="C206" s="1038"/>
      <c r="D206" s="1049"/>
      <c r="E206" s="25"/>
      <c r="F206" s="30"/>
      <c r="G206" s="759"/>
      <c r="H206" s="25"/>
      <c r="I206" s="25"/>
      <c r="J206" s="759"/>
      <c r="K206" s="25"/>
      <c r="L206" s="30"/>
      <c r="M206" s="34"/>
      <c r="N206" s="26"/>
      <c r="O206" s="921">
        <v>0.93490804699999996</v>
      </c>
    </row>
    <row r="207" spans="1:17" ht="18.95" customHeight="1">
      <c r="A207" s="981"/>
      <c r="B207" s="714"/>
      <c r="C207" s="1052"/>
      <c r="D207" s="1049"/>
      <c r="E207" s="25"/>
      <c r="F207" s="30"/>
      <c r="G207" s="759"/>
      <c r="H207" s="25"/>
      <c r="I207" s="25"/>
      <c r="J207" s="759"/>
      <c r="K207" s="25"/>
      <c r="L207" s="30"/>
      <c r="M207" s="34"/>
      <c r="N207" s="26"/>
      <c r="O207" s="921">
        <v>0.93490804699999996</v>
      </c>
    </row>
    <row r="208" spans="1:17" ht="18.95" customHeight="1">
      <c r="A208" s="981"/>
      <c r="B208" s="714"/>
      <c r="C208" s="1052"/>
      <c r="D208" s="1049"/>
      <c r="E208" s="25"/>
      <c r="F208" s="30"/>
      <c r="G208" s="759"/>
      <c r="H208" s="25"/>
      <c r="I208" s="25"/>
      <c r="J208" s="759"/>
      <c r="K208" s="25"/>
      <c r="L208" s="30"/>
      <c r="M208" s="34"/>
      <c r="N208" s="26"/>
      <c r="O208" s="921">
        <v>0.93490804699999996</v>
      </c>
    </row>
    <row r="209" spans="1:15" ht="18.95" customHeight="1">
      <c r="A209" s="981"/>
      <c r="B209" s="714"/>
      <c r="C209" s="1052"/>
      <c r="D209" s="1049"/>
      <c r="E209" s="25"/>
      <c r="F209" s="30"/>
      <c r="G209" s="759"/>
      <c r="H209" s="25"/>
      <c r="I209" s="25"/>
      <c r="J209" s="759"/>
      <c r="K209" s="25"/>
      <c r="L209" s="30"/>
      <c r="M209" s="34"/>
      <c r="N209" s="26"/>
      <c r="O209" s="921">
        <v>0.93490804699999996</v>
      </c>
    </row>
    <row r="210" spans="1:15" ht="18.95" customHeight="1">
      <c r="A210" s="981"/>
      <c r="B210" s="714"/>
      <c r="C210" s="1038"/>
      <c r="D210" s="1049"/>
      <c r="E210" s="25"/>
      <c r="F210" s="30"/>
      <c r="G210" s="759"/>
      <c r="H210" s="25"/>
      <c r="I210" s="25"/>
      <c r="J210" s="759"/>
      <c r="K210" s="25"/>
      <c r="L210" s="30"/>
      <c r="M210" s="34"/>
      <c r="N210" s="26"/>
      <c r="O210" s="921">
        <v>0.93490804699999996</v>
      </c>
    </row>
    <row r="211" spans="1:15" ht="18.95" customHeight="1">
      <c r="A211" s="265"/>
      <c r="B211" s="1033"/>
      <c r="C211" s="1048"/>
      <c r="D211" s="1049"/>
      <c r="E211" s="25"/>
      <c r="F211" s="30"/>
      <c r="G211" s="759"/>
      <c r="H211" s="25"/>
      <c r="I211" s="25"/>
      <c r="J211" s="759"/>
      <c r="K211" s="25"/>
      <c r="L211" s="30"/>
      <c r="M211" s="34"/>
      <c r="N211" s="26"/>
      <c r="O211" s="921">
        <v>0.93490804699999996</v>
      </c>
    </row>
    <row r="212" spans="1:15" ht="18.95" customHeight="1">
      <c r="A212" s="265"/>
      <c r="B212" s="1033"/>
      <c r="C212" s="1048"/>
      <c r="D212" s="1049"/>
      <c r="E212" s="25"/>
      <c r="F212" s="30"/>
      <c r="G212" s="759"/>
      <c r="H212" s="25"/>
      <c r="I212" s="25"/>
      <c r="J212" s="759"/>
      <c r="K212" s="25"/>
      <c r="L212" s="30"/>
      <c r="M212" s="34"/>
      <c r="N212" s="26"/>
      <c r="O212" s="921">
        <v>0.93490804699999996</v>
      </c>
    </row>
    <row r="213" spans="1:15" ht="18.95" customHeight="1">
      <c r="A213" s="265"/>
      <c r="B213" s="1033"/>
      <c r="C213" s="1048"/>
      <c r="D213" s="1049"/>
      <c r="E213" s="25"/>
      <c r="F213" s="30"/>
      <c r="G213" s="759"/>
      <c r="H213" s="25"/>
      <c r="I213" s="25"/>
      <c r="J213" s="759"/>
      <c r="K213" s="25"/>
      <c r="L213" s="30"/>
      <c r="M213" s="34"/>
      <c r="N213" s="26"/>
      <c r="O213" s="921">
        <v>0.93490804699999996</v>
      </c>
    </row>
    <row r="214" spans="1:15" ht="18.95" customHeight="1">
      <c r="A214" s="265"/>
      <c r="B214" s="1033"/>
      <c r="C214" s="1048"/>
      <c r="D214" s="1049"/>
      <c r="E214" s="25"/>
      <c r="F214" s="30"/>
      <c r="G214" s="759"/>
      <c r="H214" s="25"/>
      <c r="I214" s="25"/>
      <c r="J214" s="759"/>
      <c r="K214" s="25"/>
      <c r="L214" s="30"/>
      <c r="M214" s="34"/>
      <c r="N214" s="26"/>
      <c r="O214" s="921">
        <v>0.93490804699999996</v>
      </c>
    </row>
    <row r="215" spans="1:15" ht="18.95" customHeight="1">
      <c r="A215" s="265"/>
      <c r="B215" s="1033"/>
      <c r="C215" s="1048"/>
      <c r="D215" s="1049"/>
      <c r="E215" s="25"/>
      <c r="F215" s="30"/>
      <c r="G215" s="759"/>
      <c r="H215" s="25"/>
      <c r="I215" s="25"/>
      <c r="J215" s="759"/>
      <c r="K215" s="25"/>
      <c r="L215" s="30"/>
      <c r="M215" s="34"/>
      <c r="N215" s="26"/>
      <c r="O215" s="921">
        <v>0.93490804699999996</v>
      </c>
    </row>
    <row r="216" spans="1:15" ht="18.95" customHeight="1">
      <c r="A216" s="648">
        <v>4</v>
      </c>
      <c r="B216" s="1015" t="s">
        <v>407</v>
      </c>
      <c r="C216" s="47"/>
      <c r="D216" s="24"/>
      <c r="E216" s="25"/>
      <c r="F216" s="30"/>
      <c r="G216" s="759"/>
      <c r="H216" s="25"/>
      <c r="I216" s="25"/>
      <c r="J216" s="759"/>
      <c r="K216" s="25"/>
      <c r="L216" s="72"/>
      <c r="M216" s="72"/>
      <c r="N216" s="26"/>
      <c r="O216" s="921">
        <v>0.93490804699999996</v>
      </c>
    </row>
    <row r="217" spans="1:15" ht="18.95" customHeight="1">
      <c r="A217" s="1005">
        <v>4.0999999999999996</v>
      </c>
      <c r="B217" s="1163" t="s">
        <v>408</v>
      </c>
      <c r="C217" s="399" t="s">
        <v>409</v>
      </c>
      <c r="D217" s="24"/>
      <c r="E217" s="25">
        <v>0</v>
      </c>
      <c r="F217" s="30">
        <v>0</v>
      </c>
      <c r="G217" s="759">
        <v>0</v>
      </c>
      <c r="H217" s="25"/>
      <c r="I217" s="25">
        <v>0</v>
      </c>
      <c r="J217" s="759">
        <v>0</v>
      </c>
      <c r="K217" s="25"/>
      <c r="L217" s="72">
        <v>0</v>
      </c>
      <c r="M217" s="72">
        <v>0</v>
      </c>
      <c r="N217" s="26"/>
      <c r="O217" s="921">
        <v>0.93490804699999996</v>
      </c>
    </row>
    <row r="218" spans="1:15" ht="18.95" customHeight="1">
      <c r="A218" s="372">
        <v>4.2</v>
      </c>
      <c r="B218" s="1022" t="s">
        <v>410</v>
      </c>
      <c r="C218" s="368" t="s">
        <v>411</v>
      </c>
      <c r="D218" s="24"/>
      <c r="E218" s="25">
        <v>9</v>
      </c>
      <c r="F218" s="30" t="s">
        <v>349</v>
      </c>
      <c r="G218" s="759">
        <v>20230</v>
      </c>
      <c r="H218" s="242">
        <f t="shared" ref="H218:H280" si="19">G218*O218</f>
        <v>18913.18979081</v>
      </c>
      <c r="I218" s="25">
        <f>E218*H218</f>
        <v>170218.70811728999</v>
      </c>
      <c r="J218" s="759">
        <v>1300</v>
      </c>
      <c r="K218" s="25">
        <f t="shared" ref="K218:K280" si="20">J218*O218</f>
        <v>1215.3804611</v>
      </c>
      <c r="L218" s="72">
        <f>K218*E218</f>
        <v>10938.4241499</v>
      </c>
      <c r="M218" s="72">
        <f>SUM(I218,L218)</f>
        <v>181157.13226719</v>
      </c>
      <c r="N218" s="72"/>
      <c r="O218" s="921">
        <v>0.93490804699999996</v>
      </c>
    </row>
    <row r="219" spans="1:15" ht="18.95" customHeight="1">
      <c r="A219" s="372"/>
      <c r="B219" s="1022"/>
      <c r="C219" s="368" t="s">
        <v>412</v>
      </c>
      <c r="D219" s="24"/>
      <c r="E219" s="25"/>
      <c r="F219" s="30"/>
      <c r="G219" s="759"/>
      <c r="H219" s="242"/>
      <c r="I219" s="25"/>
      <c r="J219" s="759"/>
      <c r="K219" s="25"/>
      <c r="L219" s="72"/>
      <c r="M219" s="72"/>
      <c r="N219" s="72"/>
      <c r="O219" s="921">
        <v>0.93490804699999996</v>
      </c>
    </row>
    <row r="220" spans="1:15" ht="18.95" customHeight="1">
      <c r="A220" s="372">
        <v>4.3</v>
      </c>
      <c r="B220" s="1022" t="s">
        <v>413</v>
      </c>
      <c r="C220" s="368" t="s">
        <v>414</v>
      </c>
      <c r="D220" s="24"/>
      <c r="E220" s="25">
        <v>18</v>
      </c>
      <c r="F220" s="30" t="s">
        <v>349</v>
      </c>
      <c r="G220" s="759">
        <v>27070</v>
      </c>
      <c r="H220" s="242">
        <f t="shared" si="19"/>
        <v>25307.960832289999</v>
      </c>
      <c r="I220" s="25">
        <f t="shared" ref="I220:I280" si="21">E220*H220</f>
        <v>455543.29498121998</v>
      </c>
      <c r="J220" s="759">
        <v>1800</v>
      </c>
      <c r="K220" s="25">
        <f t="shared" si="20"/>
        <v>1682.8344846</v>
      </c>
      <c r="L220" s="72">
        <f t="shared" ref="L220:L280" si="22">K220*E220</f>
        <v>30291.0207228</v>
      </c>
      <c r="M220" s="72">
        <f>SUM(I220,L220)</f>
        <v>485834.31570401997</v>
      </c>
      <c r="N220" s="72"/>
      <c r="O220" s="921">
        <v>0.93490804699999996</v>
      </c>
    </row>
    <row r="221" spans="1:15" ht="18.95" customHeight="1">
      <c r="A221" s="372"/>
      <c r="B221" s="1022"/>
      <c r="C221" s="368" t="s">
        <v>415</v>
      </c>
      <c r="D221" s="24"/>
      <c r="E221" s="25"/>
      <c r="F221" s="30"/>
      <c r="G221" s="759"/>
      <c r="H221" s="242"/>
      <c r="I221" s="25"/>
      <c r="J221" s="759"/>
      <c r="K221" s="25"/>
      <c r="L221" s="72"/>
      <c r="M221" s="72"/>
      <c r="N221" s="72"/>
      <c r="O221" s="921">
        <v>0.93490804699999996</v>
      </c>
    </row>
    <row r="222" spans="1:15" ht="18.95" customHeight="1">
      <c r="A222" s="1005">
        <v>4.4000000000000004</v>
      </c>
      <c r="B222" s="1022" t="s">
        <v>416</v>
      </c>
      <c r="C222" s="368" t="s">
        <v>414</v>
      </c>
      <c r="D222" s="24"/>
      <c r="E222" s="25">
        <v>2</v>
      </c>
      <c r="F222" s="30" t="s">
        <v>349</v>
      </c>
      <c r="G222" s="759">
        <v>38970</v>
      </c>
      <c r="H222" s="242">
        <f t="shared" si="19"/>
        <v>36433.366591589998</v>
      </c>
      <c r="I222" s="25">
        <f t="shared" si="21"/>
        <v>72866.733183179997</v>
      </c>
      <c r="J222" s="759">
        <v>2000</v>
      </c>
      <c r="K222" s="25">
        <f t="shared" si="20"/>
        <v>1869.816094</v>
      </c>
      <c r="L222" s="72">
        <f t="shared" si="22"/>
        <v>3739.632188</v>
      </c>
      <c r="M222" s="72">
        <f>SUM(I222,L222)</f>
        <v>76606.36537118</v>
      </c>
      <c r="N222" s="72"/>
      <c r="O222" s="921">
        <v>0.93490804699999996</v>
      </c>
    </row>
    <row r="223" spans="1:15" ht="18.95" customHeight="1">
      <c r="A223" s="372"/>
      <c r="B223" s="1022"/>
      <c r="C223" s="368" t="s">
        <v>417</v>
      </c>
      <c r="D223" s="24"/>
      <c r="E223" s="25"/>
      <c r="F223" s="30"/>
      <c r="G223" s="759"/>
      <c r="H223" s="242"/>
      <c r="I223" s="25"/>
      <c r="J223" s="759"/>
      <c r="K223" s="25"/>
      <c r="L223" s="72"/>
      <c r="M223" s="72"/>
      <c r="N223" s="72"/>
      <c r="O223" s="921">
        <v>0.93490804699999996</v>
      </c>
    </row>
    <row r="224" spans="1:15" ht="18.95" customHeight="1">
      <c r="A224" s="372">
        <v>4.5</v>
      </c>
      <c r="B224" s="1022" t="s">
        <v>418</v>
      </c>
      <c r="C224" s="368" t="s">
        <v>419</v>
      </c>
      <c r="D224" s="24"/>
      <c r="E224" s="25">
        <v>5</v>
      </c>
      <c r="F224" s="30" t="s">
        <v>349</v>
      </c>
      <c r="G224" s="759">
        <v>26990</v>
      </c>
      <c r="H224" s="242">
        <f t="shared" si="19"/>
        <v>25233.168188529999</v>
      </c>
      <c r="I224" s="25">
        <f t="shared" si="21"/>
        <v>126165.84094264999</v>
      </c>
      <c r="J224" s="759">
        <v>2000</v>
      </c>
      <c r="K224" s="25">
        <f t="shared" si="20"/>
        <v>1869.816094</v>
      </c>
      <c r="L224" s="72">
        <f t="shared" si="22"/>
        <v>9349.0804700000008</v>
      </c>
      <c r="M224" s="72">
        <f>SUM(I224,L224)</f>
        <v>135514.92141264997</v>
      </c>
      <c r="N224" s="72"/>
      <c r="O224" s="921">
        <v>0.93490804699999996</v>
      </c>
    </row>
    <row r="225" spans="1:15" ht="18.95" customHeight="1">
      <c r="A225" s="372">
        <v>4.5999999999999996</v>
      </c>
      <c r="B225" s="1022" t="s">
        <v>420</v>
      </c>
      <c r="C225" s="368" t="s">
        <v>421</v>
      </c>
      <c r="D225" s="24"/>
      <c r="E225" s="25">
        <v>6</v>
      </c>
      <c r="F225" s="30" t="s">
        <v>349</v>
      </c>
      <c r="G225" s="759">
        <v>24320</v>
      </c>
      <c r="H225" s="242">
        <f t="shared" si="19"/>
        <v>22736.963703040001</v>
      </c>
      <c r="I225" s="25">
        <f t="shared" si="21"/>
        <v>136421.78221824</v>
      </c>
      <c r="J225" s="759">
        <v>2000</v>
      </c>
      <c r="K225" s="25">
        <f t="shared" si="20"/>
        <v>1869.816094</v>
      </c>
      <c r="L225" s="72">
        <f t="shared" si="22"/>
        <v>11218.896564000001</v>
      </c>
      <c r="M225" s="72">
        <f>SUM(I225,L225)</f>
        <v>147640.67878223999</v>
      </c>
      <c r="N225" s="72"/>
      <c r="O225" s="921">
        <v>0.93490804699999996</v>
      </c>
    </row>
    <row r="226" spans="1:15" ht="18.95" customHeight="1">
      <c r="A226" s="372">
        <v>4.7</v>
      </c>
      <c r="B226" s="1022" t="s">
        <v>422</v>
      </c>
      <c r="C226" s="368" t="s">
        <v>423</v>
      </c>
      <c r="D226" s="24"/>
      <c r="E226" s="25">
        <v>6</v>
      </c>
      <c r="F226" s="30" t="s">
        <v>349</v>
      </c>
      <c r="G226" s="759">
        <v>24950</v>
      </c>
      <c r="H226" s="242">
        <f t="shared" si="19"/>
        <v>23325.955772649999</v>
      </c>
      <c r="I226" s="25">
        <f t="shared" si="21"/>
        <v>139955.73463590001</v>
      </c>
      <c r="J226" s="759">
        <v>2000</v>
      </c>
      <c r="K226" s="25">
        <f t="shared" si="20"/>
        <v>1869.816094</v>
      </c>
      <c r="L226" s="72">
        <f t="shared" si="22"/>
        <v>11218.896564000001</v>
      </c>
      <c r="M226" s="72">
        <f>SUM(I226,L226)</f>
        <v>151174.6311999</v>
      </c>
      <c r="N226" s="26"/>
      <c r="O226" s="921">
        <v>0.93490804699999996</v>
      </c>
    </row>
    <row r="227" spans="1:15" ht="18.95" customHeight="1">
      <c r="A227" s="667">
        <v>4.8</v>
      </c>
      <c r="B227" s="1022" t="s">
        <v>424</v>
      </c>
      <c r="C227" s="368" t="s">
        <v>425</v>
      </c>
      <c r="D227" s="24"/>
      <c r="E227" s="25">
        <v>2</v>
      </c>
      <c r="F227" s="30" t="s">
        <v>349</v>
      </c>
      <c r="G227" s="759">
        <v>30230</v>
      </c>
      <c r="H227" s="242">
        <f t="shared" si="19"/>
        <v>28262.270260809997</v>
      </c>
      <c r="I227" s="25">
        <f t="shared" si="21"/>
        <v>56524.540521619994</v>
      </c>
      <c r="J227" s="759">
        <v>2000</v>
      </c>
      <c r="K227" s="25">
        <f t="shared" si="20"/>
        <v>1869.816094</v>
      </c>
      <c r="L227" s="72">
        <f t="shared" si="22"/>
        <v>3739.632188</v>
      </c>
      <c r="M227" s="72">
        <f>SUM(I227,L227)</f>
        <v>60264.172709619997</v>
      </c>
      <c r="N227" s="26"/>
      <c r="O227" s="921">
        <v>0.93490804699999996</v>
      </c>
    </row>
    <row r="228" spans="1:15" ht="18.95" customHeight="1">
      <c r="A228" s="372"/>
      <c r="B228" s="420"/>
      <c r="C228" s="399" t="s">
        <v>426</v>
      </c>
      <c r="D228" s="24"/>
      <c r="E228" s="25"/>
      <c r="F228" s="30"/>
      <c r="G228" s="759"/>
      <c r="H228" s="242"/>
      <c r="I228" s="25"/>
      <c r="J228" s="759"/>
      <c r="K228" s="25"/>
      <c r="L228" s="72"/>
      <c r="M228" s="26"/>
      <c r="N228" s="26"/>
      <c r="O228" s="921">
        <v>0.93490804699999996</v>
      </c>
    </row>
    <row r="229" spans="1:15" ht="18.95" customHeight="1">
      <c r="A229" s="667">
        <v>4.9000000000000004</v>
      </c>
      <c r="B229" s="1022" t="s">
        <v>427</v>
      </c>
      <c r="C229" s="368" t="s">
        <v>428</v>
      </c>
      <c r="D229" s="286"/>
      <c r="E229" s="25">
        <v>24</v>
      </c>
      <c r="F229" s="30" t="s">
        <v>349</v>
      </c>
      <c r="G229" s="759">
        <v>16980</v>
      </c>
      <c r="H229" s="242">
        <f t="shared" si="19"/>
        <v>15874.73863806</v>
      </c>
      <c r="I229" s="25">
        <f t="shared" si="21"/>
        <v>380993.72731344</v>
      </c>
      <c r="J229" s="759">
        <v>1000</v>
      </c>
      <c r="K229" s="25">
        <f t="shared" si="20"/>
        <v>934.90804700000001</v>
      </c>
      <c r="L229" s="72">
        <f t="shared" si="22"/>
        <v>22437.793128000001</v>
      </c>
      <c r="M229" s="72">
        <f t="shared" ref="M229:M237" si="23">SUM(I229,L229)</f>
        <v>403431.52044143999</v>
      </c>
      <c r="N229" s="26"/>
      <c r="O229" s="921">
        <v>0.93490804699999996</v>
      </c>
    </row>
    <row r="230" spans="1:15" ht="18.95" customHeight="1">
      <c r="A230" s="137">
        <v>4.0999999999999996</v>
      </c>
      <c r="B230" s="1022" t="s">
        <v>429</v>
      </c>
      <c r="C230" s="368" t="s">
        <v>430</v>
      </c>
      <c r="D230" s="24"/>
      <c r="E230" s="25">
        <v>6</v>
      </c>
      <c r="F230" s="30" t="s">
        <v>349</v>
      </c>
      <c r="G230" s="759">
        <v>18450</v>
      </c>
      <c r="H230" s="242">
        <f t="shared" si="19"/>
        <v>17249.053467149999</v>
      </c>
      <c r="I230" s="25">
        <f t="shared" si="21"/>
        <v>103494.32080289999</v>
      </c>
      <c r="J230" s="759">
        <v>1000</v>
      </c>
      <c r="K230" s="25">
        <f t="shared" si="20"/>
        <v>934.90804700000001</v>
      </c>
      <c r="L230" s="72">
        <f t="shared" si="22"/>
        <v>5609.4482820000003</v>
      </c>
      <c r="M230" s="72">
        <f t="shared" si="23"/>
        <v>109103.76908489999</v>
      </c>
      <c r="N230" s="26"/>
      <c r="O230" s="921">
        <v>0.93490804699999996</v>
      </c>
    </row>
    <row r="231" spans="1:15" ht="18.95" customHeight="1">
      <c r="A231" s="981">
        <v>4.1100000000000003</v>
      </c>
      <c r="B231" s="1022" t="s">
        <v>431</v>
      </c>
      <c r="C231" s="368" t="s">
        <v>432</v>
      </c>
      <c r="D231" s="24"/>
      <c r="E231" s="25">
        <v>5</v>
      </c>
      <c r="F231" s="30" t="s">
        <v>349</v>
      </c>
      <c r="G231" s="759">
        <v>15700</v>
      </c>
      <c r="H231" s="242">
        <f t="shared" si="19"/>
        <v>14678.0563379</v>
      </c>
      <c r="I231" s="25">
        <f t="shared" si="21"/>
        <v>73390.2816895</v>
      </c>
      <c r="J231" s="759">
        <v>1000</v>
      </c>
      <c r="K231" s="25">
        <f t="shared" si="20"/>
        <v>934.90804700000001</v>
      </c>
      <c r="L231" s="72">
        <f t="shared" si="22"/>
        <v>4674.5402350000004</v>
      </c>
      <c r="M231" s="72">
        <f t="shared" si="23"/>
        <v>78064.821924499993</v>
      </c>
      <c r="N231" s="26"/>
      <c r="O231" s="921">
        <v>0.93490804699999996</v>
      </c>
    </row>
    <row r="232" spans="1:15" ht="18.95" customHeight="1">
      <c r="A232" s="573">
        <v>4.12</v>
      </c>
      <c r="B232" s="1022" t="s">
        <v>433</v>
      </c>
      <c r="C232" s="368" t="s">
        <v>434</v>
      </c>
      <c r="D232" s="24"/>
      <c r="E232" s="25">
        <v>31</v>
      </c>
      <c r="F232" s="30" t="s">
        <v>349</v>
      </c>
      <c r="G232" s="759">
        <v>15070</v>
      </c>
      <c r="H232" s="242">
        <f t="shared" si="19"/>
        <v>14089.06426829</v>
      </c>
      <c r="I232" s="25">
        <f t="shared" si="21"/>
        <v>436760.99231698998</v>
      </c>
      <c r="J232" s="759">
        <v>1000</v>
      </c>
      <c r="K232" s="25">
        <f t="shared" si="20"/>
        <v>934.90804700000001</v>
      </c>
      <c r="L232" s="72">
        <f t="shared" si="22"/>
        <v>28982.149457</v>
      </c>
      <c r="M232" s="72">
        <f t="shared" si="23"/>
        <v>465743.14177399001</v>
      </c>
      <c r="N232" s="26"/>
      <c r="O232" s="921">
        <v>0.93490804699999996</v>
      </c>
    </row>
    <row r="233" spans="1:15" ht="18.95" customHeight="1">
      <c r="A233" s="137">
        <v>4.13</v>
      </c>
      <c r="B233" s="1022" t="s">
        <v>435</v>
      </c>
      <c r="C233" s="368" t="s">
        <v>436</v>
      </c>
      <c r="D233" s="24"/>
      <c r="E233" s="25">
        <v>4</v>
      </c>
      <c r="F233" s="30" t="s">
        <v>349</v>
      </c>
      <c r="G233" s="759">
        <v>30950</v>
      </c>
      <c r="H233" s="242">
        <f t="shared" si="19"/>
        <v>28935.40405465</v>
      </c>
      <c r="I233" s="25">
        <f t="shared" si="21"/>
        <v>115741.6162186</v>
      </c>
      <c r="J233" s="759">
        <v>2000</v>
      </c>
      <c r="K233" s="25">
        <f t="shared" si="20"/>
        <v>1869.816094</v>
      </c>
      <c r="L233" s="72">
        <f t="shared" si="22"/>
        <v>7479.2643760000001</v>
      </c>
      <c r="M233" s="72">
        <f t="shared" si="23"/>
        <v>123220.88059460001</v>
      </c>
      <c r="N233" s="26"/>
      <c r="O233" s="921">
        <v>0.93490804699999996</v>
      </c>
    </row>
    <row r="234" spans="1:15" ht="18.95" customHeight="1">
      <c r="A234" s="981">
        <v>4.1399999999999997</v>
      </c>
      <c r="B234" s="1022" t="s">
        <v>437</v>
      </c>
      <c r="C234" s="368" t="s">
        <v>438</v>
      </c>
      <c r="D234" s="24"/>
      <c r="E234" s="25">
        <v>3</v>
      </c>
      <c r="F234" s="30" t="s">
        <v>349</v>
      </c>
      <c r="G234" s="759">
        <v>24110</v>
      </c>
      <c r="H234" s="242">
        <f t="shared" si="19"/>
        <v>22540.633013169998</v>
      </c>
      <c r="I234" s="25">
        <f t="shared" si="21"/>
        <v>67621.899039509997</v>
      </c>
      <c r="J234" s="759">
        <v>2000</v>
      </c>
      <c r="K234" s="25">
        <f t="shared" si="20"/>
        <v>1869.816094</v>
      </c>
      <c r="L234" s="72">
        <f t="shared" si="22"/>
        <v>5609.4482820000003</v>
      </c>
      <c r="M234" s="72">
        <f t="shared" si="23"/>
        <v>73231.347321509995</v>
      </c>
      <c r="N234" s="26"/>
      <c r="O234" s="921">
        <v>0.93490804699999996</v>
      </c>
    </row>
    <row r="235" spans="1:15" ht="18.95" customHeight="1">
      <c r="A235" s="573">
        <v>4.1500000000000004</v>
      </c>
      <c r="B235" s="1022" t="s">
        <v>439</v>
      </c>
      <c r="C235" s="368" t="s">
        <v>440</v>
      </c>
      <c r="D235" s="286"/>
      <c r="E235" s="25">
        <v>1</v>
      </c>
      <c r="F235" s="30" t="s">
        <v>349</v>
      </c>
      <c r="G235" s="759">
        <v>26050</v>
      </c>
      <c r="H235" s="242">
        <f t="shared" si="19"/>
        <v>24354.354624349999</v>
      </c>
      <c r="I235" s="25">
        <f t="shared" si="21"/>
        <v>24354.354624349999</v>
      </c>
      <c r="J235" s="759">
        <v>2000</v>
      </c>
      <c r="K235" s="25">
        <f t="shared" si="20"/>
        <v>1869.816094</v>
      </c>
      <c r="L235" s="72">
        <f t="shared" si="22"/>
        <v>1869.816094</v>
      </c>
      <c r="M235" s="72">
        <f t="shared" si="23"/>
        <v>26224.17071835</v>
      </c>
      <c r="N235" s="26"/>
      <c r="O235" s="921">
        <v>0.93490804699999996</v>
      </c>
    </row>
    <row r="236" spans="1:15" ht="18.95" customHeight="1">
      <c r="A236" s="137">
        <v>4.16</v>
      </c>
      <c r="B236" s="1022" t="s">
        <v>441</v>
      </c>
      <c r="C236" s="368" t="s">
        <v>442</v>
      </c>
      <c r="D236" s="24"/>
      <c r="E236" s="25">
        <v>1</v>
      </c>
      <c r="F236" s="30" t="s">
        <v>349</v>
      </c>
      <c r="G236" s="759">
        <v>20220</v>
      </c>
      <c r="H236" s="242">
        <f t="shared" si="19"/>
        <v>18903.840710339999</v>
      </c>
      <c r="I236" s="25">
        <f t="shared" si="21"/>
        <v>18903.840710339999</v>
      </c>
      <c r="J236" s="759">
        <v>2000</v>
      </c>
      <c r="K236" s="25">
        <f t="shared" si="20"/>
        <v>1869.816094</v>
      </c>
      <c r="L236" s="72">
        <f t="shared" si="22"/>
        <v>1869.816094</v>
      </c>
      <c r="M236" s="72">
        <f t="shared" si="23"/>
        <v>20773.65680434</v>
      </c>
      <c r="N236" s="26"/>
      <c r="O236" s="921">
        <v>0.93490804699999996</v>
      </c>
    </row>
    <row r="237" spans="1:15" ht="18.95" customHeight="1">
      <c r="A237" s="981">
        <v>4.17</v>
      </c>
      <c r="B237" s="1022" t="s">
        <v>443</v>
      </c>
      <c r="C237" s="399" t="s">
        <v>444</v>
      </c>
      <c r="D237" s="24"/>
      <c r="E237" s="25">
        <v>5</v>
      </c>
      <c r="F237" s="30" t="s">
        <v>349</v>
      </c>
      <c r="G237" s="759">
        <v>27870</v>
      </c>
      <c r="H237" s="242">
        <f t="shared" si="19"/>
        <v>26055.887269889998</v>
      </c>
      <c r="I237" s="25">
        <f t="shared" si="21"/>
        <v>130279.43634944998</v>
      </c>
      <c r="J237" s="759">
        <v>2000</v>
      </c>
      <c r="K237" s="25">
        <f t="shared" si="20"/>
        <v>1869.816094</v>
      </c>
      <c r="L237" s="72">
        <f t="shared" si="22"/>
        <v>9349.0804700000008</v>
      </c>
      <c r="M237" s="72">
        <f t="shared" si="23"/>
        <v>139628.51681944999</v>
      </c>
      <c r="N237" s="26"/>
      <c r="O237" s="921">
        <v>0.93490804699999996</v>
      </c>
    </row>
    <row r="238" spans="1:15" ht="18.95" customHeight="1">
      <c r="A238" s="981"/>
      <c r="B238" s="1016"/>
      <c r="C238" s="399" t="s">
        <v>445</v>
      </c>
      <c r="D238" s="24"/>
      <c r="E238" s="25"/>
      <c r="F238" s="30"/>
      <c r="G238" s="759"/>
      <c r="H238" s="242"/>
      <c r="I238" s="25"/>
      <c r="J238" s="759"/>
      <c r="K238" s="25"/>
      <c r="L238" s="72"/>
      <c r="M238" s="26"/>
      <c r="N238" s="26"/>
      <c r="O238" s="921">
        <v>0.93490804699999996</v>
      </c>
    </row>
    <row r="239" spans="1:15" ht="18.95" customHeight="1">
      <c r="A239" s="573">
        <v>4.18</v>
      </c>
      <c r="B239" s="1022" t="s">
        <v>446</v>
      </c>
      <c r="C239" s="399" t="s">
        <v>444</v>
      </c>
      <c r="D239" s="24"/>
      <c r="E239" s="25">
        <v>5</v>
      </c>
      <c r="F239" s="30" t="s">
        <v>349</v>
      </c>
      <c r="G239" s="759">
        <v>41540</v>
      </c>
      <c r="H239" s="242">
        <f t="shared" si="19"/>
        <v>38836.080272380001</v>
      </c>
      <c r="I239" s="25">
        <f t="shared" si="21"/>
        <v>194180.4013619</v>
      </c>
      <c r="J239" s="759">
        <v>3000</v>
      </c>
      <c r="K239" s="25">
        <f t="shared" si="20"/>
        <v>2804.7241409999997</v>
      </c>
      <c r="L239" s="72">
        <f t="shared" si="22"/>
        <v>14023.620704999998</v>
      </c>
      <c r="M239" s="72">
        <f>SUM(I239,L239)</f>
        <v>208204.02206690001</v>
      </c>
      <c r="N239" s="26"/>
      <c r="O239" s="921">
        <v>0.93490804699999996</v>
      </c>
    </row>
    <row r="240" spans="1:15" ht="18.95" customHeight="1">
      <c r="A240" s="573"/>
      <c r="B240" s="1016"/>
      <c r="C240" s="399" t="s">
        <v>447</v>
      </c>
      <c r="D240" s="24"/>
      <c r="E240" s="25"/>
      <c r="F240" s="30"/>
      <c r="G240" s="759"/>
      <c r="H240" s="242"/>
      <c r="I240" s="25"/>
      <c r="J240" s="759"/>
      <c r="K240" s="25"/>
      <c r="L240" s="72"/>
      <c r="M240" s="25"/>
      <c r="N240" s="26"/>
      <c r="O240" s="921">
        <v>0.93490804699999996</v>
      </c>
    </row>
    <row r="241" spans="1:15" ht="18.95" customHeight="1">
      <c r="A241" s="573">
        <v>4.1900000000000004</v>
      </c>
      <c r="B241" s="1022" t="s">
        <v>448</v>
      </c>
      <c r="C241" s="399" t="s">
        <v>449</v>
      </c>
      <c r="D241" s="24"/>
      <c r="E241" s="25">
        <v>1</v>
      </c>
      <c r="F241" s="30" t="s">
        <v>349</v>
      </c>
      <c r="G241" s="759">
        <v>121000</v>
      </c>
      <c r="H241" s="242">
        <f t="shared" si="19"/>
        <v>113123.873687</v>
      </c>
      <c r="I241" s="25">
        <f t="shared" si="21"/>
        <v>113123.873687</v>
      </c>
      <c r="J241" s="765">
        <v>0</v>
      </c>
      <c r="K241" s="25">
        <f t="shared" si="20"/>
        <v>0</v>
      </c>
      <c r="L241" s="72">
        <f t="shared" si="22"/>
        <v>0</v>
      </c>
      <c r="M241" s="72">
        <f>SUM(I241,L241)</f>
        <v>113123.873687</v>
      </c>
      <c r="N241" s="26"/>
      <c r="O241" s="921">
        <v>0.93490804699999996</v>
      </c>
    </row>
    <row r="242" spans="1:15" ht="18.95" customHeight="1">
      <c r="A242" s="265"/>
      <c r="B242" s="1016"/>
      <c r="C242" s="399" t="s">
        <v>450</v>
      </c>
      <c r="D242" s="24"/>
      <c r="E242" s="25"/>
      <c r="F242" s="30"/>
      <c r="G242" s="759"/>
      <c r="H242" s="242"/>
      <c r="I242" s="25"/>
      <c r="J242" s="759"/>
      <c r="K242" s="25"/>
      <c r="L242" s="72"/>
      <c r="M242" s="25"/>
      <c r="N242" s="26"/>
      <c r="O242" s="921">
        <v>0.93490804699999996</v>
      </c>
    </row>
    <row r="243" spans="1:15" ht="18.95" customHeight="1">
      <c r="A243" s="265"/>
      <c r="B243" s="265"/>
      <c r="C243" s="992"/>
      <c r="D243" s="993"/>
      <c r="E243" s="25"/>
      <c r="F243" s="30"/>
      <c r="G243" s="759"/>
      <c r="H243" s="242"/>
      <c r="I243" s="25"/>
      <c r="J243" s="759"/>
      <c r="K243" s="25"/>
      <c r="L243" s="72"/>
      <c r="M243" s="25"/>
      <c r="N243" s="26"/>
      <c r="O243" s="921">
        <v>0.93490804699999996</v>
      </c>
    </row>
    <row r="244" spans="1:15" ht="18.95" customHeight="1">
      <c r="A244" s="265"/>
      <c r="B244" s="265"/>
      <c r="C244" s="992"/>
      <c r="D244" s="993"/>
      <c r="E244" s="25"/>
      <c r="F244" s="30"/>
      <c r="G244" s="759"/>
      <c r="H244" s="242"/>
      <c r="I244" s="25"/>
      <c r="J244" s="759"/>
      <c r="K244" s="25"/>
      <c r="L244" s="72"/>
      <c r="M244" s="25"/>
      <c r="N244" s="26"/>
      <c r="O244" s="921">
        <v>0.93490804699999996</v>
      </c>
    </row>
    <row r="245" spans="1:15" ht="18.95" customHeight="1">
      <c r="A245" s="413">
        <v>4.2</v>
      </c>
      <c r="B245" s="1022" t="s">
        <v>451</v>
      </c>
      <c r="C245" s="399" t="s">
        <v>452</v>
      </c>
      <c r="D245" s="24"/>
      <c r="E245" s="25">
        <v>1</v>
      </c>
      <c r="F245" s="30" t="s">
        <v>349</v>
      </c>
      <c r="G245" s="759">
        <v>18000</v>
      </c>
      <c r="H245" s="242">
        <f t="shared" si="19"/>
        <v>16828.344846</v>
      </c>
      <c r="I245" s="25">
        <f t="shared" si="21"/>
        <v>16828.344846</v>
      </c>
      <c r="J245" s="765">
        <v>0</v>
      </c>
      <c r="K245" s="25">
        <f t="shared" si="20"/>
        <v>0</v>
      </c>
      <c r="L245" s="72">
        <f t="shared" si="22"/>
        <v>0</v>
      </c>
      <c r="M245" s="72">
        <f>SUM(I245,L245)</f>
        <v>16828.344846</v>
      </c>
      <c r="N245" s="26"/>
      <c r="O245" s="921">
        <v>0.93490804699999996</v>
      </c>
    </row>
    <row r="246" spans="1:15" ht="18.95" customHeight="1">
      <c r="A246" s="1005"/>
      <c r="B246" s="1016"/>
      <c r="C246" s="399" t="s">
        <v>453</v>
      </c>
      <c r="D246" s="24"/>
      <c r="E246" s="25"/>
      <c r="F246" s="30"/>
      <c r="G246" s="759"/>
      <c r="H246" s="242"/>
      <c r="I246" s="25"/>
      <c r="J246" s="759"/>
      <c r="K246" s="25"/>
      <c r="L246" s="72"/>
      <c r="M246" s="34"/>
      <c r="N246" s="26"/>
      <c r="O246" s="921">
        <v>0.93490804699999996</v>
      </c>
    </row>
    <row r="247" spans="1:15" ht="18.95" customHeight="1">
      <c r="A247" s="372">
        <v>4.21</v>
      </c>
      <c r="B247" s="1022" t="s">
        <v>454</v>
      </c>
      <c r="C247" s="399" t="s">
        <v>449</v>
      </c>
      <c r="D247" s="24"/>
      <c r="E247" s="25">
        <v>1</v>
      </c>
      <c r="F247" s="30" t="s">
        <v>349</v>
      </c>
      <c r="G247" s="759">
        <v>41500</v>
      </c>
      <c r="H247" s="242">
        <f t="shared" si="19"/>
        <v>38798.683950499995</v>
      </c>
      <c r="I247" s="25">
        <f t="shared" si="21"/>
        <v>38798.683950499995</v>
      </c>
      <c r="J247" s="765">
        <v>0</v>
      </c>
      <c r="K247" s="25">
        <f t="shared" si="20"/>
        <v>0</v>
      </c>
      <c r="L247" s="72">
        <f t="shared" si="22"/>
        <v>0</v>
      </c>
      <c r="M247" s="72">
        <f>SUM(I247,L247)</f>
        <v>38798.683950499995</v>
      </c>
      <c r="N247" s="26"/>
      <c r="O247" s="921">
        <v>0.93490804699999996</v>
      </c>
    </row>
    <row r="248" spans="1:15" ht="18.95" customHeight="1">
      <c r="A248" s="372"/>
      <c r="B248" s="1016"/>
      <c r="C248" s="399" t="s">
        <v>455</v>
      </c>
      <c r="D248" s="24"/>
      <c r="E248" s="25"/>
      <c r="F248" s="30"/>
      <c r="G248" s="765"/>
      <c r="H248" s="242"/>
      <c r="I248" s="25"/>
      <c r="J248" s="759"/>
      <c r="K248" s="25"/>
      <c r="L248" s="72"/>
      <c r="M248" s="25"/>
      <c r="N248" s="72"/>
      <c r="O248" s="921">
        <v>0.93490804699999996</v>
      </c>
    </row>
    <row r="249" spans="1:15" ht="18.95" customHeight="1">
      <c r="A249" s="372">
        <v>4.22</v>
      </c>
      <c r="B249" s="1022" t="s">
        <v>456</v>
      </c>
      <c r="C249" s="1055" t="s">
        <v>457</v>
      </c>
      <c r="D249" s="1056"/>
      <c r="E249" s="25">
        <v>1</v>
      </c>
      <c r="F249" s="30" t="s">
        <v>349</v>
      </c>
      <c r="G249" s="759">
        <v>28970</v>
      </c>
      <c r="H249" s="242">
        <f t="shared" si="19"/>
        <v>27084.286121589997</v>
      </c>
      <c r="I249" s="25">
        <f t="shared" si="21"/>
        <v>27084.286121589997</v>
      </c>
      <c r="J249" s="765">
        <v>0</v>
      </c>
      <c r="K249" s="25">
        <f t="shared" si="20"/>
        <v>0</v>
      </c>
      <c r="L249" s="72">
        <f t="shared" si="22"/>
        <v>0</v>
      </c>
      <c r="M249" s="72">
        <f>SUM(I249,L249)</f>
        <v>27084.286121589997</v>
      </c>
      <c r="N249" s="72"/>
      <c r="O249" s="921">
        <v>0.93490804699999996</v>
      </c>
    </row>
    <row r="250" spans="1:15" ht="18.95" customHeight="1">
      <c r="A250" s="1005"/>
      <c r="B250" s="1016"/>
      <c r="C250" s="1055" t="s">
        <v>426</v>
      </c>
      <c r="D250" s="1056"/>
      <c r="E250" s="25"/>
      <c r="F250" s="30"/>
      <c r="G250" s="765"/>
      <c r="H250" s="242"/>
      <c r="I250" s="25"/>
      <c r="J250" s="759"/>
      <c r="K250" s="25"/>
      <c r="L250" s="72"/>
      <c r="M250" s="25"/>
      <c r="N250" s="72"/>
      <c r="O250" s="921">
        <v>0.93490804699999996</v>
      </c>
    </row>
    <row r="251" spans="1:15" ht="18.95" customHeight="1">
      <c r="A251" s="372">
        <v>4.2300000000000004</v>
      </c>
      <c r="B251" s="1022" t="s">
        <v>458</v>
      </c>
      <c r="C251" s="399" t="s">
        <v>452</v>
      </c>
      <c r="D251" s="24"/>
      <c r="E251" s="25">
        <v>1</v>
      </c>
      <c r="F251" s="30" t="s">
        <v>349</v>
      </c>
      <c r="G251" s="759">
        <v>32000</v>
      </c>
      <c r="H251" s="242">
        <f t="shared" si="19"/>
        <v>29917.057504</v>
      </c>
      <c r="I251" s="25">
        <f t="shared" si="21"/>
        <v>29917.057504</v>
      </c>
      <c r="J251" s="765">
        <v>0</v>
      </c>
      <c r="K251" s="25">
        <f t="shared" si="20"/>
        <v>0</v>
      </c>
      <c r="L251" s="72">
        <f t="shared" si="22"/>
        <v>0</v>
      </c>
      <c r="M251" s="72">
        <f>SUM(I251,L251)</f>
        <v>29917.057504</v>
      </c>
      <c r="N251" s="72"/>
      <c r="O251" s="921">
        <v>0.93490804699999996</v>
      </c>
    </row>
    <row r="252" spans="1:15" ht="18.95" customHeight="1">
      <c r="A252" s="372"/>
      <c r="B252" s="1016"/>
      <c r="C252" s="399" t="s">
        <v>459</v>
      </c>
      <c r="D252" s="24"/>
      <c r="E252" s="25"/>
      <c r="F252" s="30"/>
      <c r="G252" s="765"/>
      <c r="H252" s="242"/>
      <c r="I252" s="25"/>
      <c r="J252" s="759"/>
      <c r="K252" s="25"/>
      <c r="L252" s="72"/>
      <c r="M252" s="25"/>
      <c r="N252" s="72"/>
      <c r="O252" s="921">
        <v>0.93490804699999996</v>
      </c>
    </row>
    <row r="253" spans="1:15" ht="18.95" customHeight="1">
      <c r="A253" s="372">
        <v>4.24</v>
      </c>
      <c r="B253" s="1022" t="s">
        <v>460</v>
      </c>
      <c r="C253" s="399" t="s">
        <v>444</v>
      </c>
      <c r="D253" s="24"/>
      <c r="E253" s="25">
        <v>3</v>
      </c>
      <c r="F253" s="30" t="s">
        <v>349</v>
      </c>
      <c r="G253" s="759">
        <v>7940</v>
      </c>
      <c r="H253" s="242">
        <f t="shared" si="19"/>
        <v>7423.1698931800001</v>
      </c>
      <c r="I253" s="25">
        <f t="shared" si="21"/>
        <v>22269.509679540002</v>
      </c>
      <c r="J253" s="759">
        <v>500</v>
      </c>
      <c r="K253" s="25">
        <f t="shared" si="20"/>
        <v>467.45402350000001</v>
      </c>
      <c r="L253" s="72">
        <f t="shared" si="22"/>
        <v>1402.3620705000001</v>
      </c>
      <c r="M253" s="72">
        <f>SUM(I253,L253)</f>
        <v>23671.871750040002</v>
      </c>
      <c r="N253" s="72"/>
      <c r="O253" s="921">
        <v>0.93490804699999996</v>
      </c>
    </row>
    <row r="254" spans="1:15" ht="18.95" customHeight="1">
      <c r="A254" s="372"/>
      <c r="B254" s="1016"/>
      <c r="C254" s="399" t="s">
        <v>461</v>
      </c>
      <c r="D254" s="24"/>
      <c r="E254" s="25"/>
      <c r="F254" s="30"/>
      <c r="G254" s="759"/>
      <c r="H254" s="242"/>
      <c r="I254" s="25"/>
      <c r="J254" s="759"/>
      <c r="K254" s="25"/>
      <c r="L254" s="72"/>
      <c r="M254" s="25"/>
      <c r="N254" s="72"/>
      <c r="O254" s="921">
        <v>0.93490804699999996</v>
      </c>
    </row>
    <row r="255" spans="1:15" ht="18.95" customHeight="1">
      <c r="A255" s="573">
        <v>4.25</v>
      </c>
      <c r="B255" s="1022" t="s">
        <v>462</v>
      </c>
      <c r="C255" s="399" t="s">
        <v>463</v>
      </c>
      <c r="D255" s="24"/>
      <c r="E255" s="25">
        <v>5</v>
      </c>
      <c r="F255" s="30" t="s">
        <v>349</v>
      </c>
      <c r="G255" s="759">
        <v>10640</v>
      </c>
      <c r="H255" s="242">
        <f t="shared" si="19"/>
        <v>9947.4216200800001</v>
      </c>
      <c r="I255" s="25">
        <f t="shared" si="21"/>
        <v>49737.108100400001</v>
      </c>
      <c r="J255" s="759">
        <v>500</v>
      </c>
      <c r="K255" s="25">
        <f t="shared" si="20"/>
        <v>467.45402350000001</v>
      </c>
      <c r="L255" s="72">
        <f t="shared" si="22"/>
        <v>2337.2701175000002</v>
      </c>
      <c r="M255" s="72">
        <f>SUM(I255,L255)</f>
        <v>52074.378217899997</v>
      </c>
      <c r="N255" s="72"/>
      <c r="O255" s="921">
        <v>0.93490804699999996</v>
      </c>
    </row>
    <row r="256" spans="1:15" ht="18.95" customHeight="1">
      <c r="A256" s="981">
        <v>4.26</v>
      </c>
      <c r="B256" s="1022" t="s">
        <v>464</v>
      </c>
      <c r="C256" s="399" t="s">
        <v>452</v>
      </c>
      <c r="D256" s="24"/>
      <c r="E256" s="25">
        <v>1</v>
      </c>
      <c r="F256" s="30" t="s">
        <v>349</v>
      </c>
      <c r="G256" s="759">
        <v>20000</v>
      </c>
      <c r="H256" s="242">
        <f t="shared" si="19"/>
        <v>18698.160939999998</v>
      </c>
      <c r="I256" s="25">
        <f t="shared" si="21"/>
        <v>18698.160939999998</v>
      </c>
      <c r="J256" s="765">
        <v>0</v>
      </c>
      <c r="K256" s="25">
        <f t="shared" si="20"/>
        <v>0</v>
      </c>
      <c r="L256" s="72">
        <f t="shared" si="22"/>
        <v>0</v>
      </c>
      <c r="M256" s="72">
        <f>SUM(I256,L256)</f>
        <v>18698.160939999998</v>
      </c>
      <c r="N256" s="72"/>
      <c r="O256" s="921">
        <v>0.93490804699999996</v>
      </c>
    </row>
    <row r="257" spans="1:15" ht="18.95" customHeight="1">
      <c r="A257" s="137"/>
      <c r="B257" s="1016"/>
      <c r="C257" s="399" t="s">
        <v>465</v>
      </c>
      <c r="D257" s="24"/>
      <c r="E257" s="25"/>
      <c r="F257" s="30"/>
      <c r="G257" s="759"/>
      <c r="H257" s="242"/>
      <c r="I257" s="25"/>
      <c r="J257" s="759"/>
      <c r="K257" s="25"/>
      <c r="L257" s="72"/>
      <c r="M257" s="25"/>
      <c r="N257" s="72"/>
      <c r="O257" s="921">
        <v>0.93490804699999996</v>
      </c>
    </row>
    <row r="258" spans="1:15" ht="18.95" customHeight="1">
      <c r="A258" s="573">
        <v>4.2699999999999996</v>
      </c>
      <c r="B258" s="1163" t="s">
        <v>466</v>
      </c>
      <c r="C258" s="399" t="s">
        <v>467</v>
      </c>
      <c r="D258" s="24"/>
      <c r="E258" s="25">
        <v>1</v>
      </c>
      <c r="F258" s="30" t="s">
        <v>349</v>
      </c>
      <c r="G258" s="759">
        <v>196200</v>
      </c>
      <c r="H258" s="242">
        <f t="shared" si="19"/>
        <v>183428.95882139998</v>
      </c>
      <c r="I258" s="25">
        <f>E258*H258</f>
        <v>183428.95882139998</v>
      </c>
      <c r="J258" s="759">
        <v>54500</v>
      </c>
      <c r="K258" s="25">
        <f t="shared" si="20"/>
        <v>50952.488561499995</v>
      </c>
      <c r="L258" s="72">
        <f t="shared" si="22"/>
        <v>50952.488561499995</v>
      </c>
      <c r="M258" s="72">
        <f>SUM(I258,L258)</f>
        <v>234381.44738289999</v>
      </c>
      <c r="N258" s="72"/>
      <c r="O258" s="921">
        <v>0.93490804699999996</v>
      </c>
    </row>
    <row r="259" spans="1:15" ht="18.95" customHeight="1">
      <c r="A259" s="137"/>
      <c r="B259" s="1016"/>
      <c r="C259" s="399" t="s">
        <v>468</v>
      </c>
      <c r="D259" s="24"/>
      <c r="E259" s="25"/>
      <c r="F259" s="30"/>
      <c r="G259" s="765"/>
      <c r="H259" s="242"/>
      <c r="I259" s="25"/>
      <c r="J259" s="759"/>
      <c r="K259" s="25"/>
      <c r="L259" s="72"/>
      <c r="M259" s="25"/>
      <c r="N259" s="72"/>
      <c r="O259" s="921">
        <v>0.93490804699999996</v>
      </c>
    </row>
    <row r="260" spans="1:15" ht="18.95" customHeight="1">
      <c r="A260" s="981">
        <v>4.28</v>
      </c>
      <c r="B260" s="1163" t="s">
        <v>469</v>
      </c>
      <c r="C260" s="399" t="s">
        <v>470</v>
      </c>
      <c r="D260" s="24"/>
      <c r="E260" s="25">
        <v>1</v>
      </c>
      <c r="F260" s="30" t="s">
        <v>349</v>
      </c>
      <c r="G260" s="759">
        <v>151700</v>
      </c>
      <c r="H260" s="242">
        <f t="shared" si="19"/>
        <v>141825.55072989999</v>
      </c>
      <c r="I260" s="25">
        <f t="shared" si="21"/>
        <v>141825.55072989999</v>
      </c>
      <c r="J260" s="759">
        <v>39330</v>
      </c>
      <c r="K260" s="25">
        <f t="shared" si="20"/>
        <v>36769.933488509996</v>
      </c>
      <c r="L260" s="72">
        <f t="shared" si="22"/>
        <v>36769.933488509996</v>
      </c>
      <c r="M260" s="72">
        <f>SUM(I260,L260)</f>
        <v>178595.48421840998</v>
      </c>
      <c r="N260" s="26"/>
      <c r="O260" s="921">
        <v>0.93490804699999996</v>
      </c>
    </row>
    <row r="261" spans="1:15" ht="18.95" customHeight="1">
      <c r="A261" s="137"/>
      <c r="B261" s="1016"/>
      <c r="C261" s="1004" t="s">
        <v>471</v>
      </c>
      <c r="D261" s="24"/>
      <c r="E261" s="25"/>
      <c r="F261" s="30"/>
      <c r="G261" s="765"/>
      <c r="H261" s="242"/>
      <c r="I261" s="25"/>
      <c r="J261" s="759"/>
      <c r="K261" s="25"/>
      <c r="L261" s="72"/>
      <c r="M261" s="25"/>
      <c r="N261" s="26"/>
      <c r="O261" s="921">
        <v>0.93490804699999996</v>
      </c>
    </row>
    <row r="262" spans="1:15" ht="18.95" customHeight="1">
      <c r="A262" s="573">
        <v>4.29</v>
      </c>
      <c r="B262" s="1163" t="s">
        <v>472</v>
      </c>
      <c r="C262" s="399" t="s">
        <v>473</v>
      </c>
      <c r="D262" s="24"/>
      <c r="E262" s="25">
        <v>1</v>
      </c>
      <c r="F262" s="30" t="s">
        <v>349</v>
      </c>
      <c r="G262" s="759">
        <v>80350</v>
      </c>
      <c r="H262" s="242">
        <f t="shared" si="19"/>
        <v>75119.861576449999</v>
      </c>
      <c r="I262" s="25">
        <f t="shared" si="21"/>
        <v>75119.861576449999</v>
      </c>
      <c r="J262" s="759">
        <v>22220</v>
      </c>
      <c r="K262" s="25">
        <f t="shared" si="20"/>
        <v>20773.65680434</v>
      </c>
      <c r="L262" s="72">
        <f t="shared" si="22"/>
        <v>20773.65680434</v>
      </c>
      <c r="M262" s="72">
        <f>SUM(I262,L262)</f>
        <v>95893.518380790003</v>
      </c>
      <c r="N262" s="26"/>
      <c r="O262" s="921">
        <v>0.93490804699999996</v>
      </c>
    </row>
    <row r="263" spans="1:15" ht="18.95" customHeight="1">
      <c r="A263" s="981">
        <v>4.3</v>
      </c>
      <c r="B263" s="1163" t="s">
        <v>474</v>
      </c>
      <c r="C263" s="399" t="s">
        <v>475</v>
      </c>
      <c r="D263" s="24"/>
      <c r="E263" s="25">
        <v>1</v>
      </c>
      <c r="F263" s="30" t="s">
        <v>349</v>
      </c>
      <c r="G263" s="765">
        <v>139600</v>
      </c>
      <c r="H263" s="242">
        <f t="shared" si="19"/>
        <v>130513.1633612</v>
      </c>
      <c r="I263" s="25">
        <f t="shared" si="21"/>
        <v>130513.1633612</v>
      </c>
      <c r="J263" s="759">
        <v>36360</v>
      </c>
      <c r="K263" s="25">
        <f t="shared" si="20"/>
        <v>33993.256588919998</v>
      </c>
      <c r="L263" s="72">
        <f t="shared" si="22"/>
        <v>33993.256588919998</v>
      </c>
      <c r="M263" s="72">
        <f>SUM(I263,L263)</f>
        <v>164506.41995012001</v>
      </c>
      <c r="N263" s="26"/>
      <c r="O263" s="921">
        <v>0.93490804699999996</v>
      </c>
    </row>
    <row r="264" spans="1:15" ht="18.95" customHeight="1">
      <c r="A264" s="981"/>
      <c r="B264" s="1016"/>
      <c r="C264" s="399" t="s">
        <v>476</v>
      </c>
      <c r="D264" s="24"/>
      <c r="E264" s="25"/>
      <c r="F264" s="30"/>
      <c r="G264" s="759"/>
      <c r="H264" s="242"/>
      <c r="I264" s="25"/>
      <c r="J264" s="759"/>
      <c r="K264" s="25"/>
      <c r="L264" s="72"/>
      <c r="M264" s="72"/>
      <c r="N264" s="26"/>
      <c r="O264" s="921">
        <v>0.93490804699999996</v>
      </c>
    </row>
    <row r="265" spans="1:15" ht="18.95" customHeight="1">
      <c r="A265" s="981">
        <v>4.3099999999999996</v>
      </c>
      <c r="B265" s="348" t="s">
        <v>477</v>
      </c>
      <c r="C265" s="399" t="s">
        <v>478</v>
      </c>
      <c r="D265" s="334"/>
      <c r="E265" s="25">
        <v>1</v>
      </c>
      <c r="F265" s="30" t="s">
        <v>349</v>
      </c>
      <c r="G265" s="759">
        <v>71790</v>
      </c>
      <c r="H265" s="242">
        <f t="shared" si="19"/>
        <v>67117.048694130004</v>
      </c>
      <c r="I265" s="25">
        <f t="shared" si="21"/>
        <v>67117.048694130004</v>
      </c>
      <c r="J265" s="759">
        <v>26000</v>
      </c>
      <c r="K265" s="25">
        <f t="shared" si="20"/>
        <v>24307.609221999999</v>
      </c>
      <c r="L265" s="72">
        <f t="shared" si="22"/>
        <v>24307.609221999999</v>
      </c>
      <c r="M265" s="72">
        <f>SUM(I265,L265)</f>
        <v>91424.657916130003</v>
      </c>
      <c r="N265" s="26"/>
      <c r="O265" s="921">
        <v>0.93490804699999996</v>
      </c>
    </row>
    <row r="266" spans="1:15" ht="18.95" customHeight="1">
      <c r="A266" s="981">
        <v>4.32</v>
      </c>
      <c r="B266" s="348" t="s">
        <v>479</v>
      </c>
      <c r="C266" s="399" t="s">
        <v>480</v>
      </c>
      <c r="D266" s="334"/>
      <c r="E266" s="25">
        <v>1</v>
      </c>
      <c r="F266" s="30" t="s">
        <v>349</v>
      </c>
      <c r="G266" s="765">
        <v>29570</v>
      </c>
      <c r="H266" s="242">
        <f t="shared" si="19"/>
        <v>27645.230949789999</v>
      </c>
      <c r="I266" s="25">
        <f t="shared" si="21"/>
        <v>27645.230949789999</v>
      </c>
      <c r="J266" s="759">
        <v>13570</v>
      </c>
      <c r="K266" s="25">
        <f t="shared" si="20"/>
        <v>12686.70219779</v>
      </c>
      <c r="L266" s="72">
        <f t="shared" si="22"/>
        <v>12686.70219779</v>
      </c>
      <c r="M266" s="72">
        <f>SUM(I266,L266)</f>
        <v>40331.933147579999</v>
      </c>
      <c r="N266" s="26"/>
      <c r="O266" s="921">
        <v>0.93490804699999996</v>
      </c>
    </row>
    <row r="267" spans="1:15" ht="18.95" customHeight="1">
      <c r="A267" s="981">
        <v>4.33</v>
      </c>
      <c r="B267" s="348" t="s">
        <v>481</v>
      </c>
      <c r="C267" s="399" t="s">
        <v>482</v>
      </c>
      <c r="D267" s="24"/>
      <c r="E267" s="25">
        <v>1</v>
      </c>
      <c r="F267" s="30" t="s">
        <v>349</v>
      </c>
      <c r="G267" s="759">
        <v>40000</v>
      </c>
      <c r="H267" s="242">
        <f t="shared" si="19"/>
        <v>37396.321879999996</v>
      </c>
      <c r="I267" s="25">
        <f t="shared" si="21"/>
        <v>37396.321879999996</v>
      </c>
      <c r="J267" s="759">
        <v>17010</v>
      </c>
      <c r="K267" s="25">
        <f t="shared" si="20"/>
        <v>15902.785879469999</v>
      </c>
      <c r="L267" s="72">
        <f t="shared" si="22"/>
        <v>15902.785879469999</v>
      </c>
      <c r="M267" s="72">
        <f>SUM(I267,L267)</f>
        <v>53299.107759469996</v>
      </c>
      <c r="N267" s="26"/>
      <c r="O267" s="921">
        <v>0.93490804699999996</v>
      </c>
    </row>
    <row r="268" spans="1:15" ht="18.95" customHeight="1">
      <c r="A268" s="981">
        <v>4.34</v>
      </c>
      <c r="B268" s="348" t="s">
        <v>483</v>
      </c>
      <c r="C268" s="399" t="s">
        <v>484</v>
      </c>
      <c r="D268" s="24"/>
      <c r="E268" s="25">
        <v>4</v>
      </c>
      <c r="F268" s="30" t="s">
        <v>349</v>
      </c>
      <c r="G268" s="765">
        <v>17000</v>
      </c>
      <c r="H268" s="242">
        <f t="shared" si="19"/>
        <v>15893.436798999999</v>
      </c>
      <c r="I268" s="25">
        <f t="shared" si="21"/>
        <v>63573.747195999997</v>
      </c>
      <c r="J268" s="759">
        <v>7710</v>
      </c>
      <c r="K268" s="25">
        <f t="shared" si="20"/>
        <v>7208.1410423699999</v>
      </c>
      <c r="L268" s="72">
        <f t="shared" si="22"/>
        <v>28832.56416948</v>
      </c>
      <c r="M268" s="72">
        <f>SUM(I268,L268)</f>
        <v>92406.311365479996</v>
      </c>
      <c r="N268" s="26"/>
      <c r="O268" s="921">
        <v>0.93490804699999996</v>
      </c>
    </row>
    <row r="269" spans="1:15" ht="18.95" customHeight="1">
      <c r="A269" s="573"/>
      <c r="B269" s="1016"/>
      <c r="C269" s="399" t="s">
        <v>485</v>
      </c>
      <c r="D269" s="24"/>
      <c r="E269" s="25"/>
      <c r="F269" s="30"/>
      <c r="G269" s="759"/>
      <c r="H269" s="242"/>
      <c r="I269" s="25"/>
      <c r="J269" s="759"/>
      <c r="K269" s="25"/>
      <c r="L269" s="72"/>
      <c r="M269" s="72"/>
      <c r="N269" s="26"/>
      <c r="O269" s="921">
        <v>0.93490804699999996</v>
      </c>
    </row>
    <row r="270" spans="1:15" ht="18.95" customHeight="1">
      <c r="A270" s="981">
        <v>4.3499999999999996</v>
      </c>
      <c r="B270" s="1163" t="s">
        <v>486</v>
      </c>
      <c r="C270" s="399" t="s">
        <v>487</v>
      </c>
      <c r="D270" s="24"/>
      <c r="E270" s="25">
        <v>1</v>
      </c>
      <c r="F270" s="30" t="s">
        <v>349</v>
      </c>
      <c r="G270" s="759">
        <v>60500</v>
      </c>
      <c r="H270" s="242">
        <f t="shared" si="19"/>
        <v>56561.9368435</v>
      </c>
      <c r="I270" s="25">
        <f t="shared" si="21"/>
        <v>56561.9368435</v>
      </c>
      <c r="J270" s="759">
        <v>23990</v>
      </c>
      <c r="K270" s="25">
        <f t="shared" si="20"/>
        <v>22428.44404753</v>
      </c>
      <c r="L270" s="72">
        <f t="shared" si="22"/>
        <v>22428.44404753</v>
      </c>
      <c r="M270" s="72">
        <f>SUM(I270,L270)</f>
        <v>78990.380891029999</v>
      </c>
      <c r="N270" s="26"/>
      <c r="O270" s="921">
        <v>0.93490804699999996</v>
      </c>
    </row>
    <row r="271" spans="1:15" ht="18.95" customHeight="1">
      <c r="A271" s="265"/>
      <c r="B271" s="1016"/>
      <c r="C271" s="399" t="s">
        <v>488</v>
      </c>
      <c r="D271" s="24"/>
      <c r="E271" s="25"/>
      <c r="F271" s="30"/>
      <c r="G271" s="759"/>
      <c r="H271" s="242"/>
      <c r="I271" s="25"/>
      <c r="J271" s="759"/>
      <c r="K271" s="25"/>
      <c r="L271" s="72"/>
      <c r="M271" s="72"/>
      <c r="N271" s="26"/>
      <c r="O271" s="921">
        <v>0.93490804699999996</v>
      </c>
    </row>
    <row r="272" spans="1:15" ht="18.95" customHeight="1">
      <c r="A272" s="573"/>
      <c r="B272" s="1016"/>
      <c r="C272" s="399"/>
      <c r="D272" s="24"/>
      <c r="E272" s="25"/>
      <c r="F272" s="30"/>
      <c r="G272" s="759"/>
      <c r="H272" s="242"/>
      <c r="I272" s="25"/>
      <c r="J272" s="759"/>
      <c r="K272" s="25"/>
      <c r="L272" s="72"/>
      <c r="M272" s="72"/>
      <c r="N272" s="26"/>
      <c r="O272" s="921">
        <v>0.93490804699999996</v>
      </c>
    </row>
    <row r="273" spans="1:18" ht="18.95" customHeight="1">
      <c r="A273" s="265">
        <v>4.3600000000000003</v>
      </c>
      <c r="B273" s="1163" t="s">
        <v>489</v>
      </c>
      <c r="C273" s="399" t="s">
        <v>487</v>
      </c>
      <c r="D273" s="24"/>
      <c r="E273" s="25">
        <v>1</v>
      </c>
      <c r="F273" s="30" t="s">
        <v>349</v>
      </c>
      <c r="G273" s="759">
        <v>65400</v>
      </c>
      <c r="H273" s="242">
        <f t="shared" si="19"/>
        <v>61142.986273800001</v>
      </c>
      <c r="I273" s="25">
        <f>E273*H273</f>
        <v>61142.986273800001</v>
      </c>
      <c r="J273" s="759">
        <v>23900</v>
      </c>
      <c r="K273" s="25">
        <f t="shared" si="20"/>
        <v>22344.302323299999</v>
      </c>
      <c r="L273" s="72">
        <f t="shared" si="22"/>
        <v>22344.302323299999</v>
      </c>
      <c r="M273" s="72">
        <f>SUM(I273,L273)</f>
        <v>83487.288597100007</v>
      </c>
      <c r="N273" s="26"/>
      <c r="O273" s="921">
        <v>0.93490804699999996</v>
      </c>
    </row>
    <row r="274" spans="1:18" ht="18.95" customHeight="1">
      <c r="A274" s="265"/>
      <c r="B274" s="1016"/>
      <c r="C274" s="399" t="s">
        <v>490</v>
      </c>
      <c r="D274" s="24"/>
      <c r="E274" s="25"/>
      <c r="F274" s="30"/>
      <c r="G274" s="759"/>
      <c r="H274" s="242"/>
      <c r="I274" s="25"/>
      <c r="J274" s="759"/>
      <c r="K274" s="25"/>
      <c r="L274" s="72"/>
      <c r="M274" s="72"/>
      <c r="N274" s="26"/>
      <c r="O274" s="921">
        <v>0.93490804699999996</v>
      </c>
    </row>
    <row r="275" spans="1:18" ht="18.95" customHeight="1">
      <c r="A275" s="265">
        <v>4.37</v>
      </c>
      <c r="B275" s="1163" t="s">
        <v>491</v>
      </c>
      <c r="C275" s="399" t="s">
        <v>492</v>
      </c>
      <c r="D275" s="24"/>
      <c r="E275" s="25">
        <v>2</v>
      </c>
      <c r="F275" s="30" t="s">
        <v>349</v>
      </c>
      <c r="G275" s="759">
        <v>49750</v>
      </c>
      <c r="H275" s="242">
        <f t="shared" si="19"/>
        <v>46511.675338249996</v>
      </c>
      <c r="I275" s="25">
        <f t="shared" si="21"/>
        <v>93023.350676499991</v>
      </c>
      <c r="J275" s="759">
        <v>18135</v>
      </c>
      <c r="K275" s="25">
        <f t="shared" si="20"/>
        <v>16954.557432344998</v>
      </c>
      <c r="L275" s="72">
        <f t="shared" si="22"/>
        <v>33909.114864689996</v>
      </c>
      <c r="M275" s="72">
        <f>SUM(I275,L275)</f>
        <v>126932.46554118999</v>
      </c>
      <c r="N275" s="26"/>
      <c r="O275" s="921">
        <v>0.93490804699999996</v>
      </c>
    </row>
    <row r="276" spans="1:18" ht="18.95" customHeight="1">
      <c r="A276" s="265">
        <v>4.38</v>
      </c>
      <c r="B276" s="348" t="s">
        <v>493</v>
      </c>
      <c r="C276" s="399" t="s">
        <v>484</v>
      </c>
      <c r="D276" s="24"/>
      <c r="E276" s="25">
        <v>0</v>
      </c>
      <c r="F276" s="30" t="s">
        <v>349</v>
      </c>
      <c r="G276" s="759">
        <v>14690</v>
      </c>
      <c r="H276" s="242">
        <f t="shared" si="19"/>
        <v>13733.799210429999</v>
      </c>
      <c r="I276" s="25">
        <f t="shared" si="21"/>
        <v>0</v>
      </c>
      <c r="J276" s="759">
        <v>5485</v>
      </c>
      <c r="K276" s="25">
        <f t="shared" si="20"/>
        <v>5127.9706377949997</v>
      </c>
      <c r="L276" s="72">
        <f t="shared" si="22"/>
        <v>0</v>
      </c>
      <c r="M276" s="72">
        <f>SUM(I276,L276)</f>
        <v>0</v>
      </c>
      <c r="N276" s="288"/>
      <c r="O276" s="921">
        <v>0.93490804699999996</v>
      </c>
    </row>
    <row r="277" spans="1:18" ht="18.95" customHeight="1">
      <c r="A277" s="265"/>
      <c r="B277" s="1016"/>
      <c r="C277" s="399" t="s">
        <v>494</v>
      </c>
      <c r="D277" s="1057"/>
      <c r="E277" s="25"/>
      <c r="F277" s="30"/>
      <c r="G277" s="759"/>
      <c r="H277" s="242"/>
      <c r="I277" s="25"/>
      <c r="J277" s="759"/>
      <c r="K277" s="25"/>
      <c r="L277" s="72"/>
      <c r="M277" s="72"/>
      <c r="N277" s="26"/>
      <c r="O277" s="921">
        <v>0.93490804699999996</v>
      </c>
    </row>
    <row r="278" spans="1:18" ht="18.95" customHeight="1">
      <c r="A278" s="372">
        <v>4.3899999999999997</v>
      </c>
      <c r="B278" s="348" t="s">
        <v>495</v>
      </c>
      <c r="C278" s="399" t="s">
        <v>484</v>
      </c>
      <c r="D278" s="24"/>
      <c r="E278" s="25">
        <v>1</v>
      </c>
      <c r="F278" s="30" t="s">
        <v>349</v>
      </c>
      <c r="G278" s="759">
        <v>13485</v>
      </c>
      <c r="H278" s="242">
        <f t="shared" si="19"/>
        <v>12607.235013795</v>
      </c>
      <c r="I278" s="25">
        <f t="shared" si="21"/>
        <v>12607.235013795</v>
      </c>
      <c r="J278" s="759">
        <v>5395</v>
      </c>
      <c r="K278" s="25">
        <f t="shared" si="20"/>
        <v>5043.8289135650002</v>
      </c>
      <c r="L278" s="72">
        <f t="shared" si="22"/>
        <v>5043.8289135650002</v>
      </c>
      <c r="M278" s="72">
        <f>SUM(I278,L278)</f>
        <v>17651.063927359999</v>
      </c>
      <c r="N278" s="26"/>
      <c r="O278" s="921">
        <v>0.93490804699999996</v>
      </c>
    </row>
    <row r="279" spans="1:18" ht="18.95" customHeight="1">
      <c r="A279" s="981"/>
      <c r="B279" s="1016"/>
      <c r="C279" s="399" t="s">
        <v>496</v>
      </c>
      <c r="D279" s="24"/>
      <c r="E279" s="25"/>
      <c r="F279" s="30"/>
      <c r="G279" s="759"/>
      <c r="H279" s="242"/>
      <c r="I279" s="25"/>
      <c r="J279" s="759"/>
      <c r="K279" s="25"/>
      <c r="L279" s="72"/>
      <c r="M279" s="72"/>
      <c r="N279" s="26"/>
      <c r="O279" s="921">
        <v>0.93490804699999996</v>
      </c>
    </row>
    <row r="280" spans="1:18" ht="18.95" customHeight="1">
      <c r="A280" s="372">
        <v>4.4000000000000004</v>
      </c>
      <c r="B280" s="348" t="s">
        <v>497</v>
      </c>
      <c r="C280" s="399" t="s">
        <v>484</v>
      </c>
      <c r="D280" s="24"/>
      <c r="E280" s="25">
        <v>1</v>
      </c>
      <c r="F280" s="30" t="s">
        <v>349</v>
      </c>
      <c r="G280" s="759">
        <v>13050</v>
      </c>
      <c r="H280" s="242">
        <f t="shared" si="19"/>
        <v>12200.550013349999</v>
      </c>
      <c r="I280" s="25">
        <f t="shared" si="21"/>
        <v>12200.550013349999</v>
      </c>
      <c r="J280" s="759">
        <v>5300</v>
      </c>
      <c r="K280" s="25">
        <f t="shared" si="20"/>
        <v>4955.0126491000001</v>
      </c>
      <c r="L280" s="72">
        <f t="shared" si="22"/>
        <v>4955.0126491000001</v>
      </c>
      <c r="M280" s="72">
        <f>SUM(I280,L280)</f>
        <v>17155.56266245</v>
      </c>
      <c r="N280" s="72"/>
      <c r="O280" s="921">
        <v>0.93490804699999996</v>
      </c>
    </row>
    <row r="281" spans="1:18" ht="18.95" customHeight="1">
      <c r="A281" s="372"/>
      <c r="B281" s="1016"/>
      <c r="C281" s="399" t="s">
        <v>498</v>
      </c>
      <c r="D281" s="24"/>
      <c r="E281" s="25"/>
      <c r="F281" s="30"/>
      <c r="G281" s="759"/>
      <c r="H281" s="242"/>
      <c r="I281" s="25"/>
      <c r="J281" s="759" t="s">
        <v>151</v>
      </c>
      <c r="K281" s="25"/>
      <c r="L281" s="30"/>
      <c r="M281" s="72"/>
      <c r="N281" s="72"/>
      <c r="O281" s="921">
        <v>0.93490804699999996</v>
      </c>
    </row>
    <row r="282" spans="1:18" ht="18.95" customHeight="1">
      <c r="A282" s="981">
        <v>4.41</v>
      </c>
      <c r="B282" s="1022" t="s">
        <v>499</v>
      </c>
      <c r="C282" s="368"/>
      <c r="D282" s="24"/>
      <c r="E282" s="25"/>
      <c r="F282" s="30"/>
      <c r="G282" s="759"/>
      <c r="H282" s="242"/>
      <c r="I282" s="25"/>
      <c r="J282" s="759"/>
      <c r="K282" s="25"/>
      <c r="L282" s="72"/>
      <c r="M282" s="72"/>
      <c r="N282" s="72"/>
      <c r="O282" s="921">
        <v>0.93490804699999996</v>
      </c>
    </row>
    <row r="283" spans="1:18" ht="18.95" customHeight="1">
      <c r="A283" s="573"/>
      <c r="B283" s="1164" t="s">
        <v>273</v>
      </c>
      <c r="C283" s="399" t="s">
        <v>500</v>
      </c>
      <c r="D283" s="24"/>
      <c r="E283" s="25">
        <v>9</v>
      </c>
      <c r="F283" s="30" t="s">
        <v>349</v>
      </c>
      <c r="G283" s="759">
        <v>10450</v>
      </c>
      <c r="H283" s="242">
        <f t="shared" ref="H283:H307" si="24">G283*O283</f>
        <v>9769.7890911499999</v>
      </c>
      <c r="I283" s="25">
        <f t="shared" ref="I283:I292" si="25">E283*H283</f>
        <v>87928.101820349999</v>
      </c>
      <c r="J283" s="759">
        <v>0</v>
      </c>
      <c r="K283" s="25"/>
      <c r="L283" s="72">
        <f t="shared" ref="L283:L298" si="26">J283*E283</f>
        <v>0</v>
      </c>
      <c r="M283" s="72">
        <f>SUM(I283,L283)</f>
        <v>87928.101820349999</v>
      </c>
      <c r="N283" s="26"/>
      <c r="O283" s="921">
        <v>0.93490804699999996</v>
      </c>
    </row>
    <row r="284" spans="1:18" ht="18.95" customHeight="1">
      <c r="A284" s="372"/>
      <c r="B284" s="1164" t="s">
        <v>273</v>
      </c>
      <c r="C284" s="399" t="s">
        <v>501</v>
      </c>
      <c r="D284" s="24"/>
      <c r="E284" s="25">
        <v>18</v>
      </c>
      <c r="F284" s="30" t="s">
        <v>349</v>
      </c>
      <c r="G284" s="759">
        <v>12180</v>
      </c>
      <c r="H284" s="242">
        <f t="shared" si="24"/>
        <v>11387.180012459999</v>
      </c>
      <c r="I284" s="25">
        <f t="shared" si="25"/>
        <v>204969.24022427999</v>
      </c>
      <c r="J284" s="759">
        <v>0</v>
      </c>
      <c r="K284" s="25"/>
      <c r="L284" s="72">
        <f t="shared" si="26"/>
        <v>0</v>
      </c>
      <c r="M284" s="72">
        <f t="shared" ref="M284:M298" si="27">SUM(I284,L284)</f>
        <v>204969.24022427999</v>
      </c>
      <c r="N284" s="72"/>
      <c r="O284" s="921">
        <v>0.93490804699999996</v>
      </c>
    </row>
    <row r="285" spans="1:18" ht="18.95" customHeight="1">
      <c r="A285" s="981"/>
      <c r="B285" s="1164" t="s">
        <v>273</v>
      </c>
      <c r="C285" s="399" t="s">
        <v>502</v>
      </c>
      <c r="D285" s="301"/>
      <c r="E285" s="25">
        <v>2</v>
      </c>
      <c r="F285" s="30" t="s">
        <v>349</v>
      </c>
      <c r="G285" s="759">
        <v>22200</v>
      </c>
      <c r="H285" s="242">
        <f t="shared" si="24"/>
        <v>20754.958643399998</v>
      </c>
      <c r="I285" s="25">
        <f t="shared" si="25"/>
        <v>41509.917286799995</v>
      </c>
      <c r="J285" s="759">
        <v>0</v>
      </c>
      <c r="K285" s="25"/>
      <c r="L285" s="72">
        <f t="shared" si="26"/>
        <v>0</v>
      </c>
      <c r="M285" s="72">
        <f t="shared" si="27"/>
        <v>41509.917286799995</v>
      </c>
      <c r="N285" s="72"/>
      <c r="O285" s="921">
        <v>0.93490804699999996</v>
      </c>
    </row>
    <row r="286" spans="1:18" ht="18.95" customHeight="1">
      <c r="A286" s="137"/>
      <c r="B286" s="1164" t="s">
        <v>273</v>
      </c>
      <c r="C286" s="399" t="s">
        <v>503</v>
      </c>
      <c r="D286" s="24"/>
      <c r="E286" s="25">
        <v>16</v>
      </c>
      <c r="F286" s="30" t="s">
        <v>349</v>
      </c>
      <c r="G286" s="759">
        <v>10520</v>
      </c>
      <c r="H286" s="242">
        <f t="shared" si="24"/>
        <v>9835.2326544400003</v>
      </c>
      <c r="I286" s="25">
        <f t="shared" si="25"/>
        <v>157363.72247104</v>
      </c>
      <c r="J286" s="759">
        <v>0</v>
      </c>
      <c r="K286" s="25"/>
      <c r="L286" s="72">
        <f t="shared" si="26"/>
        <v>0</v>
      </c>
      <c r="M286" s="72">
        <f t="shared" si="27"/>
        <v>157363.72247104</v>
      </c>
      <c r="N286" s="72"/>
      <c r="O286" s="921">
        <v>0.93490804699999996</v>
      </c>
    </row>
    <row r="287" spans="1:18" s="985" customFormat="1" ht="18.95" customHeight="1">
      <c r="A287" s="372"/>
      <c r="B287" s="1164" t="s">
        <v>273</v>
      </c>
      <c r="C287" s="399" t="s">
        <v>504</v>
      </c>
      <c r="D287" s="301"/>
      <c r="E287" s="25">
        <v>11</v>
      </c>
      <c r="F287" s="30" t="s">
        <v>349</v>
      </c>
      <c r="G287" s="759">
        <v>6730</v>
      </c>
      <c r="H287" s="242">
        <f t="shared" si="24"/>
        <v>6291.93115631</v>
      </c>
      <c r="I287" s="25">
        <f t="shared" si="25"/>
        <v>69211.242719410002</v>
      </c>
      <c r="J287" s="759">
        <v>0</v>
      </c>
      <c r="K287" s="25"/>
      <c r="L287" s="72">
        <f t="shared" si="26"/>
        <v>0</v>
      </c>
      <c r="M287" s="72">
        <f t="shared" si="27"/>
        <v>69211.242719410002</v>
      </c>
      <c r="N287" s="26"/>
      <c r="O287" s="921">
        <v>0.93490804699999996</v>
      </c>
      <c r="P287" s="157"/>
      <c r="Q287" s="157"/>
      <c r="R287" s="203"/>
    </row>
    <row r="288" spans="1:18" ht="18.95" customHeight="1">
      <c r="A288" s="981"/>
      <c r="B288" s="1164" t="s">
        <v>273</v>
      </c>
      <c r="C288" s="399" t="s">
        <v>505</v>
      </c>
      <c r="D288" s="24"/>
      <c r="E288" s="25">
        <v>6</v>
      </c>
      <c r="F288" s="30" t="s">
        <v>349</v>
      </c>
      <c r="G288" s="759">
        <v>8270</v>
      </c>
      <c r="H288" s="242">
        <f t="shared" si="24"/>
        <v>7731.6895486899994</v>
      </c>
      <c r="I288" s="25">
        <f t="shared" si="25"/>
        <v>46390.137292139996</v>
      </c>
      <c r="J288" s="759">
        <v>0</v>
      </c>
      <c r="K288" s="25"/>
      <c r="L288" s="72">
        <f t="shared" si="26"/>
        <v>0</v>
      </c>
      <c r="M288" s="72">
        <f t="shared" si="27"/>
        <v>46390.137292139996</v>
      </c>
      <c r="N288" s="26"/>
      <c r="O288" s="921">
        <v>0.93490804699999996</v>
      </c>
    </row>
    <row r="289" spans="1:15" ht="18.95" customHeight="1">
      <c r="A289" s="137"/>
      <c r="B289" s="1164" t="s">
        <v>273</v>
      </c>
      <c r="C289" s="399" t="s">
        <v>506</v>
      </c>
      <c r="D289" s="301"/>
      <c r="E289" s="25">
        <v>46</v>
      </c>
      <c r="F289" s="30" t="s">
        <v>349</v>
      </c>
      <c r="G289" s="759">
        <v>5470</v>
      </c>
      <c r="H289" s="242">
        <f t="shared" si="24"/>
        <v>5113.9470170899995</v>
      </c>
      <c r="I289" s="25">
        <f t="shared" si="25"/>
        <v>235241.56278613998</v>
      </c>
      <c r="J289" s="759">
        <v>0</v>
      </c>
      <c r="K289" s="25"/>
      <c r="L289" s="72">
        <f t="shared" si="26"/>
        <v>0</v>
      </c>
      <c r="M289" s="72">
        <f t="shared" si="27"/>
        <v>235241.56278613998</v>
      </c>
      <c r="N289" s="26"/>
      <c r="O289" s="921">
        <v>0.93490804699999996</v>
      </c>
    </row>
    <row r="290" spans="1:15" ht="18.95" customHeight="1">
      <c r="A290" s="372"/>
      <c r="B290" s="1164" t="s">
        <v>273</v>
      </c>
      <c r="C290" s="399" t="s">
        <v>507</v>
      </c>
      <c r="D290" s="993"/>
      <c r="E290" s="25">
        <v>20</v>
      </c>
      <c r="F290" s="30" t="s">
        <v>349</v>
      </c>
      <c r="G290" s="759">
        <v>15350</v>
      </c>
      <c r="H290" s="242">
        <f t="shared" si="24"/>
        <v>14350.838521449999</v>
      </c>
      <c r="I290" s="25">
        <f t="shared" si="25"/>
        <v>287016.77042899997</v>
      </c>
      <c r="J290" s="759">
        <v>0</v>
      </c>
      <c r="K290" s="25"/>
      <c r="L290" s="72">
        <f t="shared" si="26"/>
        <v>0</v>
      </c>
      <c r="M290" s="72">
        <f t="shared" si="27"/>
        <v>287016.77042899997</v>
      </c>
      <c r="N290" s="26"/>
      <c r="O290" s="921">
        <v>0.93490804699999996</v>
      </c>
    </row>
    <row r="291" spans="1:15" ht="18.95" customHeight="1">
      <c r="A291" s="372"/>
      <c r="B291" s="1164" t="s">
        <v>273</v>
      </c>
      <c r="C291" s="399" t="s">
        <v>508</v>
      </c>
      <c r="D291" s="24"/>
      <c r="E291" s="25">
        <v>6</v>
      </c>
      <c r="F291" s="30" t="s">
        <v>349</v>
      </c>
      <c r="G291" s="759">
        <v>5140</v>
      </c>
      <c r="H291" s="242">
        <f t="shared" si="24"/>
        <v>4805.4273615800003</v>
      </c>
      <c r="I291" s="25">
        <f t="shared" si="25"/>
        <v>28832.56416948</v>
      </c>
      <c r="J291" s="759">
        <v>0</v>
      </c>
      <c r="K291" s="25"/>
      <c r="L291" s="72">
        <f t="shared" si="26"/>
        <v>0</v>
      </c>
      <c r="M291" s="72">
        <f t="shared" si="27"/>
        <v>28832.56416948</v>
      </c>
      <c r="N291" s="26"/>
      <c r="O291" s="921">
        <v>0.93490804699999996</v>
      </c>
    </row>
    <row r="292" spans="1:15" ht="18.95" customHeight="1">
      <c r="A292" s="265"/>
      <c r="B292" s="1164" t="s">
        <v>273</v>
      </c>
      <c r="C292" s="399" t="s">
        <v>509</v>
      </c>
      <c r="D292" s="24"/>
      <c r="E292" s="25">
        <v>5</v>
      </c>
      <c r="F292" s="30" t="s">
        <v>349</v>
      </c>
      <c r="G292" s="759">
        <v>5380</v>
      </c>
      <c r="H292" s="242">
        <f t="shared" si="24"/>
        <v>5029.80529286</v>
      </c>
      <c r="I292" s="25">
        <f t="shared" si="25"/>
        <v>25149.026464300001</v>
      </c>
      <c r="J292" s="759">
        <v>0</v>
      </c>
      <c r="K292" s="25"/>
      <c r="L292" s="72">
        <f t="shared" si="26"/>
        <v>0</v>
      </c>
      <c r="M292" s="72">
        <f t="shared" si="27"/>
        <v>25149.026464300001</v>
      </c>
      <c r="N292" s="26"/>
      <c r="O292" s="921">
        <v>0.93490804699999996</v>
      </c>
    </row>
    <row r="293" spans="1:15" ht="18.95" customHeight="1">
      <c r="A293" s="265"/>
      <c r="B293" s="1164" t="s">
        <v>273</v>
      </c>
      <c r="C293" s="399" t="s">
        <v>510</v>
      </c>
      <c r="D293" s="993"/>
      <c r="E293" s="25">
        <v>3</v>
      </c>
      <c r="F293" s="30" t="s">
        <v>349</v>
      </c>
      <c r="G293" s="759">
        <v>5417</v>
      </c>
      <c r="H293" s="242">
        <f t="shared" si="24"/>
        <v>5064.3968905989996</v>
      </c>
      <c r="I293" s="25">
        <f t="shared" ref="I293:I307" si="28">E293*H293</f>
        <v>15193.190671796998</v>
      </c>
      <c r="J293" s="759">
        <v>0</v>
      </c>
      <c r="K293" s="25"/>
      <c r="L293" s="72">
        <f t="shared" si="26"/>
        <v>0</v>
      </c>
      <c r="M293" s="72">
        <f t="shared" si="27"/>
        <v>15193.190671796998</v>
      </c>
      <c r="N293" s="26"/>
      <c r="O293" s="921">
        <v>0.93490804699999996</v>
      </c>
    </row>
    <row r="294" spans="1:15" ht="18.95" customHeight="1">
      <c r="A294" s="265"/>
      <c r="B294" s="1164" t="s">
        <v>273</v>
      </c>
      <c r="C294" s="399" t="s">
        <v>511</v>
      </c>
      <c r="D294" s="993"/>
      <c r="E294" s="25">
        <v>5</v>
      </c>
      <c r="F294" s="30" t="s">
        <v>349</v>
      </c>
      <c r="G294" s="759">
        <v>2550</v>
      </c>
      <c r="H294" s="242">
        <f t="shared" si="24"/>
        <v>2384.0155198499997</v>
      </c>
      <c r="I294" s="25">
        <f t="shared" si="28"/>
        <v>11920.077599249998</v>
      </c>
      <c r="J294" s="759">
        <v>0</v>
      </c>
      <c r="K294" s="25"/>
      <c r="L294" s="72">
        <f t="shared" si="26"/>
        <v>0</v>
      </c>
      <c r="M294" s="72">
        <f t="shared" si="27"/>
        <v>11920.077599249998</v>
      </c>
      <c r="N294" s="26"/>
      <c r="O294" s="921">
        <v>0.93490804699999996</v>
      </c>
    </row>
    <row r="295" spans="1:15" ht="18.95" customHeight="1">
      <c r="A295" s="137"/>
      <c r="B295" s="1164" t="s">
        <v>273</v>
      </c>
      <c r="C295" s="399" t="s">
        <v>512</v>
      </c>
      <c r="D295" s="301"/>
      <c r="E295" s="25">
        <v>6</v>
      </c>
      <c r="F295" s="30" t="s">
        <v>349</v>
      </c>
      <c r="G295" s="759">
        <v>3825</v>
      </c>
      <c r="H295" s="242">
        <f t="shared" si="24"/>
        <v>3576.023279775</v>
      </c>
      <c r="I295" s="25">
        <f t="shared" si="28"/>
        <v>21456.139678650001</v>
      </c>
      <c r="J295" s="759">
        <v>0</v>
      </c>
      <c r="K295" s="25"/>
      <c r="L295" s="72">
        <f t="shared" si="26"/>
        <v>0</v>
      </c>
      <c r="M295" s="72">
        <f t="shared" si="27"/>
        <v>21456.139678650001</v>
      </c>
      <c r="N295" s="72"/>
      <c r="O295" s="921">
        <v>0.93490804699999996</v>
      </c>
    </row>
    <row r="296" spans="1:15" ht="18.95" customHeight="1">
      <c r="A296" s="265"/>
      <c r="B296" s="1164" t="s">
        <v>273</v>
      </c>
      <c r="C296" s="399" t="s">
        <v>513</v>
      </c>
      <c r="D296" s="993"/>
      <c r="E296" s="25">
        <v>3</v>
      </c>
      <c r="F296" s="30" t="s">
        <v>349</v>
      </c>
      <c r="G296" s="759">
        <v>345</v>
      </c>
      <c r="H296" s="242">
        <f t="shared" si="24"/>
        <v>322.54327621499999</v>
      </c>
      <c r="I296" s="25">
        <f t="shared" si="28"/>
        <v>967.62982864499998</v>
      </c>
      <c r="J296" s="759">
        <v>0</v>
      </c>
      <c r="K296" s="25"/>
      <c r="L296" s="72">
        <f t="shared" si="26"/>
        <v>0</v>
      </c>
      <c r="M296" s="72">
        <f t="shared" si="27"/>
        <v>967.62982864499998</v>
      </c>
      <c r="N296" s="26"/>
      <c r="O296" s="921">
        <v>0.93490804699999996</v>
      </c>
    </row>
    <row r="297" spans="1:15" ht="18.95" customHeight="1">
      <c r="A297" s="265"/>
      <c r="B297" s="1164" t="s">
        <v>273</v>
      </c>
      <c r="C297" s="399" t="s">
        <v>514</v>
      </c>
      <c r="D297" s="993"/>
      <c r="E297" s="25">
        <v>3</v>
      </c>
      <c r="F297" s="30" t="s">
        <v>349</v>
      </c>
      <c r="G297" s="759">
        <v>130000</v>
      </c>
      <c r="H297" s="242">
        <f t="shared" si="24"/>
        <v>121538.04611</v>
      </c>
      <c r="I297" s="25">
        <f t="shared" si="28"/>
        <v>364614.13832999999</v>
      </c>
      <c r="J297" s="759">
        <v>0</v>
      </c>
      <c r="K297" s="25"/>
      <c r="L297" s="72">
        <f t="shared" si="26"/>
        <v>0</v>
      </c>
      <c r="M297" s="72">
        <f t="shared" si="27"/>
        <v>364614.13832999999</v>
      </c>
      <c r="N297" s="26"/>
      <c r="O297" s="921">
        <v>0.93490804699999996</v>
      </c>
    </row>
    <row r="298" spans="1:15" ht="18.95" customHeight="1">
      <c r="A298" s="265"/>
      <c r="B298" s="1164" t="s">
        <v>273</v>
      </c>
      <c r="C298" s="399" t="s">
        <v>515</v>
      </c>
      <c r="D298" s="993"/>
      <c r="E298" s="25">
        <v>1</v>
      </c>
      <c r="F298" s="30" t="s">
        <v>349</v>
      </c>
      <c r="G298" s="759">
        <v>43620</v>
      </c>
      <c r="H298" s="242">
        <f t="shared" si="24"/>
        <v>40780.689010139999</v>
      </c>
      <c r="I298" s="25">
        <f t="shared" si="28"/>
        <v>40780.689010139999</v>
      </c>
      <c r="J298" s="759">
        <v>0</v>
      </c>
      <c r="K298" s="25"/>
      <c r="L298" s="72">
        <f t="shared" si="26"/>
        <v>0</v>
      </c>
      <c r="M298" s="72">
        <f t="shared" si="27"/>
        <v>40780.689010139999</v>
      </c>
      <c r="N298" s="26"/>
      <c r="O298" s="921">
        <v>0.93490804699999996</v>
      </c>
    </row>
    <row r="299" spans="1:15" ht="18.95" customHeight="1">
      <c r="A299" s="265"/>
      <c r="B299" s="265"/>
      <c r="C299" s="992"/>
      <c r="D299" s="993"/>
      <c r="E299" s="25"/>
      <c r="F299" s="30"/>
      <c r="G299" s="759"/>
      <c r="H299" s="242"/>
      <c r="I299" s="25"/>
      <c r="J299" s="759"/>
      <c r="K299" s="25"/>
      <c r="L299" s="30"/>
      <c r="M299" s="25"/>
      <c r="N299" s="26"/>
      <c r="O299" s="921">
        <v>0.93490804699999996</v>
      </c>
    </row>
    <row r="300" spans="1:15" ht="18.95" customHeight="1">
      <c r="A300" s="265"/>
      <c r="B300" s="265"/>
      <c r="C300" s="992"/>
      <c r="D300" s="993"/>
      <c r="E300" s="25"/>
      <c r="F300" s="30"/>
      <c r="G300" s="759"/>
      <c r="H300" s="242"/>
      <c r="I300" s="25"/>
      <c r="J300" s="759"/>
      <c r="K300" s="25"/>
      <c r="L300" s="30"/>
      <c r="M300" s="25"/>
      <c r="N300" s="26"/>
      <c r="O300" s="921">
        <v>0.93490804699999996</v>
      </c>
    </row>
    <row r="301" spans="1:15" ht="18.95" customHeight="1">
      <c r="A301" s="265"/>
      <c r="B301" s="1164" t="s">
        <v>273</v>
      </c>
      <c r="C301" s="399" t="s">
        <v>516</v>
      </c>
      <c r="D301" s="993"/>
      <c r="E301" s="25">
        <v>1</v>
      </c>
      <c r="F301" s="30" t="s">
        <v>349</v>
      </c>
      <c r="G301" s="759">
        <v>38200</v>
      </c>
      <c r="H301" s="242">
        <f t="shared" si="24"/>
        <v>35713.4873954</v>
      </c>
      <c r="I301" s="25">
        <f t="shared" si="28"/>
        <v>35713.4873954</v>
      </c>
      <c r="J301" s="759">
        <v>0</v>
      </c>
      <c r="K301" s="25"/>
      <c r="L301" s="72">
        <f t="shared" ref="L301:L307" si="29">J301*E301</f>
        <v>0</v>
      </c>
      <c r="M301" s="72">
        <f t="shared" ref="M301:M307" si="30">SUM(I301,L301)</f>
        <v>35713.4873954</v>
      </c>
      <c r="N301" s="26"/>
      <c r="O301" s="921">
        <v>0.93490804699999996</v>
      </c>
    </row>
    <row r="302" spans="1:15" ht="18.95" customHeight="1">
      <c r="A302" s="265"/>
      <c r="B302" s="1164" t="s">
        <v>273</v>
      </c>
      <c r="C302" s="399" t="s">
        <v>517</v>
      </c>
      <c r="D302" s="993"/>
      <c r="E302" s="25">
        <v>1</v>
      </c>
      <c r="F302" s="30" t="s">
        <v>349</v>
      </c>
      <c r="G302" s="759">
        <v>42300</v>
      </c>
      <c r="H302" s="242">
        <f t="shared" si="24"/>
        <v>39546.610388100002</v>
      </c>
      <c r="I302" s="25">
        <f t="shared" si="28"/>
        <v>39546.610388100002</v>
      </c>
      <c r="J302" s="759">
        <v>0</v>
      </c>
      <c r="K302" s="25"/>
      <c r="L302" s="72">
        <f t="shared" si="29"/>
        <v>0</v>
      </c>
      <c r="M302" s="72">
        <f t="shared" si="30"/>
        <v>39546.610388100002</v>
      </c>
      <c r="N302" s="26"/>
      <c r="O302" s="921">
        <v>0.93490804699999996</v>
      </c>
    </row>
    <row r="303" spans="1:15" ht="18.95" customHeight="1">
      <c r="A303" s="265"/>
      <c r="B303" s="1164" t="s">
        <v>273</v>
      </c>
      <c r="C303" s="399" t="s">
        <v>518</v>
      </c>
      <c r="D303" s="993"/>
      <c r="E303" s="25">
        <v>1</v>
      </c>
      <c r="F303" s="30" t="s">
        <v>349</v>
      </c>
      <c r="G303" s="759">
        <v>40020</v>
      </c>
      <c r="H303" s="242">
        <f t="shared" si="24"/>
        <v>37415.020040939999</v>
      </c>
      <c r="I303" s="25">
        <f t="shared" si="28"/>
        <v>37415.020040939999</v>
      </c>
      <c r="J303" s="759">
        <v>0</v>
      </c>
      <c r="K303" s="25"/>
      <c r="L303" s="72">
        <f t="shared" si="29"/>
        <v>0</v>
      </c>
      <c r="M303" s="72">
        <f t="shared" si="30"/>
        <v>37415.020040939999</v>
      </c>
      <c r="N303" s="26"/>
      <c r="O303" s="921">
        <v>0.93490804699999996</v>
      </c>
    </row>
    <row r="304" spans="1:15" ht="18.95" customHeight="1">
      <c r="A304" s="265"/>
      <c r="B304" s="1164" t="s">
        <v>273</v>
      </c>
      <c r="C304" s="399" t="s">
        <v>519</v>
      </c>
      <c r="D304" s="993"/>
      <c r="E304" s="25">
        <v>2</v>
      </c>
      <c r="F304" s="30" t="s">
        <v>349</v>
      </c>
      <c r="G304" s="759">
        <v>20000</v>
      </c>
      <c r="H304" s="242">
        <f t="shared" si="24"/>
        <v>18698.160939999998</v>
      </c>
      <c r="I304" s="25">
        <f t="shared" si="28"/>
        <v>37396.321879999996</v>
      </c>
      <c r="J304" s="759">
        <v>0</v>
      </c>
      <c r="K304" s="25"/>
      <c r="L304" s="72">
        <f t="shared" si="29"/>
        <v>0</v>
      </c>
      <c r="M304" s="72">
        <f t="shared" si="30"/>
        <v>37396.321879999996</v>
      </c>
      <c r="N304" s="26"/>
      <c r="O304" s="921">
        <v>0.93490804699999996</v>
      </c>
    </row>
    <row r="305" spans="1:17" ht="18.95" customHeight="1">
      <c r="A305" s="265"/>
      <c r="B305" s="1164" t="s">
        <v>273</v>
      </c>
      <c r="C305" s="399" t="s">
        <v>520</v>
      </c>
      <c r="D305" s="993"/>
      <c r="E305" s="25">
        <v>5</v>
      </c>
      <c r="F305" s="30" t="s">
        <v>349</v>
      </c>
      <c r="G305" s="759">
        <v>10400</v>
      </c>
      <c r="H305" s="242">
        <f t="shared" si="24"/>
        <v>9723.0436888000004</v>
      </c>
      <c r="I305" s="25">
        <f t="shared" si="28"/>
        <v>48615.218443999998</v>
      </c>
      <c r="J305" s="759">
        <v>0</v>
      </c>
      <c r="K305" s="25"/>
      <c r="L305" s="72">
        <f t="shared" si="29"/>
        <v>0</v>
      </c>
      <c r="M305" s="72">
        <f t="shared" si="30"/>
        <v>48615.218443999998</v>
      </c>
      <c r="N305" s="26"/>
      <c r="O305" s="921">
        <v>0.93490804699999996</v>
      </c>
    </row>
    <row r="306" spans="1:17" ht="18.95" customHeight="1">
      <c r="A306" s="265"/>
      <c r="B306" s="1164" t="s">
        <v>273</v>
      </c>
      <c r="C306" s="399" t="s">
        <v>521</v>
      </c>
      <c r="D306" s="993"/>
      <c r="E306" s="25">
        <v>1</v>
      </c>
      <c r="F306" s="30" t="s">
        <v>349</v>
      </c>
      <c r="G306" s="759">
        <v>38200</v>
      </c>
      <c r="H306" s="242">
        <f t="shared" si="24"/>
        <v>35713.4873954</v>
      </c>
      <c r="I306" s="25">
        <f t="shared" si="28"/>
        <v>35713.4873954</v>
      </c>
      <c r="J306" s="759">
        <v>0</v>
      </c>
      <c r="K306" s="25"/>
      <c r="L306" s="72">
        <f t="shared" si="29"/>
        <v>0</v>
      </c>
      <c r="M306" s="72">
        <f t="shared" si="30"/>
        <v>35713.4873954</v>
      </c>
      <c r="N306" s="26"/>
      <c r="O306" s="921">
        <v>0.93490804699999996</v>
      </c>
    </row>
    <row r="307" spans="1:17" ht="18.95" customHeight="1">
      <c r="A307" s="265"/>
      <c r="B307" s="1164" t="s">
        <v>273</v>
      </c>
      <c r="C307" s="399" t="s">
        <v>522</v>
      </c>
      <c r="D307" s="993"/>
      <c r="E307" s="25">
        <v>7</v>
      </c>
      <c r="F307" s="30" t="s">
        <v>349</v>
      </c>
      <c r="G307" s="759">
        <v>500</v>
      </c>
      <c r="H307" s="242">
        <f t="shared" si="24"/>
        <v>467.45402350000001</v>
      </c>
      <c r="I307" s="25">
        <f t="shared" si="28"/>
        <v>3272.1781645000001</v>
      </c>
      <c r="J307" s="759">
        <v>0</v>
      </c>
      <c r="K307" s="25"/>
      <c r="L307" s="72">
        <f t="shared" si="29"/>
        <v>0</v>
      </c>
      <c r="M307" s="72">
        <f t="shared" si="30"/>
        <v>3272.1781645000001</v>
      </c>
      <c r="N307" s="26"/>
      <c r="O307" s="921">
        <v>0.93490804699999996</v>
      </c>
    </row>
    <row r="308" spans="1:17" ht="18.95" customHeight="1">
      <c r="A308" s="265"/>
      <c r="B308" s="265"/>
      <c r="C308" s="399"/>
      <c r="D308" s="993"/>
      <c r="E308" s="25"/>
      <c r="F308" s="30"/>
      <c r="G308" s="759"/>
      <c r="H308" s="25"/>
      <c r="I308" s="25"/>
      <c r="J308" s="759"/>
      <c r="K308" s="25"/>
      <c r="L308" s="30"/>
      <c r="M308" s="25"/>
      <c r="N308" s="26"/>
      <c r="O308" s="921">
        <v>0.93490804699999996</v>
      </c>
    </row>
    <row r="309" spans="1:17" s="724" customFormat="1" ht="18.95" customHeight="1">
      <c r="A309" s="1032"/>
      <c r="B309" s="1245" t="s">
        <v>523</v>
      </c>
      <c r="C309" s="1246"/>
      <c r="D309" s="1247"/>
      <c r="E309" s="676"/>
      <c r="F309" s="670"/>
      <c r="G309" s="1025"/>
      <c r="H309" s="676"/>
      <c r="I309" s="676"/>
      <c r="J309" s="1025"/>
      <c r="K309" s="676"/>
      <c r="L309" s="676"/>
      <c r="M309" s="1026">
        <f>SUM(M218:M307)</f>
        <v>6357286.8382435804</v>
      </c>
      <c r="N309" s="670"/>
      <c r="O309" s="1051">
        <v>0.93490804699999996</v>
      </c>
      <c r="P309" s="1028"/>
      <c r="Q309" s="1028"/>
    </row>
    <row r="310" spans="1:17" ht="18.95" customHeight="1">
      <c r="A310" s="265"/>
      <c r="B310" s="265"/>
      <c r="C310" s="992"/>
      <c r="D310" s="993"/>
      <c r="E310" s="25"/>
      <c r="F310" s="30"/>
      <c r="G310" s="759"/>
      <c r="H310" s="25"/>
      <c r="I310" s="25"/>
      <c r="J310" s="759"/>
      <c r="K310" s="25"/>
      <c r="L310" s="30"/>
      <c r="M310" s="25"/>
      <c r="N310" s="26"/>
      <c r="O310" s="921">
        <v>0.93490804699999996</v>
      </c>
    </row>
    <row r="311" spans="1:17" ht="18.95" customHeight="1">
      <c r="A311" s="265"/>
      <c r="B311" s="265"/>
      <c r="C311" s="992"/>
      <c r="D311" s="993"/>
      <c r="E311" s="25"/>
      <c r="F311" s="30"/>
      <c r="G311" s="759"/>
      <c r="H311" s="25"/>
      <c r="I311" s="25"/>
      <c r="J311" s="759"/>
      <c r="K311" s="25"/>
      <c r="L311" s="30"/>
      <c r="M311" s="25"/>
      <c r="N311" s="26"/>
      <c r="O311" s="921">
        <v>0.93490804699999996</v>
      </c>
    </row>
    <row r="312" spans="1:17" ht="18.95" customHeight="1">
      <c r="A312" s="265"/>
      <c r="B312" s="265"/>
      <c r="C312" s="992"/>
      <c r="D312" s="993"/>
      <c r="E312" s="25"/>
      <c r="F312" s="30"/>
      <c r="G312" s="759"/>
      <c r="H312" s="25"/>
      <c r="I312" s="25"/>
      <c r="J312" s="759"/>
      <c r="K312" s="25"/>
      <c r="L312" s="30"/>
      <c r="M312" s="25"/>
      <c r="N312" s="26"/>
      <c r="O312" s="921">
        <v>0.93490804699999996</v>
      </c>
    </row>
    <row r="313" spans="1:17" ht="18.95" customHeight="1">
      <c r="A313" s="265"/>
      <c r="B313" s="265"/>
      <c r="C313" s="992"/>
      <c r="D313" s="993"/>
      <c r="E313" s="25"/>
      <c r="F313" s="30"/>
      <c r="G313" s="759"/>
      <c r="H313" s="25"/>
      <c r="I313" s="25"/>
      <c r="J313" s="759"/>
      <c r="K313" s="25"/>
      <c r="L313" s="30"/>
      <c r="M313" s="25"/>
      <c r="N313" s="26"/>
      <c r="O313" s="921">
        <v>0.93490804699999996</v>
      </c>
    </row>
    <row r="314" spans="1:17" ht="18.95" customHeight="1">
      <c r="A314" s="265"/>
      <c r="B314" s="265"/>
      <c r="C314" s="992"/>
      <c r="D314" s="993"/>
      <c r="E314" s="25"/>
      <c r="F314" s="30"/>
      <c r="G314" s="759"/>
      <c r="H314" s="25"/>
      <c r="I314" s="25"/>
      <c r="J314" s="759"/>
      <c r="K314" s="25"/>
      <c r="L314" s="30"/>
      <c r="M314" s="25"/>
      <c r="N314" s="26"/>
      <c r="O314" s="921">
        <v>0.93490804699999996</v>
      </c>
    </row>
    <row r="315" spans="1:17" ht="18.95" customHeight="1">
      <c r="A315" s="265"/>
      <c r="B315" s="265"/>
      <c r="C315" s="992"/>
      <c r="D315" s="993"/>
      <c r="E315" s="25"/>
      <c r="F315" s="30"/>
      <c r="G315" s="759"/>
      <c r="H315" s="25"/>
      <c r="I315" s="25"/>
      <c r="J315" s="759"/>
      <c r="K315" s="25"/>
      <c r="L315" s="30"/>
      <c r="M315" s="25"/>
      <c r="N315" s="26"/>
      <c r="O315" s="921">
        <v>0.93490804699999996</v>
      </c>
    </row>
    <row r="316" spans="1:17" ht="18.95" customHeight="1">
      <c r="A316" s="265"/>
      <c r="B316" s="265"/>
      <c r="C316" s="992"/>
      <c r="D316" s="993"/>
      <c r="E316" s="25"/>
      <c r="F316" s="30"/>
      <c r="G316" s="759"/>
      <c r="H316" s="25"/>
      <c r="I316" s="25"/>
      <c r="J316" s="759"/>
      <c r="K316" s="25"/>
      <c r="L316" s="30"/>
      <c r="M316" s="25"/>
      <c r="N316" s="26"/>
      <c r="O316" s="921">
        <v>0.93490804699999996</v>
      </c>
    </row>
    <row r="317" spans="1:17" ht="18.95" customHeight="1">
      <c r="A317" s="265"/>
      <c r="B317" s="265"/>
      <c r="C317" s="992"/>
      <c r="D317" s="993"/>
      <c r="E317" s="25"/>
      <c r="F317" s="30"/>
      <c r="G317" s="759"/>
      <c r="H317" s="25"/>
      <c r="I317" s="25"/>
      <c r="J317" s="759"/>
      <c r="K317" s="25"/>
      <c r="L317" s="30"/>
      <c r="M317" s="25"/>
      <c r="N317" s="26"/>
      <c r="O317" s="921">
        <v>0.93490804699999996</v>
      </c>
    </row>
    <row r="318" spans="1:17" ht="18.95" customHeight="1">
      <c r="A318" s="265"/>
      <c r="B318" s="265"/>
      <c r="C318" s="992"/>
      <c r="D318" s="993"/>
      <c r="E318" s="25"/>
      <c r="F318" s="30"/>
      <c r="G318" s="759"/>
      <c r="H318" s="25"/>
      <c r="I318" s="25"/>
      <c r="J318" s="759"/>
      <c r="K318" s="25"/>
      <c r="L318" s="30"/>
      <c r="M318" s="25"/>
      <c r="N318" s="26"/>
      <c r="O318" s="921">
        <v>0.93490804699999996</v>
      </c>
    </row>
    <row r="319" spans="1:17" ht="18.95" customHeight="1">
      <c r="A319" s="265"/>
      <c r="B319" s="265"/>
      <c r="C319" s="992"/>
      <c r="D319" s="993"/>
      <c r="E319" s="25"/>
      <c r="F319" s="30"/>
      <c r="G319" s="759"/>
      <c r="H319" s="25"/>
      <c r="I319" s="25"/>
      <c r="J319" s="759"/>
      <c r="K319" s="25"/>
      <c r="L319" s="30"/>
      <c r="M319" s="25"/>
      <c r="N319" s="26"/>
      <c r="O319" s="921">
        <v>0.93490804699999996</v>
      </c>
    </row>
    <row r="320" spans="1:17" ht="18.95" customHeight="1">
      <c r="A320" s="265"/>
      <c r="B320" s="265"/>
      <c r="C320" s="992"/>
      <c r="D320" s="993"/>
      <c r="E320" s="25"/>
      <c r="F320" s="30"/>
      <c r="G320" s="759"/>
      <c r="H320" s="25"/>
      <c r="I320" s="25"/>
      <c r="J320" s="759"/>
      <c r="K320" s="25"/>
      <c r="L320" s="30"/>
      <c r="M320" s="25"/>
      <c r="N320" s="26"/>
      <c r="O320" s="921">
        <v>0.93490804699999996</v>
      </c>
    </row>
    <row r="321" spans="1:15" ht="18.95" customHeight="1">
      <c r="A321" s="265"/>
      <c r="B321" s="265"/>
      <c r="C321" s="992"/>
      <c r="D321" s="993"/>
      <c r="E321" s="25"/>
      <c r="F321" s="30"/>
      <c r="G321" s="759"/>
      <c r="H321" s="25"/>
      <c r="I321" s="25"/>
      <c r="J321" s="759"/>
      <c r="K321" s="25"/>
      <c r="L321" s="30"/>
      <c r="M321" s="25"/>
      <c r="N321" s="26"/>
      <c r="O321" s="921">
        <v>0.93490804699999996</v>
      </c>
    </row>
    <row r="322" spans="1:15" ht="18.95" customHeight="1">
      <c r="A322" s="265"/>
      <c r="B322" s="265"/>
      <c r="C322" s="992"/>
      <c r="D322" s="993"/>
      <c r="E322" s="25"/>
      <c r="F322" s="30"/>
      <c r="G322" s="759"/>
      <c r="H322" s="25"/>
      <c r="I322" s="25"/>
      <c r="J322" s="759"/>
      <c r="K322" s="25"/>
      <c r="L322" s="30"/>
      <c r="M322" s="25"/>
      <c r="N322" s="26"/>
      <c r="O322" s="921">
        <v>0.93490804699999996</v>
      </c>
    </row>
    <row r="323" spans="1:15" ht="18.95" customHeight="1">
      <c r="A323" s="265"/>
      <c r="B323" s="265"/>
      <c r="C323" s="992"/>
      <c r="D323" s="993"/>
      <c r="E323" s="25"/>
      <c r="F323" s="30"/>
      <c r="G323" s="759"/>
      <c r="H323" s="25"/>
      <c r="I323" s="25"/>
      <c r="J323" s="759"/>
      <c r="K323" s="25"/>
      <c r="L323" s="30"/>
      <c r="M323" s="25"/>
      <c r="N323" s="26"/>
      <c r="O323" s="921">
        <v>0.93490804699999996</v>
      </c>
    </row>
    <row r="324" spans="1:15" ht="18.95" customHeight="1">
      <c r="A324" s="265"/>
      <c r="B324" s="265"/>
      <c r="C324" s="992"/>
      <c r="D324" s="993"/>
      <c r="E324" s="25"/>
      <c r="F324" s="30"/>
      <c r="G324" s="759"/>
      <c r="H324" s="25"/>
      <c r="I324" s="25"/>
      <c r="J324" s="759"/>
      <c r="K324" s="25"/>
      <c r="L324" s="30"/>
      <c r="M324" s="25"/>
      <c r="N324" s="26"/>
      <c r="O324" s="921">
        <v>0.93490804699999996</v>
      </c>
    </row>
    <row r="325" spans="1:15" ht="18.95" customHeight="1">
      <c r="A325" s="265"/>
      <c r="B325" s="265"/>
      <c r="C325" s="992"/>
      <c r="D325" s="993"/>
      <c r="E325" s="25"/>
      <c r="F325" s="30"/>
      <c r="G325" s="759"/>
      <c r="H325" s="25"/>
      <c r="I325" s="25"/>
      <c r="J325" s="759"/>
      <c r="K325" s="25"/>
      <c r="L325" s="30"/>
      <c r="M325" s="25"/>
      <c r="N325" s="26"/>
      <c r="O325" s="921">
        <v>0.93490804699999996</v>
      </c>
    </row>
    <row r="326" spans="1:15" ht="18.95" customHeight="1">
      <c r="A326" s="265"/>
      <c r="B326" s="265"/>
      <c r="C326" s="992"/>
      <c r="D326" s="993"/>
      <c r="E326" s="25"/>
      <c r="F326" s="30"/>
      <c r="G326" s="759"/>
      <c r="H326" s="25"/>
      <c r="I326" s="25"/>
      <c r="J326" s="759"/>
      <c r="K326" s="25"/>
      <c r="L326" s="30"/>
      <c r="M326" s="25"/>
      <c r="N326" s="26"/>
      <c r="O326" s="921">
        <v>0.93490804699999996</v>
      </c>
    </row>
    <row r="327" spans="1:15" ht="18.95" customHeight="1">
      <c r="A327" s="265"/>
      <c r="B327" s="265"/>
      <c r="C327" s="992"/>
      <c r="D327" s="993"/>
      <c r="E327" s="25"/>
      <c r="F327" s="30"/>
      <c r="G327" s="759"/>
      <c r="H327" s="25"/>
      <c r="I327" s="25"/>
      <c r="J327" s="759"/>
      <c r="K327" s="25"/>
      <c r="L327" s="30"/>
      <c r="M327" s="25"/>
      <c r="N327" s="26"/>
      <c r="O327" s="921">
        <v>0.93490804699999996</v>
      </c>
    </row>
    <row r="328" spans="1:15" ht="18.95" customHeight="1">
      <c r="A328" s="648">
        <v>5</v>
      </c>
      <c r="B328" s="1015" t="s">
        <v>524</v>
      </c>
      <c r="C328" s="399"/>
      <c r="D328" s="24"/>
      <c r="E328" s="25"/>
      <c r="F328" s="30"/>
      <c r="G328" s="759"/>
      <c r="H328" s="25"/>
      <c r="I328" s="25"/>
      <c r="J328" s="759"/>
      <c r="K328" s="25"/>
      <c r="L328" s="30"/>
      <c r="M328" s="34"/>
      <c r="N328" s="26"/>
      <c r="O328" s="921">
        <v>0.93490804699999996</v>
      </c>
    </row>
    <row r="329" spans="1:15" ht="18.95" customHeight="1">
      <c r="A329" s="981"/>
      <c r="B329" s="1016"/>
      <c r="C329" s="399"/>
      <c r="D329" s="24"/>
      <c r="E329" s="25"/>
      <c r="F329" s="30"/>
      <c r="G329" s="759"/>
      <c r="H329" s="25"/>
      <c r="I329" s="25"/>
      <c r="J329" s="759"/>
      <c r="K329" s="25"/>
      <c r="L329" s="30"/>
      <c r="M329" s="72"/>
      <c r="N329" s="26"/>
      <c r="O329" s="921">
        <v>0.93490804699999996</v>
      </c>
    </row>
    <row r="330" spans="1:15" ht="18.95" customHeight="1">
      <c r="A330" s="372">
        <v>5.0999999999999996</v>
      </c>
      <c r="B330" s="1018" t="s">
        <v>525</v>
      </c>
      <c r="C330" s="399" t="s">
        <v>526</v>
      </c>
      <c r="D330" s="24"/>
      <c r="E330" s="25">
        <v>6</v>
      </c>
      <c r="F330" s="30" t="s">
        <v>349</v>
      </c>
      <c r="G330" s="759">
        <v>18135</v>
      </c>
      <c r="H330" s="242">
        <f t="shared" ref="H330:H393" si="31">G330*O330</f>
        <v>16954.557432344998</v>
      </c>
      <c r="I330" s="25">
        <f>E330*H330</f>
        <v>101727.34459406999</v>
      </c>
      <c r="J330" s="759">
        <v>5950</v>
      </c>
      <c r="K330" s="25">
        <f t="shared" ref="K330:K393" si="32">J330*O330</f>
        <v>5562.7028796499999</v>
      </c>
      <c r="L330" s="72">
        <f>K330*E330</f>
        <v>33376.217277899996</v>
      </c>
      <c r="M330" s="72">
        <f>SUM(I330,L330)</f>
        <v>135103.56187196999</v>
      </c>
      <c r="N330" s="72"/>
      <c r="O330" s="921">
        <v>0.93490804699999996</v>
      </c>
    </row>
    <row r="331" spans="1:15" ht="18.95" customHeight="1">
      <c r="A331" s="372">
        <v>5.2</v>
      </c>
      <c r="B331" s="1018" t="s">
        <v>527</v>
      </c>
      <c r="C331" s="399" t="s">
        <v>528</v>
      </c>
      <c r="D331" s="24"/>
      <c r="E331" s="25">
        <v>1</v>
      </c>
      <c r="F331" s="30" t="s">
        <v>349</v>
      </c>
      <c r="G331" s="759">
        <v>60450</v>
      </c>
      <c r="H331" s="242">
        <f t="shared" si="31"/>
        <v>56515.191441149997</v>
      </c>
      <c r="I331" s="25">
        <f t="shared" ref="I331:I394" si="33">E331*H331</f>
        <v>56515.191441149997</v>
      </c>
      <c r="J331" s="759">
        <v>2790</v>
      </c>
      <c r="K331" s="25">
        <f t="shared" si="32"/>
        <v>2608.3934511299999</v>
      </c>
      <c r="L331" s="72">
        <f t="shared" ref="L331:L394" si="34">K331*E331</f>
        <v>2608.3934511299999</v>
      </c>
      <c r="M331" s="72">
        <f>SUM(I331,L331)</f>
        <v>59123.58489228</v>
      </c>
      <c r="N331" s="72"/>
      <c r="O331" s="921">
        <v>0.93490804699999996</v>
      </c>
    </row>
    <row r="332" spans="1:15" ht="18.95" customHeight="1">
      <c r="A332" s="372"/>
      <c r="B332" s="1016"/>
      <c r="C332" s="399" t="s">
        <v>529</v>
      </c>
      <c r="D332" s="24"/>
      <c r="E332" s="25"/>
      <c r="F332" s="30"/>
      <c r="G332" s="759"/>
      <c r="H332" s="242"/>
      <c r="I332" s="25"/>
      <c r="J332" s="759"/>
      <c r="K332" s="25"/>
      <c r="L332" s="72"/>
      <c r="M332" s="72"/>
      <c r="N332" s="72"/>
      <c r="O332" s="921">
        <v>0.93490804699999996</v>
      </c>
    </row>
    <row r="333" spans="1:15" ht="18.95" customHeight="1">
      <c r="A333" s="372">
        <v>5.3</v>
      </c>
      <c r="B333" s="1018" t="s">
        <v>530</v>
      </c>
      <c r="C333" s="399" t="s">
        <v>531</v>
      </c>
      <c r="D333" s="24"/>
      <c r="E333" s="25">
        <v>2</v>
      </c>
      <c r="F333" s="30" t="s">
        <v>349</v>
      </c>
      <c r="G333" s="759">
        <v>32450</v>
      </c>
      <c r="H333" s="242">
        <f t="shared" si="31"/>
        <v>30337.766125149999</v>
      </c>
      <c r="I333" s="25">
        <f t="shared" si="33"/>
        <v>60675.532250299999</v>
      </c>
      <c r="J333" s="759">
        <v>7710</v>
      </c>
      <c r="K333" s="25">
        <f t="shared" si="32"/>
        <v>7208.1410423699999</v>
      </c>
      <c r="L333" s="72">
        <f t="shared" si="34"/>
        <v>14416.28208474</v>
      </c>
      <c r="M333" s="72">
        <f>SUM(I333,L333)</f>
        <v>75091.814335039991</v>
      </c>
      <c r="N333" s="72"/>
      <c r="O333" s="921">
        <v>0.93490804699999996</v>
      </c>
    </row>
    <row r="334" spans="1:15" ht="18.95" customHeight="1">
      <c r="A334" s="981"/>
      <c r="B334" s="1016"/>
      <c r="C334" s="399" t="s">
        <v>532</v>
      </c>
      <c r="D334" s="24"/>
      <c r="E334" s="25"/>
      <c r="F334" s="30"/>
      <c r="G334" s="759"/>
      <c r="H334" s="242"/>
      <c r="I334" s="25"/>
      <c r="J334" s="759"/>
      <c r="K334" s="25"/>
      <c r="L334" s="72"/>
      <c r="M334" s="72"/>
      <c r="N334" s="72"/>
      <c r="O334" s="921">
        <v>0.93490804699999996</v>
      </c>
    </row>
    <row r="335" spans="1:15" ht="18.95" customHeight="1">
      <c r="A335" s="372">
        <v>5.4</v>
      </c>
      <c r="B335" s="1018" t="s">
        <v>533</v>
      </c>
      <c r="C335" s="399" t="s">
        <v>531</v>
      </c>
      <c r="D335" s="24"/>
      <c r="E335" s="25">
        <v>1</v>
      </c>
      <c r="F335" s="30" t="s">
        <v>349</v>
      </c>
      <c r="G335" s="759">
        <v>31155</v>
      </c>
      <c r="H335" s="242">
        <f t="shared" si="31"/>
        <v>29127.060204285001</v>
      </c>
      <c r="I335" s="25">
        <f t="shared" si="33"/>
        <v>29127.060204285001</v>
      </c>
      <c r="J335" s="759">
        <v>7440</v>
      </c>
      <c r="K335" s="25">
        <f t="shared" si="32"/>
        <v>6955.7158696799997</v>
      </c>
      <c r="L335" s="72">
        <f t="shared" si="34"/>
        <v>6955.7158696799997</v>
      </c>
      <c r="M335" s="72">
        <f>SUM(I335,L335)</f>
        <v>36082.776073964997</v>
      </c>
      <c r="N335" s="72"/>
      <c r="O335" s="921">
        <v>0.93490804699999996</v>
      </c>
    </row>
    <row r="336" spans="1:15" ht="18.95" customHeight="1">
      <c r="A336" s="372"/>
      <c r="B336" s="1016"/>
      <c r="C336" s="399" t="s">
        <v>534</v>
      </c>
      <c r="D336" s="24"/>
      <c r="E336" s="25"/>
      <c r="F336" s="30"/>
      <c r="G336" s="759"/>
      <c r="H336" s="242"/>
      <c r="I336" s="25"/>
      <c r="J336" s="759"/>
      <c r="K336" s="25"/>
      <c r="L336" s="72"/>
      <c r="M336" s="72"/>
      <c r="N336" s="72"/>
      <c r="O336" s="921">
        <v>0.93490804699999996</v>
      </c>
    </row>
    <row r="337" spans="1:15" ht="18.95" customHeight="1">
      <c r="A337" s="1005">
        <v>5.5</v>
      </c>
      <c r="B337" s="1018" t="s">
        <v>535</v>
      </c>
      <c r="C337" s="399" t="s">
        <v>531</v>
      </c>
      <c r="D337" s="24"/>
      <c r="E337" s="25">
        <v>2</v>
      </c>
      <c r="F337" s="30" t="s">
        <v>349</v>
      </c>
      <c r="G337" s="759">
        <v>30225</v>
      </c>
      <c r="H337" s="242">
        <f t="shared" si="31"/>
        <v>28257.595720574998</v>
      </c>
      <c r="I337" s="25">
        <f t="shared" si="33"/>
        <v>56515.191441149997</v>
      </c>
      <c r="J337" s="759">
        <v>7250</v>
      </c>
      <c r="K337" s="25">
        <f t="shared" si="32"/>
        <v>6778.0833407499995</v>
      </c>
      <c r="L337" s="72">
        <f t="shared" si="34"/>
        <v>13556.166681499999</v>
      </c>
      <c r="M337" s="72">
        <f>SUM(I337,L337)</f>
        <v>70071.358122649995</v>
      </c>
      <c r="N337" s="72"/>
      <c r="O337" s="921">
        <v>0.93490804699999996</v>
      </c>
    </row>
    <row r="338" spans="1:15" ht="18.95" customHeight="1">
      <c r="A338" s="1058"/>
      <c r="B338" s="1016"/>
      <c r="C338" s="399" t="s">
        <v>536</v>
      </c>
      <c r="D338" s="368"/>
      <c r="E338" s="25"/>
      <c r="F338" s="30"/>
      <c r="G338" s="759"/>
      <c r="H338" s="242"/>
      <c r="I338" s="25"/>
      <c r="J338" s="759"/>
      <c r="K338" s="25"/>
      <c r="L338" s="72"/>
      <c r="M338" s="72"/>
      <c r="N338" s="26"/>
      <c r="O338" s="921">
        <v>0.93490804699999996</v>
      </c>
    </row>
    <row r="339" spans="1:15" ht="18.95" customHeight="1">
      <c r="A339" s="667">
        <v>5.6</v>
      </c>
      <c r="B339" s="1018" t="s">
        <v>537</v>
      </c>
      <c r="C339" s="399" t="s">
        <v>531</v>
      </c>
      <c r="D339" s="368"/>
      <c r="E339" s="25">
        <v>2</v>
      </c>
      <c r="F339" s="30" t="s">
        <v>349</v>
      </c>
      <c r="G339" s="759">
        <v>28920</v>
      </c>
      <c r="H339" s="242">
        <f t="shared" si="31"/>
        <v>27037.540719239998</v>
      </c>
      <c r="I339" s="25">
        <f t="shared" si="33"/>
        <v>54075.081438479996</v>
      </c>
      <c r="J339" s="759">
        <v>6880</v>
      </c>
      <c r="K339" s="25">
        <f t="shared" si="32"/>
        <v>6432.1673633599994</v>
      </c>
      <c r="L339" s="72">
        <f t="shared" si="34"/>
        <v>12864.334726719999</v>
      </c>
      <c r="M339" s="72">
        <f>SUM(I339,L339)</f>
        <v>66939.416165199989</v>
      </c>
      <c r="N339" s="26"/>
      <c r="O339" s="921">
        <v>0.93490804699999996</v>
      </c>
    </row>
    <row r="340" spans="1:15" ht="18.95" customHeight="1">
      <c r="A340" s="372"/>
      <c r="B340" s="1016"/>
      <c r="C340" s="399" t="s">
        <v>538</v>
      </c>
      <c r="D340" s="368"/>
      <c r="E340" s="25"/>
      <c r="F340" s="30"/>
      <c r="G340" s="759"/>
      <c r="H340" s="242"/>
      <c r="I340" s="25"/>
      <c r="J340" s="759"/>
      <c r="K340" s="25"/>
      <c r="L340" s="72"/>
      <c r="M340" s="72"/>
      <c r="N340" s="26"/>
      <c r="O340" s="921">
        <v>0.93490804699999996</v>
      </c>
    </row>
    <row r="341" spans="1:15" ht="18.95" customHeight="1">
      <c r="A341" s="981">
        <v>5.7</v>
      </c>
      <c r="B341" s="1018" t="s">
        <v>539</v>
      </c>
      <c r="C341" s="399" t="s">
        <v>531</v>
      </c>
      <c r="D341" s="368"/>
      <c r="E341" s="25">
        <v>2</v>
      </c>
      <c r="F341" s="30" t="s">
        <v>349</v>
      </c>
      <c r="G341" s="759">
        <v>26130</v>
      </c>
      <c r="H341" s="242">
        <f t="shared" si="31"/>
        <v>24429.147268109999</v>
      </c>
      <c r="I341" s="25">
        <f t="shared" si="33"/>
        <v>48858.294536219997</v>
      </c>
      <c r="J341" s="759">
        <v>6410</v>
      </c>
      <c r="K341" s="25">
        <f t="shared" si="32"/>
        <v>5992.7605812699994</v>
      </c>
      <c r="L341" s="72">
        <f t="shared" si="34"/>
        <v>11985.521162539999</v>
      </c>
      <c r="M341" s="72">
        <f>SUM(I341,L341)</f>
        <v>60843.815698759994</v>
      </c>
      <c r="N341" s="26"/>
      <c r="O341" s="921">
        <v>0.93490804699999996</v>
      </c>
    </row>
    <row r="342" spans="1:15" ht="18.95" customHeight="1">
      <c r="A342" s="573"/>
      <c r="B342" s="1016"/>
      <c r="C342" s="399" t="s">
        <v>540</v>
      </c>
      <c r="D342" s="24"/>
      <c r="E342" s="25"/>
      <c r="F342" s="30"/>
      <c r="G342" s="759"/>
      <c r="H342" s="242"/>
      <c r="I342" s="25"/>
      <c r="J342" s="759"/>
      <c r="K342" s="25"/>
      <c r="L342" s="72"/>
      <c r="M342" s="72"/>
      <c r="N342" s="26"/>
      <c r="O342" s="921">
        <v>0.93490804699999996</v>
      </c>
    </row>
    <row r="343" spans="1:15" ht="18.95" customHeight="1">
      <c r="A343" s="372">
        <v>5.8</v>
      </c>
      <c r="B343" s="1018" t="s">
        <v>541</v>
      </c>
      <c r="C343" s="399" t="s">
        <v>542</v>
      </c>
      <c r="D343" s="24"/>
      <c r="E343" s="25">
        <v>1</v>
      </c>
      <c r="F343" s="30" t="s">
        <v>349</v>
      </c>
      <c r="G343" s="759">
        <v>350420</v>
      </c>
      <c r="H343" s="242">
        <f t="shared" si="31"/>
        <v>327610.47782973998</v>
      </c>
      <c r="I343" s="25">
        <f t="shared" si="33"/>
        <v>327610.47782973998</v>
      </c>
      <c r="J343" s="759">
        <v>135220</v>
      </c>
      <c r="K343" s="25">
        <f t="shared" si="32"/>
        <v>126418.26611534</v>
      </c>
      <c r="L343" s="72">
        <f t="shared" si="34"/>
        <v>126418.26611534</v>
      </c>
      <c r="M343" s="72">
        <f>SUM(I343,L343)</f>
        <v>454028.74394507997</v>
      </c>
      <c r="N343" s="26"/>
      <c r="O343" s="921">
        <v>0.93490804699999996</v>
      </c>
    </row>
    <row r="344" spans="1:15" ht="18.95" customHeight="1">
      <c r="A344" s="981"/>
      <c r="B344" s="1016"/>
      <c r="C344" s="399" t="s">
        <v>543</v>
      </c>
      <c r="D344" s="24"/>
      <c r="E344" s="25"/>
      <c r="F344" s="30"/>
      <c r="G344" s="759"/>
      <c r="H344" s="242"/>
      <c r="I344" s="25"/>
      <c r="J344" s="759"/>
      <c r="K344" s="25"/>
      <c r="L344" s="72"/>
      <c r="M344" s="72"/>
      <c r="N344" s="26"/>
      <c r="O344" s="921">
        <v>0.93490804699999996</v>
      </c>
    </row>
    <row r="345" spans="1:15" ht="18.95" customHeight="1">
      <c r="A345" s="667">
        <v>5.9</v>
      </c>
      <c r="B345" s="1018" t="s">
        <v>544</v>
      </c>
      <c r="C345" s="399" t="s">
        <v>545</v>
      </c>
      <c r="D345" s="24"/>
      <c r="E345" s="25">
        <v>1</v>
      </c>
      <c r="F345" s="30" t="s">
        <v>349</v>
      </c>
      <c r="G345" s="759">
        <v>38680</v>
      </c>
      <c r="H345" s="242">
        <f t="shared" si="31"/>
        <v>36162.243257959999</v>
      </c>
      <c r="I345" s="25">
        <f t="shared" si="33"/>
        <v>36162.243257959999</v>
      </c>
      <c r="J345" s="759">
        <v>10880</v>
      </c>
      <c r="K345" s="25">
        <f t="shared" si="32"/>
        <v>10171.79955136</v>
      </c>
      <c r="L345" s="72">
        <f t="shared" si="34"/>
        <v>10171.79955136</v>
      </c>
      <c r="M345" s="72">
        <f>SUM(I345,L345)</f>
        <v>46334.042809320003</v>
      </c>
      <c r="N345" s="26"/>
      <c r="O345" s="921">
        <v>0.93490804699999996</v>
      </c>
    </row>
    <row r="346" spans="1:15" ht="18.95" customHeight="1">
      <c r="A346" s="137"/>
      <c r="B346" s="1016"/>
      <c r="C346" s="399" t="s">
        <v>546</v>
      </c>
      <c r="D346" s="71"/>
      <c r="E346" s="25"/>
      <c r="F346" s="30"/>
      <c r="G346" s="759"/>
      <c r="H346" s="242"/>
      <c r="I346" s="25"/>
      <c r="J346" s="759"/>
      <c r="K346" s="25"/>
      <c r="L346" s="72"/>
      <c r="M346" s="72"/>
      <c r="N346" s="26"/>
      <c r="O346" s="921">
        <v>0.93490804699999996</v>
      </c>
    </row>
    <row r="347" spans="1:15" ht="18.95" customHeight="1">
      <c r="A347" s="573">
        <v>5.0999999999999996</v>
      </c>
      <c r="B347" s="1018" t="s">
        <v>547</v>
      </c>
      <c r="C347" s="399" t="s">
        <v>548</v>
      </c>
      <c r="D347" s="71"/>
      <c r="E347" s="25">
        <v>1</v>
      </c>
      <c r="F347" s="30" t="s">
        <v>349</v>
      </c>
      <c r="G347" s="759">
        <v>56170</v>
      </c>
      <c r="H347" s="242">
        <f t="shared" si="31"/>
        <v>52513.784999989999</v>
      </c>
      <c r="I347" s="25">
        <f t="shared" si="33"/>
        <v>52513.784999989999</v>
      </c>
      <c r="J347" s="759">
        <v>16080</v>
      </c>
      <c r="K347" s="25">
        <f t="shared" si="32"/>
        <v>15033.32139576</v>
      </c>
      <c r="L347" s="72">
        <f t="shared" si="34"/>
        <v>15033.32139576</v>
      </c>
      <c r="M347" s="72">
        <f>SUM(I347,L347)</f>
        <v>67547.106395750001</v>
      </c>
      <c r="N347" s="26"/>
      <c r="O347" s="921">
        <v>0.93490804699999996</v>
      </c>
    </row>
    <row r="348" spans="1:15" ht="18.95" customHeight="1">
      <c r="A348" s="372"/>
      <c r="B348" s="1016"/>
      <c r="C348" s="399" t="s">
        <v>549</v>
      </c>
      <c r="D348" s="24"/>
      <c r="E348" s="25"/>
      <c r="F348" s="30"/>
      <c r="G348" s="759"/>
      <c r="H348" s="242"/>
      <c r="I348" s="25"/>
      <c r="J348" s="759"/>
      <c r="K348" s="25"/>
      <c r="L348" s="72"/>
      <c r="M348" s="72"/>
      <c r="N348" s="26"/>
      <c r="O348" s="921">
        <v>0.93490804699999996</v>
      </c>
    </row>
    <row r="349" spans="1:15" ht="18.95" customHeight="1">
      <c r="A349" s="981">
        <v>5.1100000000000003</v>
      </c>
      <c r="B349" s="1018" t="s">
        <v>550</v>
      </c>
      <c r="C349" s="399" t="s">
        <v>531</v>
      </c>
      <c r="D349" s="24"/>
      <c r="E349" s="25">
        <v>1</v>
      </c>
      <c r="F349" s="30" t="s">
        <v>349</v>
      </c>
      <c r="G349" s="759">
        <v>30300</v>
      </c>
      <c r="H349" s="242">
        <f t="shared" si="31"/>
        <v>28327.713824099999</v>
      </c>
      <c r="I349" s="25">
        <f t="shared" si="33"/>
        <v>28327.713824099999</v>
      </c>
      <c r="J349" s="759">
        <v>7440</v>
      </c>
      <c r="K349" s="25">
        <f t="shared" si="32"/>
        <v>6955.7158696799997</v>
      </c>
      <c r="L349" s="72">
        <f t="shared" si="34"/>
        <v>6955.7158696799997</v>
      </c>
      <c r="M349" s="72">
        <f>SUM(I349,L349)</f>
        <v>35283.429693779995</v>
      </c>
      <c r="N349" s="26"/>
      <c r="O349" s="921">
        <v>0.93490804699999996</v>
      </c>
    </row>
    <row r="350" spans="1:15" ht="18.95" customHeight="1">
      <c r="A350" s="573"/>
      <c r="B350" s="1016"/>
      <c r="C350" s="399" t="s">
        <v>465</v>
      </c>
      <c r="D350" s="24"/>
      <c r="E350" s="25"/>
      <c r="F350" s="30"/>
      <c r="G350" s="759"/>
      <c r="H350" s="242"/>
      <c r="I350" s="25"/>
      <c r="J350" s="759"/>
      <c r="K350" s="25"/>
      <c r="L350" s="72"/>
      <c r="M350" s="72"/>
      <c r="N350" s="26"/>
      <c r="O350" s="921">
        <v>0.93490804699999996</v>
      </c>
    </row>
    <row r="351" spans="1:15" ht="18.95" customHeight="1">
      <c r="A351" s="137">
        <v>5.12</v>
      </c>
      <c r="B351" s="1018" t="s">
        <v>551</v>
      </c>
      <c r="C351" s="399" t="s">
        <v>531</v>
      </c>
      <c r="D351" s="24"/>
      <c r="E351" s="25">
        <v>4</v>
      </c>
      <c r="F351" s="30" t="s">
        <v>349</v>
      </c>
      <c r="G351" s="759">
        <v>27900</v>
      </c>
      <c r="H351" s="242">
        <f t="shared" si="31"/>
        <v>26083.934511299998</v>
      </c>
      <c r="I351" s="25">
        <f t="shared" si="33"/>
        <v>104335.73804519999</v>
      </c>
      <c r="J351" s="759">
        <v>6880</v>
      </c>
      <c r="K351" s="25">
        <f t="shared" si="32"/>
        <v>6432.1673633599994</v>
      </c>
      <c r="L351" s="72">
        <f t="shared" si="34"/>
        <v>25728.669453439998</v>
      </c>
      <c r="M351" s="72">
        <f>SUM(I351,L351)</f>
        <v>130064.40749863999</v>
      </c>
      <c r="N351" s="26"/>
      <c r="O351" s="921">
        <v>0.93490804699999996</v>
      </c>
    </row>
    <row r="352" spans="1:15" ht="18.95" customHeight="1">
      <c r="A352" s="573"/>
      <c r="B352" s="1016"/>
      <c r="C352" s="399" t="s">
        <v>552</v>
      </c>
      <c r="D352" s="71"/>
      <c r="E352" s="25"/>
      <c r="F352" s="30"/>
      <c r="G352" s="759"/>
      <c r="H352" s="242"/>
      <c r="I352" s="25"/>
      <c r="J352" s="759"/>
      <c r="K352" s="25"/>
      <c r="L352" s="72"/>
      <c r="M352" s="72"/>
      <c r="N352" s="26"/>
      <c r="O352" s="921">
        <v>0.93490804699999996</v>
      </c>
    </row>
    <row r="353" spans="1:15" ht="18.95" customHeight="1">
      <c r="A353" s="372">
        <v>5.13</v>
      </c>
      <c r="B353" s="1018" t="s">
        <v>553</v>
      </c>
      <c r="C353" s="399" t="s">
        <v>531</v>
      </c>
      <c r="D353" s="71"/>
      <c r="E353" s="25">
        <v>4</v>
      </c>
      <c r="F353" s="30" t="s">
        <v>349</v>
      </c>
      <c r="G353" s="759">
        <v>26590</v>
      </c>
      <c r="H353" s="242">
        <f t="shared" si="31"/>
        <v>24859.204969729999</v>
      </c>
      <c r="I353" s="25">
        <f t="shared" si="33"/>
        <v>99436.819878919996</v>
      </c>
      <c r="J353" s="759">
        <v>6600</v>
      </c>
      <c r="K353" s="25">
        <f t="shared" si="32"/>
        <v>6170.3931101999997</v>
      </c>
      <c r="L353" s="72">
        <f t="shared" si="34"/>
        <v>24681.572440799999</v>
      </c>
      <c r="M353" s="72">
        <f>SUM(I353,L353)</f>
        <v>124118.39231971999</v>
      </c>
      <c r="N353" s="26"/>
      <c r="O353" s="921">
        <v>0.93490804699999996</v>
      </c>
    </row>
    <row r="354" spans="1:15" ht="18.95" customHeight="1">
      <c r="A354" s="981"/>
      <c r="B354" s="1016"/>
      <c r="C354" s="399" t="s">
        <v>554</v>
      </c>
      <c r="D354" s="24"/>
      <c r="E354" s="25"/>
      <c r="F354" s="30"/>
      <c r="G354" s="759"/>
      <c r="H354" s="242"/>
      <c r="I354" s="25"/>
      <c r="J354" s="759"/>
      <c r="K354" s="25"/>
      <c r="L354" s="72"/>
      <c r="M354" s="72"/>
      <c r="N354" s="26"/>
      <c r="O354" s="921">
        <v>0.93490804699999996</v>
      </c>
    </row>
    <row r="355" spans="1:15" ht="18.95" customHeight="1">
      <c r="A355" s="265"/>
      <c r="B355" s="1018"/>
      <c r="C355" s="399"/>
      <c r="D355" s="24"/>
      <c r="E355" s="25"/>
      <c r="F355" s="30"/>
      <c r="G355" s="759"/>
      <c r="H355" s="242"/>
      <c r="I355" s="25"/>
      <c r="J355" s="759"/>
      <c r="K355" s="25"/>
      <c r="L355" s="72"/>
      <c r="M355" s="72"/>
      <c r="N355" s="26"/>
      <c r="O355" s="921">
        <v>0.93490804699999996</v>
      </c>
    </row>
    <row r="356" spans="1:15" ht="18.95" customHeight="1">
      <c r="A356" s="265"/>
      <c r="B356" s="1018"/>
      <c r="C356" s="399"/>
      <c r="D356" s="24"/>
      <c r="E356" s="25"/>
      <c r="F356" s="30"/>
      <c r="G356" s="759"/>
      <c r="H356" s="242"/>
      <c r="I356" s="25"/>
      <c r="J356" s="759"/>
      <c r="K356" s="25"/>
      <c r="L356" s="72"/>
      <c r="M356" s="72"/>
      <c r="N356" s="26"/>
      <c r="O356" s="921">
        <v>0.93490804699999996</v>
      </c>
    </row>
    <row r="357" spans="1:15" ht="18.95" customHeight="1">
      <c r="A357" s="697">
        <v>5.14</v>
      </c>
      <c r="B357" s="1018" t="s">
        <v>555</v>
      </c>
      <c r="C357" s="399" t="s">
        <v>531</v>
      </c>
      <c r="D357" s="24"/>
      <c r="E357" s="25">
        <v>4</v>
      </c>
      <c r="F357" s="30" t="s">
        <v>349</v>
      </c>
      <c r="G357" s="759">
        <v>25850</v>
      </c>
      <c r="H357" s="242">
        <f t="shared" si="31"/>
        <v>24167.373014950001</v>
      </c>
      <c r="I357" s="25">
        <f t="shared" si="33"/>
        <v>96669.492059800003</v>
      </c>
      <c r="J357" s="759">
        <v>6410</v>
      </c>
      <c r="K357" s="25">
        <f t="shared" si="32"/>
        <v>5992.7605812699994</v>
      </c>
      <c r="L357" s="72">
        <f t="shared" si="34"/>
        <v>23971.042325079998</v>
      </c>
      <c r="M357" s="72">
        <f>SUM(I357,L357)</f>
        <v>120640.53438488</v>
      </c>
      <c r="N357" s="26"/>
      <c r="O357" s="921">
        <v>0.93490804699999996</v>
      </c>
    </row>
    <row r="358" spans="1:15" ht="18.95" customHeight="1">
      <c r="A358" s="981"/>
      <c r="B358" s="1016"/>
      <c r="C358" s="399" t="s">
        <v>556</v>
      </c>
      <c r="D358" s="24"/>
      <c r="E358" s="25"/>
      <c r="F358" s="30"/>
      <c r="G358" s="759"/>
      <c r="H358" s="242"/>
      <c r="I358" s="25"/>
      <c r="J358" s="759"/>
      <c r="K358" s="25"/>
      <c r="L358" s="72"/>
      <c r="M358" s="72"/>
      <c r="N358" s="26"/>
      <c r="O358" s="921">
        <v>0.93490804699999996</v>
      </c>
    </row>
    <row r="359" spans="1:15" ht="18.95" customHeight="1">
      <c r="A359" s="372">
        <v>5.15</v>
      </c>
      <c r="B359" s="1018" t="s">
        <v>557</v>
      </c>
      <c r="C359" s="399" t="s">
        <v>531</v>
      </c>
      <c r="D359" s="24"/>
      <c r="E359" s="25">
        <v>4</v>
      </c>
      <c r="F359" s="30" t="s">
        <v>349</v>
      </c>
      <c r="G359" s="759">
        <v>23990</v>
      </c>
      <c r="H359" s="242">
        <f t="shared" si="31"/>
        <v>22428.44404753</v>
      </c>
      <c r="I359" s="25">
        <f t="shared" si="33"/>
        <v>89713.776190119999</v>
      </c>
      <c r="J359" s="759">
        <v>6045</v>
      </c>
      <c r="K359" s="25">
        <f t="shared" si="32"/>
        <v>5651.519144115</v>
      </c>
      <c r="L359" s="72">
        <f t="shared" si="34"/>
        <v>22606.07657646</v>
      </c>
      <c r="M359" s="72">
        <f>SUM(I359,L359)</f>
        <v>112319.85276658001</v>
      </c>
      <c r="N359" s="26"/>
      <c r="O359" s="921">
        <v>0.93490804699999996</v>
      </c>
    </row>
    <row r="360" spans="1:15" ht="18.95" customHeight="1">
      <c r="A360" s="981"/>
      <c r="B360" s="1016"/>
      <c r="C360" s="399" t="s">
        <v>558</v>
      </c>
      <c r="D360" s="24"/>
      <c r="E360" s="25"/>
      <c r="F360" s="30"/>
      <c r="G360" s="759"/>
      <c r="H360" s="242"/>
      <c r="I360" s="25"/>
      <c r="J360" s="759"/>
      <c r="K360" s="25"/>
      <c r="L360" s="72"/>
      <c r="M360" s="72"/>
      <c r="N360" s="26"/>
      <c r="O360" s="921">
        <v>0.93490804699999996</v>
      </c>
    </row>
    <row r="361" spans="1:15" ht="18.95" customHeight="1">
      <c r="A361" s="372">
        <v>5.16</v>
      </c>
      <c r="B361" s="1018" t="s">
        <v>559</v>
      </c>
      <c r="C361" s="399" t="s">
        <v>531</v>
      </c>
      <c r="D361" s="286"/>
      <c r="E361" s="25">
        <v>4</v>
      </c>
      <c r="F361" s="30" t="s">
        <v>349</v>
      </c>
      <c r="G361" s="759">
        <v>22040</v>
      </c>
      <c r="H361" s="242">
        <f t="shared" si="31"/>
        <v>20605.373355879998</v>
      </c>
      <c r="I361" s="25">
        <f t="shared" si="33"/>
        <v>82421.493423519991</v>
      </c>
      <c r="J361" s="759">
        <v>5670</v>
      </c>
      <c r="K361" s="25">
        <f t="shared" si="32"/>
        <v>5300.9286264900002</v>
      </c>
      <c r="L361" s="72">
        <f t="shared" si="34"/>
        <v>21203.714505960001</v>
      </c>
      <c r="M361" s="72">
        <f>SUM(I361,L361)</f>
        <v>103625.20792947999</v>
      </c>
      <c r="N361" s="26"/>
      <c r="O361" s="921">
        <v>0.93490804699999996</v>
      </c>
    </row>
    <row r="362" spans="1:15" ht="18.95" customHeight="1">
      <c r="A362" s="981"/>
      <c r="B362" s="1016"/>
      <c r="C362" s="399" t="s">
        <v>560</v>
      </c>
      <c r="D362" s="286"/>
      <c r="E362" s="25"/>
      <c r="F362" s="30"/>
      <c r="G362" s="759"/>
      <c r="H362" s="242"/>
      <c r="I362" s="25"/>
      <c r="J362" s="759"/>
      <c r="K362" s="25"/>
      <c r="L362" s="72"/>
      <c r="M362" s="72"/>
      <c r="N362" s="26"/>
      <c r="O362" s="921">
        <v>0.93490804699999996</v>
      </c>
    </row>
    <row r="363" spans="1:15" ht="18.95" customHeight="1">
      <c r="A363" s="372">
        <v>5.17</v>
      </c>
      <c r="B363" s="1018" t="s">
        <v>561</v>
      </c>
      <c r="C363" s="399" t="s">
        <v>531</v>
      </c>
      <c r="D363" s="301"/>
      <c r="E363" s="25">
        <v>5</v>
      </c>
      <c r="F363" s="30" t="s">
        <v>349</v>
      </c>
      <c r="G363" s="759">
        <v>21200</v>
      </c>
      <c r="H363" s="242">
        <f t="shared" si="31"/>
        <v>19820.0505964</v>
      </c>
      <c r="I363" s="25">
        <f t="shared" si="33"/>
        <v>99100.252982000005</v>
      </c>
      <c r="J363" s="759">
        <v>5485</v>
      </c>
      <c r="K363" s="25">
        <f t="shared" si="32"/>
        <v>5127.9706377949997</v>
      </c>
      <c r="L363" s="72">
        <f t="shared" si="34"/>
        <v>25639.853188974997</v>
      </c>
      <c r="M363" s="72">
        <f>SUM(I363,L363)</f>
        <v>124740.10617097501</v>
      </c>
      <c r="N363" s="26"/>
      <c r="O363" s="921">
        <v>0.93490804699999996</v>
      </c>
    </row>
    <row r="364" spans="1:15" ht="18.95" customHeight="1">
      <c r="A364" s="981"/>
      <c r="B364" s="1016"/>
      <c r="C364" s="399" t="s">
        <v>562</v>
      </c>
      <c r="D364" s="301"/>
      <c r="E364" s="25"/>
      <c r="F364" s="30"/>
      <c r="G364" s="759"/>
      <c r="H364" s="242"/>
      <c r="I364" s="25"/>
      <c r="J364" s="759"/>
      <c r="K364" s="25"/>
      <c r="L364" s="72"/>
      <c r="M364" s="72"/>
      <c r="N364" s="26"/>
      <c r="O364" s="921">
        <v>0.93490804699999996</v>
      </c>
    </row>
    <row r="365" spans="1:15" ht="18.95" customHeight="1">
      <c r="A365" s="372">
        <v>5.18</v>
      </c>
      <c r="B365" s="1018" t="s">
        <v>563</v>
      </c>
      <c r="C365" s="399" t="s">
        <v>531</v>
      </c>
      <c r="D365" s="24"/>
      <c r="E365" s="25">
        <v>4</v>
      </c>
      <c r="F365" s="30" t="s">
        <v>349</v>
      </c>
      <c r="G365" s="759">
        <v>20360</v>
      </c>
      <c r="H365" s="242">
        <f t="shared" si="31"/>
        <v>19034.727836919999</v>
      </c>
      <c r="I365" s="25">
        <f t="shared" si="33"/>
        <v>76138.911347679998</v>
      </c>
      <c r="J365" s="759">
        <v>5300</v>
      </c>
      <c r="K365" s="25">
        <f t="shared" si="32"/>
        <v>4955.0126491000001</v>
      </c>
      <c r="L365" s="72">
        <f t="shared" si="34"/>
        <v>19820.0505964</v>
      </c>
      <c r="M365" s="72">
        <f>SUM(I365,L365)</f>
        <v>95958.961944080002</v>
      </c>
      <c r="N365" s="72"/>
      <c r="O365" s="921">
        <v>0.93490804699999996</v>
      </c>
    </row>
    <row r="366" spans="1:15" ht="18.95" customHeight="1">
      <c r="A366" s="372"/>
      <c r="B366" s="1016"/>
      <c r="C366" s="399" t="s">
        <v>564</v>
      </c>
      <c r="D366" s="24"/>
      <c r="E366" s="25"/>
      <c r="F366" s="30"/>
      <c r="G366" s="759"/>
      <c r="H366" s="242"/>
      <c r="I366" s="25"/>
      <c r="J366" s="759"/>
      <c r="K366" s="25"/>
      <c r="L366" s="72"/>
      <c r="M366" s="126"/>
      <c r="N366" s="26"/>
      <c r="O366" s="921">
        <v>0.93490804699999996</v>
      </c>
    </row>
    <row r="367" spans="1:15" ht="18.95" customHeight="1">
      <c r="A367" s="981">
        <v>5.19</v>
      </c>
      <c r="B367" s="1018" t="s">
        <v>565</v>
      </c>
      <c r="C367" s="399" t="s">
        <v>531</v>
      </c>
      <c r="D367" s="286"/>
      <c r="E367" s="25">
        <v>2</v>
      </c>
      <c r="F367" s="30" t="s">
        <v>349</v>
      </c>
      <c r="G367" s="759">
        <v>19710</v>
      </c>
      <c r="H367" s="242">
        <f t="shared" si="31"/>
        <v>18427.037606369999</v>
      </c>
      <c r="I367" s="25">
        <f t="shared" si="33"/>
        <v>36854.075212739997</v>
      </c>
      <c r="J367" s="759">
        <v>5200</v>
      </c>
      <c r="K367" s="25">
        <f t="shared" si="32"/>
        <v>4861.5218444000002</v>
      </c>
      <c r="L367" s="72">
        <f t="shared" si="34"/>
        <v>9723.0436888000004</v>
      </c>
      <c r="M367" s="72">
        <f>SUM(I367,L367)</f>
        <v>46577.118901540001</v>
      </c>
      <c r="N367" s="26"/>
      <c r="O367" s="921">
        <v>0.93490804699999996</v>
      </c>
    </row>
    <row r="368" spans="1:15" ht="18.95" customHeight="1">
      <c r="A368" s="372"/>
      <c r="B368" s="1016"/>
      <c r="C368" s="399" t="s">
        <v>566</v>
      </c>
      <c r="D368" s="24"/>
      <c r="E368" s="25"/>
      <c r="F368" s="30"/>
      <c r="G368" s="759"/>
      <c r="H368" s="242"/>
      <c r="I368" s="25"/>
      <c r="J368" s="759"/>
      <c r="K368" s="25"/>
      <c r="L368" s="72"/>
      <c r="M368" s="72"/>
      <c r="N368" s="26"/>
      <c r="O368" s="921">
        <v>0.93490804699999996</v>
      </c>
    </row>
    <row r="369" spans="1:15" ht="18.95" customHeight="1">
      <c r="A369" s="981">
        <v>5.2</v>
      </c>
      <c r="B369" s="1018" t="s">
        <v>567</v>
      </c>
      <c r="C369" s="399" t="s">
        <v>531</v>
      </c>
      <c r="D369" s="301"/>
      <c r="E369" s="25">
        <v>1</v>
      </c>
      <c r="F369" s="30" t="s">
        <v>349</v>
      </c>
      <c r="G369" s="759">
        <v>19430</v>
      </c>
      <c r="H369" s="242">
        <f t="shared" si="31"/>
        <v>18165.263353210001</v>
      </c>
      <c r="I369" s="25">
        <f t="shared" si="33"/>
        <v>18165.263353210001</v>
      </c>
      <c r="J369" s="759">
        <v>5110</v>
      </c>
      <c r="K369" s="25">
        <f t="shared" si="32"/>
        <v>4777.3801201699998</v>
      </c>
      <c r="L369" s="72">
        <f t="shared" si="34"/>
        <v>4777.3801201699998</v>
      </c>
      <c r="M369" s="72">
        <f>SUM(I369,L369)</f>
        <v>22942.643473380002</v>
      </c>
      <c r="N369" s="26"/>
      <c r="O369" s="921">
        <v>0.93490804699999996</v>
      </c>
    </row>
    <row r="370" spans="1:15" ht="18.95" customHeight="1">
      <c r="A370" s="981"/>
      <c r="B370" s="1016"/>
      <c r="C370" s="399" t="s">
        <v>568</v>
      </c>
      <c r="D370" s="24"/>
      <c r="E370" s="25"/>
      <c r="F370" s="30"/>
      <c r="G370" s="759"/>
      <c r="H370" s="242"/>
      <c r="I370" s="25"/>
      <c r="J370" s="759"/>
      <c r="K370" s="25"/>
      <c r="L370" s="72"/>
      <c r="M370" s="72"/>
      <c r="N370" s="26"/>
      <c r="O370" s="921">
        <v>0.93490804699999996</v>
      </c>
    </row>
    <row r="371" spans="1:15" ht="18.95" customHeight="1">
      <c r="A371" s="981">
        <v>5.21</v>
      </c>
      <c r="B371" s="1018" t="s">
        <v>569</v>
      </c>
      <c r="C371" s="399" t="s">
        <v>570</v>
      </c>
      <c r="D371" s="24"/>
      <c r="E371" s="25">
        <v>1</v>
      </c>
      <c r="F371" s="30" t="s">
        <v>349</v>
      </c>
      <c r="G371" s="759">
        <v>12180</v>
      </c>
      <c r="H371" s="242">
        <f t="shared" si="31"/>
        <v>11387.180012459999</v>
      </c>
      <c r="I371" s="25">
        <f t="shared" si="33"/>
        <v>11387.180012459999</v>
      </c>
      <c r="J371" s="759">
        <v>3255</v>
      </c>
      <c r="K371" s="25">
        <f t="shared" si="32"/>
        <v>3043.1256929849997</v>
      </c>
      <c r="L371" s="72">
        <f t="shared" si="34"/>
        <v>3043.1256929849997</v>
      </c>
      <c r="M371" s="72">
        <f>SUM(I371,L371)</f>
        <v>14430.305705445</v>
      </c>
      <c r="N371" s="26"/>
      <c r="O371" s="921">
        <v>0.93490804699999996</v>
      </c>
    </row>
    <row r="372" spans="1:15" ht="18.95" customHeight="1">
      <c r="A372" s="981"/>
      <c r="B372" s="1016"/>
      <c r="C372" s="399" t="s">
        <v>571</v>
      </c>
      <c r="D372" s="301"/>
      <c r="E372" s="25"/>
      <c r="F372" s="30"/>
      <c r="G372" s="759"/>
      <c r="H372" s="242"/>
      <c r="I372" s="25"/>
      <c r="J372" s="759"/>
      <c r="K372" s="25"/>
      <c r="L372" s="72"/>
      <c r="M372" s="72"/>
      <c r="N372" s="26"/>
      <c r="O372" s="921">
        <v>0.93490804699999996</v>
      </c>
    </row>
    <row r="373" spans="1:15" ht="18.95" customHeight="1">
      <c r="A373" s="573">
        <v>5.22</v>
      </c>
      <c r="B373" s="1018" t="s">
        <v>572</v>
      </c>
      <c r="C373" s="399" t="s">
        <v>570</v>
      </c>
      <c r="D373" s="24"/>
      <c r="E373" s="25">
        <v>1</v>
      </c>
      <c r="F373" s="30" t="s">
        <v>349</v>
      </c>
      <c r="G373" s="759">
        <v>12180</v>
      </c>
      <c r="H373" s="242">
        <f t="shared" si="31"/>
        <v>11387.180012459999</v>
      </c>
      <c r="I373" s="25">
        <f t="shared" si="33"/>
        <v>11387.180012459999</v>
      </c>
      <c r="J373" s="759">
        <v>3255</v>
      </c>
      <c r="K373" s="25">
        <f t="shared" si="32"/>
        <v>3043.1256929849997</v>
      </c>
      <c r="L373" s="72">
        <f t="shared" si="34"/>
        <v>3043.1256929849997</v>
      </c>
      <c r="M373" s="72">
        <f>SUM(I373,L373)</f>
        <v>14430.305705445</v>
      </c>
      <c r="N373" s="26"/>
      <c r="O373" s="921">
        <v>0.93490804699999996</v>
      </c>
    </row>
    <row r="374" spans="1:15" ht="18.95" customHeight="1">
      <c r="A374" s="372"/>
      <c r="B374" s="1016"/>
      <c r="C374" s="399" t="s">
        <v>571</v>
      </c>
      <c r="D374" s="24"/>
      <c r="E374" s="25"/>
      <c r="F374" s="30"/>
      <c r="G374" s="759"/>
      <c r="H374" s="242"/>
      <c r="I374" s="25"/>
      <c r="J374" s="759"/>
      <c r="K374" s="25"/>
      <c r="L374" s="72"/>
      <c r="M374" s="72"/>
      <c r="N374" s="26"/>
      <c r="O374" s="921">
        <v>0.93490804699999996</v>
      </c>
    </row>
    <row r="375" spans="1:15" ht="18.95" customHeight="1">
      <c r="A375" s="573">
        <v>5.23</v>
      </c>
      <c r="B375" s="1018" t="s">
        <v>573</v>
      </c>
      <c r="C375" s="399" t="s">
        <v>570</v>
      </c>
      <c r="D375" s="301"/>
      <c r="E375" s="25">
        <v>2</v>
      </c>
      <c r="F375" s="30" t="s">
        <v>349</v>
      </c>
      <c r="G375" s="759">
        <v>12180</v>
      </c>
      <c r="H375" s="242">
        <f t="shared" si="31"/>
        <v>11387.180012459999</v>
      </c>
      <c r="I375" s="25">
        <f t="shared" si="33"/>
        <v>22774.360024919999</v>
      </c>
      <c r="J375" s="759">
        <v>3255</v>
      </c>
      <c r="K375" s="25">
        <f t="shared" si="32"/>
        <v>3043.1256929849997</v>
      </c>
      <c r="L375" s="72">
        <f t="shared" si="34"/>
        <v>6086.2513859699993</v>
      </c>
      <c r="M375" s="72">
        <f>SUM(I375,L375)</f>
        <v>28860.61141089</v>
      </c>
      <c r="N375" s="26"/>
      <c r="O375" s="921">
        <v>0.93490804699999996</v>
      </c>
    </row>
    <row r="376" spans="1:15" ht="18.95" customHeight="1">
      <c r="A376" s="372"/>
      <c r="B376" s="1016"/>
      <c r="C376" s="399" t="s">
        <v>571</v>
      </c>
      <c r="D376" s="24"/>
      <c r="E376" s="25"/>
      <c r="F376" s="30"/>
      <c r="G376" s="759"/>
      <c r="H376" s="242"/>
      <c r="I376" s="25"/>
      <c r="J376" s="759"/>
      <c r="K376" s="25"/>
      <c r="L376" s="72"/>
      <c r="M376" s="72"/>
      <c r="N376" s="26"/>
      <c r="O376" s="921">
        <v>0.93490804699999996</v>
      </c>
    </row>
    <row r="377" spans="1:15" ht="18.95" customHeight="1">
      <c r="A377" s="573">
        <v>5.24</v>
      </c>
      <c r="B377" s="1018" t="s">
        <v>574</v>
      </c>
      <c r="C377" s="399" t="s">
        <v>570</v>
      </c>
      <c r="D377" s="301"/>
      <c r="E377" s="25">
        <v>1</v>
      </c>
      <c r="F377" s="30" t="s">
        <v>349</v>
      </c>
      <c r="G377" s="759">
        <v>12180</v>
      </c>
      <c r="H377" s="242">
        <f t="shared" si="31"/>
        <v>11387.180012459999</v>
      </c>
      <c r="I377" s="25">
        <f t="shared" si="33"/>
        <v>11387.180012459999</v>
      </c>
      <c r="J377" s="759">
        <v>3255</v>
      </c>
      <c r="K377" s="25">
        <f t="shared" si="32"/>
        <v>3043.1256929849997</v>
      </c>
      <c r="L377" s="72">
        <f t="shared" si="34"/>
        <v>3043.1256929849997</v>
      </c>
      <c r="M377" s="72">
        <f>SUM(I377,L377)</f>
        <v>14430.305705445</v>
      </c>
      <c r="N377" s="26"/>
      <c r="O377" s="921">
        <v>0.93490804699999996</v>
      </c>
    </row>
    <row r="378" spans="1:15" ht="18.95" customHeight="1">
      <c r="A378" s="372"/>
      <c r="B378" s="1016"/>
      <c r="C378" s="399" t="s">
        <v>571</v>
      </c>
      <c r="D378" s="24"/>
      <c r="E378" s="25"/>
      <c r="F378" s="30"/>
      <c r="G378" s="759"/>
      <c r="H378" s="242"/>
      <c r="I378" s="25"/>
      <c r="J378" s="759"/>
      <c r="K378" s="25"/>
      <c r="L378" s="72"/>
      <c r="M378" s="72"/>
      <c r="N378" s="26"/>
      <c r="O378" s="921">
        <v>0.93490804699999996</v>
      </c>
    </row>
    <row r="379" spans="1:15" ht="18.95" customHeight="1">
      <c r="A379" s="573">
        <v>5.25</v>
      </c>
      <c r="B379" s="1018" t="s">
        <v>575</v>
      </c>
      <c r="C379" s="399" t="s">
        <v>570</v>
      </c>
      <c r="D379" s="301"/>
      <c r="E379" s="25">
        <v>1</v>
      </c>
      <c r="F379" s="30" t="s">
        <v>349</v>
      </c>
      <c r="G379" s="759">
        <v>12180</v>
      </c>
      <c r="H379" s="242">
        <f t="shared" si="31"/>
        <v>11387.180012459999</v>
      </c>
      <c r="I379" s="25">
        <f t="shared" si="33"/>
        <v>11387.180012459999</v>
      </c>
      <c r="J379" s="759">
        <v>3255</v>
      </c>
      <c r="K379" s="25">
        <f t="shared" si="32"/>
        <v>3043.1256929849997</v>
      </c>
      <c r="L379" s="72">
        <f t="shared" si="34"/>
        <v>3043.1256929849997</v>
      </c>
      <c r="M379" s="72">
        <f>SUM(I379,L379)</f>
        <v>14430.305705445</v>
      </c>
      <c r="N379" s="26"/>
      <c r="O379" s="921">
        <v>0.93490804699999996</v>
      </c>
    </row>
    <row r="380" spans="1:15" ht="18.95" customHeight="1">
      <c r="A380" s="372"/>
      <c r="B380" s="1016"/>
      <c r="C380" s="399" t="s">
        <v>571</v>
      </c>
      <c r="D380" s="24"/>
      <c r="E380" s="25"/>
      <c r="F380" s="30"/>
      <c r="G380" s="759"/>
      <c r="H380" s="242"/>
      <c r="I380" s="25"/>
      <c r="J380" s="759"/>
      <c r="K380" s="25"/>
      <c r="L380" s="72"/>
      <c r="M380" s="72"/>
      <c r="N380" s="26"/>
      <c r="O380" s="921">
        <v>0.93490804699999996</v>
      </c>
    </row>
    <row r="381" spans="1:15" ht="18.95" customHeight="1">
      <c r="A381" s="573">
        <v>5.26</v>
      </c>
      <c r="B381" s="1018" t="s">
        <v>576</v>
      </c>
      <c r="C381" s="399" t="s">
        <v>570</v>
      </c>
      <c r="D381" s="301"/>
      <c r="E381" s="25">
        <v>2</v>
      </c>
      <c r="F381" s="30" t="s">
        <v>349</v>
      </c>
      <c r="G381" s="759">
        <v>12180</v>
      </c>
      <c r="H381" s="242">
        <f t="shared" si="31"/>
        <v>11387.180012459999</v>
      </c>
      <c r="I381" s="25">
        <f t="shared" si="33"/>
        <v>22774.360024919999</v>
      </c>
      <c r="J381" s="759">
        <v>3255</v>
      </c>
      <c r="K381" s="25">
        <f t="shared" si="32"/>
        <v>3043.1256929849997</v>
      </c>
      <c r="L381" s="72">
        <f t="shared" si="34"/>
        <v>6086.2513859699993</v>
      </c>
      <c r="M381" s="72">
        <f>SUM(I381,L381)</f>
        <v>28860.61141089</v>
      </c>
      <c r="N381" s="26"/>
      <c r="O381" s="921">
        <v>0.93490804699999996</v>
      </c>
    </row>
    <row r="382" spans="1:15" ht="18.95" customHeight="1">
      <c r="A382" s="372"/>
      <c r="B382" s="1016"/>
      <c r="C382" s="399" t="s">
        <v>571</v>
      </c>
      <c r="D382" s="993"/>
      <c r="E382" s="25"/>
      <c r="F382" s="30"/>
      <c r="G382" s="759"/>
      <c r="H382" s="242"/>
      <c r="I382" s="25"/>
      <c r="J382" s="759"/>
      <c r="K382" s="25"/>
      <c r="L382" s="72"/>
      <c r="M382" s="72"/>
      <c r="N382" s="26"/>
      <c r="O382" s="921">
        <v>0.93490804699999996</v>
      </c>
    </row>
    <row r="383" spans="1:15" ht="18.95" customHeight="1">
      <c r="A383" s="265"/>
      <c r="B383" s="265"/>
      <c r="C383" s="992"/>
      <c r="D383" s="993"/>
      <c r="E383" s="25"/>
      <c r="F383" s="30"/>
      <c r="G383" s="759"/>
      <c r="H383" s="242"/>
      <c r="I383" s="25"/>
      <c r="J383" s="759"/>
      <c r="K383" s="25"/>
      <c r="L383" s="72"/>
      <c r="M383" s="25"/>
      <c r="N383" s="26"/>
      <c r="O383" s="921">
        <v>0.93490804699999996</v>
      </c>
    </row>
    <row r="384" spans="1:15" ht="18.95" customHeight="1">
      <c r="A384" s="539">
        <v>5.27</v>
      </c>
      <c r="B384" s="1018" t="s">
        <v>577</v>
      </c>
      <c r="C384" s="399" t="s">
        <v>570</v>
      </c>
      <c r="D384" s="1017"/>
      <c r="E384" s="25">
        <v>1</v>
      </c>
      <c r="F384" s="30" t="s">
        <v>349</v>
      </c>
      <c r="G384" s="759">
        <v>16830</v>
      </c>
      <c r="H384" s="242">
        <f t="shared" si="31"/>
        <v>15734.50243101</v>
      </c>
      <c r="I384" s="25">
        <f t="shared" si="33"/>
        <v>15734.50243101</v>
      </c>
      <c r="J384" s="759">
        <v>4185</v>
      </c>
      <c r="K384" s="25">
        <f t="shared" si="32"/>
        <v>3912.5901766949996</v>
      </c>
      <c r="L384" s="72">
        <f t="shared" si="34"/>
        <v>3912.5901766949996</v>
      </c>
      <c r="M384" s="72">
        <f>SUM(I384,L384)</f>
        <v>19647.092607704999</v>
      </c>
      <c r="N384" s="26"/>
      <c r="O384" s="921">
        <v>0.93490804699999996</v>
      </c>
    </row>
    <row r="385" spans="1:15" ht="18.95" customHeight="1">
      <c r="A385" s="525"/>
      <c r="B385" s="1016"/>
      <c r="C385" s="399" t="s">
        <v>578</v>
      </c>
      <c r="D385" s="1017"/>
      <c r="E385" s="25"/>
      <c r="F385" s="30"/>
      <c r="G385" s="759"/>
      <c r="H385" s="242"/>
      <c r="I385" s="25"/>
      <c r="J385" s="759"/>
      <c r="K385" s="25"/>
      <c r="L385" s="72"/>
      <c r="M385" s="72"/>
      <c r="N385" s="72"/>
      <c r="O385" s="921">
        <v>0.93490804699999996</v>
      </c>
    </row>
    <row r="386" spans="1:15" ht="18.95" customHeight="1">
      <c r="A386" s="525">
        <v>5.28</v>
      </c>
      <c r="B386" s="1018" t="s">
        <v>579</v>
      </c>
      <c r="C386" s="399" t="s">
        <v>570</v>
      </c>
      <c r="D386" s="301"/>
      <c r="E386" s="25">
        <v>2</v>
      </c>
      <c r="F386" s="30" t="s">
        <v>349</v>
      </c>
      <c r="G386" s="759">
        <v>16830</v>
      </c>
      <c r="H386" s="242">
        <f t="shared" si="31"/>
        <v>15734.50243101</v>
      </c>
      <c r="I386" s="25">
        <f t="shared" si="33"/>
        <v>31469.00486202</v>
      </c>
      <c r="J386" s="759">
        <v>4185</v>
      </c>
      <c r="K386" s="25">
        <f t="shared" si="32"/>
        <v>3912.5901766949996</v>
      </c>
      <c r="L386" s="72">
        <f t="shared" si="34"/>
        <v>7825.1803533899993</v>
      </c>
      <c r="M386" s="72">
        <f>SUM(I386,L386)</f>
        <v>39294.185215409998</v>
      </c>
      <c r="N386" s="26"/>
      <c r="O386" s="921">
        <v>0.93490804699999996</v>
      </c>
    </row>
    <row r="387" spans="1:15" ht="18.95" customHeight="1">
      <c r="A387" s="525"/>
      <c r="B387" s="1022"/>
      <c r="C387" s="399" t="s">
        <v>578</v>
      </c>
      <c r="D387" s="1017"/>
      <c r="E387" s="25"/>
      <c r="F387" s="30"/>
      <c r="G387" s="759"/>
      <c r="H387" s="242"/>
      <c r="I387" s="25"/>
      <c r="J387" s="759"/>
      <c r="K387" s="25"/>
      <c r="L387" s="72"/>
      <c r="M387" s="72"/>
      <c r="N387" s="72"/>
      <c r="O387" s="921">
        <v>0.93490804699999996</v>
      </c>
    </row>
    <row r="388" spans="1:15" ht="18.95" customHeight="1">
      <c r="A388" s="525">
        <v>5.29</v>
      </c>
      <c r="B388" s="1018" t="s">
        <v>580</v>
      </c>
      <c r="C388" s="399" t="s">
        <v>570</v>
      </c>
      <c r="D388" s="286"/>
      <c r="E388" s="25">
        <v>2</v>
      </c>
      <c r="F388" s="30" t="s">
        <v>349</v>
      </c>
      <c r="G388" s="759">
        <v>16830</v>
      </c>
      <c r="H388" s="242">
        <f t="shared" si="31"/>
        <v>15734.50243101</v>
      </c>
      <c r="I388" s="25">
        <f t="shared" si="33"/>
        <v>31469.00486202</v>
      </c>
      <c r="J388" s="759">
        <v>4185</v>
      </c>
      <c r="K388" s="25">
        <f t="shared" si="32"/>
        <v>3912.5901766949996</v>
      </c>
      <c r="L388" s="72">
        <f t="shared" si="34"/>
        <v>7825.1803533899993</v>
      </c>
      <c r="M388" s="72">
        <f>SUM(I388,L388)</f>
        <v>39294.185215409998</v>
      </c>
      <c r="N388" s="26"/>
      <c r="O388" s="921">
        <v>0.93490804699999996</v>
      </c>
    </row>
    <row r="389" spans="1:15" ht="18.95" customHeight="1">
      <c r="A389" s="525"/>
      <c r="B389" s="1022"/>
      <c r="C389" s="399" t="s">
        <v>578</v>
      </c>
      <c r="D389" s="1017"/>
      <c r="E389" s="25"/>
      <c r="F389" s="30"/>
      <c r="G389" s="759"/>
      <c r="H389" s="242"/>
      <c r="I389" s="25"/>
      <c r="J389" s="759"/>
      <c r="K389" s="25"/>
      <c r="L389" s="72"/>
      <c r="M389" s="72"/>
      <c r="N389" s="72"/>
      <c r="O389" s="921">
        <v>0.93490804699999996</v>
      </c>
    </row>
    <row r="390" spans="1:15" ht="18.95" customHeight="1">
      <c r="A390" s="532">
        <v>5.3</v>
      </c>
      <c r="B390" s="1018" t="s">
        <v>581</v>
      </c>
      <c r="C390" s="399" t="s">
        <v>570</v>
      </c>
      <c r="D390" s="286"/>
      <c r="E390" s="25">
        <v>2</v>
      </c>
      <c r="F390" s="30" t="s">
        <v>349</v>
      </c>
      <c r="G390" s="759">
        <v>16830</v>
      </c>
      <c r="H390" s="242">
        <f t="shared" si="31"/>
        <v>15734.50243101</v>
      </c>
      <c r="I390" s="25">
        <f t="shared" si="33"/>
        <v>31469.00486202</v>
      </c>
      <c r="J390" s="759">
        <v>4185</v>
      </c>
      <c r="K390" s="25">
        <f t="shared" si="32"/>
        <v>3912.5901766949996</v>
      </c>
      <c r="L390" s="72">
        <f t="shared" si="34"/>
        <v>7825.1803533899993</v>
      </c>
      <c r="M390" s="72">
        <f>SUM(I390,L390)</f>
        <v>39294.185215409998</v>
      </c>
      <c r="N390" s="26"/>
      <c r="O390" s="921">
        <v>0.93490804699999996</v>
      </c>
    </row>
    <row r="391" spans="1:15" ht="18.95" customHeight="1">
      <c r="A391" s="525"/>
      <c r="B391" s="1022"/>
      <c r="C391" s="399" t="s">
        <v>582</v>
      </c>
      <c r="D391" s="1059"/>
      <c r="E391" s="25"/>
      <c r="F391" s="30"/>
      <c r="G391" s="759"/>
      <c r="H391" s="242"/>
      <c r="I391" s="25"/>
      <c r="J391" s="759"/>
      <c r="K391" s="25"/>
      <c r="L391" s="72"/>
      <c r="M391" s="72"/>
      <c r="N391" s="72"/>
      <c r="O391" s="921">
        <v>0.93490804699999996</v>
      </c>
    </row>
    <row r="392" spans="1:15" ht="18.95" customHeight="1">
      <c r="A392" s="525"/>
      <c r="B392" s="1022"/>
      <c r="C392" s="399" t="s">
        <v>578</v>
      </c>
      <c r="D392" s="1059"/>
      <c r="E392" s="25"/>
      <c r="F392" s="30"/>
      <c r="G392" s="759"/>
      <c r="H392" s="242"/>
      <c r="I392" s="25"/>
      <c r="J392" s="759"/>
      <c r="K392" s="25"/>
      <c r="L392" s="72"/>
      <c r="M392" s="72"/>
      <c r="N392" s="72"/>
      <c r="O392" s="921">
        <v>0.93490804699999996</v>
      </c>
    </row>
    <row r="393" spans="1:15" ht="18.95" customHeight="1">
      <c r="A393" s="525">
        <v>5.31</v>
      </c>
      <c r="B393" s="1018" t="s">
        <v>583</v>
      </c>
      <c r="C393" s="399" t="s">
        <v>584</v>
      </c>
      <c r="D393" s="24"/>
      <c r="E393" s="25">
        <v>1</v>
      </c>
      <c r="F393" s="30" t="s">
        <v>349</v>
      </c>
      <c r="G393" s="759">
        <v>15060</v>
      </c>
      <c r="H393" s="242">
        <f t="shared" si="31"/>
        <v>14079.71518782</v>
      </c>
      <c r="I393" s="25">
        <f t="shared" si="33"/>
        <v>14079.71518782</v>
      </c>
      <c r="J393" s="759">
        <v>4650</v>
      </c>
      <c r="K393" s="25">
        <f t="shared" si="32"/>
        <v>4347.3224185499994</v>
      </c>
      <c r="L393" s="72">
        <f t="shared" si="34"/>
        <v>4347.3224185499994</v>
      </c>
      <c r="M393" s="72">
        <f>SUM(I393,L393)</f>
        <v>18427.037606369999</v>
      </c>
      <c r="N393" s="26"/>
      <c r="O393" s="921">
        <v>0.93490804699999996</v>
      </c>
    </row>
    <row r="394" spans="1:15" ht="18.95" customHeight="1">
      <c r="A394" s="525">
        <v>5.32</v>
      </c>
      <c r="B394" s="1043" t="s">
        <v>585</v>
      </c>
      <c r="C394" s="537" t="s">
        <v>586</v>
      </c>
      <c r="D394" s="286"/>
      <c r="E394" s="25">
        <v>390</v>
      </c>
      <c r="F394" s="30" t="s">
        <v>211</v>
      </c>
      <c r="G394" s="759">
        <v>12660</v>
      </c>
      <c r="H394" s="242">
        <f t="shared" ref="H394:H408" si="35">G394*O394</f>
        <v>11835.935875019999</v>
      </c>
      <c r="I394" s="25">
        <f t="shared" si="33"/>
        <v>4616014.9912577998</v>
      </c>
      <c r="J394" s="759">
        <v>4069</v>
      </c>
      <c r="K394" s="25">
        <f t="shared" ref="K394:K408" si="36">J394*O394</f>
        <v>3804.1408432429998</v>
      </c>
      <c r="L394" s="72">
        <f t="shared" si="34"/>
        <v>1483614.9288647699</v>
      </c>
      <c r="M394" s="72">
        <f>SUM(I394,L394)</f>
        <v>6099629.9201225694</v>
      </c>
      <c r="N394" s="26"/>
      <c r="O394" s="921">
        <v>0.93490804699999996</v>
      </c>
    </row>
    <row r="395" spans="1:15" ht="18.95" customHeight="1">
      <c r="A395" s="532"/>
      <c r="B395" s="1043"/>
      <c r="C395" s="537" t="s">
        <v>587</v>
      </c>
      <c r="D395" s="24"/>
      <c r="E395" s="25"/>
      <c r="F395" s="30"/>
      <c r="G395" s="759"/>
      <c r="H395" s="242"/>
      <c r="I395" s="25"/>
      <c r="J395" s="759"/>
      <c r="K395" s="25"/>
      <c r="L395" s="72"/>
      <c r="M395" s="72"/>
      <c r="N395" s="26"/>
      <c r="O395" s="921">
        <v>0.93490804699999996</v>
      </c>
    </row>
    <row r="396" spans="1:15" ht="18.95" customHeight="1">
      <c r="A396" s="532">
        <v>5.33</v>
      </c>
      <c r="B396" s="1043" t="s">
        <v>588</v>
      </c>
      <c r="C396" s="537" t="s">
        <v>589</v>
      </c>
      <c r="D396" s="286"/>
      <c r="E396" s="25">
        <v>525</v>
      </c>
      <c r="F396" s="30" t="s">
        <v>211</v>
      </c>
      <c r="G396" s="759">
        <v>6550</v>
      </c>
      <c r="H396" s="242">
        <f t="shared" si="35"/>
        <v>6123.6477078500002</v>
      </c>
      <c r="I396" s="25">
        <f t="shared" ref="I396:I408" si="37">E396*H396</f>
        <v>3214915.04662125</v>
      </c>
      <c r="J396" s="759">
        <v>2166</v>
      </c>
      <c r="K396" s="25">
        <f t="shared" si="36"/>
        <v>2025.010829802</v>
      </c>
      <c r="L396" s="72">
        <f t="shared" ref="L396:L408" si="38">K396*E396</f>
        <v>1063130.6856460499</v>
      </c>
      <c r="M396" s="72">
        <f>SUM(I396,L396)</f>
        <v>4278045.7322672997</v>
      </c>
      <c r="N396" s="72"/>
      <c r="O396" s="921">
        <v>0.93490804699999996</v>
      </c>
    </row>
    <row r="397" spans="1:15" ht="18.95" customHeight="1">
      <c r="A397" s="539">
        <v>5.34</v>
      </c>
      <c r="B397" s="1043" t="s">
        <v>590</v>
      </c>
      <c r="C397" s="537" t="s">
        <v>589</v>
      </c>
      <c r="D397" s="286"/>
      <c r="E397" s="25">
        <v>187</v>
      </c>
      <c r="F397" s="30" t="s">
        <v>211</v>
      </c>
      <c r="G397" s="759">
        <v>7981</v>
      </c>
      <c r="H397" s="242">
        <f t="shared" si="35"/>
        <v>7461.5011231069993</v>
      </c>
      <c r="I397" s="25">
        <f t="shared" si="37"/>
        <v>1395300.710021009</v>
      </c>
      <c r="J397" s="759">
        <v>2637</v>
      </c>
      <c r="K397" s="25">
        <f t="shared" si="36"/>
        <v>2465.3525199390001</v>
      </c>
      <c r="L397" s="72">
        <f t="shared" si="38"/>
        <v>461020.92122859304</v>
      </c>
      <c r="M397" s="72">
        <f>SUM(I397,L397)</f>
        <v>1856321.631249602</v>
      </c>
      <c r="N397" s="26"/>
      <c r="O397" s="921">
        <v>0.93490804699999996</v>
      </c>
    </row>
    <row r="398" spans="1:15" ht="18.95" customHeight="1">
      <c r="A398" s="532">
        <v>5.35</v>
      </c>
      <c r="B398" s="1043" t="s">
        <v>591</v>
      </c>
      <c r="C398" s="537" t="s">
        <v>589</v>
      </c>
      <c r="D398" s="286"/>
      <c r="E398" s="25">
        <v>445</v>
      </c>
      <c r="F398" s="30" t="s">
        <v>211</v>
      </c>
      <c r="G398" s="759">
        <v>6270</v>
      </c>
      <c r="H398" s="242">
        <f t="shared" si="35"/>
        <v>5861.8734546899996</v>
      </c>
      <c r="I398" s="25">
        <f t="shared" si="37"/>
        <v>2608533.6873370497</v>
      </c>
      <c r="J398" s="759">
        <v>2125</v>
      </c>
      <c r="K398" s="25">
        <f t="shared" si="36"/>
        <v>1986.6795998749999</v>
      </c>
      <c r="L398" s="72">
        <f t="shared" si="38"/>
        <v>884072.42194437492</v>
      </c>
      <c r="M398" s="72">
        <f>SUM(I398,L398)</f>
        <v>3492606.1092814244</v>
      </c>
      <c r="N398" s="72"/>
      <c r="O398" s="921">
        <v>0.93490804699999996</v>
      </c>
    </row>
    <row r="399" spans="1:15" ht="18.95" customHeight="1">
      <c r="A399" s="532">
        <v>5.36</v>
      </c>
      <c r="B399" s="1043" t="s">
        <v>592</v>
      </c>
      <c r="C399" s="537" t="s">
        <v>589</v>
      </c>
      <c r="D399" s="286"/>
      <c r="E399" s="25">
        <v>94</v>
      </c>
      <c r="F399" s="30" t="s">
        <v>211</v>
      </c>
      <c r="G399" s="759">
        <v>8495</v>
      </c>
      <c r="H399" s="242">
        <f t="shared" si="35"/>
        <v>7942.0438592649998</v>
      </c>
      <c r="I399" s="25">
        <f t="shared" si="37"/>
        <v>746552.12277091003</v>
      </c>
      <c r="J399" s="759">
        <v>2760</v>
      </c>
      <c r="K399" s="25">
        <f t="shared" si="36"/>
        <v>2580.3462097199999</v>
      </c>
      <c r="L399" s="72">
        <f t="shared" si="38"/>
        <v>242552.54371368</v>
      </c>
      <c r="M399" s="72">
        <f>SUM(I399,L399)</f>
        <v>989104.66648459004</v>
      </c>
      <c r="N399" s="26"/>
      <c r="O399" s="921">
        <v>0.93490804699999996</v>
      </c>
    </row>
    <row r="400" spans="1:15" ht="18.95" customHeight="1">
      <c r="A400" s="539">
        <v>5.37</v>
      </c>
      <c r="B400" s="1043" t="s">
        <v>593</v>
      </c>
      <c r="C400" s="537" t="s">
        <v>586</v>
      </c>
      <c r="D400" s="286"/>
      <c r="E400" s="25">
        <v>715</v>
      </c>
      <c r="F400" s="30" t="s">
        <v>211</v>
      </c>
      <c r="G400" s="759">
        <v>6900</v>
      </c>
      <c r="H400" s="242">
        <f t="shared" si="35"/>
        <v>6450.8655242999994</v>
      </c>
      <c r="I400" s="25">
        <f t="shared" si="37"/>
        <v>4612368.8498744993</v>
      </c>
      <c r="J400" s="759">
        <v>2353</v>
      </c>
      <c r="K400" s="25">
        <f t="shared" si="36"/>
        <v>2199.8386345909998</v>
      </c>
      <c r="L400" s="72">
        <f t="shared" si="38"/>
        <v>1572884.623732565</v>
      </c>
      <c r="M400" s="72">
        <f>SUM(I400,L400)</f>
        <v>6185253.4736070642</v>
      </c>
      <c r="N400" s="72"/>
      <c r="O400" s="921">
        <v>0.93490804699999996</v>
      </c>
    </row>
    <row r="401" spans="1:18" ht="16.350000000000001" customHeight="1">
      <c r="A401" s="1060"/>
      <c r="B401" s="1043"/>
      <c r="C401" s="537" t="s">
        <v>594</v>
      </c>
      <c r="D401" s="24"/>
      <c r="E401" s="25"/>
      <c r="F401" s="30"/>
      <c r="G401" s="759"/>
      <c r="H401" s="242"/>
      <c r="I401" s="25"/>
      <c r="J401" s="759"/>
      <c r="K401" s="25"/>
      <c r="L401" s="72"/>
      <c r="M401" s="72"/>
      <c r="N401" s="26"/>
      <c r="O401" s="921">
        <v>0.93490804699999996</v>
      </c>
    </row>
    <row r="402" spans="1:18" ht="18.600000000000001" customHeight="1">
      <c r="A402" s="532">
        <v>5.38</v>
      </c>
      <c r="B402" s="1043" t="s">
        <v>595</v>
      </c>
      <c r="C402" s="537" t="s">
        <v>586</v>
      </c>
      <c r="D402" s="286"/>
      <c r="E402" s="25">
        <v>44</v>
      </c>
      <c r="F402" s="30" t="s">
        <v>211</v>
      </c>
      <c r="G402" s="759">
        <v>8070</v>
      </c>
      <c r="H402" s="242">
        <f t="shared" si="35"/>
        <v>7544.7079392899996</v>
      </c>
      <c r="I402" s="25">
        <f>E402*H402</f>
        <v>331967.14932875999</v>
      </c>
      <c r="J402" s="759">
        <v>2560</v>
      </c>
      <c r="K402" s="25">
        <f t="shared" si="36"/>
        <v>2393.3646003200001</v>
      </c>
      <c r="L402" s="72">
        <f>K402*E402</f>
        <v>105308.04241408</v>
      </c>
      <c r="M402" s="72">
        <f>SUM(I402,L402)</f>
        <v>437275.19174283999</v>
      </c>
      <c r="N402" s="72"/>
      <c r="O402" s="921">
        <v>0.93490804699999996</v>
      </c>
    </row>
    <row r="403" spans="1:18" ht="18.600000000000001" customHeight="1">
      <c r="A403" s="539"/>
      <c r="B403" s="1043"/>
      <c r="C403" s="537" t="s">
        <v>594</v>
      </c>
      <c r="D403" s="24"/>
      <c r="E403" s="25"/>
      <c r="F403" s="30"/>
      <c r="G403" s="759"/>
      <c r="H403" s="242"/>
      <c r="I403" s="25"/>
      <c r="J403" s="759"/>
      <c r="K403" s="25"/>
      <c r="L403" s="72"/>
      <c r="M403" s="72"/>
      <c r="N403" s="26"/>
      <c r="O403" s="921">
        <v>0.93490804699999996</v>
      </c>
    </row>
    <row r="404" spans="1:18" ht="18.95" customHeight="1">
      <c r="A404" s="532">
        <v>5.39</v>
      </c>
      <c r="B404" s="1043" t="s">
        <v>596</v>
      </c>
      <c r="C404" s="537" t="s">
        <v>586</v>
      </c>
      <c r="D404" s="286"/>
      <c r="E404" s="25">
        <v>66</v>
      </c>
      <c r="F404" s="30" t="s">
        <v>211</v>
      </c>
      <c r="G404" s="759">
        <v>6650</v>
      </c>
      <c r="H404" s="242">
        <f t="shared" si="35"/>
        <v>6217.1385125500001</v>
      </c>
      <c r="I404" s="25">
        <f t="shared" si="37"/>
        <v>410331.14182830002</v>
      </c>
      <c r="J404" s="759">
        <v>2220</v>
      </c>
      <c r="K404" s="25">
        <f t="shared" si="36"/>
        <v>2075.49586434</v>
      </c>
      <c r="L404" s="72">
        <f t="shared" si="38"/>
        <v>136982.72704644001</v>
      </c>
      <c r="M404" s="72">
        <f>SUM(I404,L404)</f>
        <v>547313.86887474009</v>
      </c>
      <c r="N404" s="72"/>
      <c r="O404" s="921">
        <v>0.93490804699999996</v>
      </c>
    </row>
    <row r="405" spans="1:18" ht="18.95" customHeight="1">
      <c r="A405" s="532"/>
      <c r="B405" s="1043"/>
      <c r="C405" s="537" t="s">
        <v>594</v>
      </c>
      <c r="D405" s="24"/>
      <c r="E405" s="25"/>
      <c r="F405" s="30"/>
      <c r="G405" s="759"/>
      <c r="H405" s="242"/>
      <c r="I405" s="25"/>
      <c r="J405" s="759"/>
      <c r="K405" s="25"/>
      <c r="L405" s="72"/>
      <c r="M405" s="72"/>
      <c r="N405" s="26"/>
      <c r="O405" s="921">
        <v>0.93490804699999996</v>
      </c>
      <c r="R405" s="300"/>
    </row>
    <row r="406" spans="1:18" ht="18.95" customHeight="1">
      <c r="A406" s="539">
        <v>5.4</v>
      </c>
      <c r="B406" s="1043" t="s">
        <v>597</v>
      </c>
      <c r="C406" s="537" t="s">
        <v>589</v>
      </c>
      <c r="D406" s="286"/>
      <c r="E406" s="25">
        <v>219</v>
      </c>
      <c r="F406" s="30" t="s">
        <v>211</v>
      </c>
      <c r="G406" s="759">
        <v>7846</v>
      </c>
      <c r="H406" s="242">
        <f t="shared" si="35"/>
        <v>7335.2885367620001</v>
      </c>
      <c r="I406" s="25">
        <f t="shared" si="37"/>
        <v>1606428.189550878</v>
      </c>
      <c r="J406" s="759">
        <v>2690</v>
      </c>
      <c r="K406" s="25">
        <f t="shared" si="36"/>
        <v>2514.90264643</v>
      </c>
      <c r="L406" s="72">
        <f t="shared" si="38"/>
        <v>550763.67956816999</v>
      </c>
      <c r="M406" s="72">
        <f>SUM(I406,L406)</f>
        <v>2157191.8691190481</v>
      </c>
      <c r="N406" s="72"/>
      <c r="O406" s="921">
        <v>0.93490804699999996</v>
      </c>
      <c r="R406" s="300"/>
    </row>
    <row r="407" spans="1:18" ht="18.95" customHeight="1">
      <c r="A407" s="532">
        <v>5.41</v>
      </c>
      <c r="B407" s="1043" t="s">
        <v>598</v>
      </c>
      <c r="C407" s="537" t="s">
        <v>589</v>
      </c>
      <c r="D407" s="24"/>
      <c r="E407" s="25">
        <v>115</v>
      </c>
      <c r="F407" s="30" t="s">
        <v>211</v>
      </c>
      <c r="G407" s="759">
        <v>8872</v>
      </c>
      <c r="H407" s="242">
        <f t="shared" si="35"/>
        <v>8294.504192983999</v>
      </c>
      <c r="I407" s="25">
        <f t="shared" si="37"/>
        <v>953867.98219315987</v>
      </c>
      <c r="J407" s="759">
        <v>2995</v>
      </c>
      <c r="K407" s="25">
        <f t="shared" si="36"/>
        <v>2800.0496007649999</v>
      </c>
      <c r="L407" s="72">
        <f t="shared" si="38"/>
        <v>322005.70408797497</v>
      </c>
      <c r="M407" s="72">
        <f>SUM(I407,L407)</f>
        <v>1275873.6862811348</v>
      </c>
      <c r="N407" s="26"/>
      <c r="O407" s="921">
        <v>0.93490804699999996</v>
      </c>
      <c r="R407" s="300"/>
    </row>
    <row r="408" spans="1:18" ht="18.95" customHeight="1">
      <c r="A408" s="532">
        <v>5.42</v>
      </c>
      <c r="B408" s="1043" t="s">
        <v>599</v>
      </c>
      <c r="C408" s="537" t="s">
        <v>589</v>
      </c>
      <c r="D408" s="286"/>
      <c r="E408" s="25">
        <v>316</v>
      </c>
      <c r="F408" s="30" t="s">
        <v>211</v>
      </c>
      <c r="G408" s="759">
        <v>7467</v>
      </c>
      <c r="H408" s="242">
        <f t="shared" si="35"/>
        <v>6980.9583869489998</v>
      </c>
      <c r="I408" s="25">
        <f t="shared" si="37"/>
        <v>2205982.8502758839</v>
      </c>
      <c r="J408" s="759">
        <v>2510</v>
      </c>
      <c r="K408" s="25">
        <f t="shared" si="36"/>
        <v>2346.6191979699997</v>
      </c>
      <c r="L408" s="72">
        <f t="shared" si="38"/>
        <v>741531.66655851994</v>
      </c>
      <c r="M408" s="72">
        <f>SUM(I408,L408)</f>
        <v>2947514.5168344039</v>
      </c>
      <c r="N408" s="72"/>
      <c r="O408" s="921">
        <v>0.93490804699999996</v>
      </c>
      <c r="R408" s="300"/>
    </row>
    <row r="409" spans="1:18" ht="18.95" customHeight="1">
      <c r="A409" s="532"/>
      <c r="B409" s="1043"/>
      <c r="C409" s="537"/>
      <c r="D409" s="24"/>
      <c r="E409" s="25"/>
      <c r="F409" s="30"/>
      <c r="G409" s="759"/>
      <c r="H409" s="25"/>
      <c r="I409" s="25"/>
      <c r="J409" s="759"/>
      <c r="K409" s="25"/>
      <c r="L409" s="25"/>
      <c r="M409" s="25"/>
      <c r="N409" s="72"/>
      <c r="O409" s="921">
        <v>0.93490804699999996</v>
      </c>
      <c r="R409" s="300"/>
    </row>
    <row r="410" spans="1:18" s="724" customFormat="1" ht="18.95" customHeight="1">
      <c r="A410" s="1061"/>
      <c r="B410" s="1245" t="s">
        <v>600</v>
      </c>
      <c r="C410" s="1246"/>
      <c r="D410" s="1247"/>
      <c r="E410" s="676"/>
      <c r="F410" s="670"/>
      <c r="G410" s="1025"/>
      <c r="H410" s="676"/>
      <c r="I410" s="676"/>
      <c r="J410" s="1025"/>
      <c r="K410" s="676"/>
      <c r="L410" s="670"/>
      <c r="M410" s="1026">
        <f>SUM(M330:M409)</f>
        <v>32524966.672761649</v>
      </c>
      <c r="N410" s="676"/>
      <c r="O410" s="1051">
        <v>0.93490804699999996</v>
      </c>
      <c r="P410" s="1028"/>
      <c r="Q410" s="1028"/>
      <c r="R410" s="1067"/>
    </row>
    <row r="411" spans="1:18" ht="18.95" customHeight="1">
      <c r="A411" s="137"/>
      <c r="B411" s="317"/>
      <c r="C411" s="318"/>
      <c r="D411" s="319"/>
      <c r="E411" s="25"/>
      <c r="F411" s="30"/>
      <c r="G411" s="759"/>
      <c r="H411" s="25"/>
      <c r="I411" s="25"/>
      <c r="J411" s="759"/>
      <c r="K411" s="25"/>
      <c r="L411" s="30"/>
      <c r="M411" s="126"/>
      <c r="N411" s="72"/>
      <c r="O411" s="921">
        <v>0.93490804699999996</v>
      </c>
      <c r="R411" s="300"/>
    </row>
    <row r="412" spans="1:18" ht="18.95" customHeight="1">
      <c r="A412" s="265"/>
      <c r="B412" s="265"/>
      <c r="C412" s="992"/>
      <c r="D412" s="993"/>
      <c r="E412" s="25"/>
      <c r="F412" s="30"/>
      <c r="G412" s="759"/>
      <c r="H412" s="25"/>
      <c r="I412" s="25"/>
      <c r="J412" s="759"/>
      <c r="K412" s="25"/>
      <c r="L412" s="30"/>
      <c r="M412" s="25" t="s">
        <v>151</v>
      </c>
      <c r="N412" s="26"/>
      <c r="O412" s="921">
        <v>0.93490804699999996</v>
      </c>
      <c r="R412" s="300"/>
    </row>
    <row r="413" spans="1:18" ht="18.95" customHeight="1">
      <c r="A413" s="268">
        <v>6</v>
      </c>
      <c r="B413" s="1015" t="s">
        <v>201</v>
      </c>
      <c r="C413" s="419"/>
      <c r="D413" s="267"/>
      <c r="E413" s="25"/>
      <c r="F413" s="30"/>
      <c r="G413" s="759"/>
      <c r="H413" s="25"/>
      <c r="I413" s="25"/>
      <c r="J413" s="759"/>
      <c r="K413" s="25"/>
      <c r="L413" s="30"/>
      <c r="M413" s="34"/>
      <c r="N413" s="26"/>
      <c r="O413" s="921">
        <v>0.93490804699999996</v>
      </c>
      <c r="R413" s="300"/>
    </row>
    <row r="414" spans="1:18" ht="18.95" customHeight="1">
      <c r="A414" s="525">
        <v>6.1</v>
      </c>
      <c r="B414" s="1062" t="s">
        <v>601</v>
      </c>
      <c r="C414" s="368"/>
      <c r="D414" s="24"/>
      <c r="E414" s="25">
        <v>57</v>
      </c>
      <c r="F414" s="30" t="s">
        <v>349</v>
      </c>
      <c r="G414" s="759">
        <v>13900</v>
      </c>
      <c r="H414" s="242">
        <f t="shared" ref="H414:H477" si="39">G414*O414</f>
        <v>12995.2218533</v>
      </c>
      <c r="I414" s="25">
        <f>E414*H414</f>
        <v>740727.64563809999</v>
      </c>
      <c r="J414" s="759">
        <v>750</v>
      </c>
      <c r="K414" s="25">
        <f t="shared" ref="K414:K477" si="40">J414*O414</f>
        <v>701.18103524999992</v>
      </c>
      <c r="L414" s="72">
        <f>E414*K414</f>
        <v>39967.319009249994</v>
      </c>
      <c r="M414" s="72">
        <f t="shared" ref="M414:M440" si="41">SUM(I414,L414)</f>
        <v>780694.96464735002</v>
      </c>
      <c r="N414" s="72"/>
      <c r="O414" s="921">
        <v>0.93490804699999996</v>
      </c>
      <c r="R414" s="300"/>
    </row>
    <row r="415" spans="1:18" ht="18.95" customHeight="1">
      <c r="A415" s="372">
        <v>6.2</v>
      </c>
      <c r="B415" s="1062" t="s">
        <v>602</v>
      </c>
      <c r="C415" s="368"/>
      <c r="D415" s="24"/>
      <c r="E415" s="25">
        <v>55</v>
      </c>
      <c r="F415" s="30" t="s">
        <v>349</v>
      </c>
      <c r="G415" s="759">
        <v>9402.5</v>
      </c>
      <c r="H415" s="242">
        <f t="shared" si="39"/>
        <v>8790.472911917499</v>
      </c>
      <c r="I415" s="25">
        <f t="shared" ref="I415:I477" si="42">E415*H415</f>
        <v>483476.01015546243</v>
      </c>
      <c r="J415" s="759">
        <v>485</v>
      </c>
      <c r="K415" s="25">
        <f t="shared" si="40"/>
        <v>453.43040279499996</v>
      </c>
      <c r="L415" s="72">
        <f t="shared" ref="L415:L477" si="43">E415*K415</f>
        <v>24938.672153724998</v>
      </c>
      <c r="M415" s="72">
        <f t="shared" si="41"/>
        <v>508414.68230918742</v>
      </c>
      <c r="N415" s="72"/>
      <c r="O415" s="921">
        <v>0.93490804699999996</v>
      </c>
      <c r="R415" s="300"/>
    </row>
    <row r="416" spans="1:18" ht="18.95" customHeight="1">
      <c r="A416" s="525">
        <v>6.3</v>
      </c>
      <c r="B416" s="1062" t="s">
        <v>603</v>
      </c>
      <c r="C416" s="399"/>
      <c r="D416" s="24"/>
      <c r="E416" s="25">
        <v>5</v>
      </c>
      <c r="F416" s="30" t="s">
        <v>349</v>
      </c>
      <c r="G416" s="759">
        <v>17380</v>
      </c>
      <c r="H416" s="242">
        <f t="shared" si="39"/>
        <v>16248.70185686</v>
      </c>
      <c r="I416" s="25">
        <f t="shared" si="42"/>
        <v>81243.509284300002</v>
      </c>
      <c r="J416" s="759">
        <v>485</v>
      </c>
      <c r="K416" s="25">
        <f t="shared" si="40"/>
        <v>453.43040279499996</v>
      </c>
      <c r="L416" s="72">
        <f t="shared" si="43"/>
        <v>2267.152013975</v>
      </c>
      <c r="M416" s="72">
        <f t="shared" si="41"/>
        <v>83510.661298275008</v>
      </c>
      <c r="N416" s="72"/>
      <c r="O416" s="921">
        <v>0.93490804699999996</v>
      </c>
      <c r="R416" s="300"/>
    </row>
    <row r="417" spans="1:18" ht="18.95" customHeight="1">
      <c r="A417" s="372"/>
      <c r="B417" s="1062" t="s">
        <v>604</v>
      </c>
      <c r="C417" s="399"/>
      <c r="D417" s="24"/>
      <c r="E417" s="25"/>
      <c r="F417" s="30"/>
      <c r="G417" s="759"/>
      <c r="H417" s="242"/>
      <c r="I417" s="25"/>
      <c r="J417" s="759"/>
      <c r="K417" s="25"/>
      <c r="L417" s="72"/>
      <c r="M417" s="72"/>
      <c r="N417" s="72"/>
      <c r="O417" s="921">
        <v>0.93490804699999996</v>
      </c>
      <c r="R417" s="300"/>
    </row>
    <row r="418" spans="1:18" ht="18.95" customHeight="1">
      <c r="A418" s="372">
        <v>6.4</v>
      </c>
      <c r="B418" s="1062" t="s">
        <v>605</v>
      </c>
      <c r="C418" s="399"/>
      <c r="D418" s="267"/>
      <c r="E418" s="25">
        <v>2</v>
      </c>
      <c r="F418" s="30" t="s">
        <v>349</v>
      </c>
      <c r="G418" s="759">
        <v>13967.5</v>
      </c>
      <c r="H418" s="242">
        <f t="shared" si="39"/>
        <v>13058.328146472499</v>
      </c>
      <c r="I418" s="25">
        <f t="shared" si="42"/>
        <v>26116.656292944997</v>
      </c>
      <c r="J418" s="759">
        <v>485</v>
      </c>
      <c r="K418" s="25">
        <f t="shared" si="40"/>
        <v>453.43040279499996</v>
      </c>
      <c r="L418" s="72">
        <f t="shared" si="43"/>
        <v>906.86080558999993</v>
      </c>
      <c r="M418" s="72">
        <f t="shared" si="41"/>
        <v>27023.517098534998</v>
      </c>
      <c r="N418" s="72"/>
      <c r="O418" s="921">
        <v>0.93490804699999996</v>
      </c>
      <c r="R418" s="300"/>
    </row>
    <row r="419" spans="1:18" ht="18.95" customHeight="1">
      <c r="A419" s="525">
        <v>6.5</v>
      </c>
      <c r="B419" s="1062" t="s">
        <v>606</v>
      </c>
      <c r="C419" s="368"/>
      <c r="D419" s="368"/>
      <c r="E419" s="25">
        <v>60</v>
      </c>
      <c r="F419" s="30" t="s">
        <v>349</v>
      </c>
      <c r="G419" s="759">
        <v>7450</v>
      </c>
      <c r="H419" s="242">
        <f t="shared" si="39"/>
        <v>6965.0649501500002</v>
      </c>
      <c r="I419" s="25">
        <f t="shared" si="42"/>
        <v>417903.89700900001</v>
      </c>
      <c r="J419" s="759">
        <v>450</v>
      </c>
      <c r="K419" s="25">
        <f t="shared" si="40"/>
        <v>420.70862115</v>
      </c>
      <c r="L419" s="72">
        <f t="shared" si="43"/>
        <v>25242.517269</v>
      </c>
      <c r="M419" s="72">
        <f t="shared" si="41"/>
        <v>443146.41427800001</v>
      </c>
      <c r="N419" s="72"/>
      <c r="O419" s="921">
        <v>0.93490804699999996</v>
      </c>
      <c r="R419" s="300"/>
    </row>
    <row r="420" spans="1:18" ht="18.95" customHeight="1">
      <c r="A420" s="372">
        <v>6.6</v>
      </c>
      <c r="B420" s="1062" t="s">
        <v>607</v>
      </c>
      <c r="C420" s="368"/>
      <c r="D420" s="368"/>
      <c r="E420" s="25">
        <v>7</v>
      </c>
      <c r="F420" s="30" t="s">
        <v>349</v>
      </c>
      <c r="G420" s="759">
        <v>6140</v>
      </c>
      <c r="H420" s="242">
        <f t="shared" si="39"/>
        <v>5740.3354085800001</v>
      </c>
      <c r="I420" s="25">
        <f t="shared" si="42"/>
        <v>40182.347860059999</v>
      </c>
      <c r="J420" s="759">
        <v>450</v>
      </c>
      <c r="K420" s="25">
        <f t="shared" si="40"/>
        <v>420.70862115</v>
      </c>
      <c r="L420" s="72">
        <f t="shared" si="43"/>
        <v>2944.96034805</v>
      </c>
      <c r="M420" s="72">
        <f t="shared" si="41"/>
        <v>43127.30820811</v>
      </c>
      <c r="N420" s="72"/>
      <c r="O420" s="921">
        <v>0.93490804699999996</v>
      </c>
    </row>
    <row r="421" spans="1:18" ht="18.95" customHeight="1">
      <c r="A421" s="372"/>
      <c r="B421" s="1062" t="s">
        <v>608</v>
      </c>
      <c r="C421" s="368"/>
      <c r="D421" s="368"/>
      <c r="E421" s="25"/>
      <c r="F421" s="30"/>
      <c r="G421" s="759"/>
      <c r="H421" s="242"/>
      <c r="I421" s="25"/>
      <c r="J421" s="759"/>
      <c r="K421" s="25"/>
      <c r="L421" s="72"/>
      <c r="M421" s="72"/>
      <c r="N421" s="72"/>
      <c r="O421" s="921">
        <v>0.93490804699999996</v>
      </c>
    </row>
    <row r="422" spans="1:18" ht="18.95" customHeight="1">
      <c r="A422" s="525">
        <v>6.7</v>
      </c>
      <c r="B422" s="1062" t="s">
        <v>609</v>
      </c>
      <c r="C422" s="368"/>
      <c r="D422" s="368"/>
      <c r="E422" s="25">
        <v>2</v>
      </c>
      <c r="F422" s="30" t="s">
        <v>349</v>
      </c>
      <c r="G422" s="759">
        <v>2500</v>
      </c>
      <c r="H422" s="242">
        <f t="shared" si="39"/>
        <v>2337.2701174999997</v>
      </c>
      <c r="I422" s="25">
        <f t="shared" si="42"/>
        <v>4674.5402349999995</v>
      </c>
      <c r="J422" s="759">
        <v>485</v>
      </c>
      <c r="K422" s="25">
        <f t="shared" si="40"/>
        <v>453.43040279499996</v>
      </c>
      <c r="L422" s="72">
        <f t="shared" si="43"/>
        <v>906.86080558999993</v>
      </c>
      <c r="M422" s="72">
        <f t="shared" si="41"/>
        <v>5581.401040589999</v>
      </c>
      <c r="N422" s="72"/>
      <c r="O422" s="921">
        <v>0.93490804699999996</v>
      </c>
    </row>
    <row r="423" spans="1:18" ht="18.95" customHeight="1">
      <c r="A423" s="372">
        <v>6.8</v>
      </c>
      <c r="B423" s="1062" t="s">
        <v>610</v>
      </c>
      <c r="C423" s="368"/>
      <c r="D423" s="368"/>
      <c r="E423" s="25">
        <v>34</v>
      </c>
      <c r="F423" s="30" t="s">
        <v>349</v>
      </c>
      <c r="G423" s="759">
        <v>12870</v>
      </c>
      <c r="H423" s="242">
        <f t="shared" si="39"/>
        <v>12032.26656489</v>
      </c>
      <c r="I423" s="25">
        <f t="shared" si="42"/>
        <v>409097.06320625998</v>
      </c>
      <c r="J423" s="759">
        <v>485</v>
      </c>
      <c r="K423" s="25">
        <f t="shared" si="40"/>
        <v>453.43040279499996</v>
      </c>
      <c r="L423" s="72">
        <f t="shared" si="43"/>
        <v>15416.633695029999</v>
      </c>
      <c r="M423" s="72">
        <f t="shared" si="41"/>
        <v>424513.69690128998</v>
      </c>
      <c r="N423" s="26"/>
      <c r="O423" s="921">
        <v>0.93490804699999996</v>
      </c>
    </row>
    <row r="424" spans="1:18" ht="18.95" customHeight="1">
      <c r="A424" s="372"/>
      <c r="B424" s="1062" t="s">
        <v>611</v>
      </c>
      <c r="C424" s="368"/>
      <c r="D424" s="368"/>
      <c r="E424" s="25"/>
      <c r="F424" s="30"/>
      <c r="G424" s="759"/>
      <c r="H424" s="242"/>
      <c r="I424" s="25"/>
      <c r="J424" s="759"/>
      <c r="K424" s="25"/>
      <c r="L424" s="72"/>
      <c r="M424" s="72"/>
      <c r="N424" s="26"/>
      <c r="O424" s="921">
        <v>0.93490804699999996</v>
      </c>
    </row>
    <row r="425" spans="1:18" ht="18.95" customHeight="1">
      <c r="A425" s="525">
        <v>6.9</v>
      </c>
      <c r="B425" s="1062" t="s">
        <v>612</v>
      </c>
      <c r="C425" s="399"/>
      <c r="D425" s="368"/>
      <c r="E425" s="25">
        <v>1</v>
      </c>
      <c r="F425" s="30" t="s">
        <v>349</v>
      </c>
      <c r="G425" s="759">
        <v>4490</v>
      </c>
      <c r="H425" s="242">
        <f t="shared" si="39"/>
        <v>4197.7371310299995</v>
      </c>
      <c r="I425" s="25">
        <f t="shared" si="42"/>
        <v>4197.7371310299995</v>
      </c>
      <c r="J425" s="759">
        <v>485</v>
      </c>
      <c r="K425" s="25">
        <f t="shared" si="40"/>
        <v>453.43040279499996</v>
      </c>
      <c r="L425" s="72">
        <f t="shared" si="43"/>
        <v>453.43040279499996</v>
      </c>
      <c r="M425" s="72">
        <f t="shared" si="41"/>
        <v>4651.1675338249997</v>
      </c>
      <c r="N425" s="26"/>
      <c r="O425" s="921">
        <v>0.93490804699999996</v>
      </c>
    </row>
    <row r="426" spans="1:18" ht="18.95" customHeight="1">
      <c r="A426" s="532">
        <v>6.1</v>
      </c>
      <c r="B426" s="315" t="s">
        <v>613</v>
      </c>
      <c r="C426" s="399"/>
      <c r="D426" s="368"/>
      <c r="E426" s="25">
        <v>4</v>
      </c>
      <c r="F426" s="30" t="s">
        <v>349</v>
      </c>
      <c r="G426" s="759">
        <v>510</v>
      </c>
      <c r="H426" s="242">
        <f t="shared" si="39"/>
        <v>476.80310397</v>
      </c>
      <c r="I426" s="25">
        <f t="shared" si="42"/>
        <v>1907.21241588</v>
      </c>
      <c r="J426" s="759">
        <v>35</v>
      </c>
      <c r="K426" s="25">
        <f t="shared" si="40"/>
        <v>32.721781645</v>
      </c>
      <c r="L426" s="72">
        <f t="shared" si="43"/>
        <v>130.88712658</v>
      </c>
      <c r="M426" s="72">
        <f t="shared" si="41"/>
        <v>2038.0995424600001</v>
      </c>
      <c r="N426" s="26"/>
      <c r="O426" s="921">
        <v>0.93490804699999996</v>
      </c>
    </row>
    <row r="427" spans="1:18" ht="18.95" customHeight="1">
      <c r="A427" s="372">
        <v>6.11</v>
      </c>
      <c r="B427" s="1062" t="s">
        <v>614</v>
      </c>
      <c r="C427" s="399"/>
      <c r="D427" s="368"/>
      <c r="E427" s="25">
        <v>35</v>
      </c>
      <c r="F427" s="30" t="s">
        <v>349</v>
      </c>
      <c r="G427" s="759">
        <v>500</v>
      </c>
      <c r="H427" s="242">
        <f t="shared" si="39"/>
        <v>467.45402350000001</v>
      </c>
      <c r="I427" s="25">
        <f t="shared" si="42"/>
        <v>16360.8908225</v>
      </c>
      <c r="J427" s="759">
        <v>170</v>
      </c>
      <c r="K427" s="25">
        <f t="shared" si="40"/>
        <v>158.93436799</v>
      </c>
      <c r="L427" s="72">
        <f t="shared" si="43"/>
        <v>5562.7028796499999</v>
      </c>
      <c r="M427" s="72">
        <f t="shared" si="41"/>
        <v>21923.593702149999</v>
      </c>
      <c r="N427" s="26"/>
      <c r="O427" s="921">
        <v>0.93490804699999996</v>
      </c>
    </row>
    <row r="428" spans="1:18" ht="18.95" customHeight="1">
      <c r="A428" s="525">
        <v>6.12</v>
      </c>
      <c r="B428" s="1062" t="s">
        <v>615</v>
      </c>
      <c r="C428" s="399"/>
      <c r="D428" s="267"/>
      <c r="E428" s="25">
        <v>7</v>
      </c>
      <c r="F428" s="30" t="s">
        <v>349</v>
      </c>
      <c r="G428" s="759">
        <v>28100</v>
      </c>
      <c r="H428" s="242">
        <f t="shared" si="39"/>
        <v>26270.9161207</v>
      </c>
      <c r="I428" s="25">
        <f t="shared" si="42"/>
        <v>183896.41284489998</v>
      </c>
      <c r="J428" s="759">
        <v>175</v>
      </c>
      <c r="K428" s="25">
        <f t="shared" si="40"/>
        <v>163.60890822499999</v>
      </c>
      <c r="L428" s="72">
        <f t="shared" si="43"/>
        <v>1145.2623575749999</v>
      </c>
      <c r="M428" s="72">
        <f t="shared" si="41"/>
        <v>185041.67520247499</v>
      </c>
      <c r="N428" s="26"/>
      <c r="O428" s="921">
        <v>0.93490804699999996</v>
      </c>
    </row>
    <row r="429" spans="1:18" ht="18.95" customHeight="1">
      <c r="A429" s="532">
        <v>6.13</v>
      </c>
      <c r="B429" s="1063" t="s">
        <v>616</v>
      </c>
      <c r="C429" s="399"/>
      <c r="D429" s="368"/>
      <c r="E429" s="25">
        <v>3</v>
      </c>
      <c r="F429" s="30" t="s">
        <v>349</v>
      </c>
      <c r="G429" s="759">
        <v>1117.5</v>
      </c>
      <c r="H429" s="242">
        <f t="shared" si="39"/>
        <v>1044.7597425224999</v>
      </c>
      <c r="I429" s="25">
        <f t="shared" si="42"/>
        <v>3134.2792275674997</v>
      </c>
      <c r="J429" s="759">
        <v>25</v>
      </c>
      <c r="K429" s="25">
        <f t="shared" si="40"/>
        <v>23.372701175</v>
      </c>
      <c r="L429" s="72">
        <f t="shared" si="43"/>
        <v>70.118103524999995</v>
      </c>
      <c r="M429" s="72">
        <f t="shared" si="41"/>
        <v>3204.3973310924998</v>
      </c>
      <c r="N429" s="26"/>
      <c r="O429" s="921">
        <v>0.93490804699999996</v>
      </c>
    </row>
    <row r="430" spans="1:18" ht="18.95" customHeight="1">
      <c r="A430" s="372">
        <v>6.14</v>
      </c>
      <c r="B430" s="1062" t="s">
        <v>617</v>
      </c>
      <c r="C430" s="399"/>
      <c r="D430" s="267"/>
      <c r="E430" s="25">
        <v>27</v>
      </c>
      <c r="F430" s="30" t="s">
        <v>349</v>
      </c>
      <c r="G430" s="759">
        <v>570</v>
      </c>
      <c r="H430" s="242">
        <f t="shared" si="39"/>
        <v>532.89758678999999</v>
      </c>
      <c r="I430" s="25">
        <f t="shared" si="42"/>
        <v>14388.234843329999</v>
      </c>
      <c r="J430" s="759">
        <v>25</v>
      </c>
      <c r="K430" s="25">
        <f t="shared" si="40"/>
        <v>23.372701175</v>
      </c>
      <c r="L430" s="72">
        <f t="shared" si="43"/>
        <v>631.062931725</v>
      </c>
      <c r="M430" s="72">
        <f t="shared" si="41"/>
        <v>15019.297775055</v>
      </c>
      <c r="N430" s="26"/>
      <c r="O430" s="921">
        <v>0.93490804699999996</v>
      </c>
    </row>
    <row r="431" spans="1:18" ht="18.95" customHeight="1">
      <c r="A431" s="525">
        <v>6.15</v>
      </c>
      <c r="B431" s="41" t="s">
        <v>618</v>
      </c>
      <c r="C431" s="399"/>
      <c r="D431" s="368"/>
      <c r="E431" s="25">
        <v>8</v>
      </c>
      <c r="F431" s="30" t="s">
        <v>349</v>
      </c>
      <c r="G431" s="759">
        <v>637.5</v>
      </c>
      <c r="H431" s="242">
        <f t="shared" si="39"/>
        <v>596.00387996249992</v>
      </c>
      <c r="I431" s="25">
        <f t="shared" si="42"/>
        <v>4768.0310396999994</v>
      </c>
      <c r="J431" s="759">
        <v>120</v>
      </c>
      <c r="K431" s="25">
        <f t="shared" si="40"/>
        <v>112.18896563999999</v>
      </c>
      <c r="L431" s="72">
        <f t="shared" si="43"/>
        <v>897.51172511999994</v>
      </c>
      <c r="M431" s="72">
        <f t="shared" si="41"/>
        <v>5665.5427648199993</v>
      </c>
      <c r="N431" s="26"/>
      <c r="O431" s="921">
        <v>0.93490804699999996</v>
      </c>
    </row>
    <row r="432" spans="1:18" ht="18.95" customHeight="1">
      <c r="A432" s="532">
        <v>6.16</v>
      </c>
      <c r="B432" s="283" t="s">
        <v>619</v>
      </c>
      <c r="C432" s="399"/>
      <c r="D432" s="267"/>
      <c r="E432" s="25">
        <v>2</v>
      </c>
      <c r="F432" s="30" t="s">
        <v>349</v>
      </c>
      <c r="G432" s="759">
        <v>10000</v>
      </c>
      <c r="H432" s="242">
        <f t="shared" si="39"/>
        <v>9349.080469999999</v>
      </c>
      <c r="I432" s="25">
        <f t="shared" si="42"/>
        <v>18698.160939999998</v>
      </c>
      <c r="J432" s="759">
        <v>100</v>
      </c>
      <c r="K432" s="25">
        <f t="shared" si="40"/>
        <v>93.490804699999998</v>
      </c>
      <c r="L432" s="72">
        <f t="shared" si="43"/>
        <v>186.9816094</v>
      </c>
      <c r="M432" s="72">
        <f t="shared" si="41"/>
        <v>18885.1425494</v>
      </c>
      <c r="N432" s="26"/>
      <c r="O432" s="921">
        <v>0.93490804699999996</v>
      </c>
    </row>
    <row r="433" spans="1:17" ht="18.95" customHeight="1">
      <c r="A433" s="372">
        <v>6.17</v>
      </c>
      <c r="B433" s="283" t="s">
        <v>620</v>
      </c>
      <c r="C433" s="399"/>
      <c r="D433" s="368"/>
      <c r="E433" s="25">
        <v>1</v>
      </c>
      <c r="F433" s="30" t="s">
        <v>349</v>
      </c>
      <c r="G433" s="759">
        <v>5000</v>
      </c>
      <c r="H433" s="242">
        <f t="shared" si="39"/>
        <v>4674.5402349999995</v>
      </c>
      <c r="I433" s="25">
        <f t="shared" si="42"/>
        <v>4674.5402349999995</v>
      </c>
      <c r="J433" s="759">
        <v>100</v>
      </c>
      <c r="K433" s="25">
        <f t="shared" si="40"/>
        <v>93.490804699999998</v>
      </c>
      <c r="L433" s="72">
        <f t="shared" si="43"/>
        <v>93.490804699999998</v>
      </c>
      <c r="M433" s="72">
        <f t="shared" si="41"/>
        <v>4768.0310396999994</v>
      </c>
      <c r="N433" s="26"/>
      <c r="O433" s="921">
        <v>0.93490804699999996</v>
      </c>
    </row>
    <row r="434" spans="1:17" ht="18.95" customHeight="1">
      <c r="A434" s="525">
        <v>6.1800000000000104</v>
      </c>
      <c r="B434" s="283" t="s">
        <v>621</v>
      </c>
      <c r="C434" s="399"/>
      <c r="D434" s="267"/>
      <c r="E434" s="25">
        <v>1</v>
      </c>
      <c r="F434" s="30" t="s">
        <v>349</v>
      </c>
      <c r="G434" s="759">
        <v>8770</v>
      </c>
      <c r="H434" s="242">
        <f t="shared" si="39"/>
        <v>8199.1435721899998</v>
      </c>
      <c r="I434" s="25">
        <f t="shared" si="42"/>
        <v>8199.1435721899998</v>
      </c>
      <c r="J434" s="759">
        <v>450</v>
      </c>
      <c r="K434" s="25">
        <f t="shared" si="40"/>
        <v>420.70862115</v>
      </c>
      <c r="L434" s="72">
        <f t="shared" si="43"/>
        <v>420.70862115</v>
      </c>
      <c r="M434" s="72">
        <f t="shared" si="41"/>
        <v>8619.8521933400007</v>
      </c>
      <c r="N434" s="26"/>
      <c r="O434" s="921">
        <v>0.93490804699999996</v>
      </c>
    </row>
    <row r="435" spans="1:17" ht="18.95" customHeight="1">
      <c r="A435" s="532">
        <v>6.1900000000000102</v>
      </c>
      <c r="B435" s="283" t="s">
        <v>622</v>
      </c>
      <c r="C435" s="399"/>
      <c r="D435" s="24"/>
      <c r="E435" s="25">
        <v>1</v>
      </c>
      <c r="F435" s="30" t="s">
        <v>349</v>
      </c>
      <c r="G435" s="759">
        <v>11700</v>
      </c>
      <c r="H435" s="242">
        <f t="shared" si="39"/>
        <v>10938.4241499</v>
      </c>
      <c r="I435" s="25">
        <f t="shared" si="42"/>
        <v>10938.4241499</v>
      </c>
      <c r="J435" s="759">
        <v>355</v>
      </c>
      <c r="K435" s="25">
        <f t="shared" si="40"/>
        <v>331.89235668499998</v>
      </c>
      <c r="L435" s="72">
        <f t="shared" si="43"/>
        <v>331.89235668499998</v>
      </c>
      <c r="M435" s="72">
        <f t="shared" si="41"/>
        <v>11270.316506585001</v>
      </c>
      <c r="N435" s="26"/>
      <c r="O435" s="921">
        <v>0.93490804699999996</v>
      </c>
    </row>
    <row r="436" spans="1:17" ht="18.95" customHeight="1">
      <c r="A436" s="532">
        <v>6.2</v>
      </c>
      <c r="B436" s="315" t="s">
        <v>623</v>
      </c>
      <c r="C436" s="399"/>
      <c r="D436" s="267"/>
      <c r="E436" s="25">
        <v>55.954999999999998</v>
      </c>
      <c r="F436" s="30" t="s">
        <v>275</v>
      </c>
      <c r="G436" s="759">
        <v>3300</v>
      </c>
      <c r="H436" s="242">
        <f t="shared" si="39"/>
        <v>3085.1965550999998</v>
      </c>
      <c r="I436" s="25">
        <f t="shared" si="42"/>
        <v>172632.1732406205</v>
      </c>
      <c r="J436" s="759">
        <v>400</v>
      </c>
      <c r="K436" s="25">
        <f t="shared" si="40"/>
        <v>373.96321879999999</v>
      </c>
      <c r="L436" s="72">
        <f t="shared" si="43"/>
        <v>20925.111907954</v>
      </c>
      <c r="M436" s="72">
        <f t="shared" si="41"/>
        <v>193557.28514857451</v>
      </c>
      <c r="N436" s="26"/>
      <c r="O436" s="921">
        <v>0.93490804699999996</v>
      </c>
    </row>
    <row r="437" spans="1:17" ht="18.95" customHeight="1">
      <c r="A437" s="372">
        <v>6.21</v>
      </c>
      <c r="B437" s="1062" t="s">
        <v>624</v>
      </c>
      <c r="C437" s="399"/>
      <c r="D437" s="24"/>
      <c r="E437" s="25">
        <v>50.155000000000001</v>
      </c>
      <c r="F437" s="30" t="s">
        <v>275</v>
      </c>
      <c r="G437" s="759">
        <v>3000</v>
      </c>
      <c r="H437" s="242">
        <f t="shared" si="39"/>
        <v>2804.7241409999997</v>
      </c>
      <c r="I437" s="25">
        <f t="shared" si="42"/>
        <v>140670.939291855</v>
      </c>
      <c r="J437" s="759">
        <v>600</v>
      </c>
      <c r="K437" s="25">
        <f t="shared" si="40"/>
        <v>560.94482819999996</v>
      </c>
      <c r="L437" s="72">
        <f t="shared" si="43"/>
        <v>28134.187858370999</v>
      </c>
      <c r="M437" s="72">
        <f t="shared" si="41"/>
        <v>168805.12715022601</v>
      </c>
      <c r="N437" s="26"/>
      <c r="O437" s="921">
        <v>0.93490804699999996</v>
      </c>
    </row>
    <row r="438" spans="1:17" ht="18.95" customHeight="1">
      <c r="A438" s="525">
        <v>6.22</v>
      </c>
      <c r="B438" s="283" t="s">
        <v>625</v>
      </c>
      <c r="C438" s="399"/>
      <c r="D438" s="24"/>
      <c r="E438" s="25">
        <v>30.254999999999999</v>
      </c>
      <c r="F438" s="30" t="s">
        <v>275</v>
      </c>
      <c r="G438" s="759">
        <v>1000</v>
      </c>
      <c r="H438" s="242">
        <f t="shared" si="39"/>
        <v>934.90804700000001</v>
      </c>
      <c r="I438" s="25">
        <f t="shared" si="42"/>
        <v>28285.642961984999</v>
      </c>
      <c r="J438" s="759">
        <v>200</v>
      </c>
      <c r="K438" s="25">
        <f t="shared" si="40"/>
        <v>186.9816094</v>
      </c>
      <c r="L438" s="72">
        <f t="shared" si="43"/>
        <v>5657.1285923969999</v>
      </c>
      <c r="M438" s="72">
        <f t="shared" si="41"/>
        <v>33942.771554382001</v>
      </c>
      <c r="N438" s="26"/>
      <c r="O438" s="921">
        <v>0.93490804699999996</v>
      </c>
    </row>
    <row r="439" spans="1:17" ht="18.95" customHeight="1">
      <c r="A439" s="532">
        <v>6.23</v>
      </c>
      <c r="B439" s="283" t="s">
        <v>626</v>
      </c>
      <c r="C439" s="399"/>
      <c r="D439" s="24"/>
      <c r="E439" s="25">
        <v>14</v>
      </c>
      <c r="F439" s="30" t="s">
        <v>349</v>
      </c>
      <c r="G439" s="759">
        <v>30000</v>
      </c>
      <c r="H439" s="242">
        <f t="shared" si="39"/>
        <v>28047.241409999999</v>
      </c>
      <c r="I439" s="25">
        <f t="shared" si="42"/>
        <v>392661.37974</v>
      </c>
      <c r="J439" s="765">
        <v>0</v>
      </c>
      <c r="K439" s="25">
        <f t="shared" si="40"/>
        <v>0</v>
      </c>
      <c r="L439" s="72">
        <f t="shared" si="43"/>
        <v>0</v>
      </c>
      <c r="M439" s="72">
        <f t="shared" si="41"/>
        <v>392661.37974</v>
      </c>
      <c r="N439" s="26"/>
      <c r="O439" s="921">
        <v>0.93490804699999996</v>
      </c>
    </row>
    <row r="440" spans="1:17" ht="18.95" customHeight="1">
      <c r="A440" s="372">
        <v>6.24</v>
      </c>
      <c r="B440" s="1062" t="s">
        <v>627</v>
      </c>
      <c r="C440" s="399"/>
      <c r="D440" s="1017"/>
      <c r="E440" s="25">
        <v>166</v>
      </c>
      <c r="F440" s="30" t="s">
        <v>349</v>
      </c>
      <c r="G440" s="759">
        <v>100</v>
      </c>
      <c r="H440" s="242">
        <f t="shared" si="39"/>
        <v>93.490804699999998</v>
      </c>
      <c r="I440" s="25">
        <f t="shared" si="42"/>
        <v>15519.4735802</v>
      </c>
      <c r="J440" s="759">
        <v>0</v>
      </c>
      <c r="K440" s="25">
        <f t="shared" si="40"/>
        <v>0</v>
      </c>
      <c r="L440" s="72">
        <f t="shared" si="43"/>
        <v>0</v>
      </c>
      <c r="M440" s="72">
        <f t="shared" si="41"/>
        <v>15519.4735802</v>
      </c>
      <c r="N440" s="26"/>
      <c r="O440" s="921">
        <v>0.93490804699999996</v>
      </c>
    </row>
    <row r="441" spans="1:17" s="724" customFormat="1" ht="18.95" customHeight="1">
      <c r="A441" s="1064"/>
      <c r="B441" s="1245" t="s">
        <v>628</v>
      </c>
      <c r="C441" s="1246"/>
      <c r="D441" s="1247"/>
      <c r="E441" s="676"/>
      <c r="F441" s="670"/>
      <c r="G441" s="1025"/>
      <c r="H441" s="676"/>
      <c r="I441" s="676"/>
      <c r="J441" s="1025"/>
      <c r="K441" s="676"/>
      <c r="L441" s="676"/>
      <c r="M441" s="1026">
        <f>SUM(M414:M440)</f>
        <v>3401585.7990956232</v>
      </c>
      <c r="N441" s="670"/>
      <c r="O441" s="1051">
        <v>0.93490804699999996</v>
      </c>
      <c r="P441" s="1028"/>
      <c r="Q441" s="1028"/>
    </row>
    <row r="442" spans="1:17" ht="18.95" customHeight="1">
      <c r="A442" s="58">
        <v>7</v>
      </c>
      <c r="B442" s="1015" t="s">
        <v>202</v>
      </c>
      <c r="C442" s="368"/>
      <c r="D442" s="24"/>
      <c r="E442" s="25"/>
      <c r="F442" s="30"/>
      <c r="G442" s="759"/>
      <c r="H442" s="242"/>
      <c r="I442" s="25"/>
      <c r="J442" s="759"/>
      <c r="K442" s="25"/>
      <c r="L442" s="72"/>
      <c r="M442" s="34"/>
      <c r="N442" s="26"/>
      <c r="O442" s="921">
        <v>0.93490804699999996</v>
      </c>
    </row>
    <row r="443" spans="1:17" ht="18.95" customHeight="1">
      <c r="A443" s="58"/>
      <c r="B443" s="1065"/>
      <c r="C443" s="368"/>
      <c r="D443" s="209"/>
      <c r="E443" s="25"/>
      <c r="F443" s="30"/>
      <c r="G443" s="759"/>
      <c r="H443" s="242"/>
      <c r="I443" s="25"/>
      <c r="J443" s="759"/>
      <c r="K443" s="25"/>
      <c r="L443" s="72"/>
      <c r="M443" s="34"/>
      <c r="N443" s="26"/>
      <c r="O443" s="921">
        <v>0.93490804699999996</v>
      </c>
    </row>
    <row r="444" spans="1:17" ht="18.95" customHeight="1">
      <c r="A444" s="1060">
        <v>7.1</v>
      </c>
      <c r="B444" s="1066" t="s">
        <v>629</v>
      </c>
      <c r="C444" s="399"/>
      <c r="D444" s="368"/>
      <c r="E444" s="25"/>
      <c r="F444" s="30"/>
      <c r="G444" s="759"/>
      <c r="H444" s="242"/>
      <c r="I444" s="25"/>
      <c r="J444" s="759"/>
      <c r="K444" s="25"/>
      <c r="L444" s="72"/>
      <c r="M444" s="72"/>
      <c r="N444" s="72"/>
      <c r="O444" s="921">
        <v>0.93490804699999996</v>
      </c>
    </row>
    <row r="445" spans="1:17" ht="18.95" customHeight="1">
      <c r="A445" s="532"/>
      <c r="B445" s="527" t="s">
        <v>273</v>
      </c>
      <c r="C445" s="399" t="s">
        <v>630</v>
      </c>
      <c r="D445" s="1017"/>
      <c r="E445" s="25">
        <v>155</v>
      </c>
      <c r="F445" s="30" t="s">
        <v>275</v>
      </c>
      <c r="G445" s="759">
        <v>95</v>
      </c>
      <c r="H445" s="242">
        <f t="shared" si="39"/>
        <v>88.816264465000003</v>
      </c>
      <c r="I445" s="25">
        <f t="shared" si="42"/>
        <v>13766.520992075</v>
      </c>
      <c r="J445" s="759">
        <v>41</v>
      </c>
      <c r="K445" s="25">
        <f t="shared" si="40"/>
        <v>38.331229926999995</v>
      </c>
      <c r="L445" s="72">
        <f t="shared" si="43"/>
        <v>5941.3406386849992</v>
      </c>
      <c r="M445" s="72">
        <f>SUM(I445+L445)</f>
        <v>19707.861630759999</v>
      </c>
      <c r="N445" s="72"/>
      <c r="O445" s="921">
        <v>0.93490804699999996</v>
      </c>
    </row>
    <row r="446" spans="1:17" ht="18.95" customHeight="1">
      <c r="A446" s="372"/>
      <c r="B446" s="527" t="s">
        <v>273</v>
      </c>
      <c r="C446" s="399" t="s">
        <v>631</v>
      </c>
      <c r="D446" s="24"/>
      <c r="E446" s="25">
        <v>55</v>
      </c>
      <c r="F446" s="30" t="s">
        <v>211</v>
      </c>
      <c r="G446" s="759">
        <v>200</v>
      </c>
      <c r="H446" s="242">
        <f t="shared" si="39"/>
        <v>186.9816094</v>
      </c>
      <c r="I446" s="25">
        <f t="shared" si="42"/>
        <v>10283.988517</v>
      </c>
      <c r="J446" s="759">
        <v>130</v>
      </c>
      <c r="K446" s="25">
        <f t="shared" si="40"/>
        <v>121.53804611</v>
      </c>
      <c r="L446" s="72">
        <f t="shared" si="43"/>
        <v>6684.5925360499996</v>
      </c>
      <c r="M446" s="72">
        <f t="shared" ref="M446:M451" si="44">SUM(I446+L446)</f>
        <v>16968.581053049998</v>
      </c>
      <c r="N446" s="72"/>
      <c r="O446" s="921">
        <v>0.93490804699999996</v>
      </c>
    </row>
    <row r="447" spans="1:17" ht="18.95" customHeight="1">
      <c r="A447" s="372"/>
      <c r="B447" s="527" t="s">
        <v>273</v>
      </c>
      <c r="C447" s="399" t="s">
        <v>632</v>
      </c>
      <c r="D447" s="368"/>
      <c r="E447" s="25">
        <v>175</v>
      </c>
      <c r="F447" s="30" t="s">
        <v>275</v>
      </c>
      <c r="G447" s="759">
        <v>190</v>
      </c>
      <c r="H447" s="242">
        <f t="shared" si="39"/>
        <v>177.63252893000001</v>
      </c>
      <c r="I447" s="25">
        <f t="shared" si="42"/>
        <v>31085.692562750002</v>
      </c>
      <c r="J447" s="759">
        <v>42</v>
      </c>
      <c r="K447" s="25">
        <f t="shared" si="40"/>
        <v>39.266137973999996</v>
      </c>
      <c r="L447" s="72">
        <f t="shared" si="43"/>
        <v>6871.5741454499994</v>
      </c>
      <c r="M447" s="72">
        <f t="shared" si="44"/>
        <v>37957.266708200004</v>
      </c>
      <c r="N447" s="72"/>
      <c r="O447" s="921">
        <v>0.93490804699999996</v>
      </c>
    </row>
    <row r="448" spans="1:17" ht="18.95" customHeight="1">
      <c r="A448" s="532"/>
      <c r="B448" s="527" t="s">
        <v>273</v>
      </c>
      <c r="C448" s="399" t="s">
        <v>633</v>
      </c>
      <c r="D448" s="368"/>
      <c r="E448" s="25">
        <v>50</v>
      </c>
      <c r="F448" s="30" t="s">
        <v>275</v>
      </c>
      <c r="G448" s="759">
        <v>1300</v>
      </c>
      <c r="H448" s="242">
        <f t="shared" si="39"/>
        <v>1215.3804611</v>
      </c>
      <c r="I448" s="25">
        <f t="shared" si="42"/>
        <v>60769.023055000005</v>
      </c>
      <c r="J448" s="759">
        <v>410</v>
      </c>
      <c r="K448" s="25">
        <f t="shared" si="40"/>
        <v>383.31229926999998</v>
      </c>
      <c r="L448" s="72">
        <f t="shared" si="43"/>
        <v>19165.6149635</v>
      </c>
      <c r="M448" s="72">
        <f t="shared" si="44"/>
        <v>79934.638018500002</v>
      </c>
      <c r="N448" s="72"/>
      <c r="O448" s="921">
        <v>0.93490804699999996</v>
      </c>
    </row>
    <row r="449" spans="1:17" ht="18.95" customHeight="1">
      <c r="A449" s="21"/>
      <c r="B449" s="527" t="s">
        <v>273</v>
      </c>
      <c r="C449" s="399" t="s">
        <v>634</v>
      </c>
      <c r="D449" s="286"/>
      <c r="E449" s="25">
        <v>90</v>
      </c>
      <c r="F449" s="30" t="s">
        <v>275</v>
      </c>
      <c r="G449" s="759">
        <v>35</v>
      </c>
      <c r="H449" s="242">
        <f t="shared" si="39"/>
        <v>32.721781645</v>
      </c>
      <c r="I449" s="25">
        <f t="shared" si="42"/>
        <v>2944.96034805</v>
      </c>
      <c r="J449" s="759">
        <v>20</v>
      </c>
      <c r="K449" s="25">
        <f t="shared" si="40"/>
        <v>18.698160940000001</v>
      </c>
      <c r="L449" s="72">
        <f t="shared" si="43"/>
        <v>1682.8344846</v>
      </c>
      <c r="M449" s="72">
        <f t="shared" si="44"/>
        <v>4627.79483265</v>
      </c>
      <c r="N449" s="26"/>
      <c r="O449" s="921">
        <v>0.93490804699999996</v>
      </c>
    </row>
    <row r="450" spans="1:17" s="725" customFormat="1" ht="18.95" customHeight="1">
      <c r="A450" s="532"/>
      <c r="B450" s="527" t="s">
        <v>273</v>
      </c>
      <c r="C450" s="399" t="s">
        <v>635</v>
      </c>
      <c r="D450" s="24"/>
      <c r="E450" s="25">
        <v>176</v>
      </c>
      <c r="F450" s="30" t="s">
        <v>211</v>
      </c>
      <c r="G450" s="759">
        <v>68</v>
      </c>
      <c r="H450" s="242">
        <f t="shared" si="39"/>
        <v>63.573747195999999</v>
      </c>
      <c r="I450" s="25">
        <f t="shared" si="42"/>
        <v>11188.979506496</v>
      </c>
      <c r="J450" s="759">
        <v>87</v>
      </c>
      <c r="K450" s="25">
        <f t="shared" si="40"/>
        <v>81.337000089</v>
      </c>
      <c r="L450" s="72">
        <f t="shared" si="43"/>
        <v>14315.312015664</v>
      </c>
      <c r="M450" s="72">
        <f t="shared" si="44"/>
        <v>25504.291522159998</v>
      </c>
      <c r="N450" s="26"/>
      <c r="O450" s="921">
        <v>0.93490804699999996</v>
      </c>
      <c r="P450" s="986" t="s">
        <v>214</v>
      </c>
      <c r="Q450" s="986"/>
    </row>
    <row r="451" spans="1:17" ht="18.95" customHeight="1">
      <c r="A451" s="372"/>
      <c r="B451" s="527" t="s">
        <v>273</v>
      </c>
      <c r="C451" s="399" t="s">
        <v>636</v>
      </c>
      <c r="D451" s="267"/>
      <c r="E451" s="25">
        <v>176</v>
      </c>
      <c r="F451" s="30" t="s">
        <v>211</v>
      </c>
      <c r="G451" s="759">
        <v>30</v>
      </c>
      <c r="H451" s="242">
        <f t="shared" si="39"/>
        <v>28.047241409999998</v>
      </c>
      <c r="I451" s="25">
        <f t="shared" si="42"/>
        <v>4936.3144881600001</v>
      </c>
      <c r="J451" s="759">
        <v>28</v>
      </c>
      <c r="K451" s="25">
        <f t="shared" si="40"/>
        <v>26.177425315999997</v>
      </c>
      <c r="L451" s="72">
        <f t="shared" si="43"/>
        <v>4607.2268556159997</v>
      </c>
      <c r="M451" s="72">
        <f t="shared" si="44"/>
        <v>9543.5413437759998</v>
      </c>
      <c r="N451" s="26"/>
      <c r="O451" s="921">
        <v>0.93490804699999996</v>
      </c>
    </row>
    <row r="452" spans="1:17" ht="18.95" customHeight="1">
      <c r="A452" s="1060">
        <v>7.2</v>
      </c>
      <c r="B452" s="1066" t="s">
        <v>637</v>
      </c>
      <c r="C452" s="399"/>
      <c r="D452" s="24"/>
      <c r="E452" s="25"/>
      <c r="F452" s="30"/>
      <c r="G452" s="759"/>
      <c r="H452" s="242"/>
      <c r="I452" s="25"/>
      <c r="J452" s="759"/>
      <c r="K452" s="25"/>
      <c r="L452" s="72"/>
      <c r="M452" s="72"/>
      <c r="N452" s="26"/>
      <c r="O452" s="921">
        <v>0.93490804699999996</v>
      </c>
    </row>
    <row r="453" spans="1:17" ht="18.95" customHeight="1">
      <c r="A453" s="265"/>
      <c r="B453" s="527" t="s">
        <v>273</v>
      </c>
      <c r="C453" s="399" t="s">
        <v>638</v>
      </c>
      <c r="D453" s="286"/>
      <c r="E453" s="25">
        <v>48</v>
      </c>
      <c r="F453" s="30" t="s">
        <v>275</v>
      </c>
      <c r="G453" s="759">
        <v>113</v>
      </c>
      <c r="H453" s="242">
        <f t="shared" si="39"/>
        <v>105.644609311</v>
      </c>
      <c r="I453" s="25">
        <f t="shared" si="42"/>
        <v>5070.9412469279996</v>
      </c>
      <c r="J453" s="759">
        <v>179</v>
      </c>
      <c r="K453" s="25">
        <f t="shared" si="40"/>
        <v>167.34854041299999</v>
      </c>
      <c r="L453" s="72">
        <f t="shared" si="43"/>
        <v>8032.7299398239993</v>
      </c>
      <c r="M453" s="72">
        <f t="shared" ref="M453:M460" si="45">SUM(I453+L453)</f>
        <v>13103.671186751999</v>
      </c>
      <c r="N453" s="26"/>
      <c r="O453" s="921">
        <v>0.93490804699999996</v>
      </c>
    </row>
    <row r="454" spans="1:17" ht="18.95" customHeight="1">
      <c r="A454" s="532"/>
      <c r="B454" s="527" t="s">
        <v>273</v>
      </c>
      <c r="C454" s="399" t="s">
        <v>639</v>
      </c>
      <c r="D454" s="286"/>
      <c r="E454" s="25">
        <v>7</v>
      </c>
      <c r="F454" s="30" t="s">
        <v>211</v>
      </c>
      <c r="G454" s="759">
        <v>238</v>
      </c>
      <c r="H454" s="242">
        <f t="shared" si="39"/>
        <v>222.508115186</v>
      </c>
      <c r="I454" s="25">
        <f t="shared" si="42"/>
        <v>1557.556806302</v>
      </c>
      <c r="J454" s="759">
        <v>161</v>
      </c>
      <c r="K454" s="25">
        <f t="shared" si="40"/>
        <v>150.520195567</v>
      </c>
      <c r="L454" s="72">
        <f t="shared" si="43"/>
        <v>1053.641368969</v>
      </c>
      <c r="M454" s="72">
        <f t="shared" si="45"/>
        <v>2611.1981752709999</v>
      </c>
      <c r="N454" s="26"/>
      <c r="O454" s="921">
        <v>0.93490804699999996</v>
      </c>
    </row>
    <row r="455" spans="1:17" ht="18.95" customHeight="1">
      <c r="A455" s="265"/>
      <c r="B455" s="527" t="s">
        <v>273</v>
      </c>
      <c r="C455" s="399" t="s">
        <v>640</v>
      </c>
      <c r="D455" s="24"/>
      <c r="E455" s="25">
        <v>55</v>
      </c>
      <c r="F455" s="30" t="s">
        <v>275</v>
      </c>
      <c r="G455" s="759">
        <v>300</v>
      </c>
      <c r="H455" s="242">
        <f t="shared" si="39"/>
        <v>280.47241409999998</v>
      </c>
      <c r="I455" s="25">
        <f t="shared" si="42"/>
        <v>15425.982775499999</v>
      </c>
      <c r="J455" s="759">
        <v>80</v>
      </c>
      <c r="K455" s="25">
        <f t="shared" si="40"/>
        <v>74.792643760000004</v>
      </c>
      <c r="L455" s="72">
        <f t="shared" si="43"/>
        <v>4113.5954068000001</v>
      </c>
      <c r="M455" s="72">
        <f t="shared" si="45"/>
        <v>19539.5781823</v>
      </c>
      <c r="N455" s="26"/>
      <c r="O455" s="921">
        <v>0.93490804699999996</v>
      </c>
    </row>
    <row r="456" spans="1:17" ht="18.95" customHeight="1">
      <c r="A456" s="532"/>
      <c r="B456" s="527" t="s">
        <v>273</v>
      </c>
      <c r="C456" s="399" t="s">
        <v>641</v>
      </c>
      <c r="D456" s="267"/>
      <c r="E456" s="25">
        <v>9</v>
      </c>
      <c r="F456" s="30" t="s">
        <v>275</v>
      </c>
      <c r="G456" s="759">
        <v>500</v>
      </c>
      <c r="H456" s="242">
        <f t="shared" si="39"/>
        <v>467.45402350000001</v>
      </c>
      <c r="I456" s="25">
        <f t="shared" si="42"/>
        <v>4207.0862115</v>
      </c>
      <c r="J456" s="759">
        <v>100</v>
      </c>
      <c r="K456" s="25">
        <f t="shared" si="40"/>
        <v>93.490804699999998</v>
      </c>
      <c r="L456" s="72">
        <f t="shared" si="43"/>
        <v>841.4172423</v>
      </c>
      <c r="M456" s="72">
        <f t="shared" si="45"/>
        <v>5048.5034538</v>
      </c>
      <c r="N456" s="26"/>
      <c r="O456" s="921">
        <v>0.93490804699999996</v>
      </c>
    </row>
    <row r="457" spans="1:17" ht="18.95" customHeight="1">
      <c r="A457" s="137"/>
      <c r="B457" s="527" t="s">
        <v>273</v>
      </c>
      <c r="C457" s="399" t="s">
        <v>642</v>
      </c>
      <c r="D457" s="267"/>
      <c r="E457" s="25">
        <v>1</v>
      </c>
      <c r="F457" s="30" t="s">
        <v>349</v>
      </c>
      <c r="G457" s="759">
        <v>1500</v>
      </c>
      <c r="H457" s="242">
        <f t="shared" si="39"/>
        <v>1402.3620704999998</v>
      </c>
      <c r="I457" s="25">
        <f t="shared" si="42"/>
        <v>1402.3620704999998</v>
      </c>
      <c r="J457" s="759">
        <v>300</v>
      </c>
      <c r="K457" s="25">
        <f t="shared" si="40"/>
        <v>280.47241409999998</v>
      </c>
      <c r="L457" s="72">
        <f t="shared" si="43"/>
        <v>280.47241409999998</v>
      </c>
      <c r="M457" s="72">
        <f t="shared" si="45"/>
        <v>1682.8344845999998</v>
      </c>
      <c r="N457" s="26"/>
      <c r="O457" s="921">
        <v>0.93490804699999996</v>
      </c>
    </row>
    <row r="458" spans="1:17" ht="18.95" customHeight="1">
      <c r="A458" s="265"/>
      <c r="B458" s="527" t="s">
        <v>273</v>
      </c>
      <c r="C458" s="399" t="s">
        <v>643</v>
      </c>
      <c r="D458" s="267"/>
      <c r="E458" s="25">
        <v>30</v>
      </c>
      <c r="F458" s="30" t="s">
        <v>275</v>
      </c>
      <c r="G458" s="759">
        <v>39</v>
      </c>
      <c r="H458" s="242">
        <f t="shared" si="39"/>
        <v>36.461413833000002</v>
      </c>
      <c r="I458" s="25">
        <f t="shared" si="42"/>
        <v>1093.84241499</v>
      </c>
      <c r="J458" s="759">
        <v>75</v>
      </c>
      <c r="K458" s="25">
        <f t="shared" si="40"/>
        <v>70.118103524999995</v>
      </c>
      <c r="L458" s="72">
        <f t="shared" si="43"/>
        <v>2103.54310575</v>
      </c>
      <c r="M458" s="72">
        <f t="shared" si="45"/>
        <v>3197.3855207400002</v>
      </c>
      <c r="N458" s="26"/>
      <c r="O458" s="921">
        <v>0.93490804699999996</v>
      </c>
    </row>
    <row r="459" spans="1:17" s="725" customFormat="1" ht="18.95" customHeight="1">
      <c r="A459" s="532"/>
      <c r="B459" s="527" t="s">
        <v>273</v>
      </c>
      <c r="C459" s="399" t="s">
        <v>635</v>
      </c>
      <c r="D459" s="286"/>
      <c r="E459" s="25">
        <v>45</v>
      </c>
      <c r="F459" s="30" t="s">
        <v>211</v>
      </c>
      <c r="G459" s="759">
        <v>68</v>
      </c>
      <c r="H459" s="242">
        <f t="shared" si="39"/>
        <v>63.573747195999999</v>
      </c>
      <c r="I459" s="25">
        <f t="shared" si="42"/>
        <v>2860.8186238200001</v>
      </c>
      <c r="J459" s="759">
        <v>87</v>
      </c>
      <c r="K459" s="25">
        <f t="shared" si="40"/>
        <v>81.337000089</v>
      </c>
      <c r="L459" s="72">
        <f t="shared" si="43"/>
        <v>3660.1650040049999</v>
      </c>
      <c r="M459" s="72">
        <f t="shared" si="45"/>
        <v>6520.9836278250004</v>
      </c>
      <c r="N459" s="26"/>
      <c r="O459" s="921">
        <v>0.93490804699999996</v>
      </c>
      <c r="P459" s="986" t="s">
        <v>214</v>
      </c>
      <c r="Q459" s="986"/>
    </row>
    <row r="460" spans="1:17" ht="18.95" customHeight="1">
      <c r="A460" s="265"/>
      <c r="B460" s="527" t="s">
        <v>273</v>
      </c>
      <c r="C460" s="399" t="s">
        <v>644</v>
      </c>
      <c r="D460" s="286"/>
      <c r="E460" s="25">
        <v>45</v>
      </c>
      <c r="F460" s="30" t="s">
        <v>211</v>
      </c>
      <c r="G460" s="759">
        <v>30</v>
      </c>
      <c r="H460" s="242">
        <f t="shared" si="39"/>
        <v>28.047241409999998</v>
      </c>
      <c r="I460" s="25">
        <f t="shared" si="42"/>
        <v>1262.12586345</v>
      </c>
      <c r="J460" s="759">
        <v>28</v>
      </c>
      <c r="K460" s="25">
        <f t="shared" si="40"/>
        <v>26.177425315999997</v>
      </c>
      <c r="L460" s="72">
        <f t="shared" si="43"/>
        <v>1177.9841392199999</v>
      </c>
      <c r="M460" s="72">
        <f t="shared" si="45"/>
        <v>2440.1100026699996</v>
      </c>
      <c r="N460" s="26"/>
      <c r="O460" s="921">
        <v>0.93490804699999996</v>
      </c>
    </row>
    <row r="461" spans="1:17" ht="18.95" customHeight="1">
      <c r="A461" s="1060">
        <v>7.3</v>
      </c>
      <c r="B461" s="1066" t="s">
        <v>645</v>
      </c>
      <c r="C461" s="399"/>
      <c r="D461" s="368"/>
      <c r="E461" s="25"/>
      <c r="F461" s="30"/>
      <c r="G461" s="759"/>
      <c r="H461" s="242"/>
      <c r="I461" s="25"/>
      <c r="J461" s="759"/>
      <c r="K461" s="25"/>
      <c r="L461" s="72"/>
      <c r="M461" s="72"/>
      <c r="N461" s="26"/>
      <c r="O461" s="921">
        <v>0.93490804699999996</v>
      </c>
    </row>
    <row r="462" spans="1:17" ht="18.95" customHeight="1">
      <c r="A462" s="532"/>
      <c r="B462" s="527" t="s">
        <v>273</v>
      </c>
      <c r="C462" s="399" t="s">
        <v>630</v>
      </c>
      <c r="D462" s="1017"/>
      <c r="E462" s="25">
        <v>84</v>
      </c>
      <c r="F462" s="30" t="s">
        <v>275</v>
      </c>
      <c r="G462" s="759">
        <v>95</v>
      </c>
      <c r="H462" s="242">
        <f t="shared" si="39"/>
        <v>88.816264465000003</v>
      </c>
      <c r="I462" s="25">
        <f t="shared" si="42"/>
        <v>7460.5662150600001</v>
      </c>
      <c r="J462" s="759">
        <v>41</v>
      </c>
      <c r="K462" s="25">
        <f t="shared" si="40"/>
        <v>38.331229926999995</v>
      </c>
      <c r="L462" s="72">
        <f t="shared" si="43"/>
        <v>3219.8233138679998</v>
      </c>
      <c r="M462" s="72">
        <f t="shared" ref="M462:M468" si="46">SUM(I462+L462)</f>
        <v>10680.389528928001</v>
      </c>
      <c r="N462" s="26"/>
      <c r="O462" s="921">
        <v>0.93490804699999996</v>
      </c>
    </row>
    <row r="463" spans="1:17" ht="18.95" customHeight="1">
      <c r="A463" s="280"/>
      <c r="B463" s="527" t="s">
        <v>273</v>
      </c>
      <c r="C463" s="399" t="s">
        <v>631</v>
      </c>
      <c r="D463" s="24"/>
      <c r="E463" s="25">
        <v>16</v>
      </c>
      <c r="F463" s="30" t="s">
        <v>211</v>
      </c>
      <c r="G463" s="759">
        <v>200</v>
      </c>
      <c r="H463" s="242">
        <f t="shared" si="39"/>
        <v>186.9816094</v>
      </c>
      <c r="I463" s="25">
        <f t="shared" si="42"/>
        <v>2991.7057503999999</v>
      </c>
      <c r="J463" s="759">
        <v>130</v>
      </c>
      <c r="K463" s="25">
        <f t="shared" si="40"/>
        <v>121.53804611</v>
      </c>
      <c r="L463" s="72">
        <f t="shared" si="43"/>
        <v>1944.6087377599999</v>
      </c>
      <c r="M463" s="72">
        <f t="shared" si="46"/>
        <v>4936.3144881600001</v>
      </c>
      <c r="N463" s="26"/>
      <c r="O463" s="921">
        <v>0.93490804699999996</v>
      </c>
    </row>
    <row r="464" spans="1:17" ht="18.95" customHeight="1">
      <c r="A464" s="280"/>
      <c r="B464" s="527" t="s">
        <v>273</v>
      </c>
      <c r="C464" s="399" t="s">
        <v>632</v>
      </c>
      <c r="D464" s="368"/>
      <c r="E464" s="25">
        <v>95</v>
      </c>
      <c r="F464" s="30" t="s">
        <v>275</v>
      </c>
      <c r="G464" s="759">
        <v>190</v>
      </c>
      <c r="H464" s="242">
        <f t="shared" si="39"/>
        <v>177.63252893000001</v>
      </c>
      <c r="I464" s="25">
        <f t="shared" si="42"/>
        <v>16875.090248349999</v>
      </c>
      <c r="J464" s="759">
        <v>42</v>
      </c>
      <c r="K464" s="25">
        <f t="shared" si="40"/>
        <v>39.266137973999996</v>
      </c>
      <c r="L464" s="72">
        <f t="shared" si="43"/>
        <v>3730.2831075299996</v>
      </c>
      <c r="M464" s="72">
        <f t="shared" si="46"/>
        <v>20605.373355879998</v>
      </c>
      <c r="N464" s="26"/>
      <c r="O464" s="921">
        <v>0.93490804699999996</v>
      </c>
    </row>
    <row r="465" spans="1:17" ht="18.95" customHeight="1">
      <c r="A465" s="280"/>
      <c r="B465" s="527" t="s">
        <v>273</v>
      </c>
      <c r="C465" s="399" t="s">
        <v>646</v>
      </c>
      <c r="D465" s="368"/>
      <c r="E465" s="25">
        <v>34</v>
      </c>
      <c r="F465" s="30" t="s">
        <v>275</v>
      </c>
      <c r="G465" s="759">
        <v>600</v>
      </c>
      <c r="H465" s="242">
        <f t="shared" si="39"/>
        <v>560.94482819999996</v>
      </c>
      <c r="I465" s="25">
        <f t="shared" si="42"/>
        <v>19072.124158799998</v>
      </c>
      <c r="J465" s="759">
        <v>280</v>
      </c>
      <c r="K465" s="25">
        <f t="shared" si="40"/>
        <v>261.77425316</v>
      </c>
      <c r="L465" s="72">
        <f t="shared" si="43"/>
        <v>8900.3246074399995</v>
      </c>
      <c r="M465" s="72">
        <f t="shared" si="46"/>
        <v>27972.448766239999</v>
      </c>
      <c r="N465" s="26"/>
      <c r="O465" s="921">
        <v>0.93490804699999996</v>
      </c>
    </row>
    <row r="466" spans="1:17" ht="18.95" customHeight="1">
      <c r="A466" s="573"/>
      <c r="B466" s="527" t="s">
        <v>273</v>
      </c>
      <c r="C466" s="399" t="s">
        <v>634</v>
      </c>
      <c r="D466" s="286"/>
      <c r="E466" s="25">
        <v>84</v>
      </c>
      <c r="F466" s="30" t="s">
        <v>275</v>
      </c>
      <c r="G466" s="759">
        <v>35</v>
      </c>
      <c r="H466" s="242">
        <f t="shared" si="39"/>
        <v>32.721781645</v>
      </c>
      <c r="I466" s="25">
        <f t="shared" si="42"/>
        <v>2748.6296581800002</v>
      </c>
      <c r="J466" s="759">
        <v>20</v>
      </c>
      <c r="K466" s="25">
        <f t="shared" si="40"/>
        <v>18.698160940000001</v>
      </c>
      <c r="L466" s="72">
        <f t="shared" si="43"/>
        <v>1570.6455189600001</v>
      </c>
      <c r="M466" s="72">
        <f t="shared" si="46"/>
        <v>4319.2751771399999</v>
      </c>
      <c r="N466" s="26"/>
      <c r="O466" s="921">
        <v>0.93490804699999996</v>
      </c>
    </row>
    <row r="467" spans="1:17" s="725" customFormat="1" ht="18.95" customHeight="1">
      <c r="A467" s="21"/>
      <c r="B467" s="527" t="s">
        <v>273</v>
      </c>
      <c r="C467" s="399" t="s">
        <v>635</v>
      </c>
      <c r="D467" s="24"/>
      <c r="E467" s="25">
        <v>122</v>
      </c>
      <c r="F467" s="30" t="s">
        <v>211</v>
      </c>
      <c r="G467" s="759">
        <v>68</v>
      </c>
      <c r="H467" s="242">
        <f t="shared" si="39"/>
        <v>63.573747195999999</v>
      </c>
      <c r="I467" s="25">
        <f t="shared" si="42"/>
        <v>7755.9971579120001</v>
      </c>
      <c r="J467" s="759">
        <v>87</v>
      </c>
      <c r="K467" s="25">
        <f t="shared" si="40"/>
        <v>81.337000089</v>
      </c>
      <c r="L467" s="72">
        <f t="shared" si="43"/>
        <v>9923.1140108580003</v>
      </c>
      <c r="M467" s="72">
        <f t="shared" si="46"/>
        <v>17679.111168769999</v>
      </c>
      <c r="N467" s="26"/>
      <c r="O467" s="921">
        <v>0.93490804699999996</v>
      </c>
      <c r="P467" s="986" t="s">
        <v>214</v>
      </c>
      <c r="Q467" s="986"/>
    </row>
    <row r="468" spans="1:17" ht="18.95" customHeight="1">
      <c r="A468" s="573"/>
      <c r="B468" s="527" t="s">
        <v>273</v>
      </c>
      <c r="C468" s="399" t="s">
        <v>636</v>
      </c>
      <c r="D468" s="267"/>
      <c r="E468" s="25">
        <v>122</v>
      </c>
      <c r="F468" s="30" t="s">
        <v>211</v>
      </c>
      <c r="G468" s="759">
        <v>30</v>
      </c>
      <c r="H468" s="242">
        <f t="shared" si="39"/>
        <v>28.047241409999998</v>
      </c>
      <c r="I468" s="25">
        <f t="shared" si="42"/>
        <v>3421.7634520199999</v>
      </c>
      <c r="J468" s="759">
        <v>28</v>
      </c>
      <c r="K468" s="25">
        <f t="shared" si="40"/>
        <v>26.177425315999997</v>
      </c>
      <c r="L468" s="72">
        <f t="shared" si="43"/>
        <v>3193.6458885519996</v>
      </c>
      <c r="M468" s="72">
        <f t="shared" si="46"/>
        <v>6615.4093405719996</v>
      </c>
      <c r="N468" s="26"/>
      <c r="O468" s="921">
        <v>0.93490804699999996</v>
      </c>
    </row>
    <row r="469" spans="1:17" ht="18.95" customHeight="1">
      <c r="A469" s="573"/>
      <c r="B469" s="527"/>
      <c r="C469" s="399"/>
      <c r="D469" s="267"/>
      <c r="E469" s="25"/>
      <c r="F469" s="30"/>
      <c r="G469" s="843"/>
      <c r="H469" s="242"/>
      <c r="I469" s="25"/>
      <c r="J469" s="843"/>
      <c r="K469" s="25"/>
      <c r="L469" s="72"/>
      <c r="M469" s="72"/>
      <c r="N469" s="26"/>
      <c r="O469" s="921">
        <v>0.93490804699999996</v>
      </c>
    </row>
    <row r="470" spans="1:17" ht="18.95" customHeight="1">
      <c r="A470" s="1060">
        <v>7.4</v>
      </c>
      <c r="B470" s="1066" t="s">
        <v>647</v>
      </c>
      <c r="C470" s="399"/>
      <c r="D470" s="301"/>
      <c r="E470" s="25"/>
      <c r="F470" s="1068"/>
      <c r="G470" s="843"/>
      <c r="H470" s="242"/>
      <c r="I470" s="25"/>
      <c r="J470" s="843"/>
      <c r="K470" s="25"/>
      <c r="L470" s="72"/>
      <c r="M470" s="72"/>
      <c r="N470" s="26"/>
      <c r="O470" s="921">
        <v>0.93490804699999996</v>
      </c>
    </row>
    <row r="471" spans="1:17" ht="18.95" customHeight="1">
      <c r="A471" s="532"/>
      <c r="B471" s="527" t="s">
        <v>273</v>
      </c>
      <c r="C471" s="399" t="s">
        <v>630</v>
      </c>
      <c r="D471" s="1017"/>
      <c r="E471" s="25">
        <v>120</v>
      </c>
      <c r="F471" s="30" t="s">
        <v>275</v>
      </c>
      <c r="G471" s="759">
        <v>95</v>
      </c>
      <c r="H471" s="242">
        <f t="shared" si="39"/>
        <v>88.816264465000003</v>
      </c>
      <c r="I471" s="25">
        <f t="shared" si="42"/>
        <v>10657.951735800001</v>
      </c>
      <c r="J471" s="759">
        <v>41</v>
      </c>
      <c r="K471" s="25">
        <f t="shared" si="40"/>
        <v>38.331229926999995</v>
      </c>
      <c r="L471" s="72">
        <f t="shared" si="43"/>
        <v>4599.7475912399996</v>
      </c>
      <c r="M471" s="72">
        <f t="shared" ref="M471:M477" si="47">SUM(I471+L471)</f>
        <v>15257.699327040002</v>
      </c>
      <c r="N471" s="26"/>
      <c r="O471" s="921">
        <v>0.93490804699999996</v>
      </c>
    </row>
    <row r="472" spans="1:17" ht="18.95" customHeight="1">
      <c r="A472" s="280"/>
      <c r="B472" s="527" t="s">
        <v>273</v>
      </c>
      <c r="C472" s="399" t="s">
        <v>631</v>
      </c>
      <c r="D472" s="24"/>
      <c r="E472" s="25">
        <v>32</v>
      </c>
      <c r="F472" s="30" t="s">
        <v>211</v>
      </c>
      <c r="G472" s="759">
        <v>200</v>
      </c>
      <c r="H472" s="242">
        <f t="shared" si="39"/>
        <v>186.9816094</v>
      </c>
      <c r="I472" s="25">
        <f t="shared" si="42"/>
        <v>5983.4115007999999</v>
      </c>
      <c r="J472" s="759">
        <v>130</v>
      </c>
      <c r="K472" s="25">
        <f t="shared" si="40"/>
        <v>121.53804611</v>
      </c>
      <c r="L472" s="72">
        <f t="shared" si="43"/>
        <v>3889.2174755199999</v>
      </c>
      <c r="M472" s="72">
        <f t="shared" si="47"/>
        <v>9872.6289763200002</v>
      </c>
      <c r="N472" s="72"/>
      <c r="O472" s="921">
        <v>0.93490804699999996</v>
      </c>
    </row>
    <row r="473" spans="1:17" ht="18.95" customHeight="1">
      <c r="A473" s="280"/>
      <c r="B473" s="527" t="s">
        <v>273</v>
      </c>
      <c r="C473" s="399" t="s">
        <v>632</v>
      </c>
      <c r="D473" s="301"/>
      <c r="E473" s="25">
        <v>168</v>
      </c>
      <c r="F473" s="30" t="s">
        <v>275</v>
      </c>
      <c r="G473" s="759">
        <v>190</v>
      </c>
      <c r="H473" s="242">
        <f t="shared" si="39"/>
        <v>177.63252893000001</v>
      </c>
      <c r="I473" s="25">
        <f t="shared" si="42"/>
        <v>29842.26486024</v>
      </c>
      <c r="J473" s="759">
        <v>42</v>
      </c>
      <c r="K473" s="25">
        <f t="shared" si="40"/>
        <v>39.266137973999996</v>
      </c>
      <c r="L473" s="72">
        <f t="shared" si="43"/>
        <v>6596.7111796319996</v>
      </c>
      <c r="M473" s="72">
        <f t="shared" si="47"/>
        <v>36438.976039872003</v>
      </c>
      <c r="N473" s="72"/>
      <c r="O473" s="921">
        <v>0.93490804699999996</v>
      </c>
    </row>
    <row r="474" spans="1:17" ht="18.95" customHeight="1">
      <c r="A474" s="280"/>
      <c r="B474" s="527" t="s">
        <v>273</v>
      </c>
      <c r="C474" s="399" t="s">
        <v>648</v>
      </c>
      <c r="D474" s="301"/>
      <c r="E474" s="25">
        <v>39</v>
      </c>
      <c r="F474" s="30" t="s">
        <v>275</v>
      </c>
      <c r="G474" s="759">
        <v>600</v>
      </c>
      <c r="H474" s="242">
        <f t="shared" si="39"/>
        <v>560.94482819999996</v>
      </c>
      <c r="I474" s="25">
        <f t="shared" si="42"/>
        <v>21876.8482998</v>
      </c>
      <c r="J474" s="759">
        <v>280</v>
      </c>
      <c r="K474" s="25">
        <f t="shared" si="40"/>
        <v>261.77425316</v>
      </c>
      <c r="L474" s="72">
        <f t="shared" si="43"/>
        <v>10209.19587324</v>
      </c>
      <c r="M474" s="72">
        <f t="shared" si="47"/>
        <v>32086.044173039998</v>
      </c>
      <c r="N474" s="72"/>
      <c r="O474" s="921">
        <v>0.93490804699999996</v>
      </c>
    </row>
    <row r="475" spans="1:17" ht="18.95" customHeight="1">
      <c r="A475" s="573"/>
      <c r="B475" s="527" t="s">
        <v>273</v>
      </c>
      <c r="C475" s="399" t="s">
        <v>634</v>
      </c>
      <c r="D475" s="286"/>
      <c r="E475" s="25">
        <v>74</v>
      </c>
      <c r="F475" s="30" t="s">
        <v>275</v>
      </c>
      <c r="G475" s="759">
        <v>35</v>
      </c>
      <c r="H475" s="242">
        <f t="shared" si="39"/>
        <v>32.721781645</v>
      </c>
      <c r="I475" s="25">
        <f t="shared" si="42"/>
        <v>2421.4118417300001</v>
      </c>
      <c r="J475" s="759">
        <v>20</v>
      </c>
      <c r="K475" s="25">
        <f t="shared" si="40"/>
        <v>18.698160940000001</v>
      </c>
      <c r="L475" s="72">
        <f t="shared" si="43"/>
        <v>1383.6639095600001</v>
      </c>
      <c r="M475" s="72">
        <f t="shared" si="47"/>
        <v>3805.07575129</v>
      </c>
      <c r="N475" s="72"/>
      <c r="O475" s="921">
        <v>0.93490804699999996</v>
      </c>
    </row>
    <row r="476" spans="1:17" s="725" customFormat="1" ht="18.95" customHeight="1">
      <c r="A476" s="21"/>
      <c r="B476" s="527" t="s">
        <v>273</v>
      </c>
      <c r="C476" s="399" t="s">
        <v>635</v>
      </c>
      <c r="D476" s="24"/>
      <c r="E476" s="25">
        <v>90</v>
      </c>
      <c r="F476" s="30" t="s">
        <v>211</v>
      </c>
      <c r="G476" s="759">
        <v>68</v>
      </c>
      <c r="H476" s="242">
        <f t="shared" si="39"/>
        <v>63.573747195999999</v>
      </c>
      <c r="I476" s="25">
        <f t="shared" si="42"/>
        <v>5721.6372476400002</v>
      </c>
      <c r="J476" s="759">
        <v>87</v>
      </c>
      <c r="K476" s="25">
        <f t="shared" si="40"/>
        <v>81.337000089</v>
      </c>
      <c r="L476" s="72">
        <f t="shared" si="43"/>
        <v>7320.3300080099998</v>
      </c>
      <c r="M476" s="72">
        <f t="shared" si="47"/>
        <v>13041.967255650001</v>
      </c>
      <c r="N476" s="72"/>
      <c r="O476" s="921">
        <v>0.93490804699999996</v>
      </c>
      <c r="P476" s="986" t="s">
        <v>214</v>
      </c>
      <c r="Q476" s="986"/>
    </row>
    <row r="477" spans="1:17" ht="18.95" customHeight="1">
      <c r="A477" s="573"/>
      <c r="B477" s="527" t="s">
        <v>273</v>
      </c>
      <c r="C477" s="399" t="s">
        <v>636</v>
      </c>
      <c r="D477" s="267"/>
      <c r="E477" s="25">
        <v>90</v>
      </c>
      <c r="F477" s="30" t="s">
        <v>211</v>
      </c>
      <c r="G477" s="759">
        <v>30</v>
      </c>
      <c r="H477" s="242">
        <f t="shared" si="39"/>
        <v>28.047241409999998</v>
      </c>
      <c r="I477" s="25">
        <f t="shared" si="42"/>
        <v>2524.2517269</v>
      </c>
      <c r="J477" s="759">
        <v>28</v>
      </c>
      <c r="K477" s="25">
        <f t="shared" si="40"/>
        <v>26.177425315999997</v>
      </c>
      <c r="L477" s="72">
        <f t="shared" si="43"/>
        <v>2355.9682784399997</v>
      </c>
      <c r="M477" s="72">
        <f t="shared" si="47"/>
        <v>4880.2200053399993</v>
      </c>
      <c r="N477" s="72"/>
      <c r="O477" s="921">
        <v>0.93490804699999996</v>
      </c>
    </row>
    <row r="478" spans="1:17" ht="18.95" customHeight="1">
      <c r="A478" s="525">
        <v>7.5</v>
      </c>
      <c r="B478" s="1066" t="s">
        <v>649</v>
      </c>
      <c r="C478" s="399"/>
      <c r="D478" s="368"/>
      <c r="E478" s="25"/>
      <c r="F478" s="30"/>
      <c r="G478" s="759"/>
      <c r="H478" s="242"/>
      <c r="I478" s="25"/>
      <c r="J478" s="759"/>
      <c r="K478" s="25"/>
      <c r="L478" s="72"/>
      <c r="M478" s="72"/>
      <c r="N478" s="26"/>
      <c r="O478" s="921">
        <v>0.93490804699999996</v>
      </c>
    </row>
    <row r="479" spans="1:17" ht="18.95" customHeight="1">
      <c r="A479" s="372"/>
      <c r="B479" s="527" t="s">
        <v>273</v>
      </c>
      <c r="C479" s="399" t="s">
        <v>630</v>
      </c>
      <c r="D479" s="1017"/>
      <c r="E479" s="25">
        <v>6</v>
      </c>
      <c r="F479" s="30" t="s">
        <v>275</v>
      </c>
      <c r="G479" s="759">
        <v>95</v>
      </c>
      <c r="H479" s="242">
        <f t="shared" ref="H479:H541" si="48">G479*O479</f>
        <v>88.816264465000003</v>
      </c>
      <c r="I479" s="25">
        <f t="shared" ref="I479:I492" si="49">E479*H479</f>
        <v>532.89758678999999</v>
      </c>
      <c r="J479" s="759">
        <v>41</v>
      </c>
      <c r="K479" s="25">
        <f t="shared" ref="K479:K541" si="50">J479*O479</f>
        <v>38.331229926999995</v>
      </c>
      <c r="L479" s="72">
        <f t="shared" ref="L479:L541" si="51">E479*K479</f>
        <v>229.98737956199997</v>
      </c>
      <c r="M479" s="72">
        <f>SUM(I479+L479)</f>
        <v>762.88496635199999</v>
      </c>
      <c r="N479" s="26"/>
      <c r="O479" s="921">
        <v>0.93490804699999996</v>
      </c>
    </row>
    <row r="480" spans="1:17" ht="18.95" customHeight="1">
      <c r="A480" s="372"/>
      <c r="B480" s="527" t="s">
        <v>273</v>
      </c>
      <c r="C480" s="399" t="s">
        <v>632</v>
      </c>
      <c r="D480" s="24"/>
      <c r="E480" s="25">
        <v>8</v>
      </c>
      <c r="F480" s="30" t="s">
        <v>275</v>
      </c>
      <c r="G480" s="759">
        <v>190</v>
      </c>
      <c r="H480" s="242">
        <f t="shared" si="48"/>
        <v>177.63252893000001</v>
      </c>
      <c r="I480" s="25">
        <f t="shared" si="49"/>
        <v>1421.0602314400001</v>
      </c>
      <c r="J480" s="759">
        <v>42</v>
      </c>
      <c r="K480" s="25">
        <f t="shared" si="50"/>
        <v>39.266137973999996</v>
      </c>
      <c r="L480" s="72">
        <f t="shared" si="51"/>
        <v>314.12910379199997</v>
      </c>
      <c r="M480" s="72">
        <f>SUM(I480+L480)</f>
        <v>1735.1893352320001</v>
      </c>
      <c r="N480" s="26"/>
      <c r="O480" s="921">
        <v>0.93490804699999996</v>
      </c>
    </row>
    <row r="481" spans="1:19" ht="18.95" customHeight="1">
      <c r="A481" s="372">
        <v>7.6</v>
      </c>
      <c r="B481" s="1018" t="s">
        <v>650</v>
      </c>
      <c r="C481" s="399"/>
      <c r="D481" s="286"/>
      <c r="E481" s="25"/>
      <c r="F481" s="30"/>
      <c r="G481" s="759"/>
      <c r="H481" s="242"/>
      <c r="I481" s="25"/>
      <c r="J481" s="759"/>
      <c r="K481" s="25"/>
      <c r="L481" s="72"/>
      <c r="M481" s="72"/>
      <c r="N481" s="26"/>
      <c r="O481" s="921">
        <v>0.93490804699999996</v>
      </c>
    </row>
    <row r="482" spans="1:19" ht="18.95" customHeight="1">
      <c r="A482" s="372" t="s">
        <v>651</v>
      </c>
      <c r="B482" s="527" t="s">
        <v>273</v>
      </c>
      <c r="C482" s="399" t="s">
        <v>652</v>
      </c>
      <c r="D482" s="286"/>
      <c r="E482" s="25">
        <v>195</v>
      </c>
      <c r="F482" s="30" t="s">
        <v>275</v>
      </c>
      <c r="G482" s="759">
        <v>209</v>
      </c>
      <c r="H482" s="242">
        <f t="shared" si="48"/>
        <v>195.39578182299999</v>
      </c>
      <c r="I482" s="25">
        <f t="shared" si="49"/>
        <v>38102.177455484998</v>
      </c>
      <c r="J482" s="759">
        <v>179</v>
      </c>
      <c r="K482" s="25">
        <f t="shared" si="50"/>
        <v>167.34854041299999</v>
      </c>
      <c r="L482" s="72">
        <f t="shared" si="51"/>
        <v>32632.965380534999</v>
      </c>
      <c r="M482" s="72">
        <f t="shared" ref="M482:M491" si="52">SUM(I482+L482)</f>
        <v>70735.142836019993</v>
      </c>
      <c r="N482" s="26"/>
      <c r="O482" s="921">
        <v>0.93490804699999996</v>
      </c>
    </row>
    <row r="483" spans="1:19" ht="18.95" customHeight="1">
      <c r="A483" s="372"/>
      <c r="B483" s="527" t="s">
        <v>273</v>
      </c>
      <c r="C483" s="399" t="s">
        <v>639</v>
      </c>
      <c r="D483" s="24"/>
      <c r="E483" s="25">
        <v>15</v>
      </c>
      <c r="F483" s="30" t="s">
        <v>211</v>
      </c>
      <c r="G483" s="759">
        <v>440</v>
      </c>
      <c r="H483" s="242">
        <f t="shared" si="48"/>
        <v>411.35954068000001</v>
      </c>
      <c r="I483" s="25">
        <f t="shared" si="49"/>
        <v>6170.3931102000006</v>
      </c>
      <c r="J483" s="759">
        <v>200</v>
      </c>
      <c r="K483" s="25">
        <f t="shared" si="50"/>
        <v>186.9816094</v>
      </c>
      <c r="L483" s="72">
        <f t="shared" si="51"/>
        <v>2804.7241410000001</v>
      </c>
      <c r="M483" s="72">
        <f t="shared" si="52"/>
        <v>8975.1172512000012</v>
      </c>
      <c r="N483" s="26"/>
      <c r="O483" s="921">
        <v>0.93490804699999996</v>
      </c>
    </row>
    <row r="484" spans="1:19" ht="18.95" customHeight="1">
      <c r="A484" s="372"/>
      <c r="B484" s="527" t="s">
        <v>273</v>
      </c>
      <c r="C484" s="399" t="s">
        <v>653</v>
      </c>
      <c r="D484" s="267"/>
      <c r="E484" s="25">
        <v>148</v>
      </c>
      <c r="F484" s="30" t="s">
        <v>275</v>
      </c>
      <c r="G484" s="759">
        <v>300</v>
      </c>
      <c r="H484" s="242">
        <f t="shared" si="48"/>
        <v>280.47241409999998</v>
      </c>
      <c r="I484" s="25">
        <f t="shared" si="49"/>
        <v>41509.917286799995</v>
      </c>
      <c r="J484" s="759">
        <v>80</v>
      </c>
      <c r="K484" s="25">
        <f t="shared" si="50"/>
        <v>74.792643760000004</v>
      </c>
      <c r="L484" s="72">
        <f t="shared" si="51"/>
        <v>11069.311276480001</v>
      </c>
      <c r="M484" s="72">
        <f t="shared" si="52"/>
        <v>52579.228563279998</v>
      </c>
      <c r="N484" s="26"/>
      <c r="O484" s="921">
        <v>0.93490804699999996</v>
      </c>
    </row>
    <row r="485" spans="1:19" ht="18.95" customHeight="1">
      <c r="A485" s="372"/>
      <c r="B485" s="527" t="s">
        <v>273</v>
      </c>
      <c r="C485" s="399" t="s">
        <v>654</v>
      </c>
      <c r="D485" s="267"/>
      <c r="E485" s="25">
        <v>80</v>
      </c>
      <c r="F485" s="30" t="s">
        <v>211</v>
      </c>
      <c r="G485" s="759">
        <v>260</v>
      </c>
      <c r="H485" s="242">
        <f t="shared" si="48"/>
        <v>243.07609221999999</v>
      </c>
      <c r="I485" s="25">
        <f t="shared" si="49"/>
        <v>19446.087377600001</v>
      </c>
      <c r="J485" s="759">
        <v>50</v>
      </c>
      <c r="K485" s="25">
        <f t="shared" si="50"/>
        <v>46.745402349999999</v>
      </c>
      <c r="L485" s="72">
        <f t="shared" si="51"/>
        <v>3739.632188</v>
      </c>
      <c r="M485" s="72">
        <f t="shared" si="52"/>
        <v>23185.7195656</v>
      </c>
      <c r="N485" s="26"/>
      <c r="O485" s="921">
        <v>0.93490804699999996</v>
      </c>
    </row>
    <row r="486" spans="1:19" ht="18.95" customHeight="1">
      <c r="A486" s="372"/>
      <c r="B486" s="527" t="s">
        <v>273</v>
      </c>
      <c r="C486" s="399" t="s">
        <v>655</v>
      </c>
      <c r="D486" s="286"/>
      <c r="E486" s="25">
        <v>50</v>
      </c>
      <c r="F486" s="30" t="s">
        <v>211</v>
      </c>
      <c r="G486" s="759">
        <v>2200</v>
      </c>
      <c r="H486" s="242">
        <f t="shared" si="48"/>
        <v>2056.7977034</v>
      </c>
      <c r="I486" s="25">
        <f t="shared" si="49"/>
        <v>102839.88517000001</v>
      </c>
      <c r="J486" s="759">
        <v>200</v>
      </c>
      <c r="K486" s="25">
        <f t="shared" si="50"/>
        <v>186.9816094</v>
      </c>
      <c r="L486" s="72">
        <f t="shared" si="51"/>
        <v>9349.080469999999</v>
      </c>
      <c r="M486" s="72">
        <f t="shared" si="52"/>
        <v>112188.96564000001</v>
      </c>
      <c r="N486" s="26"/>
      <c r="O486" s="921">
        <v>0.93490804699999996</v>
      </c>
    </row>
    <row r="487" spans="1:19" ht="18.95" customHeight="1">
      <c r="A487" s="372"/>
      <c r="B487" s="527" t="s">
        <v>273</v>
      </c>
      <c r="C487" s="399" t="s">
        <v>656</v>
      </c>
      <c r="D487" s="286"/>
      <c r="E487" s="25">
        <v>70</v>
      </c>
      <c r="F487" s="30" t="s">
        <v>275</v>
      </c>
      <c r="G487" s="759">
        <v>2000</v>
      </c>
      <c r="H487" s="242">
        <f t="shared" si="48"/>
        <v>1869.816094</v>
      </c>
      <c r="I487" s="25">
        <f t="shared" si="49"/>
        <v>130887.12658</v>
      </c>
      <c r="J487" s="765">
        <v>200</v>
      </c>
      <c r="K487" s="25">
        <f t="shared" si="50"/>
        <v>186.9816094</v>
      </c>
      <c r="L487" s="72">
        <f t="shared" si="51"/>
        <v>13088.712658</v>
      </c>
      <c r="M487" s="72">
        <f t="shared" si="52"/>
        <v>143975.83923799999</v>
      </c>
      <c r="N487" s="26"/>
      <c r="O487" s="921">
        <v>0.93490804699999996</v>
      </c>
    </row>
    <row r="488" spans="1:19" ht="18.95" customHeight="1">
      <c r="A488" s="372"/>
      <c r="B488" s="527" t="s">
        <v>273</v>
      </c>
      <c r="C488" s="399" t="s">
        <v>657</v>
      </c>
      <c r="D488" s="286"/>
      <c r="E488" s="25">
        <v>10</v>
      </c>
      <c r="F488" s="30" t="s">
        <v>211</v>
      </c>
      <c r="G488" s="759">
        <v>2200</v>
      </c>
      <c r="H488" s="242">
        <f t="shared" si="48"/>
        <v>2056.7977034</v>
      </c>
      <c r="I488" s="25">
        <f t="shared" si="49"/>
        <v>20567.977034</v>
      </c>
      <c r="J488" s="759">
        <v>200</v>
      </c>
      <c r="K488" s="25">
        <f t="shared" si="50"/>
        <v>186.9816094</v>
      </c>
      <c r="L488" s="72">
        <f t="shared" si="51"/>
        <v>1869.816094</v>
      </c>
      <c r="M488" s="72">
        <f t="shared" si="52"/>
        <v>22437.793128000001</v>
      </c>
      <c r="N488" s="26"/>
      <c r="O488" s="921">
        <v>0.93490804699999996</v>
      </c>
    </row>
    <row r="489" spans="1:19" ht="18.95" customHeight="1">
      <c r="A489" s="372"/>
      <c r="B489" s="527" t="s">
        <v>273</v>
      </c>
      <c r="C489" s="399" t="s">
        <v>658</v>
      </c>
      <c r="D489" s="267"/>
      <c r="E489" s="25">
        <v>50</v>
      </c>
      <c r="F489" s="30" t="s">
        <v>275</v>
      </c>
      <c r="G489" s="759">
        <v>500</v>
      </c>
      <c r="H489" s="242">
        <f t="shared" si="48"/>
        <v>467.45402350000001</v>
      </c>
      <c r="I489" s="25">
        <f t="shared" si="49"/>
        <v>23372.701175000002</v>
      </c>
      <c r="J489" s="759">
        <v>150</v>
      </c>
      <c r="K489" s="25">
        <f t="shared" si="50"/>
        <v>140.23620704999999</v>
      </c>
      <c r="L489" s="72">
        <f t="shared" si="51"/>
        <v>7011.8103524999997</v>
      </c>
      <c r="M489" s="72">
        <f t="shared" si="52"/>
        <v>30384.511527500003</v>
      </c>
      <c r="N489" s="26"/>
      <c r="O489" s="921">
        <v>0.93490804699999996</v>
      </c>
    </row>
    <row r="490" spans="1:19" ht="18.95" customHeight="1">
      <c r="A490" s="372"/>
      <c r="B490" s="527" t="s">
        <v>273</v>
      </c>
      <c r="C490" s="399" t="s">
        <v>659</v>
      </c>
      <c r="D490" s="1017"/>
      <c r="E490" s="25">
        <v>40</v>
      </c>
      <c r="F490" s="30" t="s">
        <v>275</v>
      </c>
      <c r="G490" s="759">
        <v>1500</v>
      </c>
      <c r="H490" s="242">
        <f t="shared" si="48"/>
        <v>1402.3620704999998</v>
      </c>
      <c r="I490" s="25">
        <f t="shared" si="49"/>
        <v>56094.48281999999</v>
      </c>
      <c r="J490" s="759">
        <v>400</v>
      </c>
      <c r="K490" s="25">
        <f t="shared" si="50"/>
        <v>373.96321879999999</v>
      </c>
      <c r="L490" s="72">
        <f t="shared" si="51"/>
        <v>14958.528752</v>
      </c>
      <c r="M490" s="72">
        <f t="shared" si="52"/>
        <v>71053.011571999989</v>
      </c>
      <c r="N490" s="26"/>
      <c r="O490" s="921">
        <v>0.93490804699999996</v>
      </c>
    </row>
    <row r="491" spans="1:19" ht="18.95" customHeight="1">
      <c r="A491" s="532"/>
      <c r="B491" s="527" t="s">
        <v>273</v>
      </c>
      <c r="C491" s="399" t="s">
        <v>335</v>
      </c>
      <c r="D491" s="286"/>
      <c r="E491" s="25">
        <v>200</v>
      </c>
      <c r="F491" s="30" t="s">
        <v>211</v>
      </c>
      <c r="G491" s="759">
        <v>3500</v>
      </c>
      <c r="H491" s="242">
        <f t="shared" si="48"/>
        <v>3272.1781645000001</v>
      </c>
      <c r="I491" s="25">
        <f t="shared" si="49"/>
        <v>654435.63289999997</v>
      </c>
      <c r="J491" s="759">
        <v>385</v>
      </c>
      <c r="K491" s="25">
        <f t="shared" si="50"/>
        <v>359.93959809500001</v>
      </c>
      <c r="L491" s="72">
        <f t="shared" si="51"/>
        <v>71987.919619000008</v>
      </c>
      <c r="M491" s="72">
        <f t="shared" si="52"/>
        <v>726423.55251900002</v>
      </c>
      <c r="N491" s="26"/>
      <c r="O491" s="921">
        <v>0.93490804699999996</v>
      </c>
    </row>
    <row r="492" spans="1:19" ht="18.95" customHeight="1">
      <c r="A492" s="573"/>
      <c r="B492" s="1069" t="s">
        <v>273</v>
      </c>
      <c r="C492" s="368" t="s">
        <v>660</v>
      </c>
      <c r="D492" s="368"/>
      <c r="E492" s="25">
        <v>170</v>
      </c>
      <c r="F492" s="30" t="s">
        <v>211</v>
      </c>
      <c r="G492" s="759">
        <v>1650</v>
      </c>
      <c r="H492" s="242">
        <f t="shared" si="48"/>
        <v>1542.5982775499999</v>
      </c>
      <c r="I492" s="25">
        <f t="shared" si="49"/>
        <v>262241.7071835</v>
      </c>
      <c r="J492" s="759">
        <v>500</v>
      </c>
      <c r="K492" s="25">
        <f t="shared" si="50"/>
        <v>467.45402350000001</v>
      </c>
      <c r="L492" s="72">
        <f t="shared" si="51"/>
        <v>79467.183994999999</v>
      </c>
      <c r="M492" s="72">
        <f>SUM(I492,L492)</f>
        <v>341708.89117850002</v>
      </c>
      <c r="N492" s="72"/>
      <c r="O492" s="921">
        <v>0.93490804699999996</v>
      </c>
    </row>
    <row r="493" spans="1:19" ht="18.95" customHeight="1">
      <c r="A493" s="573"/>
      <c r="B493" s="527" t="s">
        <v>273</v>
      </c>
      <c r="C493" s="399" t="s">
        <v>661</v>
      </c>
      <c r="D493" s="286"/>
      <c r="E493" s="25" t="s">
        <v>662</v>
      </c>
      <c r="F493" s="30"/>
      <c r="G493" s="759"/>
      <c r="H493" s="242"/>
      <c r="I493" s="25"/>
      <c r="J493" s="759"/>
      <c r="K493" s="25"/>
      <c r="L493" s="72"/>
      <c r="M493" s="72"/>
      <c r="N493" s="288" t="s">
        <v>663</v>
      </c>
      <c r="O493" s="921">
        <v>0.93490804699999996</v>
      </c>
      <c r="R493" s="1070"/>
      <c r="S493" s="1071"/>
    </row>
    <row r="494" spans="1:19" ht="18.95" customHeight="1">
      <c r="A494" s="573"/>
      <c r="B494" s="527" t="s">
        <v>273</v>
      </c>
      <c r="C494" s="368" t="s">
        <v>664</v>
      </c>
      <c r="D494" s="24"/>
      <c r="E494" s="25" t="s">
        <v>662</v>
      </c>
      <c r="F494" s="30"/>
      <c r="G494" s="759"/>
      <c r="H494" s="242"/>
      <c r="I494" s="25"/>
      <c r="J494" s="759"/>
      <c r="K494" s="25"/>
      <c r="L494" s="72"/>
      <c r="M494" s="72"/>
      <c r="N494" s="288" t="s">
        <v>663</v>
      </c>
      <c r="O494" s="921">
        <v>0.93490804699999996</v>
      </c>
      <c r="R494" s="1070"/>
      <c r="S494" s="1071"/>
    </row>
    <row r="495" spans="1:19" ht="18.95" customHeight="1">
      <c r="A495" s="667">
        <v>7.7</v>
      </c>
      <c r="B495" s="1018" t="s">
        <v>665</v>
      </c>
      <c r="C495" s="399"/>
      <c r="D495" s="267"/>
      <c r="E495" s="25"/>
      <c r="F495" s="30"/>
      <c r="G495" s="759"/>
      <c r="H495" s="242"/>
      <c r="I495" s="25"/>
      <c r="J495" s="759"/>
      <c r="K495" s="25"/>
      <c r="L495" s="72"/>
      <c r="M495" s="72"/>
      <c r="N495" s="26"/>
      <c r="O495" s="921">
        <v>0.93490804699999996</v>
      </c>
      <c r="R495" s="1070"/>
      <c r="S495" s="1071"/>
    </row>
    <row r="496" spans="1:19" ht="18.95" customHeight="1">
      <c r="A496" s="573"/>
      <c r="B496" s="527" t="s">
        <v>273</v>
      </c>
      <c r="C496" s="142" t="s">
        <v>666</v>
      </c>
      <c r="D496" s="267"/>
      <c r="E496" s="25">
        <v>55</v>
      </c>
      <c r="F496" s="30" t="s">
        <v>211</v>
      </c>
      <c r="G496" s="759">
        <v>343</v>
      </c>
      <c r="H496" s="242">
        <f t="shared" si="48"/>
        <v>320.67346012100001</v>
      </c>
      <c r="I496" s="25">
        <f t="shared" ref="I496:I509" si="53">E496*H496</f>
        <v>17637.040306654999</v>
      </c>
      <c r="J496" s="759">
        <v>104</v>
      </c>
      <c r="K496" s="25">
        <f t="shared" si="50"/>
        <v>97.230436888</v>
      </c>
      <c r="L496" s="72">
        <f t="shared" si="51"/>
        <v>5347.6740288399997</v>
      </c>
      <c r="M496" s="72">
        <f>SUM(I496+L496)</f>
        <v>22984.714335494999</v>
      </c>
      <c r="N496" s="26"/>
      <c r="O496" s="921">
        <v>0.93490804699999996</v>
      </c>
      <c r="R496" s="1070"/>
      <c r="S496" s="1071"/>
    </row>
    <row r="497" spans="1:19" ht="18.95" customHeight="1">
      <c r="A497" s="573"/>
      <c r="B497" s="527"/>
      <c r="C497" s="142"/>
      <c r="D497" s="267"/>
      <c r="E497" s="25"/>
      <c r="F497" s="30"/>
      <c r="G497" s="759"/>
      <c r="H497" s="242"/>
      <c r="I497" s="25"/>
      <c r="J497" s="759"/>
      <c r="K497" s="25"/>
      <c r="L497" s="72"/>
      <c r="M497" s="72"/>
      <c r="N497" s="26"/>
      <c r="O497" s="921">
        <v>0.93490804699999996</v>
      </c>
      <c r="R497" s="1070"/>
      <c r="S497" s="1071"/>
    </row>
    <row r="498" spans="1:19" ht="18.95" customHeight="1">
      <c r="A498" s="573"/>
      <c r="B498" s="527" t="s">
        <v>273</v>
      </c>
      <c r="C498" s="142" t="s">
        <v>667</v>
      </c>
      <c r="D498" s="24"/>
      <c r="E498" s="25">
        <v>9</v>
      </c>
      <c r="F498" s="30" t="s">
        <v>211</v>
      </c>
      <c r="G498" s="759">
        <v>343</v>
      </c>
      <c r="H498" s="242">
        <f t="shared" si="48"/>
        <v>320.67346012100001</v>
      </c>
      <c r="I498" s="25">
        <f t="shared" si="53"/>
        <v>2886.0611410890001</v>
      </c>
      <c r="J498" s="759">
        <v>104</v>
      </c>
      <c r="K498" s="25">
        <f t="shared" si="50"/>
        <v>97.230436888</v>
      </c>
      <c r="L498" s="72">
        <f t="shared" si="51"/>
        <v>875.07393199199998</v>
      </c>
      <c r="M498" s="72">
        <f t="shared" ref="M498:M503" si="54">SUM(I498+L498)</f>
        <v>3761.135073081</v>
      </c>
      <c r="N498" s="26"/>
      <c r="O498" s="921">
        <v>0.93490804699999996</v>
      </c>
      <c r="R498" s="1070"/>
      <c r="S498" s="1071"/>
    </row>
    <row r="499" spans="1:19" ht="18.95" customHeight="1">
      <c r="A499" s="539"/>
      <c r="B499" s="527" t="s">
        <v>273</v>
      </c>
      <c r="C499" s="399" t="s">
        <v>668</v>
      </c>
      <c r="D499" s="286"/>
      <c r="E499" s="25">
        <v>60</v>
      </c>
      <c r="F499" s="30" t="s">
        <v>275</v>
      </c>
      <c r="G499" s="759">
        <v>0</v>
      </c>
      <c r="H499" s="242">
        <f t="shared" si="48"/>
        <v>0</v>
      </c>
      <c r="I499" s="25">
        <f t="shared" si="53"/>
        <v>0</v>
      </c>
      <c r="J499" s="759">
        <v>30</v>
      </c>
      <c r="K499" s="25">
        <f t="shared" si="50"/>
        <v>28.047241409999998</v>
      </c>
      <c r="L499" s="72">
        <f t="shared" si="51"/>
        <v>1682.8344846</v>
      </c>
      <c r="M499" s="72">
        <f t="shared" si="54"/>
        <v>1682.8344846</v>
      </c>
      <c r="N499" s="26"/>
      <c r="O499" s="921">
        <v>0.93490804699999996</v>
      </c>
      <c r="R499" s="1070"/>
      <c r="S499" s="1071"/>
    </row>
    <row r="500" spans="1:19" s="725" customFormat="1" ht="18.95" customHeight="1">
      <c r="A500" s="981"/>
      <c r="B500" s="527" t="s">
        <v>273</v>
      </c>
      <c r="C500" s="399" t="s">
        <v>669</v>
      </c>
      <c r="D500" s="303"/>
      <c r="E500" s="25">
        <v>16</v>
      </c>
      <c r="F500" s="30" t="s">
        <v>275</v>
      </c>
      <c r="G500" s="759">
        <v>1100</v>
      </c>
      <c r="H500" s="242">
        <f t="shared" si="48"/>
        <v>1028.3988517</v>
      </c>
      <c r="I500" s="25">
        <f t="shared" si="53"/>
        <v>16454.3816272</v>
      </c>
      <c r="J500" s="759">
        <v>470</v>
      </c>
      <c r="K500" s="25">
        <f t="shared" si="50"/>
        <v>439.40678208999998</v>
      </c>
      <c r="L500" s="72">
        <f t="shared" si="51"/>
        <v>7030.5085134399997</v>
      </c>
      <c r="M500" s="72">
        <f t="shared" si="54"/>
        <v>23484.89014064</v>
      </c>
      <c r="N500" s="26"/>
      <c r="O500" s="921">
        <v>0.93490804699999996</v>
      </c>
      <c r="P500" s="986" t="s">
        <v>214</v>
      </c>
      <c r="Q500" s="986"/>
      <c r="R500" s="1072"/>
      <c r="S500" s="1073"/>
    </row>
    <row r="501" spans="1:19" ht="18.95" customHeight="1">
      <c r="A501" s="981"/>
      <c r="B501" s="527" t="s">
        <v>273</v>
      </c>
      <c r="C501" s="399" t="s">
        <v>670</v>
      </c>
      <c r="D501" s="368"/>
      <c r="E501" s="25">
        <v>27</v>
      </c>
      <c r="F501" s="30" t="s">
        <v>275</v>
      </c>
      <c r="G501" s="759">
        <v>34</v>
      </c>
      <c r="H501" s="242">
        <f t="shared" si="48"/>
        <v>31.786873598</v>
      </c>
      <c r="I501" s="25">
        <f t="shared" si="53"/>
        <v>858.24558714599993</v>
      </c>
      <c r="J501" s="759">
        <v>70</v>
      </c>
      <c r="K501" s="25">
        <f t="shared" si="50"/>
        <v>65.44356329</v>
      </c>
      <c r="L501" s="72">
        <f t="shared" si="51"/>
        <v>1766.9762088299999</v>
      </c>
      <c r="M501" s="72">
        <f t="shared" si="54"/>
        <v>2625.2217959760001</v>
      </c>
      <c r="N501" s="26"/>
      <c r="O501" s="921">
        <v>0.93490804699999996</v>
      </c>
      <c r="R501" s="1070"/>
      <c r="S501" s="1071"/>
    </row>
    <row r="502" spans="1:19" ht="18.95" customHeight="1">
      <c r="A502" s="573"/>
      <c r="B502" s="527" t="s">
        <v>273</v>
      </c>
      <c r="C502" s="399" t="s">
        <v>671</v>
      </c>
      <c r="D502" s="1017"/>
      <c r="E502" s="25">
        <v>11</v>
      </c>
      <c r="F502" s="30" t="s">
        <v>275</v>
      </c>
      <c r="G502" s="759">
        <v>1850</v>
      </c>
      <c r="H502" s="242">
        <f t="shared" si="48"/>
        <v>1729.5798869499999</v>
      </c>
      <c r="I502" s="25">
        <f t="shared" si="53"/>
        <v>19025.378756449998</v>
      </c>
      <c r="J502" s="759">
        <v>500</v>
      </c>
      <c r="K502" s="25">
        <f t="shared" si="50"/>
        <v>467.45402350000001</v>
      </c>
      <c r="L502" s="72">
        <f t="shared" si="51"/>
        <v>5141.9942584999999</v>
      </c>
      <c r="M502" s="72">
        <f t="shared" si="54"/>
        <v>24167.373014949997</v>
      </c>
      <c r="N502" s="26"/>
      <c r="O502" s="921">
        <v>0.93490804699999996</v>
      </c>
      <c r="R502" s="1071"/>
      <c r="S502" s="1071"/>
    </row>
    <row r="503" spans="1:19" ht="18.95" customHeight="1">
      <c r="A503" s="573"/>
      <c r="B503" s="527" t="s">
        <v>273</v>
      </c>
      <c r="C503" s="47" t="s">
        <v>672</v>
      </c>
      <c r="D503" s="24"/>
      <c r="E503" s="25">
        <v>1</v>
      </c>
      <c r="F503" s="30" t="s">
        <v>349</v>
      </c>
      <c r="G503" s="759">
        <v>8000</v>
      </c>
      <c r="H503" s="242">
        <f t="shared" si="48"/>
        <v>7479.2643760000001</v>
      </c>
      <c r="I503" s="25">
        <f t="shared" si="53"/>
        <v>7479.2643760000001</v>
      </c>
      <c r="J503" s="765">
        <v>0</v>
      </c>
      <c r="K503" s="25">
        <f t="shared" si="50"/>
        <v>0</v>
      </c>
      <c r="L503" s="72">
        <f t="shared" si="51"/>
        <v>0</v>
      </c>
      <c r="M503" s="72">
        <f t="shared" si="54"/>
        <v>7479.2643760000001</v>
      </c>
      <c r="N503" s="26"/>
      <c r="O503" s="921">
        <v>0.93490804699999996</v>
      </c>
    </row>
    <row r="504" spans="1:19" ht="18.95" customHeight="1">
      <c r="A504" s="667">
        <v>7.8</v>
      </c>
      <c r="B504" s="1018" t="s">
        <v>673</v>
      </c>
      <c r="C504" s="399"/>
      <c r="D504" s="209"/>
      <c r="E504" s="25"/>
      <c r="F504" s="30"/>
      <c r="G504" s="759"/>
      <c r="H504" s="242"/>
      <c r="I504" s="25"/>
      <c r="J504" s="759"/>
      <c r="K504" s="25"/>
      <c r="L504" s="72"/>
      <c r="M504" s="72"/>
      <c r="N504" s="26"/>
      <c r="O504" s="921">
        <v>0.93490804699999996</v>
      </c>
      <c r="R504" s="1071"/>
      <c r="S504" s="1071"/>
    </row>
    <row r="505" spans="1:19" ht="18.95" customHeight="1">
      <c r="A505" s="667"/>
      <c r="B505" s="527" t="s">
        <v>273</v>
      </c>
      <c r="C505" s="399" t="s">
        <v>638</v>
      </c>
      <c r="D505" s="368"/>
      <c r="E505" s="25">
        <v>7</v>
      </c>
      <c r="F505" s="30" t="s">
        <v>275</v>
      </c>
      <c r="G505" s="759">
        <v>113</v>
      </c>
      <c r="H505" s="242">
        <f t="shared" si="48"/>
        <v>105.644609311</v>
      </c>
      <c r="I505" s="25">
        <f t="shared" si="53"/>
        <v>739.51226517700002</v>
      </c>
      <c r="J505" s="759">
        <v>179</v>
      </c>
      <c r="K505" s="25">
        <f t="shared" si="50"/>
        <v>167.34854041299999</v>
      </c>
      <c r="L505" s="72">
        <f t="shared" si="51"/>
        <v>1171.439782891</v>
      </c>
      <c r="M505" s="72">
        <f>SUM(I505+L505)</f>
        <v>1910.9520480680001</v>
      </c>
      <c r="N505" s="26"/>
      <c r="O505" s="921">
        <v>0.93490804699999996</v>
      </c>
    </row>
    <row r="506" spans="1:19" ht="18.95" customHeight="1">
      <c r="A506" s="667"/>
      <c r="B506" s="527" t="s">
        <v>273</v>
      </c>
      <c r="C506" s="399" t="s">
        <v>640</v>
      </c>
      <c r="D506" s="368"/>
      <c r="E506" s="25">
        <v>9</v>
      </c>
      <c r="F506" s="30" t="s">
        <v>275</v>
      </c>
      <c r="G506" s="759">
        <v>200</v>
      </c>
      <c r="H506" s="242">
        <f t="shared" si="48"/>
        <v>186.9816094</v>
      </c>
      <c r="I506" s="25">
        <f t="shared" si="53"/>
        <v>1682.8344846</v>
      </c>
      <c r="J506" s="759">
        <v>80</v>
      </c>
      <c r="K506" s="25">
        <f t="shared" si="50"/>
        <v>74.792643760000004</v>
      </c>
      <c r="L506" s="72">
        <f t="shared" si="51"/>
        <v>673.13379384000007</v>
      </c>
      <c r="M506" s="72">
        <f>SUM(I506+L506)</f>
        <v>2355.9682784400002</v>
      </c>
      <c r="N506" s="26"/>
      <c r="O506" s="921">
        <v>0.93490804699999996</v>
      </c>
    </row>
    <row r="507" spans="1:19" ht="18.95" customHeight="1">
      <c r="A507" s="667">
        <v>7.9</v>
      </c>
      <c r="B507" s="1018" t="s">
        <v>674</v>
      </c>
      <c r="C507" s="399"/>
      <c r="D507" s="545"/>
      <c r="E507" s="25"/>
      <c r="F507" s="30"/>
      <c r="G507" s="759"/>
      <c r="H507" s="242"/>
      <c r="I507" s="25"/>
      <c r="J507" s="759"/>
      <c r="K507" s="25"/>
      <c r="L507" s="72"/>
      <c r="M507" s="72"/>
      <c r="N507" s="26"/>
      <c r="O507" s="921">
        <v>0.93490804699999996</v>
      </c>
    </row>
    <row r="508" spans="1:19" ht="18.95" customHeight="1">
      <c r="A508" s="573"/>
      <c r="B508" s="527" t="s">
        <v>273</v>
      </c>
      <c r="C508" s="399" t="s">
        <v>675</v>
      </c>
      <c r="D508" s="286"/>
      <c r="E508" s="25">
        <v>5</v>
      </c>
      <c r="F508" s="30" t="s">
        <v>275</v>
      </c>
      <c r="G508" s="759">
        <v>54</v>
      </c>
      <c r="H508" s="242">
        <f t="shared" si="48"/>
        <v>50.485034538000001</v>
      </c>
      <c r="I508" s="25">
        <f t="shared" si="53"/>
        <v>252.42517269000001</v>
      </c>
      <c r="J508" s="759">
        <v>41</v>
      </c>
      <c r="K508" s="25">
        <f t="shared" si="50"/>
        <v>38.331229926999995</v>
      </c>
      <c r="L508" s="72">
        <f t="shared" si="51"/>
        <v>191.65614963499996</v>
      </c>
      <c r="M508" s="72">
        <f>SUM(I508+L508)</f>
        <v>444.08132232499997</v>
      </c>
      <c r="N508" s="72"/>
      <c r="O508" s="921">
        <v>0.93490804699999996</v>
      </c>
    </row>
    <row r="509" spans="1:19" ht="18.95" customHeight="1">
      <c r="A509" s="573"/>
      <c r="B509" s="527" t="s">
        <v>273</v>
      </c>
      <c r="C509" s="399" t="s">
        <v>632</v>
      </c>
      <c r="D509" s="286"/>
      <c r="E509" s="25">
        <v>7</v>
      </c>
      <c r="F509" s="30" t="s">
        <v>275</v>
      </c>
      <c r="G509" s="759">
        <v>190</v>
      </c>
      <c r="H509" s="242">
        <f t="shared" si="48"/>
        <v>177.63252893000001</v>
      </c>
      <c r="I509" s="25">
        <f t="shared" si="53"/>
        <v>1243.42770251</v>
      </c>
      <c r="J509" s="759">
        <v>42</v>
      </c>
      <c r="K509" s="25">
        <f t="shared" si="50"/>
        <v>39.266137973999996</v>
      </c>
      <c r="L509" s="72">
        <f t="shared" si="51"/>
        <v>274.86296581799996</v>
      </c>
      <c r="M509" s="72">
        <f>SUM(I509+L509)</f>
        <v>1518.290668328</v>
      </c>
      <c r="N509" s="72"/>
      <c r="O509" s="921">
        <v>0.93490804699999996</v>
      </c>
    </row>
    <row r="510" spans="1:19" ht="18.95" customHeight="1">
      <c r="A510" s="539">
        <v>7.1</v>
      </c>
      <c r="B510" s="1018" t="s">
        <v>676</v>
      </c>
      <c r="C510" s="399"/>
      <c r="D510" s="24"/>
      <c r="E510" s="25"/>
      <c r="F510" s="1068"/>
      <c r="G510" s="759"/>
      <c r="H510" s="242"/>
      <c r="I510" s="25"/>
      <c r="J510" s="759"/>
      <c r="K510" s="25"/>
      <c r="L510" s="72"/>
      <c r="M510" s="72"/>
      <c r="N510" s="72"/>
      <c r="O510" s="921">
        <v>0.93490804699999996</v>
      </c>
    </row>
    <row r="511" spans="1:19" ht="18.95" customHeight="1">
      <c r="A511" s="115"/>
      <c r="B511" s="527" t="s">
        <v>273</v>
      </c>
      <c r="C511" s="399" t="s">
        <v>677</v>
      </c>
      <c r="D511" s="286"/>
      <c r="E511" s="25">
        <v>1180</v>
      </c>
      <c r="F511" s="1068" t="s">
        <v>397</v>
      </c>
      <c r="G511" s="998">
        <v>24.97</v>
      </c>
      <c r="H511" s="242">
        <f t="shared" si="48"/>
        <v>23.344653933589999</v>
      </c>
      <c r="I511" s="25">
        <f t="shared" ref="I511:I523" si="55">E511*H511</f>
        <v>27546.6916416362</v>
      </c>
      <c r="J511" s="998">
        <v>14</v>
      </c>
      <c r="K511" s="25">
        <f t="shared" si="50"/>
        <v>13.088712657999999</v>
      </c>
      <c r="L511" s="72">
        <f t="shared" si="51"/>
        <v>15444.680936439998</v>
      </c>
      <c r="M511" s="72">
        <f>SUM(I511+L511)</f>
        <v>42991.372578076196</v>
      </c>
      <c r="N511" s="72"/>
      <c r="O511" s="921">
        <v>0.93490804699999996</v>
      </c>
    </row>
    <row r="512" spans="1:19" ht="18.95" customHeight="1">
      <c r="A512" s="115"/>
      <c r="B512" s="527" t="s">
        <v>273</v>
      </c>
      <c r="C512" s="399" t="s">
        <v>678</v>
      </c>
      <c r="D512" s="286"/>
      <c r="E512" s="25">
        <v>19</v>
      </c>
      <c r="F512" s="1068" t="s">
        <v>275</v>
      </c>
      <c r="G512" s="759">
        <v>247</v>
      </c>
      <c r="H512" s="242">
        <f t="shared" si="48"/>
        <v>230.92228760899999</v>
      </c>
      <c r="I512" s="25">
        <f t="shared" si="55"/>
        <v>4387.5234645709997</v>
      </c>
      <c r="J512" s="759">
        <v>74</v>
      </c>
      <c r="K512" s="25">
        <f t="shared" si="50"/>
        <v>69.183195478000002</v>
      </c>
      <c r="L512" s="72">
        <f t="shared" si="51"/>
        <v>1314.4807140820001</v>
      </c>
      <c r="M512" s="72">
        <f>SUM(I512,L512)</f>
        <v>5702.0041786530001</v>
      </c>
      <c r="N512" s="72"/>
      <c r="O512" s="921">
        <v>0.93490804699999996</v>
      </c>
    </row>
    <row r="513" spans="1:15" ht="18.95" customHeight="1">
      <c r="A513" s="115"/>
      <c r="B513" s="527" t="s">
        <v>273</v>
      </c>
      <c r="C513" s="399" t="s">
        <v>679</v>
      </c>
      <c r="D513" s="286"/>
      <c r="E513" s="25">
        <v>4</v>
      </c>
      <c r="F513" s="1068" t="s">
        <v>275</v>
      </c>
      <c r="G513" s="759">
        <v>321</v>
      </c>
      <c r="H513" s="242">
        <f t="shared" si="48"/>
        <v>300.10548308699998</v>
      </c>
      <c r="I513" s="25">
        <f t="shared" si="55"/>
        <v>1200.4219323479999</v>
      </c>
      <c r="J513" s="759">
        <v>96</v>
      </c>
      <c r="K513" s="25">
        <f t="shared" si="50"/>
        <v>89.751172511999997</v>
      </c>
      <c r="L513" s="72">
        <f t="shared" si="51"/>
        <v>359.00469004799999</v>
      </c>
      <c r="M513" s="72">
        <f>SUM(I513,L513)</f>
        <v>1559.4266223959999</v>
      </c>
      <c r="N513" s="72"/>
      <c r="O513" s="921">
        <v>0.93490804699999996</v>
      </c>
    </row>
    <row r="514" spans="1:15" ht="18.95" customHeight="1">
      <c r="A514" s="539"/>
      <c r="B514" s="527" t="s">
        <v>273</v>
      </c>
      <c r="C514" s="368" t="s">
        <v>680</v>
      </c>
      <c r="D514" s="286"/>
      <c r="E514" s="25" t="s">
        <v>662</v>
      </c>
      <c r="F514" s="1068"/>
      <c r="G514" s="759"/>
      <c r="H514" s="242"/>
      <c r="I514" s="25"/>
      <c r="J514" s="759"/>
      <c r="K514" s="25"/>
      <c r="L514" s="72"/>
      <c r="M514" s="72"/>
      <c r="N514" s="288" t="s">
        <v>663</v>
      </c>
      <c r="O514" s="921">
        <v>0.93490804699999996</v>
      </c>
    </row>
    <row r="515" spans="1:15" ht="18.95" customHeight="1">
      <c r="A515" s="539"/>
      <c r="B515" s="527" t="s">
        <v>273</v>
      </c>
      <c r="C515" s="399" t="s">
        <v>681</v>
      </c>
      <c r="D515" s="286" t="s">
        <v>151</v>
      </c>
      <c r="E515" s="25">
        <v>11</v>
      </c>
      <c r="F515" s="1068" t="s">
        <v>275</v>
      </c>
      <c r="G515" s="759">
        <v>660</v>
      </c>
      <c r="H515" s="242">
        <f t="shared" si="48"/>
        <v>617.03931102000001</v>
      </c>
      <c r="I515" s="25">
        <f t="shared" si="55"/>
        <v>6787.4324212199999</v>
      </c>
      <c r="J515" s="759">
        <v>310</v>
      </c>
      <c r="K515" s="25">
        <f t="shared" si="50"/>
        <v>289.82149456999997</v>
      </c>
      <c r="L515" s="72">
        <f t="shared" si="51"/>
        <v>3188.0364402699997</v>
      </c>
      <c r="M515" s="72">
        <f>SUM(I515,L515)</f>
        <v>9975.4688614900006</v>
      </c>
      <c r="N515" s="72"/>
      <c r="O515" s="921">
        <v>0.93490804699999996</v>
      </c>
    </row>
    <row r="516" spans="1:15" ht="18.95" customHeight="1">
      <c r="A516" s="115"/>
      <c r="B516" s="527" t="s">
        <v>273</v>
      </c>
      <c r="C516" s="399" t="s">
        <v>664</v>
      </c>
      <c r="D516" s="286"/>
      <c r="E516" s="25" t="s">
        <v>662</v>
      </c>
      <c r="F516" s="30"/>
      <c r="G516" s="759"/>
      <c r="H516" s="242"/>
      <c r="I516" s="25"/>
      <c r="J516" s="759"/>
      <c r="K516" s="25"/>
      <c r="L516" s="72"/>
      <c r="M516" s="72"/>
      <c r="N516" s="288" t="s">
        <v>663</v>
      </c>
      <c r="O516" s="921">
        <v>0.93490804699999996</v>
      </c>
    </row>
    <row r="517" spans="1:15" ht="18.95" customHeight="1">
      <c r="A517" s="539">
        <v>7.11</v>
      </c>
      <c r="B517" s="1018" t="s">
        <v>682</v>
      </c>
      <c r="C517" s="399"/>
      <c r="D517" s="24"/>
      <c r="E517" s="25"/>
      <c r="F517" s="1068"/>
      <c r="G517" s="759"/>
      <c r="H517" s="242"/>
      <c r="I517" s="25"/>
      <c r="J517" s="759"/>
      <c r="K517" s="25"/>
      <c r="L517" s="72"/>
      <c r="M517" s="72"/>
      <c r="N517" s="26"/>
      <c r="O517" s="921">
        <v>0.93490804699999996</v>
      </c>
    </row>
    <row r="518" spans="1:15" ht="18.95" customHeight="1">
      <c r="A518" s="115"/>
      <c r="B518" s="527" t="s">
        <v>273</v>
      </c>
      <c r="C518" s="399" t="s">
        <v>677</v>
      </c>
      <c r="D518" s="286"/>
      <c r="E518" s="25">
        <v>6050</v>
      </c>
      <c r="F518" s="1068" t="s">
        <v>397</v>
      </c>
      <c r="G518" s="998">
        <v>24.97</v>
      </c>
      <c r="H518" s="242">
        <f t="shared" si="48"/>
        <v>23.344653933589999</v>
      </c>
      <c r="I518" s="25">
        <f t="shared" si="55"/>
        <v>141235.15629821949</v>
      </c>
      <c r="J518" s="998">
        <v>14</v>
      </c>
      <c r="K518" s="25">
        <f t="shared" si="50"/>
        <v>13.088712657999999</v>
      </c>
      <c r="L518" s="72">
        <f t="shared" si="51"/>
        <v>79186.711580899995</v>
      </c>
      <c r="M518" s="72">
        <f>SUM(I518+L518)</f>
        <v>220421.86787911947</v>
      </c>
      <c r="N518" s="26"/>
      <c r="O518" s="921">
        <v>0.93490804699999996</v>
      </c>
    </row>
    <row r="519" spans="1:15" ht="18.95" customHeight="1">
      <c r="A519" s="115"/>
      <c r="B519" s="527" t="s">
        <v>273</v>
      </c>
      <c r="C519" s="399" t="s">
        <v>683</v>
      </c>
      <c r="D519" s="286"/>
      <c r="E519" s="25">
        <v>61</v>
      </c>
      <c r="F519" s="1068" t="s">
        <v>275</v>
      </c>
      <c r="G519" s="759">
        <v>181</v>
      </c>
      <c r="H519" s="242">
        <f t="shared" si="48"/>
        <v>169.21835650699998</v>
      </c>
      <c r="I519" s="25">
        <f t="shared" si="55"/>
        <v>10322.319746926998</v>
      </c>
      <c r="J519" s="759">
        <v>158</v>
      </c>
      <c r="K519" s="25">
        <f t="shared" si="50"/>
        <v>147.71547142599999</v>
      </c>
      <c r="L519" s="72">
        <f t="shared" si="51"/>
        <v>9010.6437569859991</v>
      </c>
      <c r="M519" s="72">
        <f>SUM(I519+L519)</f>
        <v>19332.963503912997</v>
      </c>
      <c r="N519" s="72"/>
      <c r="O519" s="921">
        <v>0.93490804699999996</v>
      </c>
    </row>
    <row r="520" spans="1:15" ht="18.95" customHeight="1">
      <c r="A520" s="115"/>
      <c r="B520" s="527" t="s">
        <v>273</v>
      </c>
      <c r="C520" s="399" t="s">
        <v>684</v>
      </c>
      <c r="D520" s="286"/>
      <c r="E520" s="25">
        <v>8</v>
      </c>
      <c r="F520" s="1068" t="s">
        <v>211</v>
      </c>
      <c r="G520" s="759">
        <v>381</v>
      </c>
      <c r="H520" s="242">
        <f t="shared" si="48"/>
        <v>356.19996590699998</v>
      </c>
      <c r="I520" s="25">
        <f t="shared" si="55"/>
        <v>2849.5997272559998</v>
      </c>
      <c r="J520" s="759">
        <v>222</v>
      </c>
      <c r="K520" s="25">
        <f t="shared" si="50"/>
        <v>207.54958643399999</v>
      </c>
      <c r="L520" s="72">
        <f t="shared" si="51"/>
        <v>1660.3966914719999</v>
      </c>
      <c r="M520" s="72">
        <f>SUM(I520+L520)</f>
        <v>4509.9964187280002</v>
      </c>
      <c r="N520" s="72"/>
      <c r="O520" s="921">
        <v>0.93490804699999996</v>
      </c>
    </row>
    <row r="521" spans="1:15" ht="18.95" customHeight="1">
      <c r="A521" s="115"/>
      <c r="B521" s="527" t="s">
        <v>273</v>
      </c>
      <c r="C521" s="399" t="s">
        <v>685</v>
      </c>
      <c r="D521" s="286"/>
      <c r="E521" s="25">
        <v>67</v>
      </c>
      <c r="F521" s="1068" t="s">
        <v>275</v>
      </c>
      <c r="G521" s="759">
        <v>150</v>
      </c>
      <c r="H521" s="242">
        <f t="shared" si="48"/>
        <v>140.23620704999999</v>
      </c>
      <c r="I521" s="25">
        <f t="shared" si="55"/>
        <v>9395.8258723499985</v>
      </c>
      <c r="J521" s="759">
        <v>130</v>
      </c>
      <c r="K521" s="25">
        <f t="shared" si="50"/>
        <v>121.53804611</v>
      </c>
      <c r="L521" s="72">
        <f t="shared" si="51"/>
        <v>8143.0490893699998</v>
      </c>
      <c r="M521" s="72">
        <f>SUM(I521+L521)</f>
        <v>17538.874961719997</v>
      </c>
      <c r="N521" s="72"/>
      <c r="O521" s="921">
        <v>0.93490804699999996</v>
      </c>
    </row>
    <row r="522" spans="1:15" ht="18.95" customHeight="1">
      <c r="A522" s="115"/>
      <c r="B522" s="527" t="s">
        <v>273</v>
      </c>
      <c r="C522" s="368" t="s">
        <v>680</v>
      </c>
      <c r="D522" s="286"/>
      <c r="E522" s="25" t="s">
        <v>662</v>
      </c>
      <c r="F522" s="1068"/>
      <c r="G522" s="759"/>
      <c r="H522" s="242">
        <f t="shared" si="48"/>
        <v>0</v>
      </c>
      <c r="I522" s="25"/>
      <c r="J522" s="759"/>
      <c r="K522" s="25"/>
      <c r="L522" s="72"/>
      <c r="M522" s="72"/>
      <c r="N522" s="288" t="s">
        <v>663</v>
      </c>
      <c r="O522" s="921">
        <v>0.93490804699999996</v>
      </c>
    </row>
    <row r="523" spans="1:15" ht="18.95" customHeight="1">
      <c r="A523" s="115"/>
      <c r="B523" s="527" t="s">
        <v>273</v>
      </c>
      <c r="C523" s="399" t="s">
        <v>686</v>
      </c>
      <c r="D523" s="286" t="s">
        <v>151</v>
      </c>
      <c r="E523" s="25">
        <v>39</v>
      </c>
      <c r="F523" s="1068" t="s">
        <v>275</v>
      </c>
      <c r="G523" s="759">
        <v>660</v>
      </c>
      <c r="H523" s="242">
        <f t="shared" si="48"/>
        <v>617.03931102000001</v>
      </c>
      <c r="I523" s="25">
        <f t="shared" si="55"/>
        <v>24064.53312978</v>
      </c>
      <c r="J523" s="759">
        <v>310</v>
      </c>
      <c r="K523" s="25">
        <f t="shared" si="50"/>
        <v>289.82149456999997</v>
      </c>
      <c r="L523" s="72">
        <f t="shared" si="51"/>
        <v>11303.038288229998</v>
      </c>
      <c r="M523" s="72">
        <f>SUM(I523+L523)</f>
        <v>35367.571418009997</v>
      </c>
      <c r="N523" s="26"/>
      <c r="O523" s="921">
        <v>0.93490804699999996</v>
      </c>
    </row>
    <row r="524" spans="1:15" ht="18.95" customHeight="1">
      <c r="A524" s="115"/>
      <c r="B524" s="527" t="s">
        <v>273</v>
      </c>
      <c r="C524" s="399" t="s">
        <v>664</v>
      </c>
      <c r="D524" s="286"/>
      <c r="E524" s="25" t="s">
        <v>662</v>
      </c>
      <c r="F524" s="30"/>
      <c r="G524" s="759"/>
      <c r="H524" s="242"/>
      <c r="I524" s="25"/>
      <c r="J524" s="759"/>
      <c r="K524" s="25"/>
      <c r="L524" s="72"/>
      <c r="M524" s="72"/>
      <c r="N524" s="288" t="s">
        <v>663</v>
      </c>
      <c r="O524" s="921">
        <v>0.93490804699999996</v>
      </c>
    </row>
    <row r="525" spans="1:15" ht="18.95" customHeight="1">
      <c r="A525" s="115"/>
      <c r="B525" s="527"/>
      <c r="C525" s="399"/>
      <c r="D525" s="286"/>
      <c r="E525" s="25"/>
      <c r="F525" s="1068"/>
      <c r="G525" s="759"/>
      <c r="H525" s="242"/>
      <c r="I525" s="25"/>
      <c r="J525" s="759"/>
      <c r="K525" s="25"/>
      <c r="L525" s="72"/>
      <c r="M525" s="72"/>
      <c r="N525" s="72"/>
      <c r="O525" s="921">
        <v>0.93490804699999996</v>
      </c>
    </row>
    <row r="526" spans="1:15" ht="18.95" customHeight="1">
      <c r="A526" s="115"/>
      <c r="B526" s="527"/>
      <c r="C526" s="399"/>
      <c r="D526" s="286"/>
      <c r="E526" s="25"/>
      <c r="F526" s="1068"/>
      <c r="G526" s="759"/>
      <c r="H526" s="242"/>
      <c r="I526" s="25"/>
      <c r="J526" s="759"/>
      <c r="K526" s="25"/>
      <c r="L526" s="72"/>
      <c r="M526" s="72"/>
      <c r="N526" s="26"/>
      <c r="O526" s="921">
        <v>0.93490804699999996</v>
      </c>
    </row>
    <row r="527" spans="1:15" ht="18.95" customHeight="1">
      <c r="A527" s="539">
        <v>7.12</v>
      </c>
      <c r="B527" s="1018" t="s">
        <v>687</v>
      </c>
      <c r="C527" s="399"/>
      <c r="D527" s="24"/>
      <c r="E527" s="25"/>
      <c r="F527" s="30"/>
      <c r="G527" s="759"/>
      <c r="H527" s="242"/>
      <c r="I527" s="25"/>
      <c r="J527" s="759"/>
      <c r="K527" s="25"/>
      <c r="L527" s="72"/>
      <c r="M527" s="72"/>
      <c r="N527" s="26"/>
      <c r="O527" s="921">
        <v>0.93490804699999996</v>
      </c>
    </row>
    <row r="528" spans="1:15" ht="18.95" customHeight="1">
      <c r="A528" s="115"/>
      <c r="B528" s="527" t="s">
        <v>273</v>
      </c>
      <c r="C528" s="399" t="s">
        <v>688</v>
      </c>
      <c r="D528" s="24"/>
      <c r="E528" s="25">
        <v>500</v>
      </c>
      <c r="F528" s="1068" t="s">
        <v>397</v>
      </c>
      <c r="G528" s="759">
        <v>24.97</v>
      </c>
      <c r="H528" s="242">
        <f t="shared" si="48"/>
        <v>23.344653933589999</v>
      </c>
      <c r="I528" s="25">
        <f t="shared" ref="I528:I546" si="56">E528*H528</f>
        <v>11672.326966794999</v>
      </c>
      <c r="J528" s="759">
        <v>14</v>
      </c>
      <c r="K528" s="25">
        <f t="shared" si="50"/>
        <v>13.088712657999999</v>
      </c>
      <c r="L528" s="72">
        <f t="shared" si="51"/>
        <v>6544.3563289999993</v>
      </c>
      <c r="M528" s="72">
        <f>SUM(I528+L528)</f>
        <v>18216.683295794999</v>
      </c>
      <c r="N528" s="26"/>
      <c r="O528" s="921">
        <v>0.93490804699999996</v>
      </c>
    </row>
    <row r="529" spans="1:17" ht="18.95" customHeight="1">
      <c r="A529" s="115"/>
      <c r="B529" s="527" t="s">
        <v>273</v>
      </c>
      <c r="C529" s="399" t="s">
        <v>689</v>
      </c>
      <c r="D529" s="24"/>
      <c r="E529" s="25">
        <v>55</v>
      </c>
      <c r="F529" s="1068" t="s">
        <v>275</v>
      </c>
      <c r="G529" s="759">
        <v>113</v>
      </c>
      <c r="H529" s="242">
        <f t="shared" si="48"/>
        <v>105.644609311</v>
      </c>
      <c r="I529" s="25">
        <f t="shared" si="56"/>
        <v>5810.4535121049994</v>
      </c>
      <c r="J529" s="759">
        <v>179</v>
      </c>
      <c r="K529" s="25">
        <f t="shared" si="50"/>
        <v>167.34854041299999</v>
      </c>
      <c r="L529" s="72">
        <f t="shared" si="51"/>
        <v>9204.1697227149998</v>
      </c>
      <c r="M529" s="72">
        <f>SUM(I529+L529)</f>
        <v>15014.623234819999</v>
      </c>
      <c r="N529" s="26"/>
      <c r="O529" s="921">
        <v>0.93490804699999996</v>
      </c>
    </row>
    <row r="530" spans="1:17" ht="18.95" customHeight="1">
      <c r="A530" s="115"/>
      <c r="B530" s="527" t="s">
        <v>273</v>
      </c>
      <c r="C530" s="399" t="s">
        <v>690</v>
      </c>
      <c r="D530" s="24"/>
      <c r="E530" s="25">
        <v>22</v>
      </c>
      <c r="F530" s="1068" t="s">
        <v>275</v>
      </c>
      <c r="G530" s="759">
        <v>300</v>
      </c>
      <c r="H530" s="242">
        <f t="shared" si="48"/>
        <v>280.47241409999998</v>
      </c>
      <c r="I530" s="25">
        <f t="shared" si="56"/>
        <v>6170.3931101999997</v>
      </c>
      <c r="J530" s="759">
        <v>80</v>
      </c>
      <c r="K530" s="25">
        <f t="shared" si="50"/>
        <v>74.792643760000004</v>
      </c>
      <c r="L530" s="72">
        <f t="shared" si="51"/>
        <v>1645.43816272</v>
      </c>
      <c r="M530" s="72">
        <f>SUM(I530+L530)</f>
        <v>7815.8312729199997</v>
      </c>
      <c r="N530" s="72"/>
      <c r="O530" s="921">
        <v>0.93490804699999996</v>
      </c>
    </row>
    <row r="531" spans="1:17" ht="18.95" customHeight="1">
      <c r="A531" s="115"/>
      <c r="B531" s="527" t="s">
        <v>273</v>
      </c>
      <c r="C531" s="399" t="s">
        <v>691</v>
      </c>
      <c r="D531" s="24"/>
      <c r="E531" s="25">
        <v>10</v>
      </c>
      <c r="F531" s="1068" t="s">
        <v>211</v>
      </c>
      <c r="G531" s="759">
        <v>825</v>
      </c>
      <c r="H531" s="242">
        <f t="shared" si="48"/>
        <v>771.29913877499996</v>
      </c>
      <c r="I531" s="25">
        <f t="shared" si="56"/>
        <v>7712.9913877499994</v>
      </c>
      <c r="J531" s="759">
        <v>200</v>
      </c>
      <c r="K531" s="25">
        <f t="shared" si="50"/>
        <v>186.9816094</v>
      </c>
      <c r="L531" s="72">
        <f t="shared" si="51"/>
        <v>1869.816094</v>
      </c>
      <c r="M531" s="72">
        <f>SUM(I531+L531)</f>
        <v>9582.8074817500001</v>
      </c>
      <c r="N531" s="26"/>
      <c r="O531" s="921">
        <v>0.93490804699999996</v>
      </c>
    </row>
    <row r="532" spans="1:17" ht="18.95" customHeight="1">
      <c r="A532" s="115"/>
      <c r="B532" s="1074"/>
      <c r="C532" s="399" t="s">
        <v>692</v>
      </c>
      <c r="D532" s="286"/>
      <c r="E532" s="25"/>
      <c r="F532" s="30"/>
      <c r="G532" s="759"/>
      <c r="H532" s="242"/>
      <c r="I532" s="25"/>
      <c r="J532" s="759"/>
      <c r="K532" s="25"/>
      <c r="L532" s="72"/>
      <c r="M532" s="72"/>
      <c r="N532" s="26"/>
      <c r="O532" s="921">
        <v>0.93490804699999996</v>
      </c>
    </row>
    <row r="533" spans="1:17" ht="18.95" customHeight="1">
      <c r="A533" s="115"/>
      <c r="B533" s="527" t="s">
        <v>273</v>
      </c>
      <c r="C533" s="399" t="s">
        <v>661</v>
      </c>
      <c r="D533" s="286"/>
      <c r="E533" s="25" t="s">
        <v>693</v>
      </c>
      <c r="F533" s="30"/>
      <c r="G533" s="759"/>
      <c r="H533" s="242"/>
      <c r="I533" s="25"/>
      <c r="J533" s="759"/>
      <c r="K533" s="25"/>
      <c r="L533" s="72"/>
      <c r="M533" s="72"/>
      <c r="N533" s="288" t="s">
        <v>663</v>
      </c>
      <c r="O533" s="921">
        <v>0.93490804699999996</v>
      </c>
    </row>
    <row r="534" spans="1:17" ht="18.95" customHeight="1">
      <c r="A534" s="70"/>
      <c r="B534" s="527" t="s">
        <v>273</v>
      </c>
      <c r="C534" s="399" t="s">
        <v>694</v>
      </c>
      <c r="D534" s="1075"/>
      <c r="E534" s="25">
        <v>32</v>
      </c>
      <c r="F534" s="1068" t="s">
        <v>275</v>
      </c>
      <c r="G534" s="759">
        <v>1380</v>
      </c>
      <c r="H534" s="242">
        <f t="shared" si="48"/>
        <v>1290.17310486</v>
      </c>
      <c r="I534" s="25">
        <f>E534*H534</f>
        <v>41285.539355519999</v>
      </c>
      <c r="J534" s="759">
        <v>390</v>
      </c>
      <c r="K534" s="25">
        <f t="shared" si="50"/>
        <v>364.61413833</v>
      </c>
      <c r="L534" s="72">
        <f t="shared" si="51"/>
        <v>11667.65242656</v>
      </c>
      <c r="M534" s="72">
        <f>SUM(I534+L534)</f>
        <v>52953.191782080001</v>
      </c>
      <c r="N534" s="26"/>
      <c r="O534" s="921">
        <v>0.93490804699999996</v>
      </c>
    </row>
    <row r="535" spans="1:17" ht="18.95" customHeight="1">
      <c r="A535" s="70"/>
      <c r="B535" s="527" t="s">
        <v>273</v>
      </c>
      <c r="C535" s="399" t="s">
        <v>664</v>
      </c>
      <c r="D535" s="301"/>
      <c r="E535" s="25">
        <v>15</v>
      </c>
      <c r="F535" s="30" t="s">
        <v>211</v>
      </c>
      <c r="G535" s="759">
        <v>30.39</v>
      </c>
      <c r="H535" s="242">
        <f t="shared" si="48"/>
        <v>28.411855548329999</v>
      </c>
      <c r="I535" s="25">
        <f t="shared" si="56"/>
        <v>426.17783322495001</v>
      </c>
      <c r="J535" s="759">
        <v>35</v>
      </c>
      <c r="K535" s="25">
        <f t="shared" si="50"/>
        <v>32.721781645</v>
      </c>
      <c r="L535" s="72">
        <f t="shared" si="51"/>
        <v>490.82672467499998</v>
      </c>
      <c r="M535" s="72">
        <f>SUM(I535,L535)</f>
        <v>917.00455789994999</v>
      </c>
      <c r="N535" s="26"/>
      <c r="O535" s="921">
        <v>0.93490804699999996</v>
      </c>
    </row>
    <row r="536" spans="1:17" ht="18.95" customHeight="1">
      <c r="A536" s="539">
        <v>7.13</v>
      </c>
      <c r="B536" s="1018" t="s">
        <v>695</v>
      </c>
      <c r="C536" s="399"/>
      <c r="D536" s="24"/>
      <c r="E536" s="62"/>
      <c r="F536" s="30"/>
      <c r="G536" s="759"/>
      <c r="H536" s="242"/>
      <c r="I536" s="25"/>
      <c r="J536" s="759"/>
      <c r="K536" s="25"/>
      <c r="L536" s="72"/>
      <c r="M536" s="72"/>
      <c r="N536" s="26"/>
      <c r="O536" s="921">
        <v>0.93490804699999996</v>
      </c>
    </row>
    <row r="537" spans="1:17" s="725" customFormat="1" ht="18.95" customHeight="1">
      <c r="A537" s="539"/>
      <c r="B537" s="527" t="s">
        <v>273</v>
      </c>
      <c r="C537" s="399" t="s">
        <v>696</v>
      </c>
      <c r="D537" s="286"/>
      <c r="E537" s="25">
        <v>235</v>
      </c>
      <c r="F537" s="1068" t="s">
        <v>275</v>
      </c>
      <c r="G537" s="759">
        <v>273</v>
      </c>
      <c r="H537" s="242">
        <f t="shared" si="48"/>
        <v>255.22989683099999</v>
      </c>
      <c r="I537" s="25">
        <f t="shared" si="56"/>
        <v>59979.025755284994</v>
      </c>
      <c r="J537" s="765">
        <v>158</v>
      </c>
      <c r="K537" s="25">
        <f t="shared" si="50"/>
        <v>147.71547142599999</v>
      </c>
      <c r="L537" s="72">
        <f t="shared" si="51"/>
        <v>34713.135785109997</v>
      </c>
      <c r="M537" s="72">
        <f>SUM(I537,L537)</f>
        <v>94692.161540394998</v>
      </c>
      <c r="N537" s="26"/>
      <c r="O537" s="921">
        <v>0.93490804699999996</v>
      </c>
      <c r="P537" s="986" t="s">
        <v>214</v>
      </c>
      <c r="Q537" s="986"/>
    </row>
    <row r="538" spans="1:17" ht="18.95" customHeight="1">
      <c r="A538" s="1076"/>
      <c r="B538" s="527" t="s">
        <v>273</v>
      </c>
      <c r="C538" s="399" t="s">
        <v>685</v>
      </c>
      <c r="D538" s="286"/>
      <c r="E538" s="25">
        <v>245</v>
      </c>
      <c r="F538" s="1068" t="s">
        <v>275</v>
      </c>
      <c r="G538" s="759">
        <v>0</v>
      </c>
      <c r="H538" s="242">
        <f t="shared" si="48"/>
        <v>0</v>
      </c>
      <c r="I538" s="25">
        <f t="shared" si="56"/>
        <v>0</v>
      </c>
      <c r="J538" s="759">
        <v>130</v>
      </c>
      <c r="K538" s="25">
        <f t="shared" si="50"/>
        <v>121.53804611</v>
      </c>
      <c r="L538" s="72">
        <f t="shared" si="51"/>
        <v>29776.821296949998</v>
      </c>
      <c r="M538" s="72">
        <f>SUM(I538,L538)</f>
        <v>29776.821296949998</v>
      </c>
      <c r="N538" s="26"/>
      <c r="O538" s="921">
        <v>0.93490804699999996</v>
      </c>
    </row>
    <row r="539" spans="1:17" ht="18.95" customHeight="1">
      <c r="A539" s="1076"/>
      <c r="B539" s="527" t="s">
        <v>273</v>
      </c>
      <c r="C539" s="399" t="s">
        <v>697</v>
      </c>
      <c r="D539" s="286"/>
      <c r="E539" s="25">
        <v>9</v>
      </c>
      <c r="F539" s="1068" t="s">
        <v>275</v>
      </c>
      <c r="G539" s="759">
        <v>930</v>
      </c>
      <c r="H539" s="242">
        <f t="shared" si="48"/>
        <v>869.46448370999997</v>
      </c>
      <c r="I539" s="25">
        <f t="shared" si="56"/>
        <v>7825.1803533900002</v>
      </c>
      <c r="J539" s="765">
        <v>360</v>
      </c>
      <c r="K539" s="25">
        <f t="shared" si="50"/>
        <v>336.56689691999998</v>
      </c>
      <c r="L539" s="72">
        <f t="shared" si="51"/>
        <v>3029.1020722799999</v>
      </c>
      <c r="M539" s="72">
        <f>SUM(I539,L539)</f>
        <v>10854.282425670001</v>
      </c>
      <c r="N539" s="26"/>
      <c r="O539" s="921">
        <v>0.93490804699999996</v>
      </c>
    </row>
    <row r="540" spans="1:17" ht="18.95" customHeight="1">
      <c r="A540" s="539">
        <v>7.14</v>
      </c>
      <c r="B540" s="1018" t="s">
        <v>698</v>
      </c>
      <c r="C540" s="399"/>
      <c r="D540" s="24"/>
      <c r="E540" s="25"/>
      <c r="F540" s="30"/>
      <c r="G540" s="759"/>
      <c r="H540" s="242"/>
      <c r="I540" s="25"/>
      <c r="J540" s="759"/>
      <c r="K540" s="25"/>
      <c r="L540" s="72"/>
      <c r="M540" s="72"/>
      <c r="N540" s="26"/>
      <c r="O540" s="921">
        <v>0.93490804699999996</v>
      </c>
    </row>
    <row r="541" spans="1:17" ht="18.95" customHeight="1">
      <c r="A541" s="115"/>
      <c r="B541" s="527" t="s">
        <v>273</v>
      </c>
      <c r="C541" s="399" t="s">
        <v>699</v>
      </c>
      <c r="D541" s="24"/>
      <c r="E541" s="25">
        <v>30</v>
      </c>
      <c r="F541" s="30" t="s">
        <v>211</v>
      </c>
      <c r="G541" s="759">
        <v>2350</v>
      </c>
      <c r="H541" s="242">
        <f t="shared" si="48"/>
        <v>2197.0339104499999</v>
      </c>
      <c r="I541" s="25">
        <f t="shared" si="56"/>
        <v>65911.017313499993</v>
      </c>
      <c r="J541" s="759">
        <v>250</v>
      </c>
      <c r="K541" s="25">
        <f t="shared" si="50"/>
        <v>233.72701175</v>
      </c>
      <c r="L541" s="72">
        <f t="shared" si="51"/>
        <v>7011.8103524999997</v>
      </c>
      <c r="M541" s="72">
        <f>SUM(I541+L541)</f>
        <v>72922.827665999997</v>
      </c>
      <c r="N541" s="26"/>
      <c r="O541" s="921">
        <v>0.93490804699999996</v>
      </c>
    </row>
    <row r="542" spans="1:17" ht="18.95" customHeight="1">
      <c r="A542" s="115"/>
      <c r="B542" s="527"/>
      <c r="C542" s="399" t="s">
        <v>700</v>
      </c>
      <c r="D542" s="24"/>
      <c r="E542" s="25"/>
      <c r="F542" s="30"/>
      <c r="G542" s="759"/>
      <c r="H542" s="242"/>
      <c r="I542" s="25"/>
      <c r="J542" s="759"/>
      <c r="K542" s="25"/>
      <c r="L542" s="72"/>
      <c r="M542" s="72"/>
      <c r="N542" s="26"/>
      <c r="O542" s="921">
        <v>0.93490804699999996</v>
      </c>
    </row>
    <row r="543" spans="1:17" ht="18.95" customHeight="1">
      <c r="A543" s="115"/>
      <c r="B543" s="527" t="s">
        <v>273</v>
      </c>
      <c r="C543" s="399" t="s">
        <v>701</v>
      </c>
      <c r="D543" s="286"/>
      <c r="E543" s="25">
        <v>25</v>
      </c>
      <c r="F543" s="30" t="s">
        <v>275</v>
      </c>
      <c r="G543" s="759">
        <v>800</v>
      </c>
      <c r="H543" s="242">
        <f t="shared" ref="H543:H602" si="57">G543*O543</f>
        <v>747.92643759999999</v>
      </c>
      <c r="I543" s="25">
        <f t="shared" si="56"/>
        <v>18698.160939999998</v>
      </c>
      <c r="J543" s="759">
        <v>150</v>
      </c>
      <c r="K543" s="25">
        <f t="shared" ref="K543:K576" si="58">J543*O543</f>
        <v>140.23620704999999</v>
      </c>
      <c r="L543" s="72">
        <f t="shared" ref="L543:L606" si="59">E543*K543</f>
        <v>3505.9051762499998</v>
      </c>
      <c r="M543" s="72">
        <f t="shared" ref="M543:M548" si="60">SUM(I543+L543)</f>
        <v>22204.066116249996</v>
      </c>
      <c r="N543" s="26"/>
      <c r="O543" s="921">
        <v>0.93490804699999996</v>
      </c>
    </row>
    <row r="544" spans="1:17" ht="18.95" customHeight="1">
      <c r="A544" s="115"/>
      <c r="B544" s="527" t="s">
        <v>273</v>
      </c>
      <c r="C544" s="399" t="s">
        <v>702</v>
      </c>
      <c r="D544" s="286"/>
      <c r="E544" s="25" t="s">
        <v>693</v>
      </c>
      <c r="F544" s="30"/>
      <c r="G544" s="759"/>
      <c r="H544" s="242"/>
      <c r="I544" s="25"/>
      <c r="J544" s="759"/>
      <c r="K544" s="25"/>
      <c r="L544" s="72"/>
      <c r="M544" s="72"/>
      <c r="N544" s="288" t="s">
        <v>663</v>
      </c>
      <c r="O544" s="921">
        <v>0.93490804699999996</v>
      </c>
    </row>
    <row r="545" spans="1:15" ht="18.95" customHeight="1">
      <c r="A545" s="115"/>
      <c r="B545" s="527" t="s">
        <v>273</v>
      </c>
      <c r="C545" s="399" t="s">
        <v>703</v>
      </c>
      <c r="D545" s="24"/>
      <c r="E545" s="25">
        <v>27</v>
      </c>
      <c r="F545" s="30" t="s">
        <v>275</v>
      </c>
      <c r="G545" s="759">
        <v>3000</v>
      </c>
      <c r="H545" s="242">
        <f t="shared" si="57"/>
        <v>2804.7241409999997</v>
      </c>
      <c r="I545" s="25">
        <f t="shared" si="56"/>
        <v>75727.551806999996</v>
      </c>
      <c r="J545" s="759">
        <v>1000</v>
      </c>
      <c r="K545" s="25">
        <f t="shared" si="58"/>
        <v>934.90804700000001</v>
      </c>
      <c r="L545" s="72">
        <f t="shared" si="59"/>
        <v>25242.517269</v>
      </c>
      <c r="M545" s="72">
        <f t="shared" si="60"/>
        <v>100970.069076</v>
      </c>
      <c r="N545" s="26"/>
      <c r="O545" s="921">
        <v>0.93490804699999996</v>
      </c>
    </row>
    <row r="546" spans="1:15" ht="18.95" customHeight="1">
      <c r="A546" s="115"/>
      <c r="B546" s="527" t="s">
        <v>273</v>
      </c>
      <c r="C546" s="399" t="s">
        <v>704</v>
      </c>
      <c r="D546" s="267"/>
      <c r="E546" s="25">
        <v>30</v>
      </c>
      <c r="F546" s="30" t="s">
        <v>211</v>
      </c>
      <c r="G546" s="759">
        <v>2350</v>
      </c>
      <c r="H546" s="242">
        <f t="shared" si="57"/>
        <v>2197.0339104499999</v>
      </c>
      <c r="I546" s="25">
        <f t="shared" si="56"/>
        <v>65911.017313499993</v>
      </c>
      <c r="J546" s="759">
        <v>250</v>
      </c>
      <c r="K546" s="25">
        <f t="shared" si="58"/>
        <v>233.72701175</v>
      </c>
      <c r="L546" s="72">
        <f t="shared" si="59"/>
        <v>7011.8103524999997</v>
      </c>
      <c r="M546" s="72">
        <f t="shared" si="60"/>
        <v>72922.827665999997</v>
      </c>
      <c r="N546" s="26"/>
      <c r="O546" s="921">
        <v>0.93490804699999996</v>
      </c>
    </row>
    <row r="547" spans="1:15" ht="18.95" customHeight="1">
      <c r="A547" s="115"/>
      <c r="B547" s="527"/>
      <c r="C547" s="399" t="s">
        <v>700</v>
      </c>
      <c r="D547" s="267"/>
      <c r="E547" s="25"/>
      <c r="F547" s="30"/>
      <c r="G547" s="759"/>
      <c r="H547" s="242"/>
      <c r="I547" s="25"/>
      <c r="J547" s="759"/>
      <c r="K547" s="25"/>
      <c r="L547" s="72"/>
      <c r="M547" s="72"/>
      <c r="N547" s="26"/>
      <c r="O547" s="921">
        <v>0.93490804699999996</v>
      </c>
    </row>
    <row r="548" spans="1:15" ht="18.95" customHeight="1">
      <c r="A548" s="115"/>
      <c r="B548" s="527" t="s">
        <v>273</v>
      </c>
      <c r="C548" s="399" t="s">
        <v>705</v>
      </c>
      <c r="D548" s="1017"/>
      <c r="E548" s="25">
        <v>200</v>
      </c>
      <c r="F548" s="30" t="s">
        <v>397</v>
      </c>
      <c r="G548" s="759">
        <v>27.6741071428571</v>
      </c>
      <c r="H548" s="242">
        <f t="shared" si="57"/>
        <v>25.87274546139728</v>
      </c>
      <c r="I548" s="25">
        <f t="shared" ref="I548:I562" si="61">E548*H548</f>
        <v>5174.5490922794561</v>
      </c>
      <c r="J548" s="759">
        <v>14</v>
      </c>
      <c r="K548" s="25">
        <f t="shared" si="58"/>
        <v>13.088712657999999</v>
      </c>
      <c r="L548" s="72">
        <f t="shared" si="59"/>
        <v>2617.7425315999999</v>
      </c>
      <c r="M548" s="72">
        <f t="shared" si="60"/>
        <v>7792.291623879456</v>
      </c>
      <c r="N548" s="26"/>
      <c r="O548" s="921">
        <v>0.93490804699999996</v>
      </c>
    </row>
    <row r="549" spans="1:15" ht="18.95" customHeight="1">
      <c r="A549" s="539">
        <v>7.15</v>
      </c>
      <c r="B549" s="1018" t="s">
        <v>706</v>
      </c>
      <c r="C549" s="399"/>
      <c r="D549" s="24"/>
      <c r="E549" s="25"/>
      <c r="F549" s="30"/>
      <c r="G549" s="759"/>
      <c r="H549" s="242"/>
      <c r="I549" s="25"/>
      <c r="J549" s="759"/>
      <c r="K549" s="25"/>
      <c r="L549" s="72"/>
      <c r="M549" s="72"/>
      <c r="N549" s="26"/>
      <c r="O549" s="921">
        <v>0.93490804699999996</v>
      </c>
    </row>
    <row r="550" spans="1:15" ht="18.95" customHeight="1">
      <c r="A550" s="1077"/>
      <c r="B550" s="527" t="s">
        <v>273</v>
      </c>
      <c r="C550" s="399" t="s">
        <v>699</v>
      </c>
      <c r="D550" s="24"/>
      <c r="E550" s="25">
        <v>30</v>
      </c>
      <c r="F550" s="30" t="s">
        <v>211</v>
      </c>
      <c r="G550" s="759">
        <v>2350</v>
      </c>
      <c r="H550" s="242">
        <f t="shared" si="57"/>
        <v>2197.0339104499999</v>
      </c>
      <c r="I550" s="25">
        <f t="shared" si="61"/>
        <v>65911.017313499993</v>
      </c>
      <c r="J550" s="759">
        <v>250</v>
      </c>
      <c r="K550" s="25">
        <f t="shared" si="58"/>
        <v>233.72701175</v>
      </c>
      <c r="L550" s="72">
        <f t="shared" si="59"/>
        <v>7011.8103524999997</v>
      </c>
      <c r="M550" s="72">
        <f>SUM(I550+L550)</f>
        <v>72922.827665999997</v>
      </c>
      <c r="N550" s="26"/>
      <c r="O550" s="921">
        <v>0.93490804699999996</v>
      </c>
    </row>
    <row r="551" spans="1:15" ht="18.95" customHeight="1">
      <c r="A551" s="115"/>
      <c r="B551" s="527"/>
      <c r="C551" s="399" t="s">
        <v>700</v>
      </c>
      <c r="D551" s="24"/>
      <c r="E551" s="25"/>
      <c r="F551" s="30"/>
      <c r="G551" s="759"/>
      <c r="H551" s="242"/>
      <c r="I551" s="25"/>
      <c r="J551" s="759"/>
      <c r="K551" s="25"/>
      <c r="L551" s="72"/>
      <c r="M551" s="72"/>
      <c r="N551" s="26"/>
      <c r="O551" s="921">
        <v>0.93490804699999996</v>
      </c>
    </row>
    <row r="552" spans="1:15" ht="18.95" customHeight="1">
      <c r="A552" s="115"/>
      <c r="B552" s="527"/>
      <c r="C552" s="399"/>
      <c r="D552" s="24"/>
      <c r="E552" s="25"/>
      <c r="F552" s="30"/>
      <c r="G552" s="759"/>
      <c r="H552" s="242"/>
      <c r="I552" s="25"/>
      <c r="J552" s="759"/>
      <c r="K552" s="25"/>
      <c r="L552" s="72"/>
      <c r="M552" s="72"/>
      <c r="N552" s="26"/>
      <c r="O552" s="921">
        <v>0.93490804699999996</v>
      </c>
    </row>
    <row r="553" spans="1:15" ht="18.95" customHeight="1">
      <c r="A553" s="115"/>
      <c r="B553" s="527"/>
      <c r="C553" s="399"/>
      <c r="D553" s="24"/>
      <c r="E553" s="25"/>
      <c r="F553" s="30"/>
      <c r="G553" s="759"/>
      <c r="H553" s="242"/>
      <c r="I553" s="25"/>
      <c r="J553" s="759"/>
      <c r="K553" s="25"/>
      <c r="L553" s="72"/>
      <c r="M553" s="72"/>
      <c r="N553" s="26"/>
      <c r="O553" s="921">
        <v>0.93490804699999996</v>
      </c>
    </row>
    <row r="554" spans="1:15" ht="18.95" customHeight="1">
      <c r="A554" s="115"/>
      <c r="B554" s="527" t="s">
        <v>273</v>
      </c>
      <c r="C554" s="399" t="s">
        <v>701</v>
      </c>
      <c r="D554" s="286"/>
      <c r="E554" s="25">
        <v>25</v>
      </c>
      <c r="F554" s="30" t="s">
        <v>275</v>
      </c>
      <c r="G554" s="759">
        <v>800</v>
      </c>
      <c r="H554" s="242">
        <f t="shared" si="57"/>
        <v>747.92643759999999</v>
      </c>
      <c r="I554" s="25">
        <f t="shared" si="61"/>
        <v>18698.160939999998</v>
      </c>
      <c r="J554" s="759">
        <v>150</v>
      </c>
      <c r="K554" s="25">
        <f t="shared" si="58"/>
        <v>140.23620704999999</v>
      </c>
      <c r="L554" s="72">
        <f t="shared" si="59"/>
        <v>3505.9051762499998</v>
      </c>
      <c r="M554" s="72">
        <f>SUM(I554+L554)</f>
        <v>22204.066116249996</v>
      </c>
      <c r="N554" s="26"/>
      <c r="O554" s="921">
        <v>0.93490804699999996</v>
      </c>
    </row>
    <row r="555" spans="1:15" ht="18.95" customHeight="1">
      <c r="A555" s="70"/>
      <c r="B555" s="527" t="s">
        <v>273</v>
      </c>
      <c r="C555" s="399" t="s">
        <v>702</v>
      </c>
      <c r="D555" s="286"/>
      <c r="E555" s="25" t="s">
        <v>693</v>
      </c>
      <c r="F555" s="30"/>
      <c r="G555" s="759"/>
      <c r="H555" s="242"/>
      <c r="I555" s="25"/>
      <c r="J555" s="759"/>
      <c r="K555" s="25"/>
      <c r="L555" s="72"/>
      <c r="M555" s="72"/>
      <c r="N555" s="288" t="s">
        <v>663</v>
      </c>
      <c r="O555" s="921">
        <v>0.93490804699999996</v>
      </c>
    </row>
    <row r="556" spans="1:15" ht="18.95" customHeight="1">
      <c r="A556" s="70"/>
      <c r="B556" s="527" t="s">
        <v>273</v>
      </c>
      <c r="C556" s="399" t="s">
        <v>703</v>
      </c>
      <c r="D556" s="24"/>
      <c r="E556" s="25">
        <v>27</v>
      </c>
      <c r="F556" s="30" t="s">
        <v>275</v>
      </c>
      <c r="G556" s="759">
        <v>3000</v>
      </c>
      <c r="H556" s="242">
        <f t="shared" si="57"/>
        <v>2804.7241409999997</v>
      </c>
      <c r="I556" s="25">
        <f>E556*H556</f>
        <v>75727.551806999996</v>
      </c>
      <c r="J556" s="759">
        <v>1000</v>
      </c>
      <c r="K556" s="25">
        <f t="shared" si="58"/>
        <v>934.90804700000001</v>
      </c>
      <c r="L556" s="72">
        <f t="shared" si="59"/>
        <v>25242.517269</v>
      </c>
      <c r="M556" s="72">
        <f>SUM(I556+L556)</f>
        <v>100970.069076</v>
      </c>
      <c r="N556" s="26"/>
      <c r="O556" s="921">
        <v>0.93490804699999996</v>
      </c>
    </row>
    <row r="557" spans="1:15" ht="18.95" customHeight="1">
      <c r="A557" s="70"/>
      <c r="B557" s="527" t="s">
        <v>273</v>
      </c>
      <c r="C557" s="399" t="s">
        <v>704</v>
      </c>
      <c r="D557" s="267"/>
      <c r="E557" s="25">
        <v>30</v>
      </c>
      <c r="F557" s="30" t="s">
        <v>211</v>
      </c>
      <c r="G557" s="759">
        <v>2350</v>
      </c>
      <c r="H557" s="242">
        <f t="shared" si="57"/>
        <v>2197.0339104499999</v>
      </c>
      <c r="I557" s="25">
        <f t="shared" si="61"/>
        <v>65911.017313499993</v>
      </c>
      <c r="J557" s="759">
        <v>250</v>
      </c>
      <c r="K557" s="25">
        <f t="shared" si="58"/>
        <v>233.72701175</v>
      </c>
      <c r="L557" s="72">
        <f t="shared" si="59"/>
        <v>7011.8103524999997</v>
      </c>
      <c r="M557" s="72">
        <f>SUM(I557+L557)</f>
        <v>72922.827665999997</v>
      </c>
      <c r="N557" s="26"/>
      <c r="O557" s="921">
        <v>0.93490804699999996</v>
      </c>
    </row>
    <row r="558" spans="1:15" ht="18.95" customHeight="1">
      <c r="A558" s="70"/>
      <c r="B558" s="527"/>
      <c r="C558" s="399" t="s">
        <v>700</v>
      </c>
      <c r="D558" s="267"/>
      <c r="E558" s="25"/>
      <c r="F558" s="30"/>
      <c r="G558" s="759"/>
      <c r="H558" s="242"/>
      <c r="I558" s="25"/>
      <c r="J558" s="759"/>
      <c r="K558" s="25"/>
      <c r="L558" s="72"/>
      <c r="M558" s="72"/>
      <c r="N558" s="26"/>
      <c r="O558" s="921">
        <v>0.93490804699999996</v>
      </c>
    </row>
    <row r="559" spans="1:15" ht="18.95" customHeight="1">
      <c r="A559" s="70"/>
      <c r="B559" s="527" t="s">
        <v>273</v>
      </c>
      <c r="C559" s="399" t="s">
        <v>705</v>
      </c>
      <c r="D559" s="1017"/>
      <c r="E559" s="25">
        <v>200</v>
      </c>
      <c r="F559" s="30" t="s">
        <v>397</v>
      </c>
      <c r="G559" s="759">
        <v>27.6741071428571</v>
      </c>
      <c r="H559" s="242">
        <f t="shared" si="57"/>
        <v>25.87274546139728</v>
      </c>
      <c r="I559" s="25">
        <f t="shared" si="61"/>
        <v>5174.5490922794561</v>
      </c>
      <c r="J559" s="759">
        <v>14</v>
      </c>
      <c r="K559" s="25">
        <f t="shared" si="58"/>
        <v>13.088712657999999</v>
      </c>
      <c r="L559" s="72">
        <f t="shared" si="59"/>
        <v>2617.7425315999999</v>
      </c>
      <c r="M559" s="72">
        <f>SUM(I559+L559)</f>
        <v>7792.291623879456</v>
      </c>
      <c r="N559" s="26"/>
      <c r="O559" s="921">
        <v>0.93490804699999996</v>
      </c>
    </row>
    <row r="560" spans="1:15" ht="18.95" customHeight="1">
      <c r="A560" s="21">
        <v>7.16</v>
      </c>
      <c r="B560" s="1078" t="s">
        <v>707</v>
      </c>
      <c r="C560" s="368"/>
      <c r="D560" s="24"/>
      <c r="E560" s="25"/>
      <c r="F560" s="30"/>
      <c r="G560" s="759"/>
      <c r="H560" s="242"/>
      <c r="I560" s="25"/>
      <c r="J560" s="759"/>
      <c r="K560" s="25"/>
      <c r="L560" s="72"/>
      <c r="M560" s="25"/>
      <c r="N560" s="26"/>
      <c r="O560" s="921">
        <v>0.93490804699999996</v>
      </c>
    </row>
    <row r="561" spans="1:15" ht="18.95" customHeight="1">
      <c r="A561" s="70"/>
      <c r="B561" s="527" t="s">
        <v>273</v>
      </c>
      <c r="C561" s="368" t="s">
        <v>708</v>
      </c>
      <c r="D561" s="24"/>
      <c r="E561" s="25">
        <v>300</v>
      </c>
      <c r="F561" s="30" t="s">
        <v>211</v>
      </c>
      <c r="G561" s="759">
        <v>0</v>
      </c>
      <c r="H561" s="242">
        <f t="shared" si="57"/>
        <v>0</v>
      </c>
      <c r="I561" s="25">
        <f t="shared" si="61"/>
        <v>0</v>
      </c>
      <c r="J561" s="759">
        <v>45</v>
      </c>
      <c r="K561" s="25">
        <f t="shared" si="58"/>
        <v>42.070862114999997</v>
      </c>
      <c r="L561" s="72">
        <f t="shared" si="59"/>
        <v>12621.2586345</v>
      </c>
      <c r="M561" s="72">
        <f>SUM(I561+L561)</f>
        <v>12621.2586345</v>
      </c>
      <c r="N561" s="26"/>
      <c r="O561" s="921">
        <v>0.93490804699999996</v>
      </c>
    </row>
    <row r="562" spans="1:15" ht="18.95" customHeight="1">
      <c r="A562" s="70"/>
      <c r="B562" s="527" t="s">
        <v>273</v>
      </c>
      <c r="C562" s="47" t="s">
        <v>672</v>
      </c>
      <c r="D562" s="24"/>
      <c r="E562" s="25">
        <v>7</v>
      </c>
      <c r="F562" s="30" t="s">
        <v>275</v>
      </c>
      <c r="G562" s="759">
        <v>1500</v>
      </c>
      <c r="H562" s="242">
        <f t="shared" si="57"/>
        <v>1402.3620704999998</v>
      </c>
      <c r="I562" s="25">
        <f t="shared" si="61"/>
        <v>9816.5344934999994</v>
      </c>
      <c r="J562" s="765">
        <v>0</v>
      </c>
      <c r="K562" s="25">
        <f t="shared" si="58"/>
        <v>0</v>
      </c>
      <c r="L562" s="72">
        <f t="shared" si="59"/>
        <v>0</v>
      </c>
      <c r="M562" s="72">
        <f>SUM(I562,L562)</f>
        <v>9816.5344934999994</v>
      </c>
      <c r="N562" s="26"/>
      <c r="O562" s="921">
        <v>0.93490804699999996</v>
      </c>
    </row>
    <row r="563" spans="1:15" ht="18.95" customHeight="1">
      <c r="A563" s="539">
        <v>7.17</v>
      </c>
      <c r="B563" s="1018" t="s">
        <v>709</v>
      </c>
      <c r="C563" s="399"/>
      <c r="D563" s="286"/>
      <c r="E563" s="25"/>
      <c r="F563" s="1068"/>
      <c r="G563" s="759"/>
      <c r="H563" s="242"/>
      <c r="I563" s="25"/>
      <c r="J563" s="798"/>
      <c r="K563" s="25"/>
      <c r="L563" s="72"/>
      <c r="M563" s="25"/>
      <c r="N563" s="26"/>
      <c r="O563" s="921">
        <v>0.93490804699999996</v>
      </c>
    </row>
    <row r="564" spans="1:15" ht="18.95" customHeight="1">
      <c r="A564" s="539"/>
      <c r="B564" s="1046" t="s">
        <v>273</v>
      </c>
      <c r="C564" s="399" t="s">
        <v>710</v>
      </c>
      <c r="D564" s="286"/>
      <c r="E564" s="25">
        <v>39</v>
      </c>
      <c r="F564" s="30" t="s">
        <v>275</v>
      </c>
      <c r="G564" s="759">
        <v>17000</v>
      </c>
      <c r="H564" s="242">
        <f t="shared" si="57"/>
        <v>15893.436798999999</v>
      </c>
      <c r="I564" s="25">
        <f t="shared" ref="I564:I576" si="62">E564*H564</f>
        <v>619844.03516099998</v>
      </c>
      <c r="J564" s="765">
        <v>0</v>
      </c>
      <c r="K564" s="25">
        <f t="shared" si="58"/>
        <v>0</v>
      </c>
      <c r="L564" s="72">
        <f t="shared" si="59"/>
        <v>0</v>
      </c>
      <c r="M564" s="72">
        <f>SUM(I564,L564)</f>
        <v>619844.03516099998</v>
      </c>
      <c r="N564" s="72"/>
      <c r="O564" s="921">
        <v>0.93490804699999996</v>
      </c>
    </row>
    <row r="565" spans="1:15" ht="18.95" customHeight="1">
      <c r="A565" s="115"/>
      <c r="B565" s="1046" t="s">
        <v>273</v>
      </c>
      <c r="C565" s="399" t="s">
        <v>711</v>
      </c>
      <c r="D565" s="286"/>
      <c r="E565" s="25">
        <v>60</v>
      </c>
      <c r="F565" s="30" t="s">
        <v>275</v>
      </c>
      <c r="G565" s="759">
        <v>18500</v>
      </c>
      <c r="H565" s="242">
        <f t="shared" si="57"/>
        <v>17295.798869499999</v>
      </c>
      <c r="I565" s="25">
        <f t="shared" si="62"/>
        <v>1037747.9321699999</v>
      </c>
      <c r="J565" s="765">
        <v>0</v>
      </c>
      <c r="K565" s="25">
        <f t="shared" si="58"/>
        <v>0</v>
      </c>
      <c r="L565" s="72">
        <f t="shared" si="59"/>
        <v>0</v>
      </c>
      <c r="M565" s="72">
        <f t="shared" ref="M565:M573" si="63">SUM(I565,L565)</f>
        <v>1037747.9321699999</v>
      </c>
      <c r="N565" s="72"/>
      <c r="O565" s="921">
        <v>0.93490804699999996</v>
      </c>
    </row>
    <row r="566" spans="1:15" ht="18.95" customHeight="1">
      <c r="A566" s="115"/>
      <c r="B566" s="1046" t="s">
        <v>273</v>
      </c>
      <c r="C566" s="399" t="s">
        <v>712</v>
      </c>
      <c r="D566" s="286"/>
      <c r="E566" s="25">
        <v>4</v>
      </c>
      <c r="F566" s="30" t="s">
        <v>275</v>
      </c>
      <c r="G566" s="759">
        <v>3500</v>
      </c>
      <c r="H566" s="242">
        <f t="shared" si="57"/>
        <v>3272.1781645000001</v>
      </c>
      <c r="I566" s="25">
        <f t="shared" si="62"/>
        <v>13088.712658</v>
      </c>
      <c r="J566" s="765">
        <v>0</v>
      </c>
      <c r="K566" s="25">
        <f t="shared" si="58"/>
        <v>0</v>
      </c>
      <c r="L566" s="72">
        <f t="shared" si="59"/>
        <v>0</v>
      </c>
      <c r="M566" s="72">
        <f t="shared" si="63"/>
        <v>13088.712658</v>
      </c>
      <c r="N566" s="72"/>
      <c r="O566" s="921">
        <v>0.93490804699999996</v>
      </c>
    </row>
    <row r="567" spans="1:15" ht="18.95" customHeight="1">
      <c r="A567" s="115"/>
      <c r="B567" s="1046" t="s">
        <v>273</v>
      </c>
      <c r="C567" s="399" t="s">
        <v>713</v>
      </c>
      <c r="D567" s="24"/>
      <c r="E567" s="25">
        <v>3</v>
      </c>
      <c r="F567" s="30" t="s">
        <v>275</v>
      </c>
      <c r="G567" s="759">
        <v>15000</v>
      </c>
      <c r="H567" s="242">
        <f t="shared" si="57"/>
        <v>14023.620704999999</v>
      </c>
      <c r="I567" s="25">
        <f t="shared" si="62"/>
        <v>42070.862114999996</v>
      </c>
      <c r="J567" s="765">
        <v>0</v>
      </c>
      <c r="K567" s="25">
        <f t="shared" si="58"/>
        <v>0</v>
      </c>
      <c r="L567" s="72">
        <f t="shared" si="59"/>
        <v>0</v>
      </c>
      <c r="M567" s="72">
        <f t="shared" si="63"/>
        <v>42070.862114999996</v>
      </c>
      <c r="N567" s="72"/>
      <c r="O567" s="921">
        <v>0.93490804699999996</v>
      </c>
    </row>
    <row r="568" spans="1:15" ht="18.95" customHeight="1">
      <c r="A568" s="115"/>
      <c r="B568" s="1046" t="s">
        <v>273</v>
      </c>
      <c r="C568" s="399" t="s">
        <v>714</v>
      </c>
      <c r="D568" s="267"/>
      <c r="E568" s="25">
        <v>25</v>
      </c>
      <c r="F568" s="30" t="s">
        <v>275</v>
      </c>
      <c r="G568" s="759">
        <v>18500</v>
      </c>
      <c r="H568" s="242">
        <f t="shared" si="57"/>
        <v>17295.798869499999</v>
      </c>
      <c r="I568" s="25">
        <f t="shared" si="62"/>
        <v>432394.97173749999</v>
      </c>
      <c r="J568" s="765">
        <v>0</v>
      </c>
      <c r="K568" s="25">
        <f t="shared" si="58"/>
        <v>0</v>
      </c>
      <c r="L568" s="72">
        <f t="shared" si="59"/>
        <v>0</v>
      </c>
      <c r="M568" s="72">
        <f t="shared" si="63"/>
        <v>432394.97173749999</v>
      </c>
      <c r="N568" s="72"/>
      <c r="O568" s="921">
        <v>0.93490804699999996</v>
      </c>
    </row>
    <row r="569" spans="1:15" ht="18.95" customHeight="1">
      <c r="A569" s="115"/>
      <c r="B569" s="1046" t="s">
        <v>273</v>
      </c>
      <c r="C569" s="399" t="s">
        <v>715</v>
      </c>
      <c r="D569" s="286"/>
      <c r="E569" s="25">
        <v>135</v>
      </c>
      <c r="F569" s="30" t="s">
        <v>275</v>
      </c>
      <c r="G569" s="759">
        <v>3000</v>
      </c>
      <c r="H569" s="242">
        <f t="shared" si="57"/>
        <v>2804.7241409999997</v>
      </c>
      <c r="I569" s="25">
        <f t="shared" si="62"/>
        <v>378637.75903499994</v>
      </c>
      <c r="J569" s="759">
        <v>1000</v>
      </c>
      <c r="K569" s="25">
        <f t="shared" si="58"/>
        <v>934.90804700000001</v>
      </c>
      <c r="L569" s="72">
        <f t="shared" si="59"/>
        <v>126212.586345</v>
      </c>
      <c r="M569" s="72">
        <f t="shared" si="63"/>
        <v>504850.34537999996</v>
      </c>
      <c r="N569" s="72"/>
      <c r="O569" s="921">
        <v>0.93490804699999996</v>
      </c>
    </row>
    <row r="570" spans="1:15" ht="18.95" customHeight="1">
      <c r="A570" s="115"/>
      <c r="B570" s="1046" t="s">
        <v>273</v>
      </c>
      <c r="C570" s="399" t="s">
        <v>716</v>
      </c>
      <c r="D570" s="286"/>
      <c r="E570" s="25" t="s">
        <v>218</v>
      </c>
      <c r="F570" s="30"/>
      <c r="G570" s="759"/>
      <c r="H570" s="242"/>
      <c r="I570" s="25"/>
      <c r="J570" s="759"/>
      <c r="K570" s="25"/>
      <c r="L570" s="72"/>
      <c r="M570" s="72"/>
      <c r="N570" s="72"/>
      <c r="O570" s="921">
        <v>0.93490804699999996</v>
      </c>
    </row>
    <row r="571" spans="1:15" ht="18.95" customHeight="1">
      <c r="A571" s="115"/>
      <c r="B571" s="1046" t="s">
        <v>273</v>
      </c>
      <c r="C571" s="399" t="s">
        <v>717</v>
      </c>
      <c r="D571" s="1017"/>
      <c r="E571" s="25">
        <v>25</v>
      </c>
      <c r="F571" s="30" t="s">
        <v>275</v>
      </c>
      <c r="G571" s="759">
        <v>18500</v>
      </c>
      <c r="H571" s="242">
        <f t="shared" si="57"/>
        <v>17295.798869499999</v>
      </c>
      <c r="I571" s="25">
        <f t="shared" si="62"/>
        <v>432394.97173749999</v>
      </c>
      <c r="J571" s="765">
        <v>0</v>
      </c>
      <c r="K571" s="25">
        <f t="shared" si="58"/>
        <v>0</v>
      </c>
      <c r="L571" s="72">
        <f t="shared" si="59"/>
        <v>0</v>
      </c>
      <c r="M571" s="72">
        <f t="shared" si="63"/>
        <v>432394.97173749999</v>
      </c>
      <c r="N571" s="72"/>
      <c r="O571" s="921">
        <v>0.93490804699999996</v>
      </c>
    </row>
    <row r="572" spans="1:15" ht="18.95" customHeight="1">
      <c r="A572" s="115"/>
      <c r="B572" s="1046" t="s">
        <v>273</v>
      </c>
      <c r="C572" s="399" t="s">
        <v>718</v>
      </c>
      <c r="D572" s="1017"/>
      <c r="E572" s="25">
        <v>10</v>
      </c>
      <c r="F572" s="30" t="s">
        <v>275</v>
      </c>
      <c r="G572" s="759">
        <v>2500</v>
      </c>
      <c r="H572" s="242">
        <f t="shared" si="57"/>
        <v>2337.2701174999997</v>
      </c>
      <c r="I572" s="25">
        <f t="shared" si="62"/>
        <v>23372.701174999998</v>
      </c>
      <c r="J572" s="759">
        <v>800</v>
      </c>
      <c r="K572" s="25">
        <f t="shared" si="58"/>
        <v>747.92643759999999</v>
      </c>
      <c r="L572" s="72">
        <f t="shared" si="59"/>
        <v>7479.2643760000001</v>
      </c>
      <c r="M572" s="72">
        <f t="shared" si="63"/>
        <v>30851.965550999998</v>
      </c>
      <c r="N572" s="73"/>
      <c r="O572" s="921">
        <v>0.93490804699999996</v>
      </c>
    </row>
    <row r="573" spans="1:15" ht="18.95" customHeight="1">
      <c r="A573" s="115"/>
      <c r="B573" s="1046" t="s">
        <v>273</v>
      </c>
      <c r="C573" s="399" t="s">
        <v>719</v>
      </c>
      <c r="D573" s="1017"/>
      <c r="E573" s="25">
        <v>9</v>
      </c>
      <c r="F573" s="30" t="s">
        <v>275</v>
      </c>
      <c r="G573" s="759">
        <v>2500</v>
      </c>
      <c r="H573" s="242">
        <f t="shared" si="57"/>
        <v>2337.2701174999997</v>
      </c>
      <c r="I573" s="25">
        <f t="shared" si="62"/>
        <v>21035.431057499998</v>
      </c>
      <c r="J573" s="759">
        <v>800</v>
      </c>
      <c r="K573" s="25">
        <f t="shared" si="58"/>
        <v>747.92643759999999</v>
      </c>
      <c r="L573" s="72">
        <f t="shared" si="59"/>
        <v>6731.3379384</v>
      </c>
      <c r="M573" s="72">
        <f t="shared" si="63"/>
        <v>27766.768995899998</v>
      </c>
      <c r="N573" s="73"/>
      <c r="O573" s="921">
        <v>0.93490804699999996</v>
      </c>
    </row>
    <row r="574" spans="1:15" ht="18.95" customHeight="1">
      <c r="A574" s="539">
        <v>7.18</v>
      </c>
      <c r="B574" s="1018" t="s">
        <v>720</v>
      </c>
      <c r="C574" s="399"/>
      <c r="D574" s="267"/>
      <c r="E574" s="25"/>
      <c r="F574" s="30"/>
      <c r="G574" s="759"/>
      <c r="H574" s="242"/>
      <c r="I574" s="25"/>
      <c r="J574" s="759"/>
      <c r="K574" s="25"/>
      <c r="L574" s="72"/>
      <c r="M574" s="72"/>
      <c r="N574" s="73"/>
      <c r="O574" s="921">
        <v>0.93490804699999996</v>
      </c>
    </row>
    <row r="575" spans="1:15" ht="18.95" customHeight="1">
      <c r="A575" s="70"/>
      <c r="B575" s="1046" t="s">
        <v>273</v>
      </c>
      <c r="C575" s="399" t="s">
        <v>721</v>
      </c>
      <c r="D575" s="267"/>
      <c r="E575" s="25">
        <v>5</v>
      </c>
      <c r="F575" s="30" t="s">
        <v>349</v>
      </c>
      <c r="G575" s="759">
        <v>8000</v>
      </c>
      <c r="H575" s="242">
        <f t="shared" si="57"/>
        <v>7479.2643760000001</v>
      </c>
      <c r="I575" s="25">
        <f t="shared" si="62"/>
        <v>37396.321880000003</v>
      </c>
      <c r="J575" s="759">
        <v>0</v>
      </c>
      <c r="K575" s="25">
        <f t="shared" si="58"/>
        <v>0</v>
      </c>
      <c r="L575" s="72">
        <f t="shared" si="59"/>
        <v>0</v>
      </c>
      <c r="M575" s="72">
        <f>SUM(I575,L575)</f>
        <v>37396.321880000003</v>
      </c>
      <c r="N575" s="73"/>
      <c r="O575" s="921">
        <v>0.93490804699999996</v>
      </c>
    </row>
    <row r="576" spans="1:15" ht="18.95" customHeight="1">
      <c r="A576" s="70"/>
      <c r="B576" s="1046" t="s">
        <v>273</v>
      </c>
      <c r="C576" s="399" t="s">
        <v>722</v>
      </c>
      <c r="D576" s="267"/>
      <c r="E576" s="25">
        <v>5</v>
      </c>
      <c r="F576" s="30" t="s">
        <v>349</v>
      </c>
      <c r="G576" s="759">
        <v>10000</v>
      </c>
      <c r="H576" s="242">
        <f t="shared" si="57"/>
        <v>9349.080469999999</v>
      </c>
      <c r="I576" s="25">
        <f t="shared" si="62"/>
        <v>46745.402349999997</v>
      </c>
      <c r="J576" s="759">
        <v>0</v>
      </c>
      <c r="K576" s="25">
        <f t="shared" si="58"/>
        <v>0</v>
      </c>
      <c r="L576" s="72">
        <f t="shared" si="59"/>
        <v>0</v>
      </c>
      <c r="M576" s="72">
        <f>SUM(I576,L576)</f>
        <v>46745.402349999997</v>
      </c>
      <c r="N576" s="73"/>
      <c r="O576" s="921">
        <v>0.93490804699999996</v>
      </c>
    </row>
    <row r="577" spans="1:17" s="724" customFormat="1" ht="18.95" customHeight="1">
      <c r="A577" s="1079"/>
      <c r="B577" s="1245" t="s">
        <v>723</v>
      </c>
      <c r="C577" s="1246"/>
      <c r="D577" s="1247"/>
      <c r="E577" s="676"/>
      <c r="F577" s="670"/>
      <c r="G577" s="1025"/>
      <c r="H577" s="676"/>
      <c r="I577" s="676"/>
      <c r="J577" s="1025"/>
      <c r="K577" s="676"/>
      <c r="L577" s="676"/>
      <c r="M577" s="1026">
        <f>SUM(M445:M576)</f>
        <v>6553576.9464264279</v>
      </c>
      <c r="N577" s="670"/>
      <c r="O577" s="1051">
        <v>0.93490804699999996</v>
      </c>
      <c r="P577" s="1028"/>
      <c r="Q577" s="1028"/>
    </row>
    <row r="578" spans="1:17" ht="18.95" customHeight="1">
      <c r="A578" s="115"/>
      <c r="B578" s="317"/>
      <c r="C578" s="318"/>
      <c r="D578" s="318"/>
      <c r="E578" s="25"/>
      <c r="F578" s="30"/>
      <c r="G578" s="759"/>
      <c r="H578" s="242"/>
      <c r="I578" s="25"/>
      <c r="J578" s="759"/>
      <c r="K578" s="25"/>
      <c r="L578" s="72"/>
      <c r="M578" s="126"/>
      <c r="N578" s="26"/>
      <c r="O578" s="921">
        <v>0.93490804699999996</v>
      </c>
    </row>
    <row r="579" spans="1:17" ht="18.95" customHeight="1">
      <c r="A579" s="115"/>
      <c r="B579" s="317"/>
      <c r="C579" s="318"/>
      <c r="D579" s="318"/>
      <c r="E579" s="25"/>
      <c r="F579" s="30"/>
      <c r="G579" s="759"/>
      <c r="H579" s="242"/>
      <c r="I579" s="25"/>
      <c r="J579" s="759"/>
      <c r="K579" s="25"/>
      <c r="L579" s="72"/>
      <c r="M579" s="126"/>
      <c r="N579" s="26"/>
      <c r="O579" s="921">
        <v>0.93490804699999996</v>
      </c>
    </row>
    <row r="580" spans="1:17" ht="18.95" customHeight="1">
      <c r="A580" s="70"/>
      <c r="B580" s="1022"/>
      <c r="C580" s="368"/>
      <c r="D580" s="368"/>
      <c r="E580" s="25"/>
      <c r="F580" s="30"/>
      <c r="G580" s="759"/>
      <c r="H580" s="242"/>
      <c r="I580" s="25"/>
      <c r="J580" s="759"/>
      <c r="K580" s="25"/>
      <c r="L580" s="72"/>
      <c r="M580" s="72"/>
      <c r="N580" s="26"/>
      <c r="O580" s="921">
        <v>0.93490804699999996</v>
      </c>
    </row>
    <row r="581" spans="1:17" ht="18.95" customHeight="1">
      <c r="A581" s="268">
        <v>8</v>
      </c>
      <c r="B581" s="1162" t="s">
        <v>203</v>
      </c>
      <c r="C581" s="419"/>
      <c r="D581" s="267"/>
      <c r="E581" s="25"/>
      <c r="F581" s="30"/>
      <c r="G581" s="759"/>
      <c r="H581" s="242"/>
      <c r="I581" s="25"/>
      <c r="J581" s="759"/>
      <c r="K581" s="25"/>
      <c r="L581" s="72"/>
      <c r="M581" s="34"/>
      <c r="N581" s="26"/>
      <c r="O581" s="921">
        <v>0.93490804699999996</v>
      </c>
    </row>
    <row r="582" spans="1:17" ht="18.95" customHeight="1">
      <c r="A582" s="1077">
        <v>8.1</v>
      </c>
      <c r="B582" s="994" t="s">
        <v>724</v>
      </c>
      <c r="C582" s="399"/>
      <c r="D582" s="286"/>
      <c r="E582" s="25"/>
      <c r="F582" s="30"/>
      <c r="G582" s="759"/>
      <c r="H582" s="242"/>
      <c r="I582" s="25"/>
      <c r="J582" s="765"/>
      <c r="K582" s="30"/>
      <c r="L582" s="72"/>
      <c r="M582" s="72"/>
      <c r="N582" s="72"/>
      <c r="O582" s="921">
        <v>0.93490804699999996</v>
      </c>
    </row>
    <row r="583" spans="1:17" ht="18.95" customHeight="1">
      <c r="A583" s="115"/>
      <c r="B583" s="1069" t="s">
        <v>273</v>
      </c>
      <c r="C583" s="399" t="s">
        <v>725</v>
      </c>
      <c r="D583" s="286"/>
      <c r="E583" s="25">
        <v>2450</v>
      </c>
      <c r="F583" s="30" t="s">
        <v>211</v>
      </c>
      <c r="G583" s="759">
        <v>1300</v>
      </c>
      <c r="H583" s="242">
        <f t="shared" si="57"/>
        <v>1215.3804611</v>
      </c>
      <c r="I583" s="25">
        <f t="shared" ref="I583:I637" si="64">E583*H583</f>
        <v>2977682.1296950001</v>
      </c>
      <c r="J583" s="759">
        <v>200</v>
      </c>
      <c r="K583" s="25">
        <f t="shared" ref="K583:K646" si="65">J583*O583</f>
        <v>186.9816094</v>
      </c>
      <c r="L583" s="72">
        <f t="shared" si="59"/>
        <v>458104.94302999997</v>
      </c>
      <c r="M583" s="72">
        <f>SUM(I583,L583)</f>
        <v>3435787.0727249999</v>
      </c>
      <c r="N583" s="72"/>
      <c r="O583" s="921">
        <v>0.93490804699999996</v>
      </c>
    </row>
    <row r="584" spans="1:17" ht="18.95" customHeight="1">
      <c r="A584" s="115"/>
      <c r="B584" s="1069" t="s">
        <v>273</v>
      </c>
      <c r="C584" s="399" t="s">
        <v>726</v>
      </c>
      <c r="D584" s="286"/>
      <c r="E584" s="25">
        <v>80</v>
      </c>
      <c r="F584" s="30" t="s">
        <v>275</v>
      </c>
      <c r="G584" s="759">
        <v>300</v>
      </c>
      <c r="H584" s="242">
        <f t="shared" si="57"/>
        <v>280.47241409999998</v>
      </c>
      <c r="I584" s="25">
        <f t="shared" si="64"/>
        <v>22437.793127999998</v>
      </c>
      <c r="J584" s="759">
        <v>50</v>
      </c>
      <c r="K584" s="25">
        <f t="shared" si="65"/>
        <v>46.745402349999999</v>
      </c>
      <c r="L584" s="72">
        <f t="shared" si="59"/>
        <v>3739.632188</v>
      </c>
      <c r="M584" s="72">
        <f>SUM(I584,L584)</f>
        <v>26177.425315999997</v>
      </c>
      <c r="N584" s="72"/>
      <c r="O584" s="921">
        <v>0.93490804699999996</v>
      </c>
    </row>
    <row r="585" spans="1:17" ht="18.95" customHeight="1">
      <c r="A585" s="1077"/>
      <c r="B585" s="1069" t="s">
        <v>273</v>
      </c>
      <c r="C585" s="399" t="s">
        <v>727</v>
      </c>
      <c r="D585" s="286"/>
      <c r="E585" s="25">
        <v>140</v>
      </c>
      <c r="F585" s="30" t="s">
        <v>275</v>
      </c>
      <c r="G585" s="759">
        <v>300</v>
      </c>
      <c r="H585" s="242">
        <f t="shared" si="57"/>
        <v>280.47241409999998</v>
      </c>
      <c r="I585" s="25">
        <f t="shared" si="64"/>
        <v>39266.137973999997</v>
      </c>
      <c r="J585" s="759">
        <v>50</v>
      </c>
      <c r="K585" s="25">
        <f t="shared" si="65"/>
        <v>46.745402349999999</v>
      </c>
      <c r="L585" s="72">
        <f t="shared" si="59"/>
        <v>6544.3563290000002</v>
      </c>
      <c r="M585" s="72">
        <f>SUM(I585,L585)</f>
        <v>45810.494302999999</v>
      </c>
      <c r="N585" s="72"/>
      <c r="O585" s="921">
        <v>0.93490804699999996</v>
      </c>
    </row>
    <row r="586" spans="1:17" ht="18.95" customHeight="1">
      <c r="A586" s="539"/>
      <c r="B586" s="1069" t="s">
        <v>273</v>
      </c>
      <c r="C586" s="399" t="s">
        <v>728</v>
      </c>
      <c r="D586" s="286"/>
      <c r="E586" s="25">
        <v>140</v>
      </c>
      <c r="F586" s="30" t="s">
        <v>275</v>
      </c>
      <c r="G586" s="759">
        <v>300</v>
      </c>
      <c r="H586" s="242">
        <f t="shared" si="57"/>
        <v>280.47241409999998</v>
      </c>
      <c r="I586" s="25">
        <f t="shared" si="64"/>
        <v>39266.137973999997</v>
      </c>
      <c r="J586" s="759">
        <v>50</v>
      </c>
      <c r="K586" s="25">
        <f t="shared" si="65"/>
        <v>46.745402349999999</v>
      </c>
      <c r="L586" s="72">
        <f t="shared" si="59"/>
        <v>6544.3563290000002</v>
      </c>
      <c r="M586" s="72">
        <f>SUM(I586,L586)</f>
        <v>45810.494302999999</v>
      </c>
      <c r="N586" s="72"/>
      <c r="O586" s="921">
        <v>0.93490804699999996</v>
      </c>
    </row>
    <row r="587" spans="1:17" ht="18.95" customHeight="1">
      <c r="A587" s="115"/>
      <c r="B587" s="1069" t="s">
        <v>273</v>
      </c>
      <c r="C587" s="399" t="s">
        <v>729</v>
      </c>
      <c r="D587" s="286"/>
      <c r="E587" s="25" t="s">
        <v>693</v>
      </c>
      <c r="F587" s="30"/>
      <c r="G587" s="759"/>
      <c r="H587" s="242"/>
      <c r="I587" s="25"/>
      <c r="J587" s="759"/>
      <c r="K587" s="25"/>
      <c r="L587" s="72"/>
      <c r="M587" s="72"/>
      <c r="N587" s="288" t="s">
        <v>730</v>
      </c>
      <c r="O587" s="921">
        <v>0.93490804699999996</v>
      </c>
    </row>
    <row r="588" spans="1:17" ht="18.95" customHeight="1">
      <c r="A588" s="115"/>
      <c r="B588" s="1069" t="s">
        <v>273</v>
      </c>
      <c r="C588" s="399" t="s">
        <v>731</v>
      </c>
      <c r="D588" s="1017"/>
      <c r="E588" s="25" t="s">
        <v>693</v>
      </c>
      <c r="F588" s="30"/>
      <c r="G588" s="759"/>
      <c r="H588" s="242"/>
      <c r="I588" s="25"/>
      <c r="J588" s="759"/>
      <c r="K588" s="25"/>
      <c r="L588" s="72"/>
      <c r="M588" s="72"/>
      <c r="N588" s="288" t="s">
        <v>730</v>
      </c>
      <c r="O588" s="921">
        <v>0.93490804699999996</v>
      </c>
    </row>
    <row r="589" spans="1:17" ht="18.95" customHeight="1">
      <c r="A589" s="115"/>
      <c r="B589" s="1046"/>
      <c r="C589" s="399" t="s">
        <v>732</v>
      </c>
      <c r="D589" s="267"/>
      <c r="E589" s="25"/>
      <c r="F589" s="30"/>
      <c r="G589" s="759"/>
      <c r="H589" s="242"/>
      <c r="I589" s="25"/>
      <c r="J589" s="759"/>
      <c r="K589" s="25"/>
      <c r="L589" s="72"/>
      <c r="M589" s="72"/>
      <c r="N589" s="26"/>
      <c r="O589" s="921">
        <v>0.93490804699999996</v>
      </c>
    </row>
    <row r="590" spans="1:17" ht="18.95" customHeight="1">
      <c r="A590" s="1077"/>
      <c r="B590" s="1069" t="s">
        <v>273</v>
      </c>
      <c r="C590" s="368" t="s">
        <v>664</v>
      </c>
      <c r="D590" s="286"/>
      <c r="E590" s="25" t="s">
        <v>693</v>
      </c>
      <c r="F590" s="1068"/>
      <c r="G590" s="759"/>
      <c r="H590" s="242"/>
      <c r="I590" s="25"/>
      <c r="J590" s="759"/>
      <c r="K590" s="25"/>
      <c r="L590" s="72"/>
      <c r="M590" s="72"/>
      <c r="N590" s="288" t="s">
        <v>730</v>
      </c>
      <c r="O590" s="921">
        <v>0.93490804699999996</v>
      </c>
    </row>
    <row r="591" spans="1:17" ht="18.95" customHeight="1">
      <c r="A591" s="1077">
        <v>8.1999999999999993</v>
      </c>
      <c r="B591" s="994" t="s">
        <v>733</v>
      </c>
      <c r="C591" s="399"/>
      <c r="D591" s="286"/>
      <c r="E591" s="25"/>
      <c r="F591" s="30"/>
      <c r="G591" s="759"/>
      <c r="H591" s="242"/>
      <c r="I591" s="25"/>
      <c r="J591" s="759"/>
      <c r="K591" s="25"/>
      <c r="L591" s="72"/>
      <c r="M591" s="72"/>
      <c r="N591" s="26"/>
      <c r="O591" s="921">
        <v>0.93490804699999996</v>
      </c>
    </row>
    <row r="592" spans="1:17" ht="18.95" customHeight="1">
      <c r="A592" s="1077"/>
      <c r="B592" s="1069" t="s">
        <v>273</v>
      </c>
      <c r="C592" s="399" t="s">
        <v>734</v>
      </c>
      <c r="D592" s="24"/>
      <c r="E592" s="25">
        <v>146</v>
      </c>
      <c r="F592" s="30" t="s">
        <v>211</v>
      </c>
      <c r="G592" s="759">
        <v>7945</v>
      </c>
      <c r="H592" s="242">
        <f t="shared" si="57"/>
        <v>7427.8444334149999</v>
      </c>
      <c r="I592" s="25">
        <f t="shared" si="64"/>
        <v>1084465.28727859</v>
      </c>
      <c r="J592" s="759">
        <v>1515</v>
      </c>
      <c r="K592" s="25">
        <f t="shared" si="65"/>
        <v>1416.3856912050001</v>
      </c>
      <c r="L592" s="72">
        <f t="shared" si="59"/>
        <v>206792.31091593002</v>
      </c>
      <c r="M592" s="72">
        <f>SUM(I592,L592)</f>
        <v>1291257.59819452</v>
      </c>
      <c r="N592" s="26"/>
      <c r="O592" s="921">
        <v>0.93490804699999996</v>
      </c>
    </row>
    <row r="593" spans="1:15" ht="18.95" customHeight="1">
      <c r="A593" s="115"/>
      <c r="B593" s="1069"/>
      <c r="C593" s="399" t="s">
        <v>735</v>
      </c>
      <c r="D593" s="267"/>
      <c r="E593" s="25"/>
      <c r="F593" s="30"/>
      <c r="G593" s="759"/>
      <c r="H593" s="242"/>
      <c r="I593" s="25"/>
      <c r="J593" s="759"/>
      <c r="K593" s="25"/>
      <c r="L593" s="72"/>
      <c r="M593" s="72"/>
      <c r="N593" s="26"/>
      <c r="O593" s="921">
        <v>0.93490804699999996</v>
      </c>
    </row>
    <row r="594" spans="1:15" ht="18.95" customHeight="1">
      <c r="A594" s="115"/>
      <c r="B594" s="1069" t="s">
        <v>273</v>
      </c>
      <c r="C594" s="399" t="s">
        <v>736</v>
      </c>
      <c r="D594" s="286"/>
      <c r="E594" s="25">
        <v>55</v>
      </c>
      <c r="F594" s="30" t="s">
        <v>275</v>
      </c>
      <c r="G594" s="759">
        <v>250</v>
      </c>
      <c r="H594" s="242">
        <f t="shared" si="57"/>
        <v>233.72701175</v>
      </c>
      <c r="I594" s="25">
        <f t="shared" si="64"/>
        <v>12854.985646249999</v>
      </c>
      <c r="J594" s="759">
        <v>50</v>
      </c>
      <c r="K594" s="25">
        <f t="shared" si="65"/>
        <v>46.745402349999999</v>
      </c>
      <c r="L594" s="72">
        <f t="shared" si="59"/>
        <v>2570.9971292499999</v>
      </c>
      <c r="M594" s="72">
        <f>SUM(I594,L594)</f>
        <v>15425.982775499999</v>
      </c>
      <c r="N594" s="26"/>
      <c r="O594" s="921">
        <v>0.93490804699999996</v>
      </c>
    </row>
    <row r="595" spans="1:15" ht="18.95" customHeight="1">
      <c r="A595" s="115"/>
      <c r="B595" s="1069" t="s">
        <v>273</v>
      </c>
      <c r="C595" s="399" t="s">
        <v>729</v>
      </c>
      <c r="D595" s="286"/>
      <c r="E595" s="25" t="s">
        <v>693</v>
      </c>
      <c r="F595" s="30"/>
      <c r="G595" s="759"/>
      <c r="H595" s="242"/>
      <c r="I595" s="25"/>
      <c r="J595" s="759"/>
      <c r="K595" s="25"/>
      <c r="L595" s="72"/>
      <c r="M595" s="72"/>
      <c r="N595" s="288" t="s">
        <v>730</v>
      </c>
      <c r="O595" s="921">
        <v>0.93490804699999996</v>
      </c>
    </row>
    <row r="596" spans="1:15" ht="18.95" customHeight="1">
      <c r="A596" s="1077"/>
      <c r="B596" s="1069" t="s">
        <v>273</v>
      </c>
      <c r="C596" s="399" t="s">
        <v>737</v>
      </c>
      <c r="D596" s="1017"/>
      <c r="E596" s="25" t="s">
        <v>738</v>
      </c>
      <c r="F596" s="30"/>
      <c r="G596" s="759"/>
      <c r="H596" s="242"/>
      <c r="I596" s="25"/>
      <c r="J596" s="759"/>
      <c r="K596" s="25"/>
      <c r="L596" s="72"/>
      <c r="M596" s="72"/>
      <c r="N596" s="288" t="s">
        <v>730</v>
      </c>
      <c r="O596" s="921">
        <v>0.93490804699999996</v>
      </c>
    </row>
    <row r="597" spans="1:15" ht="18.95" customHeight="1">
      <c r="A597" s="115"/>
      <c r="B597" s="1069" t="s">
        <v>273</v>
      </c>
      <c r="C597" s="368" t="s">
        <v>664</v>
      </c>
      <c r="D597" s="1080"/>
      <c r="E597" s="25" t="s">
        <v>693</v>
      </c>
      <c r="F597" s="25"/>
      <c r="G597" s="1081"/>
      <c r="H597" s="242"/>
      <c r="I597" s="25"/>
      <c r="J597" s="759"/>
      <c r="K597" s="25"/>
      <c r="L597" s="72"/>
      <c r="M597" s="1040"/>
      <c r="N597" s="288" t="s">
        <v>730</v>
      </c>
      <c r="O597" s="921">
        <v>0.93490804699999996</v>
      </c>
    </row>
    <row r="598" spans="1:15" ht="18.95" customHeight="1">
      <c r="A598" s="1077">
        <v>8.3000000000000007</v>
      </c>
      <c r="B598" s="994" t="s">
        <v>739</v>
      </c>
      <c r="C598" s="1082"/>
      <c r="D598" s="286"/>
      <c r="E598" s="25"/>
      <c r="F598" s="30"/>
      <c r="G598" s="759"/>
      <c r="H598" s="242"/>
      <c r="I598" s="25"/>
      <c r="J598" s="759"/>
      <c r="K598" s="25"/>
      <c r="L598" s="72"/>
      <c r="M598" s="72"/>
      <c r="N598" s="26"/>
      <c r="O598" s="921">
        <v>0.93490804699999996</v>
      </c>
    </row>
    <row r="599" spans="1:15" ht="18.95" customHeight="1">
      <c r="A599" s="539"/>
      <c r="B599" s="1069" t="s">
        <v>273</v>
      </c>
      <c r="C599" s="399" t="s">
        <v>740</v>
      </c>
      <c r="D599" s="286"/>
      <c r="E599" s="25">
        <v>620</v>
      </c>
      <c r="F599" s="30" t="s">
        <v>211</v>
      </c>
      <c r="G599" s="759">
        <v>1450</v>
      </c>
      <c r="H599" s="242">
        <f t="shared" si="57"/>
        <v>1355.6166681499999</v>
      </c>
      <c r="I599" s="25">
        <f t="shared" si="64"/>
        <v>840482.33425299998</v>
      </c>
      <c r="J599" s="759">
        <v>1500</v>
      </c>
      <c r="K599" s="25">
        <f t="shared" si="65"/>
        <v>1402.3620704999998</v>
      </c>
      <c r="L599" s="72">
        <f t="shared" si="59"/>
        <v>869464.48370999994</v>
      </c>
      <c r="M599" s="72">
        <f>SUM(I599,L599)</f>
        <v>1709946.8179629999</v>
      </c>
      <c r="N599" s="26"/>
      <c r="O599" s="921">
        <v>0.93490804699999996</v>
      </c>
    </row>
    <row r="600" spans="1:15" ht="18.95" customHeight="1">
      <c r="A600" s="539"/>
      <c r="B600" s="1069" t="s">
        <v>273</v>
      </c>
      <c r="C600" s="399" t="s">
        <v>741</v>
      </c>
      <c r="D600" s="286"/>
      <c r="E600" s="25">
        <v>310</v>
      </c>
      <c r="F600" s="30" t="s">
        <v>211</v>
      </c>
      <c r="G600" s="759">
        <v>1200</v>
      </c>
      <c r="H600" s="242">
        <f t="shared" si="57"/>
        <v>1121.8896563999999</v>
      </c>
      <c r="I600" s="25">
        <f t="shared" si="64"/>
        <v>347785.79348399997</v>
      </c>
      <c r="J600" s="765">
        <v>250</v>
      </c>
      <c r="K600" s="25">
        <f t="shared" si="65"/>
        <v>233.72701175</v>
      </c>
      <c r="L600" s="72">
        <f t="shared" si="59"/>
        <v>72455.373642499995</v>
      </c>
      <c r="M600" s="72">
        <f>SUM(I600,L600)</f>
        <v>420241.16712649993</v>
      </c>
      <c r="N600" s="26"/>
      <c r="O600" s="921">
        <v>0.93490804699999996</v>
      </c>
    </row>
    <row r="601" spans="1:15" ht="18.95" customHeight="1">
      <c r="A601" s="115"/>
      <c r="B601" s="1069" t="s">
        <v>273</v>
      </c>
      <c r="C601" s="399" t="s">
        <v>742</v>
      </c>
      <c r="D601" s="286"/>
      <c r="E601" s="25">
        <v>75</v>
      </c>
      <c r="F601" s="30" t="s">
        <v>275</v>
      </c>
      <c r="G601" s="759">
        <v>300</v>
      </c>
      <c r="H601" s="242">
        <f t="shared" si="57"/>
        <v>280.47241409999998</v>
      </c>
      <c r="I601" s="25">
        <f t="shared" si="64"/>
        <v>21035.431057499998</v>
      </c>
      <c r="J601" s="765">
        <v>50</v>
      </c>
      <c r="K601" s="25">
        <f t="shared" si="65"/>
        <v>46.745402349999999</v>
      </c>
      <c r="L601" s="72">
        <f t="shared" si="59"/>
        <v>3505.9051762499998</v>
      </c>
      <c r="M601" s="72">
        <f>SUM(I601,L601)</f>
        <v>24541.336233749997</v>
      </c>
      <c r="N601" s="26"/>
      <c r="O601" s="921">
        <v>0.93490804699999996</v>
      </c>
    </row>
    <row r="602" spans="1:15" ht="18.95" customHeight="1">
      <c r="A602" s="115"/>
      <c r="B602" s="1069" t="s">
        <v>273</v>
      </c>
      <c r="C602" s="399" t="s">
        <v>743</v>
      </c>
      <c r="D602" s="286"/>
      <c r="E602" s="25">
        <v>310</v>
      </c>
      <c r="F602" s="30" t="s">
        <v>211</v>
      </c>
      <c r="G602" s="759">
        <v>500</v>
      </c>
      <c r="H602" s="242">
        <f t="shared" si="57"/>
        <v>467.45402350000001</v>
      </c>
      <c r="I602" s="25">
        <f t="shared" si="64"/>
        <v>144910.74728499999</v>
      </c>
      <c r="J602" s="765">
        <v>0</v>
      </c>
      <c r="K602" s="25">
        <f t="shared" si="65"/>
        <v>0</v>
      </c>
      <c r="L602" s="72">
        <f t="shared" si="59"/>
        <v>0</v>
      </c>
      <c r="M602" s="72">
        <f>SUM(I602,L602)</f>
        <v>144910.74728499999</v>
      </c>
      <c r="N602" s="26"/>
      <c r="O602" s="921">
        <v>0.93490804699999996</v>
      </c>
    </row>
    <row r="603" spans="1:15" ht="18.95" customHeight="1">
      <c r="A603" s="115"/>
      <c r="B603" s="1069" t="s">
        <v>273</v>
      </c>
      <c r="C603" s="399" t="s">
        <v>729</v>
      </c>
      <c r="D603" s="286"/>
      <c r="E603" s="25" t="s">
        <v>693</v>
      </c>
      <c r="F603" s="30"/>
      <c r="G603" s="759"/>
      <c r="H603" s="242"/>
      <c r="I603" s="25"/>
      <c r="J603" s="759"/>
      <c r="K603" s="25"/>
      <c r="L603" s="72"/>
      <c r="M603" s="72"/>
      <c r="N603" s="288" t="s">
        <v>730</v>
      </c>
      <c r="O603" s="921">
        <v>0.93490804699999996</v>
      </c>
    </row>
    <row r="604" spans="1:15" ht="18.95" customHeight="1">
      <c r="A604" s="1077"/>
      <c r="B604" s="1069" t="s">
        <v>273</v>
      </c>
      <c r="C604" s="368" t="s">
        <v>664</v>
      </c>
      <c r="D604" s="286"/>
      <c r="E604" s="25" t="s">
        <v>693</v>
      </c>
      <c r="F604" s="30"/>
      <c r="G604" s="759"/>
      <c r="H604" s="242"/>
      <c r="I604" s="25"/>
      <c r="J604" s="759"/>
      <c r="K604" s="25"/>
      <c r="L604" s="72"/>
      <c r="M604" s="72"/>
      <c r="N604" s="288" t="s">
        <v>730</v>
      </c>
      <c r="O604" s="921">
        <v>0.93490804699999996</v>
      </c>
    </row>
    <row r="605" spans="1:15" ht="18.95" customHeight="1">
      <c r="A605" s="1077">
        <v>8.4</v>
      </c>
      <c r="B605" s="540" t="s">
        <v>744</v>
      </c>
      <c r="C605" s="399"/>
      <c r="D605" s="286"/>
      <c r="E605" s="25"/>
      <c r="F605" s="30"/>
      <c r="G605" s="759"/>
      <c r="H605" s="242"/>
      <c r="I605" s="25"/>
      <c r="J605" s="759"/>
      <c r="K605" s="25"/>
      <c r="L605" s="72"/>
      <c r="M605" s="72"/>
      <c r="N605" s="26"/>
      <c r="O605" s="921">
        <v>0.93490804699999996</v>
      </c>
    </row>
    <row r="606" spans="1:15" ht="18.95" customHeight="1">
      <c r="A606" s="115"/>
      <c r="B606" s="1069" t="s">
        <v>273</v>
      </c>
      <c r="C606" s="399" t="s">
        <v>740</v>
      </c>
      <c r="D606" s="286"/>
      <c r="E606" s="25">
        <v>45</v>
      </c>
      <c r="F606" s="30" t="s">
        <v>211</v>
      </c>
      <c r="G606" s="759">
        <v>1450</v>
      </c>
      <c r="H606" s="242">
        <f t="shared" ref="H606:H668" si="66">G606*O606</f>
        <v>1355.6166681499999</v>
      </c>
      <c r="I606" s="25">
        <f t="shared" si="64"/>
        <v>61002.750066749999</v>
      </c>
      <c r="J606" s="759">
        <v>1500</v>
      </c>
      <c r="K606" s="25">
        <f t="shared" si="65"/>
        <v>1402.3620704999998</v>
      </c>
      <c r="L606" s="72">
        <f t="shared" si="59"/>
        <v>63106.293172499994</v>
      </c>
      <c r="M606" s="72">
        <f>SUM(I606,L606)</f>
        <v>124109.04323924999</v>
      </c>
      <c r="N606" s="26"/>
      <c r="O606" s="921">
        <v>0.93490804699999996</v>
      </c>
    </row>
    <row r="607" spans="1:15" ht="18.95" customHeight="1">
      <c r="A607" s="115"/>
      <c r="B607" s="1069" t="s">
        <v>273</v>
      </c>
      <c r="C607" s="399" t="s">
        <v>741</v>
      </c>
      <c r="D607" s="286"/>
      <c r="E607" s="25">
        <v>20</v>
      </c>
      <c r="F607" s="30" t="s">
        <v>211</v>
      </c>
      <c r="G607" s="759">
        <v>1200</v>
      </c>
      <c r="H607" s="242">
        <f t="shared" si="66"/>
        <v>1121.8896563999999</v>
      </c>
      <c r="I607" s="25">
        <f t="shared" si="64"/>
        <v>22437.793127999998</v>
      </c>
      <c r="J607" s="765">
        <v>250</v>
      </c>
      <c r="K607" s="25">
        <f t="shared" si="65"/>
        <v>233.72701175</v>
      </c>
      <c r="L607" s="72">
        <f t="shared" ref="L607:L670" si="67">E607*K607</f>
        <v>4674.5402350000004</v>
      </c>
      <c r="M607" s="72">
        <f>SUM(I607,L607)</f>
        <v>27112.333362999998</v>
      </c>
      <c r="N607" s="26"/>
      <c r="O607" s="921">
        <v>0.93490804699999996</v>
      </c>
    </row>
    <row r="608" spans="1:15" ht="18.95" customHeight="1">
      <c r="A608" s="115"/>
      <c r="B608" s="1046"/>
      <c r="C608" s="399" t="s">
        <v>745</v>
      </c>
      <c r="D608" s="286"/>
      <c r="E608" s="25"/>
      <c r="F608" s="30"/>
      <c r="G608" s="759"/>
      <c r="H608" s="242"/>
      <c r="I608" s="25"/>
      <c r="J608" s="759"/>
      <c r="K608" s="25"/>
      <c r="L608" s="72"/>
      <c r="M608" s="126"/>
      <c r="N608" s="26"/>
      <c r="O608" s="921">
        <v>0.93490804699999996</v>
      </c>
    </row>
    <row r="609" spans="1:15" ht="18.95" customHeight="1">
      <c r="A609" s="268"/>
      <c r="B609" s="1069" t="s">
        <v>273</v>
      </c>
      <c r="C609" s="399" t="s">
        <v>742</v>
      </c>
      <c r="D609" s="286"/>
      <c r="E609" s="25">
        <v>6</v>
      </c>
      <c r="F609" s="30" t="s">
        <v>275</v>
      </c>
      <c r="G609" s="759">
        <v>300</v>
      </c>
      <c r="H609" s="242">
        <f t="shared" si="66"/>
        <v>280.47241409999998</v>
      </c>
      <c r="I609" s="25">
        <f t="shared" si="64"/>
        <v>1682.8344846</v>
      </c>
      <c r="J609" s="765">
        <v>50</v>
      </c>
      <c r="K609" s="25">
        <f t="shared" si="65"/>
        <v>46.745402349999999</v>
      </c>
      <c r="L609" s="72">
        <f t="shared" si="67"/>
        <v>280.47241409999998</v>
      </c>
      <c r="M609" s="72">
        <f>SUM(I609,L609)</f>
        <v>1963.3068986999999</v>
      </c>
      <c r="N609" s="26"/>
      <c r="O609" s="921">
        <v>0.93490804699999996</v>
      </c>
    </row>
    <row r="610" spans="1:15" ht="18.95" customHeight="1">
      <c r="A610" s="268"/>
      <c r="B610" s="1069" t="s">
        <v>273</v>
      </c>
      <c r="C610" s="399" t="s">
        <v>743</v>
      </c>
      <c r="D610" s="286"/>
      <c r="E610" s="25">
        <v>20</v>
      </c>
      <c r="F610" s="30" t="s">
        <v>211</v>
      </c>
      <c r="G610" s="759">
        <v>500</v>
      </c>
      <c r="H610" s="242">
        <f t="shared" si="66"/>
        <v>467.45402350000001</v>
      </c>
      <c r="I610" s="25">
        <f t="shared" si="64"/>
        <v>9349.0804700000008</v>
      </c>
      <c r="J610" s="765">
        <v>0</v>
      </c>
      <c r="K610" s="25">
        <f t="shared" si="65"/>
        <v>0</v>
      </c>
      <c r="L610" s="72">
        <f t="shared" si="67"/>
        <v>0</v>
      </c>
      <c r="M610" s="72">
        <f t="shared" ref="M610:M614" si="68">SUM(I610,L610)</f>
        <v>9349.0804700000008</v>
      </c>
      <c r="N610" s="26"/>
      <c r="O610" s="921">
        <v>0.93490804699999996</v>
      </c>
    </row>
    <row r="611" spans="1:15" ht="18.95" customHeight="1">
      <c r="A611" s="268"/>
      <c r="B611" s="1069" t="s">
        <v>273</v>
      </c>
      <c r="C611" s="285" t="s">
        <v>746</v>
      </c>
      <c r="D611" s="267"/>
      <c r="E611" s="25">
        <v>4</v>
      </c>
      <c r="F611" s="30" t="s">
        <v>275</v>
      </c>
      <c r="G611" s="759">
        <v>4000</v>
      </c>
      <c r="H611" s="242">
        <f t="shared" si="66"/>
        <v>3739.632188</v>
      </c>
      <c r="I611" s="25">
        <f t="shared" si="64"/>
        <v>14958.528752</v>
      </c>
      <c r="J611" s="765">
        <v>0</v>
      </c>
      <c r="K611" s="25">
        <f t="shared" si="65"/>
        <v>0</v>
      </c>
      <c r="L611" s="72">
        <f t="shared" si="67"/>
        <v>0</v>
      </c>
      <c r="M611" s="72">
        <f t="shared" si="68"/>
        <v>14958.528752</v>
      </c>
      <c r="N611" s="26"/>
      <c r="O611" s="921">
        <v>0.93490804699999996</v>
      </c>
    </row>
    <row r="612" spans="1:15" ht="18.95" customHeight="1">
      <c r="A612" s="115"/>
      <c r="B612" s="1069" t="s">
        <v>273</v>
      </c>
      <c r="C612" s="399" t="s">
        <v>747</v>
      </c>
      <c r="D612" s="286"/>
      <c r="E612" s="25">
        <v>5</v>
      </c>
      <c r="F612" s="30" t="s">
        <v>275</v>
      </c>
      <c r="G612" s="759">
        <v>650</v>
      </c>
      <c r="H612" s="242">
        <f t="shared" si="66"/>
        <v>607.69023055000002</v>
      </c>
      <c r="I612" s="25">
        <f t="shared" si="64"/>
        <v>3038.4511527499999</v>
      </c>
      <c r="J612" s="759">
        <v>375</v>
      </c>
      <c r="K612" s="25">
        <f t="shared" si="65"/>
        <v>350.59051762499996</v>
      </c>
      <c r="L612" s="72">
        <f t="shared" si="67"/>
        <v>1752.9525881249997</v>
      </c>
      <c r="M612" s="72">
        <f t="shared" si="68"/>
        <v>4791.4037408749991</v>
      </c>
      <c r="N612" s="72"/>
      <c r="O612" s="921">
        <v>0.93490804699999996</v>
      </c>
    </row>
    <row r="613" spans="1:15" ht="18.95" customHeight="1">
      <c r="A613" s="115"/>
      <c r="B613" s="1069" t="s">
        <v>273</v>
      </c>
      <c r="C613" s="399" t="s">
        <v>748</v>
      </c>
      <c r="D613" s="286"/>
      <c r="E613" s="25">
        <v>5</v>
      </c>
      <c r="F613" s="30" t="s">
        <v>275</v>
      </c>
      <c r="G613" s="759">
        <v>400</v>
      </c>
      <c r="H613" s="242">
        <f t="shared" si="66"/>
        <v>373.96321879999999</v>
      </c>
      <c r="I613" s="25">
        <f t="shared" si="64"/>
        <v>1869.816094</v>
      </c>
      <c r="J613" s="759">
        <v>245</v>
      </c>
      <c r="K613" s="25">
        <f t="shared" si="65"/>
        <v>229.05247151499998</v>
      </c>
      <c r="L613" s="72">
        <f t="shared" si="67"/>
        <v>1145.2623575749999</v>
      </c>
      <c r="M613" s="72">
        <f t="shared" si="68"/>
        <v>3015.0784515750001</v>
      </c>
      <c r="N613" s="72"/>
      <c r="O613" s="921">
        <v>0.93490804699999996</v>
      </c>
    </row>
    <row r="614" spans="1:15" ht="18.95" customHeight="1">
      <c r="A614" s="1083"/>
      <c r="B614" s="1069" t="s">
        <v>273</v>
      </c>
      <c r="C614" s="399" t="s">
        <v>728</v>
      </c>
      <c r="D614" s="24"/>
      <c r="E614" s="25">
        <v>4</v>
      </c>
      <c r="F614" s="30" t="s">
        <v>275</v>
      </c>
      <c r="G614" s="759">
        <v>300</v>
      </c>
      <c r="H614" s="242">
        <f t="shared" si="66"/>
        <v>280.47241409999998</v>
      </c>
      <c r="I614" s="25">
        <f t="shared" si="64"/>
        <v>1121.8896563999999</v>
      </c>
      <c r="J614" s="759">
        <v>50</v>
      </c>
      <c r="K614" s="25">
        <f t="shared" si="65"/>
        <v>46.745402349999999</v>
      </c>
      <c r="L614" s="72">
        <f t="shared" si="67"/>
        <v>186.9816094</v>
      </c>
      <c r="M614" s="72">
        <f t="shared" si="68"/>
        <v>1308.8712657999999</v>
      </c>
      <c r="N614" s="72"/>
      <c r="O614" s="921">
        <v>0.93490804699999996</v>
      </c>
    </row>
    <row r="615" spans="1:15" ht="18.95" customHeight="1">
      <c r="A615" s="1077"/>
      <c r="B615" s="1069" t="s">
        <v>273</v>
      </c>
      <c r="C615" s="399" t="s">
        <v>729</v>
      </c>
      <c r="D615" s="286"/>
      <c r="E615" s="25" t="s">
        <v>693</v>
      </c>
      <c r="F615" s="30"/>
      <c r="G615" s="759"/>
      <c r="H615" s="242"/>
      <c r="I615" s="25"/>
      <c r="J615" s="759"/>
      <c r="K615" s="25"/>
      <c r="L615" s="72"/>
      <c r="M615" s="72"/>
      <c r="N615" s="288" t="s">
        <v>730</v>
      </c>
      <c r="O615" s="921">
        <v>0.93490804699999996</v>
      </c>
    </row>
    <row r="616" spans="1:15" ht="18.95" customHeight="1">
      <c r="A616" s="115"/>
      <c r="B616" s="1069" t="s">
        <v>273</v>
      </c>
      <c r="C616" s="368" t="s">
        <v>664</v>
      </c>
      <c r="D616" s="286"/>
      <c r="E616" s="25" t="s">
        <v>693</v>
      </c>
      <c r="F616" s="30"/>
      <c r="G616" s="759"/>
      <c r="H616" s="242"/>
      <c r="I616" s="25"/>
      <c r="J616" s="1029"/>
      <c r="K616" s="25"/>
      <c r="L616" s="72"/>
      <c r="M616" s="72"/>
      <c r="N616" s="288" t="s">
        <v>730</v>
      </c>
      <c r="O616" s="921">
        <v>0.93490804699999996</v>
      </c>
    </row>
    <row r="617" spans="1:15" ht="18.95" customHeight="1">
      <c r="A617" s="1077">
        <v>8.5</v>
      </c>
      <c r="B617" s="540" t="s">
        <v>749</v>
      </c>
      <c r="C617" s="368"/>
      <c r="D617" s="286"/>
      <c r="E617" s="25"/>
      <c r="F617" s="30"/>
      <c r="G617" s="759"/>
      <c r="H617" s="242"/>
      <c r="I617" s="25"/>
      <c r="J617" s="1029"/>
      <c r="K617" s="25"/>
      <c r="L617" s="72"/>
      <c r="M617" s="72"/>
      <c r="N617" s="288"/>
      <c r="O617" s="921">
        <v>0.93490804699999996</v>
      </c>
    </row>
    <row r="618" spans="1:15" ht="18.95" customHeight="1">
      <c r="A618" s="115"/>
      <c r="B618" s="1069" t="s">
        <v>273</v>
      </c>
      <c r="C618" s="399" t="s">
        <v>740</v>
      </c>
      <c r="D618" s="286"/>
      <c r="E618" s="25">
        <v>140</v>
      </c>
      <c r="F618" s="30" t="s">
        <v>211</v>
      </c>
      <c r="G618" s="759">
        <v>1450</v>
      </c>
      <c r="H618" s="242">
        <f t="shared" si="66"/>
        <v>1355.6166681499999</v>
      </c>
      <c r="I618" s="25">
        <f t="shared" si="64"/>
        <v>189786.33354099997</v>
      </c>
      <c r="J618" s="759">
        <v>1500</v>
      </c>
      <c r="K618" s="25">
        <f t="shared" si="65"/>
        <v>1402.3620704999998</v>
      </c>
      <c r="L618" s="72">
        <f t="shared" si="67"/>
        <v>196330.68986999997</v>
      </c>
      <c r="M618" s="72">
        <f>SUM(I618,L618)</f>
        <v>386117.02341099991</v>
      </c>
      <c r="N618" s="288"/>
      <c r="O618" s="921">
        <v>0.93490804699999996</v>
      </c>
    </row>
    <row r="619" spans="1:15" ht="18.95" customHeight="1">
      <c r="A619" s="115"/>
      <c r="B619" s="1069" t="s">
        <v>273</v>
      </c>
      <c r="C619" s="399" t="s">
        <v>729</v>
      </c>
      <c r="D619" s="286"/>
      <c r="E619" s="25" t="s">
        <v>693</v>
      </c>
      <c r="F619" s="30"/>
      <c r="G619" s="759"/>
      <c r="H619" s="242"/>
      <c r="I619" s="25"/>
      <c r="J619" s="759"/>
      <c r="K619" s="25"/>
      <c r="L619" s="72"/>
      <c r="M619" s="72"/>
      <c r="N619" s="288"/>
      <c r="O619" s="921">
        <v>0.93490804699999996</v>
      </c>
    </row>
    <row r="620" spans="1:15" ht="18.95" customHeight="1">
      <c r="A620" s="115"/>
      <c r="B620" s="1069" t="s">
        <v>273</v>
      </c>
      <c r="C620" s="368" t="s">
        <v>664</v>
      </c>
      <c r="D620" s="286"/>
      <c r="E620" s="25" t="s">
        <v>693</v>
      </c>
      <c r="F620" s="30"/>
      <c r="G620" s="759"/>
      <c r="H620" s="242"/>
      <c r="I620" s="25"/>
      <c r="J620" s="1029"/>
      <c r="K620" s="25"/>
      <c r="L620" s="72"/>
      <c r="M620" s="72"/>
      <c r="N620" s="288"/>
      <c r="O620" s="921">
        <v>0.93490804699999996</v>
      </c>
    </row>
    <row r="621" spans="1:15" ht="18.95" customHeight="1">
      <c r="A621" s="1077">
        <v>8.6</v>
      </c>
      <c r="B621" s="540" t="s">
        <v>750</v>
      </c>
      <c r="C621" s="399"/>
      <c r="D621" s="286"/>
      <c r="E621" s="25"/>
      <c r="F621" s="30"/>
      <c r="G621" s="759"/>
      <c r="H621" s="242"/>
      <c r="I621" s="25"/>
      <c r="J621" s="1029"/>
      <c r="K621" s="25"/>
      <c r="L621" s="72"/>
      <c r="M621" s="72"/>
      <c r="N621" s="72"/>
      <c r="O621" s="921">
        <v>0.93490804699999996</v>
      </c>
    </row>
    <row r="622" spans="1:15" ht="18.95" customHeight="1">
      <c r="A622" s="1077"/>
      <c r="B622" s="1069" t="s">
        <v>273</v>
      </c>
      <c r="C622" s="399" t="s">
        <v>751</v>
      </c>
      <c r="D622" s="1017"/>
      <c r="E622" s="25">
        <v>2375</v>
      </c>
      <c r="F622" s="30" t="s">
        <v>211</v>
      </c>
      <c r="G622" s="759">
        <v>550</v>
      </c>
      <c r="H622" s="242">
        <f t="shared" si="66"/>
        <v>514.19942585000001</v>
      </c>
      <c r="I622" s="25">
        <f t="shared" si="64"/>
        <v>1221223.6363937501</v>
      </c>
      <c r="J622" s="759">
        <v>70</v>
      </c>
      <c r="K622" s="25">
        <f t="shared" si="65"/>
        <v>65.44356329</v>
      </c>
      <c r="L622" s="72">
        <f t="shared" si="67"/>
        <v>155428.46281375</v>
      </c>
      <c r="M622" s="72">
        <f>SUM(I622,L622)</f>
        <v>1376652.0992075</v>
      </c>
      <c r="N622" s="72"/>
      <c r="O622" s="921">
        <v>0.93490804699999996</v>
      </c>
    </row>
    <row r="623" spans="1:15" ht="18.95" customHeight="1">
      <c r="A623" s="539"/>
      <c r="B623" s="1069" t="s">
        <v>273</v>
      </c>
      <c r="C623" s="1084" t="s">
        <v>752</v>
      </c>
      <c r="D623" s="1017"/>
      <c r="E623" s="25">
        <v>920</v>
      </c>
      <c r="F623" s="30" t="s">
        <v>211</v>
      </c>
      <c r="G623" s="759">
        <v>450</v>
      </c>
      <c r="H623" s="242">
        <f t="shared" si="66"/>
        <v>420.70862115</v>
      </c>
      <c r="I623" s="25">
        <f t="shared" si="64"/>
        <v>387051.93145799998</v>
      </c>
      <c r="J623" s="759">
        <v>70</v>
      </c>
      <c r="K623" s="25">
        <f t="shared" si="65"/>
        <v>65.44356329</v>
      </c>
      <c r="L623" s="72">
        <f t="shared" si="67"/>
        <v>60208.078226799997</v>
      </c>
      <c r="M623" s="72">
        <f>SUM(I623,L623)</f>
        <v>447260.0096848</v>
      </c>
      <c r="N623" s="26"/>
      <c r="O623" s="921">
        <v>0.93490804699999996</v>
      </c>
    </row>
    <row r="624" spans="1:15" ht="18.95" customHeight="1">
      <c r="A624" s="539"/>
      <c r="B624" s="1069" t="s">
        <v>273</v>
      </c>
      <c r="C624" s="1085" t="s">
        <v>753</v>
      </c>
      <c r="D624" s="1017"/>
      <c r="E624" s="25">
        <v>135</v>
      </c>
      <c r="F624" s="30" t="s">
        <v>211</v>
      </c>
      <c r="G624" s="759">
        <v>320</v>
      </c>
      <c r="H624" s="242">
        <f t="shared" si="66"/>
        <v>299.17057504000002</v>
      </c>
      <c r="I624" s="25">
        <f t="shared" si="64"/>
        <v>40388.0276304</v>
      </c>
      <c r="J624" s="759">
        <v>100</v>
      </c>
      <c r="K624" s="25">
        <f t="shared" si="65"/>
        <v>93.490804699999998</v>
      </c>
      <c r="L624" s="72">
        <f t="shared" si="67"/>
        <v>12621.2586345</v>
      </c>
      <c r="M624" s="72">
        <f>SUM(I624,L624)</f>
        <v>53009.286264900002</v>
      </c>
      <c r="N624" s="26"/>
      <c r="O624" s="921">
        <v>0.93490804699999996</v>
      </c>
    </row>
    <row r="625" spans="1:17" ht="18.95" customHeight="1">
      <c r="A625" s="539"/>
      <c r="B625" s="1086"/>
      <c r="C625" s="1085" t="s">
        <v>754</v>
      </c>
      <c r="D625" s="1017"/>
      <c r="E625" s="25"/>
      <c r="F625" s="1068"/>
      <c r="G625" s="759"/>
      <c r="H625" s="242"/>
      <c r="I625" s="25"/>
      <c r="J625" s="759"/>
      <c r="K625" s="25"/>
      <c r="L625" s="72"/>
      <c r="M625" s="126"/>
      <c r="N625" s="26"/>
      <c r="O625" s="921">
        <v>0.93490804699999996</v>
      </c>
    </row>
    <row r="626" spans="1:17" ht="18.95" customHeight="1">
      <c r="A626" s="1077">
        <v>8.6999999999999993</v>
      </c>
      <c r="B626" s="1082" t="s">
        <v>755</v>
      </c>
      <c r="C626" s="399"/>
      <c r="D626" s="286"/>
      <c r="E626" s="25"/>
      <c r="F626" s="1068"/>
      <c r="G626" s="759"/>
      <c r="H626" s="242"/>
      <c r="I626" s="25"/>
      <c r="J626" s="759"/>
      <c r="K626" s="25"/>
      <c r="L626" s="72"/>
      <c r="M626" s="72"/>
      <c r="N626" s="26"/>
      <c r="O626" s="921">
        <v>0.93490804699999996</v>
      </c>
    </row>
    <row r="627" spans="1:17" ht="18.95" customHeight="1">
      <c r="A627" s="115"/>
      <c r="B627" s="1046" t="s">
        <v>273</v>
      </c>
      <c r="C627" s="399" t="s">
        <v>756</v>
      </c>
      <c r="D627" s="267"/>
      <c r="E627" s="25">
        <v>1430</v>
      </c>
      <c r="F627" s="30" t="s">
        <v>211</v>
      </c>
      <c r="G627" s="759">
        <v>900</v>
      </c>
      <c r="H627" s="242">
        <f t="shared" si="66"/>
        <v>841.4172423</v>
      </c>
      <c r="I627" s="25">
        <f t="shared" si="64"/>
        <v>1203226.656489</v>
      </c>
      <c r="J627" s="759">
        <v>0</v>
      </c>
      <c r="K627" s="25">
        <f t="shared" si="65"/>
        <v>0</v>
      </c>
      <c r="L627" s="72">
        <f t="shared" si="67"/>
        <v>0</v>
      </c>
      <c r="M627" s="72">
        <f>SUM(I627,L627)</f>
        <v>1203226.656489</v>
      </c>
      <c r="N627" s="26"/>
      <c r="O627" s="921">
        <v>0.93490804699999996</v>
      </c>
    </row>
    <row r="628" spans="1:17" ht="18.95" customHeight="1">
      <c r="A628" s="115"/>
      <c r="B628" s="527"/>
      <c r="C628" s="399" t="s">
        <v>757</v>
      </c>
      <c r="D628" s="286"/>
      <c r="E628" s="25"/>
      <c r="F628" s="30"/>
      <c r="G628" s="759"/>
      <c r="H628" s="242"/>
      <c r="I628" s="25"/>
      <c r="J628" s="759"/>
      <c r="K628" s="25"/>
      <c r="L628" s="72"/>
      <c r="M628" s="72"/>
      <c r="N628" s="26"/>
      <c r="O628" s="921">
        <v>0.93490804699999996</v>
      </c>
    </row>
    <row r="629" spans="1:17" ht="18.95" customHeight="1">
      <c r="A629" s="1077"/>
      <c r="B629" s="1046" t="s">
        <v>273</v>
      </c>
      <c r="C629" s="368" t="s">
        <v>758</v>
      </c>
      <c r="D629" s="24"/>
      <c r="E629" s="25">
        <v>1265</v>
      </c>
      <c r="F629" s="30" t="s">
        <v>211</v>
      </c>
      <c r="G629" s="759">
        <v>300</v>
      </c>
      <c r="H629" s="242">
        <f t="shared" si="66"/>
        <v>280.47241409999998</v>
      </c>
      <c r="I629" s="25">
        <f t="shared" si="64"/>
        <v>354797.60383649997</v>
      </c>
      <c r="J629" s="765">
        <v>0</v>
      </c>
      <c r="K629" s="25">
        <f t="shared" si="65"/>
        <v>0</v>
      </c>
      <c r="L629" s="72">
        <f t="shared" si="67"/>
        <v>0</v>
      </c>
      <c r="M629" s="72">
        <f>SUM(I629,L629)</f>
        <v>354797.60383649997</v>
      </c>
      <c r="N629" s="26"/>
      <c r="O629" s="921">
        <v>0.93490804699999996</v>
      </c>
    </row>
    <row r="630" spans="1:17" ht="18.95" customHeight="1">
      <c r="A630" s="1087"/>
      <c r="B630" s="1046"/>
      <c r="C630" s="368" t="s">
        <v>759</v>
      </c>
      <c r="D630" s="24"/>
      <c r="E630" s="25"/>
      <c r="F630" s="30"/>
      <c r="G630" s="759"/>
      <c r="H630" s="242"/>
      <c r="I630" s="25"/>
      <c r="J630" s="759"/>
      <c r="K630" s="25"/>
      <c r="L630" s="72"/>
      <c r="M630" s="72"/>
      <c r="N630" s="26"/>
      <c r="O630" s="921">
        <v>0.93490804699999996</v>
      </c>
    </row>
    <row r="631" spans="1:17" ht="18.95" customHeight="1">
      <c r="A631" s="1077">
        <v>8.8000000000000007</v>
      </c>
      <c r="B631" s="1088" t="s">
        <v>760</v>
      </c>
      <c r="C631" s="285"/>
      <c r="D631" s="267"/>
      <c r="E631" s="25"/>
      <c r="F631" s="30"/>
      <c r="G631" s="759"/>
      <c r="H631" s="242"/>
      <c r="I631" s="25"/>
      <c r="J631" s="759"/>
      <c r="K631" s="25"/>
      <c r="L631" s="72"/>
      <c r="M631" s="72"/>
      <c r="N631" s="26"/>
      <c r="O631" s="921">
        <v>0.93490804699999996</v>
      </c>
    </row>
    <row r="632" spans="1:17" ht="18.95" customHeight="1">
      <c r="A632" s="115"/>
      <c r="B632" s="1046" t="s">
        <v>273</v>
      </c>
      <c r="C632" s="399" t="s">
        <v>761</v>
      </c>
      <c r="D632" s="1017"/>
      <c r="E632" s="25">
        <v>168</v>
      </c>
      <c r="F632" s="30" t="s">
        <v>275</v>
      </c>
      <c r="G632" s="759">
        <v>1000</v>
      </c>
      <c r="H632" s="242">
        <f t="shared" si="66"/>
        <v>934.90804700000001</v>
      </c>
      <c r="I632" s="25">
        <f t="shared" si="64"/>
        <v>157064.55189599999</v>
      </c>
      <c r="J632" s="765">
        <v>0</v>
      </c>
      <c r="K632" s="25">
        <f t="shared" si="65"/>
        <v>0</v>
      </c>
      <c r="L632" s="72">
        <f t="shared" si="67"/>
        <v>0</v>
      </c>
      <c r="M632" s="72">
        <f>SUM(I632,L632)</f>
        <v>157064.55189599999</v>
      </c>
      <c r="N632" s="26"/>
      <c r="O632" s="921">
        <v>0.93490804699999996</v>
      </c>
    </row>
    <row r="633" spans="1:17" ht="18.95" customHeight="1">
      <c r="A633" s="115"/>
      <c r="B633" s="1046" t="s">
        <v>273</v>
      </c>
      <c r="C633" s="399" t="s">
        <v>762</v>
      </c>
      <c r="D633" s="1017"/>
      <c r="E633" s="25" t="s">
        <v>693</v>
      </c>
      <c r="F633" s="30"/>
      <c r="G633" s="759"/>
      <c r="H633" s="242"/>
      <c r="I633" s="25"/>
      <c r="J633" s="759"/>
      <c r="K633" s="25"/>
      <c r="L633" s="72"/>
      <c r="M633" s="72"/>
      <c r="N633" s="288" t="s">
        <v>730</v>
      </c>
      <c r="O633" s="921">
        <v>0.93490804699999996</v>
      </c>
    </row>
    <row r="634" spans="1:17" ht="18.95" customHeight="1">
      <c r="A634" s="1077"/>
      <c r="B634" s="1046" t="s">
        <v>273</v>
      </c>
      <c r="C634" s="399" t="s">
        <v>763</v>
      </c>
      <c r="D634" s="1017"/>
      <c r="E634" s="25" t="s">
        <v>693</v>
      </c>
      <c r="F634" s="30"/>
      <c r="G634" s="1029"/>
      <c r="H634" s="242"/>
      <c r="I634" s="25"/>
      <c r="J634" s="759"/>
      <c r="K634" s="25"/>
      <c r="L634" s="72"/>
      <c r="M634" s="72"/>
      <c r="N634" s="288" t="s">
        <v>730</v>
      </c>
      <c r="O634" s="921">
        <v>0.93490804699999996</v>
      </c>
    </row>
    <row r="635" spans="1:17" ht="18.95" customHeight="1">
      <c r="A635" s="1087"/>
      <c r="B635" s="1046" t="s">
        <v>273</v>
      </c>
      <c r="C635" s="399" t="s">
        <v>764</v>
      </c>
      <c r="D635" s="1017"/>
      <c r="E635" s="25" t="s">
        <v>693</v>
      </c>
      <c r="F635" s="30"/>
      <c r="G635" s="759"/>
      <c r="H635" s="242"/>
      <c r="I635" s="25"/>
      <c r="J635" s="759"/>
      <c r="K635" s="25"/>
      <c r="L635" s="72"/>
      <c r="M635" s="72"/>
      <c r="N635" s="288" t="s">
        <v>730</v>
      </c>
      <c r="O635" s="921">
        <v>0.93490804699999996</v>
      </c>
    </row>
    <row r="636" spans="1:17" ht="18.95" customHeight="1">
      <c r="A636" s="1077"/>
      <c r="B636" s="1046" t="s">
        <v>273</v>
      </c>
      <c r="C636" s="399" t="s">
        <v>765</v>
      </c>
      <c r="D636" s="286"/>
      <c r="E636" s="25" t="s">
        <v>693</v>
      </c>
      <c r="F636" s="1068"/>
      <c r="G636" s="759"/>
      <c r="H636" s="242"/>
      <c r="I636" s="25"/>
      <c r="J636" s="759"/>
      <c r="K636" s="25"/>
      <c r="L636" s="72"/>
      <c r="M636" s="72"/>
      <c r="N636" s="288" t="s">
        <v>730</v>
      </c>
      <c r="O636" s="921">
        <v>0.93490804699999996</v>
      </c>
    </row>
    <row r="637" spans="1:17" ht="18.95" customHeight="1">
      <c r="A637" s="1077"/>
      <c r="B637" s="1046" t="s">
        <v>273</v>
      </c>
      <c r="C637" s="399" t="s">
        <v>766</v>
      </c>
      <c r="D637" s="286"/>
      <c r="E637" s="25">
        <v>1</v>
      </c>
      <c r="F637" s="1068" t="s">
        <v>349</v>
      </c>
      <c r="G637" s="759">
        <v>10000</v>
      </c>
      <c r="H637" s="242">
        <f t="shared" si="66"/>
        <v>9349.080469999999</v>
      </c>
      <c r="I637" s="25">
        <f t="shared" si="64"/>
        <v>9349.080469999999</v>
      </c>
      <c r="J637" s="765">
        <v>0</v>
      </c>
      <c r="K637" s="25">
        <f t="shared" si="65"/>
        <v>0</v>
      </c>
      <c r="L637" s="72">
        <f t="shared" si="67"/>
        <v>0</v>
      </c>
      <c r="M637" s="72">
        <f>SUM(I637,L637)</f>
        <v>9349.080469999999</v>
      </c>
      <c r="N637" s="26"/>
      <c r="O637" s="921">
        <v>0.93490804699999996</v>
      </c>
    </row>
    <row r="638" spans="1:17" s="724" customFormat="1" ht="18.95" customHeight="1">
      <c r="A638" s="1079"/>
      <c r="B638" s="1245" t="s">
        <v>767</v>
      </c>
      <c r="C638" s="1246"/>
      <c r="D638" s="1247"/>
      <c r="E638" s="676"/>
      <c r="F638" s="670"/>
      <c r="G638" s="1025"/>
      <c r="H638" s="676"/>
      <c r="I638" s="676"/>
      <c r="J638" s="1025"/>
      <c r="K638" s="676"/>
      <c r="L638" s="676"/>
      <c r="M638" s="1026">
        <f>SUM(M583:M637)</f>
        <v>11333993.09366617</v>
      </c>
      <c r="N638" s="670"/>
      <c r="O638" s="1051">
        <v>0.93490804699999996</v>
      </c>
      <c r="P638" s="1028"/>
      <c r="Q638" s="1028"/>
    </row>
    <row r="639" spans="1:17" ht="18.95" customHeight="1">
      <c r="A639" s="58">
        <v>9</v>
      </c>
      <c r="B639" s="994" t="s">
        <v>204</v>
      </c>
      <c r="C639" s="368"/>
      <c r="D639" s="368"/>
      <c r="E639" s="25"/>
      <c r="F639" s="30"/>
      <c r="G639" s="759"/>
      <c r="H639" s="242"/>
      <c r="I639" s="25"/>
      <c r="J639" s="759"/>
      <c r="K639" s="25"/>
      <c r="L639" s="72"/>
      <c r="M639" s="72"/>
      <c r="N639" s="26"/>
      <c r="O639" s="921">
        <v>0.93490804699999996</v>
      </c>
    </row>
    <row r="640" spans="1:17" ht="18.95" customHeight="1">
      <c r="A640" s="256"/>
      <c r="B640" s="994"/>
      <c r="C640" s="368"/>
      <c r="D640" s="368"/>
      <c r="E640" s="25"/>
      <c r="F640" s="30"/>
      <c r="G640" s="759"/>
      <c r="H640" s="242"/>
      <c r="I640" s="25"/>
      <c r="J640" s="759"/>
      <c r="K640" s="25"/>
      <c r="L640" s="72"/>
      <c r="M640" s="72"/>
      <c r="N640" s="26"/>
      <c r="O640" s="921">
        <v>0.93490804699999996</v>
      </c>
    </row>
    <row r="641" spans="1:17" ht="18.95" customHeight="1">
      <c r="A641" s="1089">
        <v>9.1</v>
      </c>
      <c r="B641" s="994" t="s">
        <v>768</v>
      </c>
      <c r="C641" s="285"/>
      <c r="D641" s="209"/>
      <c r="E641" s="25"/>
      <c r="F641" s="30"/>
      <c r="G641" s="759"/>
      <c r="H641" s="242"/>
      <c r="I641" s="25"/>
      <c r="J641" s="759"/>
      <c r="K641" s="25"/>
      <c r="L641" s="72"/>
      <c r="M641" s="72"/>
      <c r="N641" s="26"/>
      <c r="O641" s="921">
        <v>0.93490804699999996</v>
      </c>
    </row>
    <row r="642" spans="1:17" ht="18.95" customHeight="1">
      <c r="A642" s="573" t="s">
        <v>769</v>
      </c>
      <c r="B642" s="1046" t="s">
        <v>318</v>
      </c>
      <c r="C642" s="368" t="s">
        <v>319</v>
      </c>
      <c r="D642" s="368"/>
      <c r="E642" s="25"/>
      <c r="F642" s="30"/>
      <c r="G642" s="759"/>
      <c r="H642" s="242"/>
      <c r="I642" s="25"/>
      <c r="J642" s="759"/>
      <c r="K642" s="25"/>
      <c r="L642" s="72"/>
      <c r="M642" s="72"/>
      <c r="N642" s="72"/>
      <c r="O642" s="921">
        <v>0.93490804699999996</v>
      </c>
    </row>
    <row r="643" spans="1:17" ht="18.95" customHeight="1">
      <c r="A643" s="573"/>
      <c r="B643" s="1046" t="s">
        <v>273</v>
      </c>
      <c r="C643" s="368" t="s">
        <v>770</v>
      </c>
      <c r="D643" s="368"/>
      <c r="E643" s="25">
        <v>850</v>
      </c>
      <c r="F643" s="30" t="s">
        <v>771</v>
      </c>
      <c r="G643" s="759">
        <v>4560</v>
      </c>
      <c r="H643" s="242">
        <f t="shared" si="66"/>
        <v>4263.1806943199999</v>
      </c>
      <c r="I643" s="25">
        <f t="shared" ref="I643:I654" si="69">E643*H643</f>
        <v>3623703.5901719998</v>
      </c>
      <c r="J643" s="765">
        <v>0</v>
      </c>
      <c r="K643" s="25">
        <f t="shared" si="65"/>
        <v>0</v>
      </c>
      <c r="L643" s="72">
        <f t="shared" si="67"/>
        <v>0</v>
      </c>
      <c r="M643" s="72">
        <f>SUM(I643,L643)</f>
        <v>3623703.5901719998</v>
      </c>
      <c r="N643" s="72"/>
      <c r="O643" s="921">
        <v>0.93490804699999996</v>
      </c>
    </row>
    <row r="644" spans="1:17" ht="18.95" customHeight="1">
      <c r="A644" s="573"/>
      <c r="B644" s="1046" t="s">
        <v>273</v>
      </c>
      <c r="C644" s="368" t="s">
        <v>772</v>
      </c>
      <c r="D644" s="368"/>
      <c r="E644" s="25">
        <v>650</v>
      </c>
      <c r="F644" s="30" t="s">
        <v>771</v>
      </c>
      <c r="G644" s="759">
        <v>4885</v>
      </c>
      <c r="H644" s="242">
        <f t="shared" si="66"/>
        <v>4567.0258095949994</v>
      </c>
      <c r="I644" s="25">
        <f t="shared" si="69"/>
        <v>2968566.7762367497</v>
      </c>
      <c r="J644" s="765">
        <v>0</v>
      </c>
      <c r="K644" s="25">
        <f t="shared" si="65"/>
        <v>0</v>
      </c>
      <c r="L644" s="72">
        <f t="shared" si="67"/>
        <v>0</v>
      </c>
      <c r="M644" s="72">
        <f>SUM(I644,L644)</f>
        <v>2968566.7762367497</v>
      </c>
      <c r="N644" s="72"/>
      <c r="O644" s="921">
        <v>0.93490804699999996</v>
      </c>
    </row>
    <row r="645" spans="1:17" ht="18.95" customHeight="1">
      <c r="A645" s="573"/>
      <c r="B645" s="1046" t="s">
        <v>273</v>
      </c>
      <c r="C645" s="399" t="s">
        <v>312</v>
      </c>
      <c r="D645" s="368"/>
      <c r="E645" s="25">
        <v>1500</v>
      </c>
      <c r="F645" s="30" t="s">
        <v>771</v>
      </c>
      <c r="G645" s="759">
        <v>350</v>
      </c>
      <c r="H645" s="242">
        <f t="shared" si="66"/>
        <v>327.21781644999999</v>
      </c>
      <c r="I645" s="25">
        <f t="shared" si="69"/>
        <v>490826.724675</v>
      </c>
      <c r="J645" s="759">
        <v>300</v>
      </c>
      <c r="K645" s="25">
        <f t="shared" si="65"/>
        <v>280.47241409999998</v>
      </c>
      <c r="L645" s="72">
        <f t="shared" si="67"/>
        <v>420708.62114999996</v>
      </c>
      <c r="M645" s="72">
        <f>SUM(I645,L645)</f>
        <v>911535.34582499997</v>
      </c>
      <c r="N645" s="72"/>
      <c r="O645" s="921">
        <v>0.93490804699999996</v>
      </c>
    </row>
    <row r="646" spans="1:17" ht="18.95" customHeight="1">
      <c r="A646" s="573" t="s">
        <v>773</v>
      </c>
      <c r="B646" s="1046" t="s">
        <v>344</v>
      </c>
      <c r="C646" s="285" t="s">
        <v>345</v>
      </c>
      <c r="D646" s="368"/>
      <c r="E646" s="25">
        <v>1060</v>
      </c>
      <c r="F646" s="30" t="s">
        <v>211</v>
      </c>
      <c r="G646" s="759">
        <v>1450</v>
      </c>
      <c r="H646" s="242">
        <f t="shared" si="66"/>
        <v>1355.6166681499999</v>
      </c>
      <c r="I646" s="25">
        <f t="shared" si="69"/>
        <v>1436953.6682389998</v>
      </c>
      <c r="J646" s="759">
        <v>1500</v>
      </c>
      <c r="K646" s="25">
        <f t="shared" si="65"/>
        <v>1402.3620704999998</v>
      </c>
      <c r="L646" s="72">
        <f t="shared" si="67"/>
        <v>1486503.7947299997</v>
      </c>
      <c r="M646" s="72">
        <f>SUM(I646,L646)</f>
        <v>2923457.4629689995</v>
      </c>
      <c r="N646" s="72"/>
      <c r="O646" s="921">
        <v>0.93490804699999996</v>
      </c>
    </row>
    <row r="647" spans="1:17" ht="18.95" customHeight="1">
      <c r="A647" s="573"/>
      <c r="B647" s="1046"/>
      <c r="C647" s="368" t="s">
        <v>343</v>
      </c>
      <c r="D647" s="368"/>
      <c r="E647" s="25"/>
      <c r="F647" s="30"/>
      <c r="G647" s="759"/>
      <c r="H647" s="242"/>
      <c r="I647" s="25"/>
      <c r="J647" s="759"/>
      <c r="K647" s="25"/>
      <c r="L647" s="72"/>
      <c r="M647" s="72"/>
      <c r="N647" s="72"/>
      <c r="O647" s="921">
        <v>0.93490804699999996</v>
      </c>
    </row>
    <row r="648" spans="1:17" ht="18.95" customHeight="1">
      <c r="A648" s="667"/>
      <c r="B648" s="1069" t="s">
        <v>273</v>
      </c>
      <c r="C648" s="399" t="s">
        <v>774</v>
      </c>
      <c r="D648" s="286"/>
      <c r="E648" s="25" t="s">
        <v>693</v>
      </c>
      <c r="F648" s="30"/>
      <c r="G648" s="759"/>
      <c r="H648" s="242"/>
      <c r="I648" s="25"/>
      <c r="J648" s="759"/>
      <c r="K648" s="25"/>
      <c r="L648" s="72"/>
      <c r="M648" s="72"/>
      <c r="N648" s="288" t="s">
        <v>730</v>
      </c>
      <c r="O648" s="921">
        <v>0.93490804699999996</v>
      </c>
    </row>
    <row r="649" spans="1:17" ht="18.95" customHeight="1">
      <c r="A649" s="115"/>
      <c r="B649" s="1069" t="s">
        <v>273</v>
      </c>
      <c r="C649" s="368" t="s">
        <v>775</v>
      </c>
      <c r="D649" s="368"/>
      <c r="E649" s="25" t="s">
        <v>693</v>
      </c>
      <c r="F649" s="30"/>
      <c r="G649" s="759"/>
      <c r="H649" s="242"/>
      <c r="I649" s="25"/>
      <c r="J649" s="759"/>
      <c r="K649" s="25"/>
      <c r="L649" s="72"/>
      <c r="M649" s="72"/>
      <c r="N649" s="288" t="s">
        <v>730</v>
      </c>
      <c r="O649" s="921">
        <v>0.93490804699999996</v>
      </c>
    </row>
    <row r="650" spans="1:17" s="724" customFormat="1" ht="18.95" customHeight="1">
      <c r="A650" s="1079"/>
      <c r="B650" s="1245" t="s">
        <v>776</v>
      </c>
      <c r="C650" s="1246"/>
      <c r="D650" s="1247"/>
      <c r="E650" s="676"/>
      <c r="F650" s="670"/>
      <c r="G650" s="1025"/>
      <c r="H650" s="676"/>
      <c r="I650" s="676"/>
      <c r="J650" s="1025"/>
      <c r="K650" s="676"/>
      <c r="L650" s="676"/>
      <c r="M650" s="1026">
        <f>SUM(M643:M649)</f>
        <v>10427263.17520275</v>
      </c>
      <c r="N650" s="670"/>
      <c r="O650" s="1051">
        <v>0.93490804699999996</v>
      </c>
      <c r="P650" s="1028"/>
      <c r="Q650" s="1028"/>
    </row>
    <row r="651" spans="1:17" ht="18.95" customHeight="1">
      <c r="A651" s="115"/>
      <c r="B651" s="1069"/>
      <c r="C651" s="368"/>
      <c r="D651" s="368"/>
      <c r="E651" s="25"/>
      <c r="F651" s="30"/>
      <c r="G651" s="759"/>
      <c r="H651" s="242"/>
      <c r="I651" s="25"/>
      <c r="J651" s="759"/>
      <c r="K651" s="25"/>
      <c r="L651" s="72"/>
      <c r="M651" s="72"/>
      <c r="N651" s="26"/>
      <c r="O651" s="921">
        <v>0.93490804699999996</v>
      </c>
    </row>
    <row r="652" spans="1:17" ht="18.95" customHeight="1">
      <c r="A652" s="1077">
        <v>9.1999999999999993</v>
      </c>
      <c r="B652" s="1090" t="s">
        <v>777</v>
      </c>
      <c r="C652" s="368"/>
      <c r="D652" s="368"/>
      <c r="E652" s="25"/>
      <c r="F652" s="30"/>
      <c r="G652" s="759"/>
      <c r="H652" s="242"/>
      <c r="I652" s="25"/>
      <c r="J652" s="759"/>
      <c r="K652" s="25"/>
      <c r="L652" s="72"/>
      <c r="M652" s="126"/>
      <c r="N652" s="26"/>
      <c r="O652" s="921">
        <v>0.93490804699999996</v>
      </c>
    </row>
    <row r="653" spans="1:17" ht="18.95" customHeight="1">
      <c r="A653" s="1005" t="s">
        <v>778</v>
      </c>
      <c r="B653" s="1165" t="s">
        <v>198</v>
      </c>
      <c r="C653" s="368"/>
      <c r="D653" s="368"/>
      <c r="E653" s="25"/>
      <c r="F653" s="30"/>
      <c r="G653" s="759"/>
      <c r="H653" s="242"/>
      <c r="I653" s="25"/>
      <c r="J653" s="759"/>
      <c r="K653" s="25"/>
      <c r="L653" s="72"/>
      <c r="M653" s="126"/>
      <c r="N653" s="26"/>
      <c r="O653" s="921">
        <v>0.93490804699999996</v>
      </c>
    </row>
    <row r="654" spans="1:17" ht="18.95" customHeight="1">
      <c r="A654" s="573"/>
      <c r="B654" s="1046" t="s">
        <v>380</v>
      </c>
      <c r="C654" s="368" t="s">
        <v>381</v>
      </c>
      <c r="D654" s="368"/>
      <c r="E654" s="25">
        <v>610</v>
      </c>
      <c r="F654" s="30" t="s">
        <v>211</v>
      </c>
      <c r="G654" s="759">
        <v>1450</v>
      </c>
      <c r="H654" s="242">
        <f t="shared" si="66"/>
        <v>1355.6166681499999</v>
      </c>
      <c r="I654" s="25">
        <f t="shared" si="69"/>
        <v>826926.16757149994</v>
      </c>
      <c r="J654" s="759">
        <v>1500</v>
      </c>
      <c r="K654" s="25">
        <f t="shared" ref="K654:K700" si="70">J654*O654</f>
        <v>1402.3620704999998</v>
      </c>
      <c r="L654" s="72">
        <f t="shared" si="67"/>
        <v>855440.86300499993</v>
      </c>
      <c r="M654" s="72">
        <f>SUM(I654,L654)</f>
        <v>1682367.0305764999</v>
      </c>
      <c r="N654" s="26"/>
      <c r="O654" s="921">
        <v>0.93490804699999996</v>
      </c>
    </row>
    <row r="655" spans="1:17" ht="18.95" customHeight="1">
      <c r="A655" s="573"/>
      <c r="B655" s="1046"/>
      <c r="C655" s="368" t="s">
        <v>343</v>
      </c>
      <c r="D655" s="368"/>
      <c r="E655" s="25"/>
      <c r="F655" s="30"/>
      <c r="G655" s="759"/>
      <c r="H655" s="242"/>
      <c r="I655" s="25"/>
      <c r="J655" s="759"/>
      <c r="K655" s="25"/>
      <c r="L655" s="72"/>
      <c r="M655" s="72"/>
      <c r="N655" s="26"/>
      <c r="O655" s="921">
        <v>0.93490804699999996</v>
      </c>
    </row>
    <row r="656" spans="1:17" ht="18.95" customHeight="1">
      <c r="A656" s="573"/>
      <c r="B656" s="1046"/>
      <c r="C656" s="368" t="s">
        <v>779</v>
      </c>
      <c r="D656" s="368"/>
      <c r="E656" s="25">
        <v>610</v>
      </c>
      <c r="F656" s="30" t="s">
        <v>211</v>
      </c>
      <c r="G656" s="759">
        <v>0</v>
      </c>
      <c r="H656" s="242">
        <f t="shared" si="66"/>
        <v>0</v>
      </c>
      <c r="I656" s="25">
        <f t="shared" ref="I656:I670" si="71">E656*H656</f>
        <v>0</v>
      </c>
      <c r="J656" s="759">
        <v>950</v>
      </c>
      <c r="K656" s="25">
        <f t="shared" si="70"/>
        <v>888.16264464999995</v>
      </c>
      <c r="L656" s="72">
        <f t="shared" si="67"/>
        <v>541779.21323649993</v>
      </c>
      <c r="M656" s="72">
        <f>SUM(I656,L656)</f>
        <v>541779.21323649993</v>
      </c>
      <c r="N656" s="26"/>
      <c r="O656" s="921">
        <v>0.93490804699999996</v>
      </c>
    </row>
    <row r="657" spans="1:15" ht="18.95" customHeight="1">
      <c r="A657" s="573" t="s">
        <v>780</v>
      </c>
      <c r="B657" s="1018" t="s">
        <v>781</v>
      </c>
      <c r="C657" s="399"/>
      <c r="D657" s="368"/>
      <c r="E657" s="25" t="s">
        <v>693</v>
      </c>
      <c r="F657" s="30"/>
      <c r="G657" s="759"/>
      <c r="H657" s="242"/>
      <c r="I657" s="25"/>
      <c r="J657" s="759"/>
      <c r="K657" s="25"/>
      <c r="L657" s="72"/>
      <c r="M657" s="72"/>
      <c r="N657" s="26"/>
      <c r="O657" s="921">
        <v>0.93490804699999996</v>
      </c>
    </row>
    <row r="658" spans="1:15" ht="18.95" customHeight="1">
      <c r="A658" s="573"/>
      <c r="B658" s="1069" t="s">
        <v>273</v>
      </c>
      <c r="C658" s="368" t="s">
        <v>782</v>
      </c>
      <c r="D658" s="368"/>
      <c r="E658" s="25" t="s">
        <v>693</v>
      </c>
      <c r="F658" s="1068"/>
      <c r="G658" s="759"/>
      <c r="H658" s="242"/>
      <c r="I658" s="25"/>
      <c r="J658" s="759"/>
      <c r="K658" s="25"/>
      <c r="L658" s="72"/>
      <c r="M658" s="72"/>
      <c r="N658" s="26"/>
      <c r="O658" s="921">
        <v>0.93490804699999996</v>
      </c>
    </row>
    <row r="659" spans="1:15" ht="18.95" customHeight="1">
      <c r="A659" s="1091" t="s">
        <v>783</v>
      </c>
      <c r="B659" s="1018" t="s">
        <v>784</v>
      </c>
      <c r="C659" s="368"/>
      <c r="D659" s="368"/>
      <c r="E659" s="25"/>
      <c r="F659" s="30"/>
      <c r="G659" s="759"/>
      <c r="H659" s="242"/>
      <c r="I659" s="25"/>
      <c r="J659" s="759"/>
      <c r="K659" s="25"/>
      <c r="L659" s="72"/>
      <c r="M659" s="34"/>
      <c r="N659" s="26"/>
      <c r="O659" s="921">
        <v>0.93490804699999996</v>
      </c>
    </row>
    <row r="660" spans="1:15" ht="18.95" customHeight="1">
      <c r="A660" s="573"/>
      <c r="B660" s="1069" t="s">
        <v>273</v>
      </c>
      <c r="C660" s="399" t="s">
        <v>785</v>
      </c>
      <c r="D660" s="368"/>
      <c r="E660" s="25">
        <v>50</v>
      </c>
      <c r="F660" s="30" t="s">
        <v>211</v>
      </c>
      <c r="G660" s="759">
        <v>16000</v>
      </c>
      <c r="H660" s="242">
        <f t="shared" si="66"/>
        <v>14958.528752</v>
      </c>
      <c r="I660" s="25">
        <f t="shared" si="71"/>
        <v>747926.43760000006</v>
      </c>
      <c r="J660" s="759">
        <v>3850</v>
      </c>
      <c r="K660" s="25">
        <f t="shared" si="70"/>
        <v>3599.3959809499997</v>
      </c>
      <c r="L660" s="72">
        <f t="shared" si="67"/>
        <v>179969.79904749998</v>
      </c>
      <c r="M660" s="72">
        <f>SUM(I660,L660)</f>
        <v>927896.23664750007</v>
      </c>
      <c r="N660" s="26"/>
      <c r="O660" s="921">
        <v>0.93490804699999996</v>
      </c>
    </row>
    <row r="661" spans="1:15" ht="18.95" customHeight="1">
      <c r="A661" s="1077"/>
      <c r="B661" s="1069" t="s">
        <v>273</v>
      </c>
      <c r="C661" s="368" t="s">
        <v>786</v>
      </c>
      <c r="D661" s="368"/>
      <c r="E661" s="25">
        <v>63</v>
      </c>
      <c r="F661" s="30" t="s">
        <v>211</v>
      </c>
      <c r="G661" s="759">
        <v>24000</v>
      </c>
      <c r="H661" s="242">
        <f t="shared" si="66"/>
        <v>22437.793127999998</v>
      </c>
      <c r="I661" s="25">
        <f t="shared" si="71"/>
        <v>1413580.9670639997</v>
      </c>
      <c r="J661" s="759">
        <v>3850</v>
      </c>
      <c r="K661" s="25">
        <f t="shared" si="70"/>
        <v>3599.3959809499997</v>
      </c>
      <c r="L661" s="72">
        <f t="shared" si="67"/>
        <v>226761.94679984997</v>
      </c>
      <c r="M661" s="72">
        <f>SUM(I661,L661)</f>
        <v>1640342.9138638498</v>
      </c>
      <c r="N661" s="26"/>
      <c r="O661" s="921">
        <v>0.93490804699999996</v>
      </c>
    </row>
    <row r="662" spans="1:15" ht="18.95" customHeight="1">
      <c r="A662" s="573"/>
      <c r="B662" s="714" t="s">
        <v>331</v>
      </c>
      <c r="C662" s="1020" t="s">
        <v>332</v>
      </c>
      <c r="D662" s="368"/>
      <c r="E662" s="25">
        <v>80</v>
      </c>
      <c r="F662" s="30" t="s">
        <v>211</v>
      </c>
      <c r="G662" s="759">
        <v>3000</v>
      </c>
      <c r="H662" s="242">
        <f t="shared" si="66"/>
        <v>2804.7241409999997</v>
      </c>
      <c r="I662" s="25">
        <f t="shared" si="71"/>
        <v>224377.93127999996</v>
      </c>
      <c r="J662" s="759">
        <v>1000</v>
      </c>
      <c r="K662" s="25">
        <f t="shared" si="70"/>
        <v>934.90804700000001</v>
      </c>
      <c r="L662" s="72">
        <f t="shared" si="67"/>
        <v>74792.643760000006</v>
      </c>
      <c r="M662" s="72">
        <f>SUM(I662,L662)</f>
        <v>299170.57503999997</v>
      </c>
      <c r="N662" s="26"/>
      <c r="O662" s="921">
        <v>0.93490804699999996</v>
      </c>
    </row>
    <row r="663" spans="1:15" ht="18.95" customHeight="1">
      <c r="A663" s="573"/>
      <c r="B663" s="1023" t="s">
        <v>273</v>
      </c>
      <c r="C663" s="1020" t="s">
        <v>333</v>
      </c>
      <c r="D663" s="368"/>
      <c r="E663" s="25">
        <v>80</v>
      </c>
      <c r="F663" s="30" t="s">
        <v>211</v>
      </c>
      <c r="G663" s="759">
        <v>150</v>
      </c>
      <c r="H663" s="242">
        <f t="shared" si="66"/>
        <v>140.23620704999999</v>
      </c>
      <c r="I663" s="25">
        <f t="shared" si="71"/>
        <v>11218.896563999999</v>
      </c>
      <c r="J663" s="759">
        <v>80</v>
      </c>
      <c r="K663" s="25">
        <f t="shared" si="70"/>
        <v>74.792643760000004</v>
      </c>
      <c r="L663" s="72">
        <f t="shared" si="67"/>
        <v>5983.4115008000008</v>
      </c>
      <c r="M663" s="72">
        <f>SUM(I663,L663)</f>
        <v>17202.3080648</v>
      </c>
      <c r="N663" s="72"/>
      <c r="O663" s="921">
        <v>0.93490804699999996</v>
      </c>
    </row>
    <row r="664" spans="1:15" ht="18.95" customHeight="1">
      <c r="A664" s="573"/>
      <c r="B664" s="1023" t="s">
        <v>273</v>
      </c>
      <c r="C664" s="1020" t="s">
        <v>787</v>
      </c>
      <c r="D664" s="267"/>
      <c r="E664" s="25">
        <v>1</v>
      </c>
      <c r="F664" s="30" t="s">
        <v>788</v>
      </c>
      <c r="G664" s="759">
        <v>50000</v>
      </c>
      <c r="H664" s="242">
        <f t="shared" si="66"/>
        <v>46745.402349999997</v>
      </c>
      <c r="I664" s="25">
        <f t="shared" si="71"/>
        <v>46745.402349999997</v>
      </c>
      <c r="J664" s="759">
        <v>0</v>
      </c>
      <c r="K664" s="25">
        <f t="shared" si="70"/>
        <v>0</v>
      </c>
      <c r="L664" s="72">
        <f t="shared" si="67"/>
        <v>0</v>
      </c>
      <c r="M664" s="72">
        <f>SUM(I664,L664)</f>
        <v>46745.402349999997</v>
      </c>
      <c r="N664" s="72"/>
      <c r="O664" s="921">
        <v>0.93490804699999996</v>
      </c>
    </row>
    <row r="665" spans="1:15" ht="18.95" customHeight="1">
      <c r="A665" s="1077"/>
      <c r="B665" s="1069"/>
      <c r="C665" s="368"/>
      <c r="D665" s="368"/>
      <c r="E665" s="25"/>
      <c r="F665" s="30"/>
      <c r="G665" s="759"/>
      <c r="H665" s="242"/>
      <c r="I665" s="25"/>
      <c r="J665" s="759"/>
      <c r="K665" s="25"/>
      <c r="L665" s="72"/>
      <c r="M665" s="72"/>
      <c r="N665" s="26"/>
      <c r="O665" s="921">
        <v>0.93490804699999996</v>
      </c>
    </row>
    <row r="666" spans="1:15" ht="18.95" customHeight="1">
      <c r="A666" s="268"/>
      <c r="B666" s="1046"/>
      <c r="C666" s="368"/>
      <c r="D666" s="368"/>
      <c r="E666" s="25"/>
      <c r="F666" s="30"/>
      <c r="G666" s="759"/>
      <c r="H666" s="242"/>
      <c r="I666" s="25"/>
      <c r="J666" s="759"/>
      <c r="K666" s="25"/>
      <c r="L666" s="72"/>
      <c r="M666" s="34"/>
      <c r="N666" s="26"/>
      <c r="O666" s="921">
        <v>0.93490804699999996</v>
      </c>
    </row>
    <row r="667" spans="1:15" ht="18.95" customHeight="1">
      <c r="A667" s="573" t="s">
        <v>789</v>
      </c>
      <c r="B667" s="1018" t="s">
        <v>790</v>
      </c>
      <c r="C667" s="368"/>
      <c r="D667" s="368"/>
      <c r="E667" s="25"/>
      <c r="F667" s="30"/>
      <c r="G667" s="759"/>
      <c r="H667" s="242"/>
      <c r="I667" s="25"/>
      <c r="J667" s="759"/>
      <c r="K667" s="25"/>
      <c r="L667" s="72"/>
      <c r="M667" s="72"/>
      <c r="N667" s="72"/>
      <c r="O667" s="921">
        <v>0.93490804699999996</v>
      </c>
    </row>
    <row r="668" spans="1:15" ht="18.95" customHeight="1">
      <c r="A668" s="573"/>
      <c r="B668" s="1069" t="s">
        <v>273</v>
      </c>
      <c r="C668" s="368" t="s">
        <v>791</v>
      </c>
      <c r="D668" s="368"/>
      <c r="E668" s="25">
        <v>214</v>
      </c>
      <c r="F668" s="30" t="s">
        <v>275</v>
      </c>
      <c r="G668" s="759">
        <v>400</v>
      </c>
      <c r="H668" s="242">
        <f t="shared" si="66"/>
        <v>373.96321879999999</v>
      </c>
      <c r="I668" s="25">
        <f t="shared" si="71"/>
        <v>80028.128823199993</v>
      </c>
      <c r="J668" s="759">
        <v>180</v>
      </c>
      <c r="K668" s="25">
        <f t="shared" si="70"/>
        <v>168.28344845999999</v>
      </c>
      <c r="L668" s="72">
        <f t="shared" si="67"/>
        <v>36012.657970439999</v>
      </c>
      <c r="M668" s="72">
        <f>SUM(I668,L668)</f>
        <v>116040.78679364</v>
      </c>
      <c r="N668" s="72"/>
      <c r="O668" s="921">
        <v>0.93490804699999996</v>
      </c>
    </row>
    <row r="669" spans="1:15" ht="18.95" customHeight="1">
      <c r="A669" s="573"/>
      <c r="B669" s="1018"/>
      <c r="C669" s="368" t="s">
        <v>792</v>
      </c>
      <c r="D669" s="368"/>
      <c r="E669" s="25"/>
      <c r="F669" s="30"/>
      <c r="G669" s="759"/>
      <c r="H669" s="242"/>
      <c r="I669" s="25"/>
      <c r="J669" s="759"/>
      <c r="K669" s="25"/>
      <c r="L669" s="72"/>
      <c r="M669" s="72"/>
      <c r="N669" s="72"/>
      <c r="O669" s="921">
        <v>0.93490804699999996</v>
      </c>
    </row>
    <row r="670" spans="1:15" ht="18.95" customHeight="1">
      <c r="A670" s="573"/>
      <c r="B670" s="1069" t="s">
        <v>273</v>
      </c>
      <c r="C670" s="368" t="s">
        <v>791</v>
      </c>
      <c r="D670" s="368"/>
      <c r="E670" s="25">
        <v>64</v>
      </c>
      <c r="F670" s="30" t="s">
        <v>275</v>
      </c>
      <c r="G670" s="759">
        <v>220</v>
      </c>
      <c r="H670" s="242">
        <f t="shared" ref="H670:H673" si="72">G670*O670</f>
        <v>205.67977034</v>
      </c>
      <c r="I670" s="25">
        <f t="shared" si="71"/>
        <v>13163.50530176</v>
      </c>
      <c r="J670" s="759">
        <v>120</v>
      </c>
      <c r="K670" s="25">
        <f t="shared" si="70"/>
        <v>112.18896563999999</v>
      </c>
      <c r="L670" s="72">
        <f t="shared" si="67"/>
        <v>7180.0938009599995</v>
      </c>
      <c r="M670" s="72">
        <f>SUM(I670,L670)</f>
        <v>20343.59910272</v>
      </c>
      <c r="N670" s="72"/>
      <c r="O670" s="921">
        <v>0.93490804699999996</v>
      </c>
    </row>
    <row r="671" spans="1:15" ht="18.95" customHeight="1">
      <c r="A671" s="573"/>
      <c r="B671" s="1018"/>
      <c r="C671" s="368" t="s">
        <v>793</v>
      </c>
      <c r="D671" s="368"/>
      <c r="E671" s="25"/>
      <c r="F671" s="30"/>
      <c r="G671" s="759"/>
      <c r="H671" s="242"/>
      <c r="I671" s="25"/>
      <c r="J671" s="759"/>
      <c r="K671" s="25"/>
      <c r="L671" s="72"/>
      <c r="M671" s="72"/>
      <c r="N671" s="72"/>
      <c r="O671" s="921">
        <v>0.93490804699999996</v>
      </c>
    </row>
    <row r="672" spans="1:15" ht="18.95" customHeight="1">
      <c r="A672" s="573"/>
      <c r="B672" s="1069" t="s">
        <v>273</v>
      </c>
      <c r="C672" s="368" t="s">
        <v>660</v>
      </c>
      <c r="D672" s="368"/>
      <c r="E672" s="25">
        <v>495</v>
      </c>
      <c r="F672" s="30" t="s">
        <v>211</v>
      </c>
      <c r="G672" s="759">
        <v>1650</v>
      </c>
      <c r="H672" s="242">
        <f t="shared" si="72"/>
        <v>1542.5982775499999</v>
      </c>
      <c r="I672" s="25">
        <f>E672*H672</f>
        <v>763586.14738724998</v>
      </c>
      <c r="J672" s="759">
        <v>500</v>
      </c>
      <c r="K672" s="25">
        <f t="shared" si="70"/>
        <v>467.45402350000001</v>
      </c>
      <c r="L672" s="72">
        <f t="shared" ref="L672:L673" si="73">E672*K672</f>
        <v>231389.74163249999</v>
      </c>
      <c r="M672" s="72">
        <f>SUM(I672,L672)</f>
        <v>994975.88901974994</v>
      </c>
      <c r="N672" s="72"/>
      <c r="O672" s="921">
        <v>0.93490804699999996</v>
      </c>
    </row>
    <row r="673" spans="1:17" ht="18.95" customHeight="1">
      <c r="A673" s="573"/>
      <c r="B673" s="1069" t="s">
        <v>273</v>
      </c>
      <c r="C673" s="368" t="s">
        <v>794</v>
      </c>
      <c r="D673" s="368"/>
      <c r="E673" s="25">
        <v>325</v>
      </c>
      <c r="F673" s="30" t="s">
        <v>275</v>
      </c>
      <c r="G673" s="759">
        <v>200</v>
      </c>
      <c r="H673" s="242">
        <f t="shared" si="72"/>
        <v>186.9816094</v>
      </c>
      <c r="I673" s="25">
        <f t="shared" ref="I673" si="74">E673*H673</f>
        <v>60769.023054999998</v>
      </c>
      <c r="J673" s="759">
        <v>80</v>
      </c>
      <c r="K673" s="25">
        <f t="shared" si="70"/>
        <v>74.792643760000004</v>
      </c>
      <c r="L673" s="72">
        <f t="shared" si="73"/>
        <v>24307.609222000003</v>
      </c>
      <c r="M673" s="72">
        <f>SUM(I673+L673)</f>
        <v>85076.632276999997</v>
      </c>
      <c r="N673" s="72"/>
      <c r="O673" s="921">
        <v>0.93490804699999996</v>
      </c>
    </row>
    <row r="674" spans="1:17" ht="19.350000000000001" customHeight="1">
      <c r="A674" s="667"/>
      <c r="B674" s="1069" t="s">
        <v>273</v>
      </c>
      <c r="C674" s="368" t="s">
        <v>781</v>
      </c>
      <c r="D674" s="368"/>
      <c r="E674" s="25" t="s">
        <v>693</v>
      </c>
      <c r="F674" s="30"/>
      <c r="G674" s="759"/>
      <c r="H674" s="25"/>
      <c r="I674" s="25"/>
      <c r="J674" s="759"/>
      <c r="K674" s="25"/>
      <c r="L674" s="30"/>
      <c r="M674" s="72"/>
      <c r="N674" s="288" t="s">
        <v>663</v>
      </c>
      <c r="O674" s="921">
        <v>0.93490804699999996</v>
      </c>
    </row>
    <row r="675" spans="1:17" ht="18.95" customHeight="1">
      <c r="A675" s="667"/>
      <c r="B675" s="1069" t="s">
        <v>273</v>
      </c>
      <c r="C675" s="368" t="s">
        <v>664</v>
      </c>
      <c r="D675" s="1017"/>
      <c r="E675" s="25" t="s">
        <v>693</v>
      </c>
      <c r="F675" s="1068"/>
      <c r="G675" s="759"/>
      <c r="H675" s="25"/>
      <c r="I675" s="25"/>
      <c r="J675" s="759"/>
      <c r="K675" s="25"/>
      <c r="L675" s="30"/>
      <c r="M675" s="72"/>
      <c r="N675" s="288" t="s">
        <v>663</v>
      </c>
      <c r="O675" s="921">
        <v>0.93490804699999996</v>
      </c>
    </row>
    <row r="676" spans="1:17" s="724" customFormat="1" ht="18.95" customHeight="1">
      <c r="A676" s="1092"/>
      <c r="B676" s="1245" t="s">
        <v>795</v>
      </c>
      <c r="C676" s="1246"/>
      <c r="D676" s="1247"/>
      <c r="E676" s="676"/>
      <c r="F676" s="670"/>
      <c r="G676" s="1025"/>
      <c r="H676" s="676"/>
      <c r="I676" s="676"/>
      <c r="J676" s="1025"/>
      <c r="K676" s="676"/>
      <c r="L676" s="676"/>
      <c r="M676" s="1026">
        <f>SUM(M654:M675)</f>
        <v>6371940.5869722581</v>
      </c>
      <c r="N676" s="670"/>
      <c r="O676" s="1051">
        <v>0.93490804699999996</v>
      </c>
      <c r="P676" s="1028"/>
      <c r="Q676" s="1028"/>
    </row>
    <row r="677" spans="1:17" ht="18.95" customHeight="1">
      <c r="A677" s="667"/>
      <c r="B677" s="1046"/>
      <c r="C677" s="368"/>
      <c r="D677" s="368"/>
      <c r="E677" s="25"/>
      <c r="F677" s="30"/>
      <c r="G677" s="759"/>
      <c r="H677" s="25"/>
      <c r="I677" s="25"/>
      <c r="J677" s="759"/>
      <c r="K677" s="25"/>
      <c r="L677" s="72"/>
      <c r="M677" s="72"/>
      <c r="N677" s="26"/>
      <c r="O677" s="921">
        <v>0.93490804699999996</v>
      </c>
    </row>
    <row r="678" spans="1:17" ht="18.95" customHeight="1">
      <c r="A678" s="1077"/>
      <c r="B678" s="1248" t="s">
        <v>796</v>
      </c>
      <c r="C678" s="1249"/>
      <c r="D678" s="1250"/>
      <c r="E678" s="25"/>
      <c r="F678" s="30"/>
      <c r="G678" s="759"/>
      <c r="H678" s="25"/>
      <c r="I678" s="25"/>
      <c r="J678" s="759"/>
      <c r="K678" s="25"/>
      <c r="L678" s="72"/>
      <c r="M678" s="126">
        <f>SUM(M676+M650)</f>
        <v>16799203.762175009</v>
      </c>
      <c r="N678" s="26"/>
      <c r="O678" s="921">
        <v>0.93490804699999996</v>
      </c>
    </row>
    <row r="679" spans="1:17" ht="18.95" customHeight="1">
      <c r="A679" s="1093"/>
      <c r="B679" s="317"/>
      <c r="C679" s="318"/>
      <c r="D679" s="319"/>
      <c r="E679" s="25"/>
      <c r="F679" s="30"/>
      <c r="G679" s="759"/>
      <c r="H679" s="25"/>
      <c r="I679" s="25"/>
      <c r="J679" s="759"/>
      <c r="K679" s="25"/>
      <c r="L679" s="72"/>
      <c r="M679" s="126"/>
      <c r="N679" s="26"/>
      <c r="O679" s="921">
        <v>0.93490804699999996</v>
      </c>
    </row>
    <row r="680" spans="1:17" ht="18.95" customHeight="1">
      <c r="A680" s="1093"/>
      <c r="B680" s="317"/>
      <c r="C680" s="318"/>
      <c r="D680" s="319"/>
      <c r="E680" s="25"/>
      <c r="F680" s="30"/>
      <c r="G680" s="759"/>
      <c r="H680" s="25"/>
      <c r="I680" s="25"/>
      <c r="J680" s="759"/>
      <c r="K680" s="25"/>
      <c r="L680" s="72"/>
      <c r="M680" s="126"/>
      <c r="N680" s="26"/>
      <c r="O680" s="921">
        <v>0.93490804699999996</v>
      </c>
    </row>
    <row r="681" spans="1:17" ht="18.95" customHeight="1">
      <c r="A681" s="1093"/>
      <c r="B681" s="317"/>
      <c r="C681" s="318"/>
      <c r="D681" s="319"/>
      <c r="E681" s="25"/>
      <c r="F681" s="30"/>
      <c r="G681" s="759"/>
      <c r="H681" s="25"/>
      <c r="I681" s="25"/>
      <c r="J681" s="759"/>
      <c r="K681" s="25"/>
      <c r="L681" s="72"/>
      <c r="M681" s="126"/>
      <c r="N681" s="26"/>
      <c r="O681" s="921">
        <v>0.93490804699999996</v>
      </c>
    </row>
    <row r="682" spans="1:17" ht="18.95" customHeight="1">
      <c r="A682" s="1093"/>
      <c r="B682" s="317"/>
      <c r="C682" s="318"/>
      <c r="D682" s="319"/>
      <c r="E682" s="25"/>
      <c r="F682" s="30"/>
      <c r="G682" s="759"/>
      <c r="H682" s="25"/>
      <c r="I682" s="25"/>
      <c r="J682" s="759"/>
      <c r="K682" s="25"/>
      <c r="L682" s="72"/>
      <c r="M682" s="126"/>
      <c r="N682" s="26"/>
      <c r="O682" s="921">
        <v>0.93490804699999996</v>
      </c>
    </row>
    <row r="683" spans="1:17" ht="18.95" customHeight="1">
      <c r="A683" s="1093"/>
      <c r="B683" s="317"/>
      <c r="C683" s="318"/>
      <c r="D683" s="319"/>
      <c r="E683" s="25"/>
      <c r="F683" s="30"/>
      <c r="G683" s="759"/>
      <c r="H683" s="25"/>
      <c r="I683" s="25"/>
      <c r="J683" s="759"/>
      <c r="K683" s="25"/>
      <c r="L683" s="72"/>
      <c r="M683" s="126"/>
      <c r="N683" s="26"/>
      <c r="O683" s="921">
        <v>0.93490804699999996</v>
      </c>
    </row>
    <row r="684" spans="1:17" ht="18.95" customHeight="1">
      <c r="A684" s="1093"/>
      <c r="B684" s="317"/>
      <c r="C684" s="318"/>
      <c r="D684" s="319"/>
      <c r="E684" s="25"/>
      <c r="F684" s="30"/>
      <c r="G684" s="759"/>
      <c r="H684" s="25"/>
      <c r="I684" s="25"/>
      <c r="J684" s="759"/>
      <c r="K684" s="25"/>
      <c r="L684" s="72"/>
      <c r="M684" s="126"/>
      <c r="N684" s="26"/>
      <c r="O684" s="921">
        <v>0.93490804699999996</v>
      </c>
    </row>
    <row r="685" spans="1:17" ht="18.95" customHeight="1">
      <c r="A685" s="1093"/>
      <c r="B685" s="317"/>
      <c r="C685" s="318"/>
      <c r="D685" s="319"/>
      <c r="E685" s="25"/>
      <c r="F685" s="30"/>
      <c r="G685" s="759"/>
      <c r="H685" s="25"/>
      <c r="I685" s="25"/>
      <c r="J685" s="759"/>
      <c r="K685" s="25"/>
      <c r="L685" s="72"/>
      <c r="M685" s="126"/>
      <c r="N685" s="26"/>
      <c r="O685" s="921">
        <v>0.93490804699999996</v>
      </c>
    </row>
    <row r="686" spans="1:17" ht="18.95" customHeight="1">
      <c r="A686" s="1093"/>
      <c r="B686" s="317"/>
      <c r="C686" s="318"/>
      <c r="D686" s="319"/>
      <c r="E686" s="25"/>
      <c r="F686" s="30"/>
      <c r="G686" s="759"/>
      <c r="H686" s="25"/>
      <c r="I686" s="25"/>
      <c r="J686" s="759"/>
      <c r="K686" s="25"/>
      <c r="L686" s="72"/>
      <c r="M686" s="126"/>
      <c r="N686" s="26"/>
      <c r="O686" s="921">
        <v>0.93490804699999996</v>
      </c>
    </row>
    <row r="687" spans="1:17" ht="18.95" customHeight="1">
      <c r="A687" s="1093"/>
      <c r="B687" s="317"/>
      <c r="C687" s="318"/>
      <c r="D687" s="319"/>
      <c r="E687" s="25"/>
      <c r="F687" s="30"/>
      <c r="G687" s="759"/>
      <c r="H687" s="25"/>
      <c r="I687" s="25"/>
      <c r="J687" s="759"/>
      <c r="K687" s="25"/>
      <c r="L687" s="72"/>
      <c r="M687" s="72"/>
      <c r="N687" s="26"/>
      <c r="O687" s="921">
        <v>0.93490804699999996</v>
      </c>
    </row>
    <row r="688" spans="1:17" ht="18.95" customHeight="1">
      <c r="A688" s="1093"/>
      <c r="B688" s="317"/>
      <c r="C688" s="318"/>
      <c r="D688" s="319"/>
      <c r="E688" s="25"/>
      <c r="F688" s="30"/>
      <c r="G688" s="759"/>
      <c r="H688" s="25"/>
      <c r="I688" s="25"/>
      <c r="J688" s="759"/>
      <c r="K688" s="25"/>
      <c r="L688" s="72"/>
      <c r="M688" s="72"/>
      <c r="N688" s="26"/>
      <c r="O688" s="921">
        <v>0.93490804699999996</v>
      </c>
    </row>
    <row r="689" spans="1:15" ht="18.95" customHeight="1">
      <c r="A689" s="1093"/>
      <c r="B689" s="317"/>
      <c r="C689" s="318"/>
      <c r="D689" s="319"/>
      <c r="E689" s="25"/>
      <c r="F689" s="30"/>
      <c r="G689" s="759"/>
      <c r="H689" s="25"/>
      <c r="I689" s="25"/>
      <c r="J689" s="759"/>
      <c r="K689" s="25"/>
      <c r="L689" s="72"/>
      <c r="M689" s="72"/>
      <c r="N689" s="26"/>
      <c r="O689" s="921">
        <v>0.93490804699999996</v>
      </c>
    </row>
    <row r="690" spans="1:15" ht="18.95" customHeight="1">
      <c r="A690" s="1093"/>
      <c r="B690" s="317"/>
      <c r="C690" s="318"/>
      <c r="D690" s="319"/>
      <c r="E690" s="25"/>
      <c r="F690" s="30"/>
      <c r="G690" s="759"/>
      <c r="H690" s="25"/>
      <c r="I690" s="25"/>
      <c r="J690" s="759"/>
      <c r="K690" s="25"/>
      <c r="L690" s="72"/>
      <c r="M690" s="72"/>
      <c r="N690" s="26"/>
      <c r="O690" s="921">
        <v>0.93490804699999996</v>
      </c>
    </row>
    <row r="691" spans="1:15" ht="18.95" customHeight="1">
      <c r="A691" s="1093"/>
      <c r="B691" s="317"/>
      <c r="C691" s="318"/>
      <c r="D691" s="319"/>
      <c r="E691" s="25"/>
      <c r="F691" s="30"/>
      <c r="G691" s="759"/>
      <c r="H691" s="25"/>
      <c r="I691" s="25"/>
      <c r="J691" s="759"/>
      <c r="K691" s="25"/>
      <c r="L691" s="72"/>
      <c r="M691" s="72"/>
      <c r="N691" s="26"/>
      <c r="O691" s="921">
        <v>0.93490804699999996</v>
      </c>
    </row>
    <row r="692" spans="1:15" ht="18.95" customHeight="1">
      <c r="A692" s="573"/>
      <c r="B692" s="1046"/>
      <c r="C692" s="399"/>
      <c r="D692" s="267"/>
      <c r="E692" s="25"/>
      <c r="F692" s="30"/>
      <c r="G692" s="759"/>
      <c r="H692" s="25"/>
      <c r="I692" s="25"/>
      <c r="J692" s="759"/>
      <c r="K692" s="25"/>
      <c r="L692" s="72"/>
      <c r="M692" s="126"/>
      <c r="N692" s="26"/>
      <c r="O692" s="921">
        <v>0.93490804699999996</v>
      </c>
    </row>
    <row r="693" spans="1:15" ht="18.95" customHeight="1">
      <c r="A693" s="70"/>
      <c r="B693" s="1094"/>
      <c r="C693" s="368"/>
      <c r="D693" s="368"/>
      <c r="E693" s="25"/>
      <c r="F693" s="30"/>
      <c r="G693" s="759"/>
      <c r="H693" s="25"/>
      <c r="I693" s="25"/>
      <c r="J693" s="759"/>
      <c r="K693" s="25"/>
      <c r="L693" s="72"/>
      <c r="M693" s="72"/>
      <c r="N693" s="26"/>
      <c r="O693" s="921">
        <v>0.93490804699999996</v>
      </c>
    </row>
    <row r="694" spans="1:15" ht="18.95" customHeight="1">
      <c r="A694" s="268">
        <v>10</v>
      </c>
      <c r="B694" s="1162" t="s">
        <v>205</v>
      </c>
      <c r="C694" s="419"/>
      <c r="D694" s="267"/>
      <c r="E694" s="25"/>
      <c r="F694" s="30"/>
      <c r="G694" s="759"/>
      <c r="H694" s="25"/>
      <c r="I694" s="25"/>
      <c r="J694" s="759"/>
      <c r="K694" s="25"/>
      <c r="L694" s="72"/>
      <c r="M694" s="72"/>
      <c r="N694" s="26"/>
      <c r="O694" s="921">
        <v>0.93490804699999996</v>
      </c>
    </row>
    <row r="695" spans="1:15" ht="18.95" customHeight="1">
      <c r="A695" s="573"/>
      <c r="B695" s="1022"/>
      <c r="C695" s="419"/>
      <c r="D695" s="552"/>
      <c r="E695" s="25"/>
      <c r="F695" s="30"/>
      <c r="G695" s="759"/>
      <c r="H695" s="25"/>
      <c r="I695" s="25"/>
      <c r="J695" s="759"/>
      <c r="K695" s="25"/>
      <c r="L695" s="72"/>
      <c r="M695" s="72"/>
      <c r="N695" s="26"/>
      <c r="O695" s="921">
        <v>0.93490804699999996</v>
      </c>
    </row>
    <row r="696" spans="1:15" ht="18.95" customHeight="1">
      <c r="A696" s="667">
        <v>10.1</v>
      </c>
      <c r="B696" s="1022" t="s">
        <v>797</v>
      </c>
      <c r="C696" s="419"/>
      <c r="D696" s="552"/>
      <c r="E696" s="25">
        <v>5340</v>
      </c>
      <c r="F696" s="30" t="s">
        <v>211</v>
      </c>
      <c r="G696" s="759">
        <v>90</v>
      </c>
      <c r="H696" s="242">
        <f t="shared" ref="H696:H700" si="75">G696*O696</f>
        <v>84.141724229999994</v>
      </c>
      <c r="I696" s="25">
        <f>E696*H696</f>
        <v>449316.80738819996</v>
      </c>
      <c r="J696" s="759">
        <v>0</v>
      </c>
      <c r="K696" s="25">
        <f t="shared" si="70"/>
        <v>0</v>
      </c>
      <c r="L696" s="30">
        <f>J696*E696</f>
        <v>0</v>
      </c>
      <c r="M696" s="72">
        <f>SUM(I696,L696)</f>
        <v>449316.80738819996</v>
      </c>
      <c r="N696" s="26"/>
      <c r="O696" s="921">
        <v>0.93490804699999996</v>
      </c>
    </row>
    <row r="697" spans="1:15" ht="18.95" customHeight="1">
      <c r="A697" s="667">
        <v>10.199999999999999</v>
      </c>
      <c r="B697" s="1095" t="s">
        <v>798</v>
      </c>
      <c r="C697" s="368"/>
      <c r="D697" s="552"/>
      <c r="E697" s="25">
        <v>16</v>
      </c>
      <c r="F697" s="30" t="s">
        <v>349</v>
      </c>
      <c r="G697" s="759">
        <v>800</v>
      </c>
      <c r="H697" s="242">
        <f t="shared" si="75"/>
        <v>747.92643759999999</v>
      </c>
      <c r="I697" s="25">
        <f t="shared" ref="I697:I700" si="76">E697*H697</f>
        <v>11966.8230016</v>
      </c>
      <c r="J697" s="759">
        <v>0</v>
      </c>
      <c r="K697" s="25">
        <f t="shared" si="70"/>
        <v>0</v>
      </c>
      <c r="L697" s="30">
        <f>J697*E697</f>
        <v>0</v>
      </c>
      <c r="M697" s="72">
        <f>SUM(I697,L697)</f>
        <v>11966.8230016</v>
      </c>
      <c r="N697" s="26"/>
      <c r="O697" s="921">
        <v>0.93490804699999996</v>
      </c>
    </row>
    <row r="698" spans="1:15" ht="18.95" customHeight="1">
      <c r="A698" s="667">
        <v>10.3</v>
      </c>
      <c r="B698" s="1166" t="s">
        <v>799</v>
      </c>
      <c r="C698" s="368"/>
      <c r="D698" s="24"/>
      <c r="E698" s="25">
        <v>51</v>
      </c>
      <c r="F698" s="30" t="s">
        <v>349</v>
      </c>
      <c r="G698" s="759">
        <v>150</v>
      </c>
      <c r="H698" s="242">
        <f t="shared" si="75"/>
        <v>140.23620704999999</v>
      </c>
      <c r="I698" s="25">
        <f t="shared" si="76"/>
        <v>7152.0465595499991</v>
      </c>
      <c r="J698" s="759">
        <v>0</v>
      </c>
      <c r="K698" s="25">
        <f t="shared" si="70"/>
        <v>0</v>
      </c>
      <c r="L698" s="30">
        <f>J698*E698</f>
        <v>0</v>
      </c>
      <c r="M698" s="72">
        <f>SUM(I698,L698)</f>
        <v>7152.0465595499991</v>
      </c>
      <c r="N698" s="26"/>
      <c r="O698" s="921">
        <v>0.93490804699999996</v>
      </c>
    </row>
    <row r="699" spans="1:15" ht="18.95" customHeight="1">
      <c r="A699" s="115">
        <v>10.4</v>
      </c>
      <c r="B699" s="1018" t="s">
        <v>800</v>
      </c>
      <c r="C699" s="368"/>
      <c r="D699" s="24"/>
      <c r="E699" s="25">
        <v>3</v>
      </c>
      <c r="F699" s="30" t="s">
        <v>349</v>
      </c>
      <c r="G699" s="759">
        <v>1500</v>
      </c>
      <c r="H699" s="242">
        <f t="shared" si="75"/>
        <v>1402.3620704999998</v>
      </c>
      <c r="I699" s="25">
        <f t="shared" si="76"/>
        <v>4207.0862115</v>
      </c>
      <c r="J699" s="759">
        <v>0</v>
      </c>
      <c r="K699" s="25">
        <f t="shared" si="70"/>
        <v>0</v>
      </c>
      <c r="L699" s="30">
        <f>J699*E699</f>
        <v>0</v>
      </c>
      <c r="M699" s="72">
        <f>SUM(I699,L699)</f>
        <v>4207.0862115</v>
      </c>
      <c r="N699" s="26"/>
      <c r="O699" s="921">
        <v>0.93490804699999996</v>
      </c>
    </row>
    <row r="700" spans="1:15" ht="18.95" customHeight="1">
      <c r="A700" s="115">
        <v>10.5</v>
      </c>
      <c r="B700" s="1018" t="s">
        <v>801</v>
      </c>
      <c r="C700" s="368"/>
      <c r="D700" s="24"/>
      <c r="E700" s="25">
        <v>51</v>
      </c>
      <c r="F700" s="30" t="s">
        <v>349</v>
      </c>
      <c r="G700" s="759">
        <v>343.4</v>
      </c>
      <c r="H700" s="242">
        <f t="shared" si="75"/>
        <v>321.04742333979999</v>
      </c>
      <c r="I700" s="25">
        <f t="shared" si="76"/>
        <v>16373.4185903298</v>
      </c>
      <c r="J700" s="759">
        <v>100</v>
      </c>
      <c r="K700" s="25">
        <f t="shared" si="70"/>
        <v>93.490804699999998</v>
      </c>
      <c r="L700" s="30">
        <f>K700*E700</f>
        <v>4768.0310397000003</v>
      </c>
      <c r="M700" s="72">
        <f>SUM(I700,L700)</f>
        <v>21141.449630029801</v>
      </c>
      <c r="N700" s="26"/>
      <c r="O700" s="921">
        <v>0.93490804699999996</v>
      </c>
    </row>
    <row r="701" spans="1:15" ht="18.95" customHeight="1">
      <c r="A701" s="115"/>
      <c r="B701" s="1022"/>
      <c r="C701" s="399"/>
      <c r="D701" s="24"/>
      <c r="E701" s="25"/>
      <c r="F701" s="30"/>
      <c r="G701" s="759"/>
      <c r="H701" s="25"/>
      <c r="I701" s="25"/>
      <c r="J701" s="759"/>
      <c r="K701" s="25" t="s">
        <v>151</v>
      </c>
      <c r="L701" s="72"/>
      <c r="M701" s="72"/>
      <c r="N701" s="26"/>
      <c r="O701" s="921"/>
    </row>
    <row r="702" spans="1:15" ht="18.95" customHeight="1">
      <c r="A702" s="667"/>
      <c r="B702" s="1248" t="s">
        <v>802</v>
      </c>
      <c r="C702" s="1249"/>
      <c r="D702" s="1250"/>
      <c r="E702" s="25"/>
      <c r="F702" s="30"/>
      <c r="G702" s="759"/>
      <c r="H702" s="25"/>
      <c r="I702" s="25"/>
      <c r="J702" s="759"/>
      <c r="L702" s="72"/>
      <c r="M702" s="126">
        <f>SUM(M696:M701)</f>
        <v>493784.21279087971</v>
      </c>
      <c r="N702" s="26"/>
      <c r="O702" s="921"/>
    </row>
    <row r="703" spans="1:15" ht="18.95" customHeight="1">
      <c r="A703" s="573"/>
      <c r="B703" s="1046"/>
      <c r="C703" s="368"/>
      <c r="D703" s="286"/>
      <c r="E703" s="25"/>
      <c r="F703" s="30"/>
      <c r="G703" s="759"/>
      <c r="H703" s="25"/>
      <c r="I703" s="25"/>
      <c r="J703" s="759"/>
      <c r="K703" s="25"/>
      <c r="L703" s="72"/>
      <c r="M703" s="72"/>
      <c r="N703" s="26"/>
      <c r="O703" s="921"/>
    </row>
    <row r="704" spans="1:15" ht="18.95" customHeight="1">
      <c r="A704" s="573"/>
      <c r="B704" s="1046"/>
      <c r="C704" s="368"/>
      <c r="D704" s="286"/>
      <c r="E704" s="25"/>
      <c r="F704" s="30"/>
      <c r="G704" s="759"/>
      <c r="H704" s="25"/>
      <c r="I704" s="25"/>
      <c r="J704" s="759"/>
      <c r="K704" s="25"/>
      <c r="L704" s="72"/>
      <c r="M704" s="72"/>
      <c r="N704" s="26"/>
      <c r="O704" s="921"/>
    </row>
    <row r="705" spans="1:15" ht="18.95" customHeight="1">
      <c r="A705" s="573"/>
      <c r="B705" s="1046"/>
      <c r="C705" s="368"/>
      <c r="D705" s="286"/>
      <c r="E705" s="25"/>
      <c r="F705" s="30"/>
      <c r="G705" s="759"/>
      <c r="H705" s="25"/>
      <c r="I705" s="25"/>
      <c r="J705" s="759"/>
      <c r="K705" s="25"/>
      <c r="L705" s="72"/>
      <c r="M705" s="72"/>
      <c r="N705" s="26"/>
      <c r="O705" s="921"/>
    </row>
    <row r="706" spans="1:15" ht="18.95" customHeight="1">
      <c r="A706" s="573"/>
      <c r="B706" s="1046"/>
      <c r="C706" s="368"/>
      <c r="D706" s="286"/>
      <c r="E706" s="25"/>
      <c r="F706" s="30"/>
      <c r="G706" s="759"/>
      <c r="H706" s="25"/>
      <c r="I706" s="25"/>
      <c r="J706" s="759"/>
      <c r="K706" s="25"/>
      <c r="L706" s="72"/>
      <c r="M706" s="72"/>
      <c r="N706" s="26"/>
      <c r="O706" s="921"/>
    </row>
    <row r="707" spans="1:15" ht="18.95" customHeight="1">
      <c r="A707" s="573"/>
      <c r="B707" s="1046"/>
      <c r="C707" s="368"/>
      <c r="D707" s="286"/>
      <c r="E707" s="25"/>
      <c r="F707" s="30"/>
      <c r="G707" s="759"/>
      <c r="H707" s="25"/>
      <c r="I707" s="25"/>
      <c r="J707" s="759"/>
      <c r="K707" s="25"/>
      <c r="L707" s="72"/>
      <c r="M707" s="72"/>
      <c r="N707" s="26"/>
      <c r="O707" s="921"/>
    </row>
    <row r="708" spans="1:15" ht="18.95" customHeight="1">
      <c r="A708" s="573"/>
      <c r="B708" s="1046"/>
      <c r="C708" s="368"/>
      <c r="D708" s="286"/>
      <c r="E708" s="25"/>
      <c r="F708" s="30"/>
      <c r="G708" s="759"/>
      <c r="H708" s="25"/>
      <c r="I708" s="25"/>
      <c r="J708" s="759"/>
      <c r="K708" s="25"/>
      <c r="L708" s="72"/>
      <c r="M708" s="72"/>
      <c r="N708" s="26"/>
      <c r="O708" s="921"/>
    </row>
    <row r="709" spans="1:15" ht="18.95" customHeight="1">
      <c r="A709" s="573"/>
      <c r="B709" s="1022"/>
      <c r="C709" s="368"/>
      <c r="D709" s="286"/>
      <c r="E709" s="25"/>
      <c r="F709" s="30"/>
      <c r="G709" s="759"/>
      <c r="H709" s="25"/>
      <c r="I709" s="25"/>
      <c r="J709" s="759"/>
      <c r="K709" s="25"/>
      <c r="L709" s="72"/>
      <c r="M709" s="72"/>
      <c r="N709" s="26"/>
      <c r="O709" s="921"/>
    </row>
    <row r="710" spans="1:15" ht="18.95" customHeight="1">
      <c r="A710" s="573"/>
      <c r="B710" s="1022"/>
      <c r="C710" s="368"/>
      <c r="D710" s="286"/>
      <c r="E710" s="25"/>
      <c r="F710" s="30"/>
      <c r="G710" s="759"/>
      <c r="H710" s="25"/>
      <c r="I710" s="25"/>
      <c r="J710" s="759"/>
      <c r="K710" s="25"/>
      <c r="L710" s="72"/>
      <c r="M710" s="72"/>
      <c r="N710" s="26"/>
      <c r="O710" s="921"/>
    </row>
    <row r="711" spans="1:15" ht="18.95" customHeight="1">
      <c r="A711" s="573"/>
      <c r="B711" s="1022"/>
      <c r="C711" s="368"/>
      <c r="D711" s="286"/>
      <c r="E711" s="25"/>
      <c r="F711" s="30"/>
      <c r="G711" s="759"/>
      <c r="H711" s="25"/>
      <c r="I711" s="25"/>
      <c r="J711" s="759"/>
      <c r="K711" s="72"/>
      <c r="L711" s="72"/>
      <c r="M711" s="72"/>
      <c r="N711" s="26"/>
      <c r="O711" s="921"/>
    </row>
    <row r="712" spans="1:15" ht="18.95" customHeight="1">
      <c r="A712" s="573"/>
      <c r="B712" s="1046"/>
      <c r="C712" s="368"/>
      <c r="D712" s="267"/>
      <c r="E712" s="25"/>
      <c r="F712" s="30"/>
      <c r="G712" s="759"/>
      <c r="H712" s="25"/>
      <c r="I712" s="25"/>
      <c r="J712" s="759"/>
      <c r="K712" s="72"/>
      <c r="L712" s="72"/>
      <c r="M712" s="72"/>
      <c r="N712" s="26"/>
      <c r="O712" s="921"/>
    </row>
    <row r="713" spans="1:15" ht="18.95" customHeight="1">
      <c r="A713" s="573"/>
      <c r="B713" s="372"/>
      <c r="C713" s="368"/>
      <c r="D713" s="286"/>
      <c r="E713" s="25"/>
      <c r="F713" s="30"/>
      <c r="G713" s="759"/>
      <c r="H713" s="25"/>
      <c r="I713" s="25"/>
      <c r="J713" s="759"/>
      <c r="K713" s="72"/>
      <c r="L713" s="72"/>
      <c r="M713" s="72"/>
      <c r="N713" s="26"/>
      <c r="O713" s="921"/>
    </row>
    <row r="714" spans="1:15" ht="18.95" customHeight="1">
      <c r="A714" s="268"/>
      <c r="B714" s="372"/>
      <c r="C714" s="368"/>
      <c r="D714" s="24"/>
      <c r="E714" s="25"/>
      <c r="F714" s="30"/>
      <c r="G714" s="759"/>
      <c r="H714" s="25"/>
      <c r="I714" s="25"/>
      <c r="J714" s="759"/>
      <c r="K714" s="107"/>
      <c r="L714" s="72"/>
      <c r="M714" s="72"/>
      <c r="N714" s="26"/>
      <c r="O714" s="921"/>
    </row>
    <row r="715" spans="1:15" ht="18.95" customHeight="1">
      <c r="A715" s="268"/>
      <c r="B715" s="372"/>
      <c r="C715" s="368"/>
      <c r="D715" s="24"/>
      <c r="E715" s="25"/>
      <c r="F715" s="30"/>
      <c r="G715" s="759"/>
      <c r="H715" s="25"/>
      <c r="I715" s="25"/>
      <c r="J715" s="759"/>
      <c r="K715" s="72"/>
      <c r="L715" s="72"/>
      <c r="M715" s="72"/>
      <c r="N715" s="26"/>
      <c r="O715" s="921"/>
    </row>
    <row r="716" spans="1:15" ht="18.95" customHeight="1">
      <c r="A716" s="115"/>
      <c r="B716" s="1046"/>
      <c r="C716" s="368"/>
      <c r="D716" s="24"/>
      <c r="E716" s="25"/>
      <c r="F716" s="30"/>
      <c r="G716" s="759"/>
      <c r="H716" s="25"/>
      <c r="I716" s="25"/>
      <c r="J716" s="759"/>
      <c r="K716" s="72"/>
      <c r="L716" s="72"/>
      <c r="M716" s="72"/>
      <c r="N716" s="26"/>
      <c r="O716" s="921"/>
    </row>
    <row r="717" spans="1:15" ht="18.95" customHeight="1">
      <c r="A717" s="115"/>
      <c r="B717" s="1248"/>
      <c r="C717" s="1249"/>
      <c r="D717" s="1250"/>
      <c r="E717" s="25"/>
      <c r="F717" s="30"/>
      <c r="G717" s="759"/>
      <c r="H717" s="25"/>
      <c r="I717" s="25"/>
      <c r="J717" s="759"/>
      <c r="K717" s="72"/>
      <c r="L717" s="72"/>
      <c r="M717" s="72"/>
      <c r="N717" s="26"/>
      <c r="O717" s="921"/>
    </row>
    <row r="718" spans="1:15" ht="18.95" customHeight="1">
      <c r="A718" s="70"/>
      <c r="B718" s="1022"/>
      <c r="C718" s="368"/>
      <c r="D718" s="368"/>
      <c r="E718" s="25"/>
      <c r="F718" s="30"/>
      <c r="G718" s="759"/>
      <c r="H718" s="25"/>
      <c r="I718" s="25"/>
      <c r="J718" s="759"/>
      <c r="K718" s="72"/>
      <c r="L718" s="72"/>
      <c r="M718" s="72"/>
      <c r="N718" s="26"/>
      <c r="O718" s="921"/>
    </row>
    <row r="719" spans="1:15" ht="18.95" customHeight="1">
      <c r="A719" s="70"/>
      <c r="B719" s="1022"/>
      <c r="C719" s="368"/>
      <c r="D719" s="368"/>
      <c r="E719" s="72"/>
      <c r="F719" s="26"/>
      <c r="G719" s="1096"/>
      <c r="H719" s="72"/>
      <c r="I719" s="72"/>
      <c r="J719" s="1096"/>
      <c r="K719" s="72"/>
      <c r="L719" s="72"/>
      <c r="M719" s="72"/>
      <c r="N719" s="26"/>
      <c r="O719" s="921"/>
    </row>
    <row r="720" spans="1:15" ht="18.95" customHeight="1">
      <c r="A720" s="70"/>
      <c r="B720" s="1022"/>
      <c r="C720" s="368"/>
      <c r="D720" s="368"/>
      <c r="E720" s="72"/>
      <c r="F720" s="26"/>
      <c r="G720" s="1096"/>
      <c r="H720" s="72"/>
      <c r="I720" s="72"/>
      <c r="J720" s="1096"/>
      <c r="K720" s="72"/>
      <c r="L720" s="72"/>
      <c r="M720" s="72"/>
      <c r="N720" s="26"/>
      <c r="O720" s="921"/>
    </row>
    <row r="721" spans="1:15" ht="18.95" customHeight="1">
      <c r="A721" s="441"/>
      <c r="B721" s="1097"/>
      <c r="C721" s="403"/>
      <c r="D721" s="403"/>
      <c r="E721" s="107"/>
      <c r="F721" s="55"/>
      <c r="G721" s="1098"/>
      <c r="H721" s="107"/>
      <c r="I721" s="107"/>
      <c r="J721" s="1098"/>
      <c r="K721" s="72"/>
      <c r="L721" s="107"/>
      <c r="M721" s="107"/>
      <c r="N721" s="55"/>
      <c r="O721" s="921"/>
    </row>
    <row r="722" spans="1:15" ht="18.95" customHeight="1">
      <c r="A722" s="520"/>
      <c r="B722" s="1099"/>
      <c r="C722" s="522"/>
      <c r="D722" s="379"/>
      <c r="E722" s="18"/>
      <c r="F722" s="19"/>
      <c r="G722" s="752"/>
      <c r="H722" s="18"/>
      <c r="I722" s="18"/>
      <c r="J722" s="752"/>
      <c r="K722" s="72"/>
      <c r="L722" s="20"/>
      <c r="M722" s="218"/>
      <c r="N722" s="19"/>
      <c r="O722" s="921"/>
    </row>
    <row r="723" spans="1:15" ht="18.95" customHeight="1">
      <c r="A723" s="573"/>
      <c r="B723" s="1022"/>
      <c r="C723" s="1100"/>
      <c r="D723" s="278"/>
      <c r="E723" s="25"/>
      <c r="F723" s="26"/>
      <c r="G723" s="1096"/>
      <c r="H723" s="72"/>
      <c r="I723" s="72"/>
      <c r="J723" s="1096"/>
      <c r="K723" s="362"/>
      <c r="L723" s="72"/>
      <c r="M723" s="72"/>
      <c r="N723" s="248"/>
      <c r="O723" s="921"/>
    </row>
    <row r="724" spans="1:15" ht="18.95" customHeight="1">
      <c r="A724" s="573"/>
      <c r="B724" s="1022"/>
      <c r="C724" s="1100"/>
      <c r="D724" s="278"/>
      <c r="E724" s="25"/>
      <c r="F724" s="26"/>
      <c r="G724" s="1096"/>
      <c r="H724" s="72"/>
      <c r="I724" s="72"/>
      <c r="J724" s="1096"/>
      <c r="K724" s="72"/>
      <c r="L724" s="72"/>
      <c r="M724" s="72"/>
      <c r="N724" s="72"/>
      <c r="O724" s="921"/>
    </row>
    <row r="725" spans="1:15" ht="18.95" customHeight="1">
      <c r="A725" s="573"/>
      <c r="B725" s="1095"/>
      <c r="C725" s="368"/>
      <c r="D725" s="278"/>
      <c r="E725" s="25"/>
      <c r="F725" s="26"/>
      <c r="G725" s="1096"/>
      <c r="H725" s="72"/>
      <c r="I725" s="72"/>
      <c r="J725" s="1096"/>
      <c r="K725" s="72"/>
      <c r="L725" s="72"/>
      <c r="M725" s="72"/>
      <c r="N725" s="72"/>
      <c r="O725" s="921"/>
    </row>
    <row r="726" spans="1:15" ht="18.95" customHeight="1">
      <c r="A726" s="573"/>
      <c r="B726" s="1095"/>
      <c r="C726" s="368"/>
      <c r="D726" s="278"/>
      <c r="E726" s="25"/>
      <c r="F726" s="26"/>
      <c r="G726" s="1096"/>
      <c r="H726" s="72"/>
      <c r="I726" s="72"/>
      <c r="J726" s="1096"/>
      <c r="K726" s="72"/>
      <c r="L726" s="72"/>
      <c r="M726" s="72"/>
      <c r="N726" s="72"/>
      <c r="O726" s="921"/>
    </row>
    <row r="727" spans="1:15" ht="18.95" customHeight="1">
      <c r="A727" s="573"/>
      <c r="B727" s="1022"/>
      <c r="C727" s="368"/>
      <c r="D727" s="368"/>
      <c r="E727" s="25"/>
      <c r="F727" s="26"/>
      <c r="G727" s="1096"/>
      <c r="H727" s="72"/>
      <c r="I727" s="72"/>
      <c r="J727" s="1096"/>
      <c r="K727" s="72"/>
      <c r="L727" s="72"/>
      <c r="M727" s="72"/>
      <c r="N727" s="72"/>
      <c r="O727" s="921"/>
    </row>
    <row r="728" spans="1:15" ht="18.95" customHeight="1">
      <c r="A728" s="573"/>
      <c r="B728" s="1022"/>
      <c r="C728" s="368"/>
      <c r="D728" s="368"/>
      <c r="E728" s="25"/>
      <c r="F728" s="26"/>
      <c r="G728" s="1096"/>
      <c r="H728" s="72"/>
      <c r="I728" s="72"/>
      <c r="J728" s="1096"/>
      <c r="K728" s="72"/>
      <c r="L728" s="72"/>
      <c r="M728" s="72"/>
      <c r="N728" s="72"/>
      <c r="O728" s="921"/>
    </row>
    <row r="729" spans="1:15" ht="18.95" customHeight="1">
      <c r="A729" s="573"/>
      <c r="B729" s="1022"/>
      <c r="C729" s="368"/>
      <c r="D729" s="368"/>
      <c r="E729" s="25"/>
      <c r="F729" s="26"/>
      <c r="G729" s="1096"/>
      <c r="H729" s="72"/>
      <c r="I729" s="72"/>
      <c r="J729" s="1096"/>
      <c r="K729" s="72"/>
      <c r="L729" s="72"/>
      <c r="M729" s="72"/>
      <c r="N729" s="72"/>
      <c r="O729" s="921"/>
    </row>
    <row r="730" spans="1:15" ht="18.95" customHeight="1">
      <c r="A730" s="573"/>
      <c r="B730" s="1022"/>
      <c r="C730" s="368"/>
      <c r="D730" s="368"/>
      <c r="E730" s="25"/>
      <c r="F730" s="26"/>
      <c r="G730" s="1096"/>
      <c r="H730" s="72"/>
      <c r="I730" s="72"/>
      <c r="J730" s="1096"/>
      <c r="K730" s="72"/>
      <c r="L730" s="72"/>
      <c r="M730" s="72"/>
      <c r="N730" s="72"/>
    </row>
    <row r="731" spans="1:15" ht="18.95" customHeight="1">
      <c r="A731" s="1077"/>
      <c r="B731" s="372"/>
      <c r="C731" s="368"/>
      <c r="D731" s="286"/>
      <c r="E731" s="25"/>
      <c r="F731" s="1101"/>
      <c r="G731" s="759"/>
      <c r="H731" s="25"/>
      <c r="I731" s="72"/>
      <c r="J731" s="1105"/>
      <c r="K731" s="72"/>
      <c r="L731" s="253"/>
      <c r="M731" s="25"/>
      <c r="N731" s="26"/>
      <c r="O731" s="590"/>
    </row>
    <row r="732" spans="1:15" ht="18.95" customHeight="1">
      <c r="A732" s="115"/>
      <c r="B732" s="1022"/>
      <c r="C732" s="368"/>
      <c r="D732" s="286"/>
      <c r="E732" s="72"/>
      <c r="F732" s="26"/>
      <c r="G732" s="1096"/>
      <c r="H732" s="72"/>
      <c r="I732" s="25"/>
      <c r="J732" s="1096"/>
      <c r="K732" s="72"/>
      <c r="L732" s="30"/>
      <c r="M732" s="72"/>
      <c r="N732" s="26"/>
      <c r="O732" s="590"/>
    </row>
    <row r="733" spans="1:15" ht="18.95" customHeight="1">
      <c r="A733" s="115"/>
      <c r="B733" s="1022"/>
      <c r="C733" s="368"/>
      <c r="D733" s="286"/>
      <c r="E733" s="72"/>
      <c r="F733" s="26"/>
      <c r="G733" s="1096"/>
      <c r="H733" s="72"/>
      <c r="I733" s="72"/>
      <c r="J733" s="1096"/>
      <c r="K733" s="72"/>
      <c r="L733" s="72"/>
      <c r="M733" s="126"/>
      <c r="N733" s="26"/>
      <c r="O733" s="590"/>
    </row>
    <row r="734" spans="1:15" ht="18.95" customHeight="1">
      <c r="A734" s="573"/>
      <c r="B734" s="372"/>
      <c r="C734" s="368"/>
      <c r="D734" s="286"/>
      <c r="E734" s="25"/>
      <c r="F734" s="26"/>
      <c r="G734" s="1096"/>
      <c r="H734" s="72"/>
      <c r="I734" s="72"/>
      <c r="J734" s="1096"/>
      <c r="K734" s="72"/>
      <c r="L734" s="72"/>
      <c r="M734" s="72"/>
      <c r="N734" s="26"/>
      <c r="O734" s="590"/>
    </row>
    <row r="735" spans="1:15" ht="18.95" customHeight="1">
      <c r="A735" s="573"/>
      <c r="B735" s="372"/>
      <c r="C735" s="368"/>
      <c r="D735" s="286"/>
      <c r="E735" s="25"/>
      <c r="F735" s="26"/>
      <c r="G735" s="1096"/>
      <c r="H735" s="72"/>
      <c r="I735" s="72"/>
      <c r="J735" s="1096"/>
      <c r="K735" s="72"/>
      <c r="L735" s="72"/>
      <c r="M735" s="72"/>
      <c r="N735" s="26"/>
      <c r="O735" s="590"/>
    </row>
    <row r="736" spans="1:15" ht="18.95" customHeight="1">
      <c r="A736" s="573"/>
      <c r="B736" s="1022"/>
      <c r="C736" s="368"/>
      <c r="D736" s="286"/>
      <c r="E736" s="25"/>
      <c r="F736" s="26"/>
      <c r="G736" s="1096"/>
      <c r="H736" s="72"/>
      <c r="I736" s="72"/>
      <c r="J736" s="1096"/>
      <c r="K736" s="72"/>
      <c r="L736" s="72"/>
      <c r="M736" s="72"/>
      <c r="N736" s="26"/>
      <c r="O736" s="590"/>
    </row>
    <row r="737" spans="1:15" ht="18.95" customHeight="1">
      <c r="A737" s="573"/>
      <c r="B737" s="372"/>
      <c r="C737" s="368"/>
      <c r="D737" s="286"/>
      <c r="E737" s="25"/>
      <c r="F737" s="26"/>
      <c r="G737" s="1096"/>
      <c r="H737" s="72"/>
      <c r="I737" s="72"/>
      <c r="J737" s="1096"/>
      <c r="K737" s="72"/>
      <c r="L737" s="72"/>
      <c r="M737" s="72"/>
      <c r="N737" s="26"/>
      <c r="O737" s="590"/>
    </row>
    <row r="738" spans="1:15" ht="18.95" customHeight="1">
      <c r="A738" s="573"/>
      <c r="B738" s="372"/>
      <c r="C738" s="368"/>
      <c r="D738" s="24"/>
      <c r="E738" s="25"/>
      <c r="F738" s="26"/>
      <c r="G738" s="1096"/>
      <c r="H738" s="72"/>
      <c r="I738" s="72"/>
      <c r="J738" s="1096"/>
      <c r="K738" s="72"/>
      <c r="L738" s="72"/>
      <c r="M738" s="72"/>
      <c r="N738" s="26"/>
      <c r="O738" s="590"/>
    </row>
    <row r="739" spans="1:15" ht="18.95" customHeight="1">
      <c r="A739" s="573"/>
      <c r="B739" s="372"/>
      <c r="C739" s="368"/>
      <c r="D739" s="24"/>
      <c r="E739" s="25"/>
      <c r="F739" s="26"/>
      <c r="G739" s="1096"/>
      <c r="H739" s="72"/>
      <c r="I739" s="72"/>
      <c r="J739" s="1096"/>
      <c r="K739" s="72"/>
      <c r="L739" s="72"/>
      <c r="M739" s="72"/>
      <c r="N739" s="26"/>
      <c r="O739" s="590"/>
    </row>
    <row r="740" spans="1:15" ht="18.95" customHeight="1">
      <c r="A740" s="573"/>
      <c r="B740" s="1046"/>
      <c r="C740" s="368"/>
      <c r="D740" s="24"/>
      <c r="E740" s="25"/>
      <c r="F740" s="26"/>
      <c r="G740" s="1096"/>
      <c r="H740" s="72"/>
      <c r="I740" s="25"/>
      <c r="J740" s="1096"/>
      <c r="K740" s="72"/>
      <c r="L740" s="30"/>
      <c r="M740" s="72"/>
      <c r="N740" s="26"/>
      <c r="O740" s="590"/>
    </row>
    <row r="741" spans="1:15" ht="18.95" customHeight="1">
      <c r="A741" s="268"/>
      <c r="B741" s="1046"/>
      <c r="C741" s="368"/>
      <c r="D741" s="24"/>
      <c r="E741" s="25"/>
      <c r="F741" s="26"/>
      <c r="G741" s="1096"/>
      <c r="H741" s="72"/>
      <c r="I741" s="72"/>
      <c r="J741" s="1096"/>
      <c r="K741" s="107"/>
      <c r="L741" s="72"/>
      <c r="M741" s="72"/>
      <c r="N741" s="26"/>
      <c r="O741" s="590"/>
    </row>
    <row r="742" spans="1:15" ht="18.95" customHeight="1">
      <c r="A742" s="268"/>
      <c r="B742" s="1046"/>
      <c r="C742" s="368"/>
      <c r="D742" s="24"/>
      <c r="E742" s="25"/>
      <c r="F742" s="26"/>
      <c r="G742" s="1096"/>
      <c r="H742" s="72"/>
      <c r="I742" s="72"/>
      <c r="J742" s="1096"/>
      <c r="L742" s="72"/>
      <c r="M742" s="126"/>
      <c r="N742" s="26"/>
      <c r="O742" s="590"/>
    </row>
    <row r="743" spans="1:15" ht="18.95" customHeight="1">
      <c r="A743" s="115"/>
      <c r="B743" s="1046"/>
      <c r="C743" s="399"/>
      <c r="D743" s="24"/>
      <c r="E743" s="72"/>
      <c r="F743" s="26"/>
      <c r="G743" s="1096"/>
      <c r="H743" s="72"/>
      <c r="I743" s="72"/>
      <c r="J743" s="1096"/>
      <c r="L743" s="72"/>
      <c r="M743" s="72"/>
      <c r="N743" s="26"/>
      <c r="O743" s="590"/>
    </row>
    <row r="744" spans="1:15" ht="18.95" customHeight="1">
      <c r="A744" s="115"/>
      <c r="B744" s="1102"/>
      <c r="C744" s="43"/>
      <c r="D744" s="24"/>
      <c r="E744" s="72"/>
      <c r="F744" s="26"/>
      <c r="G744" s="1096"/>
      <c r="H744" s="72"/>
      <c r="I744" s="72"/>
      <c r="J744" s="1096"/>
      <c r="L744" s="72"/>
      <c r="M744" s="72"/>
      <c r="N744" s="26"/>
      <c r="O744" s="590"/>
    </row>
    <row r="745" spans="1:15" ht="18.95" customHeight="1">
      <c r="A745" s="115"/>
      <c r="B745" s="1102"/>
      <c r="C745" s="43"/>
      <c r="D745" s="209"/>
      <c r="E745" s="72"/>
      <c r="F745" s="26"/>
      <c r="G745" s="1096"/>
      <c r="H745" s="72"/>
      <c r="I745" s="72"/>
      <c r="J745" s="1096"/>
      <c r="L745" s="72"/>
      <c r="M745" s="72"/>
      <c r="N745" s="26"/>
      <c r="O745" s="590"/>
    </row>
    <row r="746" spans="1:15" ht="18.95" customHeight="1">
      <c r="A746" s="115"/>
      <c r="B746" s="1248"/>
      <c r="C746" s="1249"/>
      <c r="D746" s="1250"/>
      <c r="E746" s="72"/>
      <c r="F746" s="26"/>
      <c r="G746" s="1096"/>
      <c r="H746" s="72"/>
      <c r="I746" s="72"/>
      <c r="J746" s="1096"/>
      <c r="L746" s="72"/>
      <c r="M746" s="72"/>
      <c r="N746" s="26"/>
      <c r="O746" s="590"/>
    </row>
    <row r="747" spans="1:15" ht="18.95" customHeight="1">
      <c r="A747" s="115"/>
      <c r="B747" s="1094"/>
      <c r="C747" s="368"/>
      <c r="D747" s="368"/>
      <c r="E747" s="72"/>
      <c r="F747" s="26"/>
      <c r="G747" s="1096"/>
      <c r="H747" s="72"/>
      <c r="I747" s="72"/>
      <c r="J747" s="1096"/>
      <c r="L747" s="72"/>
      <c r="M747" s="72"/>
      <c r="N747" s="26"/>
      <c r="O747" s="590"/>
    </row>
    <row r="748" spans="1:15" ht="18.95" customHeight="1">
      <c r="A748" s="70"/>
      <c r="B748" s="1094"/>
      <c r="C748" s="368"/>
      <c r="D748" s="368"/>
      <c r="E748" s="72"/>
      <c r="F748" s="26"/>
      <c r="G748" s="1096"/>
      <c r="H748" s="72"/>
      <c r="I748" s="72"/>
      <c r="J748" s="1096"/>
      <c r="L748" s="72"/>
      <c r="M748" s="72"/>
      <c r="N748" s="26"/>
      <c r="O748" s="590"/>
    </row>
    <row r="749" spans="1:15" ht="18.95" customHeight="1">
      <c r="A749" s="441"/>
      <c r="B749" s="1097"/>
      <c r="C749" s="403"/>
      <c r="D749" s="403"/>
      <c r="E749" s="107"/>
      <c r="F749" s="55"/>
      <c r="G749" s="1098"/>
      <c r="H749" s="107"/>
      <c r="I749" s="107"/>
      <c r="J749" s="1098"/>
      <c r="L749" s="107"/>
      <c r="M749" s="107"/>
      <c r="N749" s="55"/>
      <c r="O749" s="590"/>
    </row>
    <row r="750" spans="1:15" ht="18.95" customHeight="1">
      <c r="A750" s="520"/>
      <c r="B750" s="1099"/>
      <c r="C750" s="522"/>
      <c r="D750" s="379"/>
      <c r="E750" s="18"/>
      <c r="F750" s="19"/>
      <c r="G750" s="752"/>
      <c r="H750" s="18"/>
      <c r="I750" s="18"/>
      <c r="J750" s="752"/>
      <c r="L750" s="20"/>
      <c r="M750" s="218"/>
      <c r="N750" s="19"/>
      <c r="O750" s="590"/>
    </row>
    <row r="751" spans="1:15" ht="18.95" customHeight="1">
      <c r="A751" s="573"/>
      <c r="B751" s="1022"/>
      <c r="C751" s="1100"/>
      <c r="D751" s="278"/>
      <c r="E751" s="25"/>
      <c r="F751" s="26"/>
      <c r="G751" s="1096"/>
      <c r="H751" s="72"/>
      <c r="I751" s="72"/>
      <c r="J751" s="1096"/>
      <c r="L751" s="72"/>
      <c r="M751" s="72"/>
      <c r="N751" s="248"/>
      <c r="O751" s="590"/>
    </row>
    <row r="752" spans="1:15" ht="18.95" customHeight="1">
      <c r="A752" s="573"/>
      <c r="B752" s="1022"/>
      <c r="C752" s="1100"/>
      <c r="D752" s="278"/>
      <c r="E752" s="25"/>
      <c r="F752" s="26"/>
      <c r="G752" s="1096"/>
      <c r="H752" s="72"/>
      <c r="I752" s="72"/>
      <c r="J752" s="1096"/>
      <c r="L752" s="72"/>
      <c r="M752" s="72"/>
      <c r="N752" s="72"/>
    </row>
    <row r="753" spans="1:15" ht="18.95" customHeight="1">
      <c r="A753" s="573"/>
      <c r="B753" s="1022"/>
      <c r="C753" s="368"/>
      <c r="D753" s="278"/>
      <c r="E753" s="25"/>
      <c r="F753" s="26"/>
      <c r="G753" s="1096"/>
      <c r="H753" s="72"/>
      <c r="I753" s="72"/>
      <c r="J753" s="1096"/>
      <c r="L753" s="72"/>
      <c r="M753" s="72"/>
      <c r="N753" s="72"/>
    </row>
    <row r="754" spans="1:15" ht="18.95" customHeight="1">
      <c r="A754" s="573"/>
      <c r="B754" s="1022"/>
      <c r="C754" s="368"/>
      <c r="D754" s="278"/>
      <c r="E754" s="25"/>
      <c r="F754" s="26"/>
      <c r="G754" s="1096"/>
      <c r="H754" s="72"/>
      <c r="I754" s="72"/>
      <c r="J754" s="1096"/>
      <c r="L754" s="72"/>
      <c r="M754" s="72"/>
      <c r="N754" s="72"/>
    </row>
    <row r="755" spans="1:15" ht="18.95" customHeight="1">
      <c r="A755" s="573"/>
      <c r="B755" s="1022"/>
      <c r="C755" s="368"/>
      <c r="D755" s="368"/>
      <c r="E755" s="25"/>
      <c r="F755" s="26"/>
      <c r="G755" s="1096"/>
      <c r="H755" s="72"/>
      <c r="I755" s="72"/>
      <c r="J755" s="1096"/>
      <c r="L755" s="72"/>
      <c r="M755" s="72"/>
      <c r="N755" s="72"/>
    </row>
    <row r="756" spans="1:15" ht="18.95" customHeight="1">
      <c r="A756" s="573"/>
      <c r="B756" s="1022"/>
      <c r="C756" s="368"/>
      <c r="D756" s="368"/>
      <c r="E756" s="25"/>
      <c r="F756" s="26"/>
      <c r="G756" s="1096"/>
      <c r="H756" s="72"/>
      <c r="I756" s="72"/>
      <c r="J756" s="1096"/>
      <c r="L756" s="72"/>
      <c r="M756" s="72"/>
      <c r="N756" s="72"/>
    </row>
    <row r="757" spans="1:15" ht="18.95" customHeight="1">
      <c r="A757" s="573"/>
      <c r="B757" s="1022"/>
      <c r="C757" s="368"/>
      <c r="D757" s="368"/>
      <c r="E757" s="25"/>
      <c r="F757" s="26"/>
      <c r="G757" s="1096"/>
      <c r="H757" s="72"/>
      <c r="I757" s="72"/>
      <c r="J757" s="1096"/>
      <c r="L757" s="72"/>
      <c r="M757" s="72"/>
      <c r="N757" s="72"/>
    </row>
    <row r="758" spans="1:15" ht="18.95" customHeight="1">
      <c r="A758" s="573"/>
      <c r="B758" s="1022"/>
      <c r="C758" s="368"/>
      <c r="D758" s="368"/>
      <c r="E758" s="25"/>
      <c r="F758" s="26"/>
      <c r="G758" s="1096"/>
      <c r="H758" s="72"/>
      <c r="I758" s="72"/>
      <c r="J758" s="1096"/>
      <c r="L758" s="72"/>
      <c r="M758" s="72"/>
      <c r="N758" s="72"/>
    </row>
    <row r="759" spans="1:15" ht="18.95" customHeight="1">
      <c r="A759" s="1077"/>
      <c r="B759" s="1103"/>
      <c r="C759" s="1082"/>
      <c r="D759" s="24"/>
      <c r="E759" s="25"/>
      <c r="F759" s="1101"/>
      <c r="G759" s="759"/>
      <c r="H759" s="25"/>
      <c r="I759" s="72"/>
      <c r="J759" s="1105"/>
      <c r="L759" s="253"/>
      <c r="M759" s="25"/>
      <c r="N759" s="26"/>
      <c r="O759" s="590"/>
    </row>
    <row r="760" spans="1:15" ht="18.95" customHeight="1">
      <c r="A760" s="115"/>
      <c r="B760" s="1104"/>
      <c r="C760" s="1084"/>
      <c r="D760" s="24"/>
      <c r="E760" s="72"/>
      <c r="F760" s="26"/>
      <c r="G760" s="1096"/>
      <c r="H760" s="72"/>
      <c r="I760" s="25"/>
      <c r="J760" s="1096"/>
      <c r="L760" s="30"/>
      <c r="M760" s="72"/>
      <c r="N760" s="26"/>
      <c r="O760" s="590"/>
    </row>
    <row r="761" spans="1:15" ht="18.95" customHeight="1">
      <c r="A761" s="115"/>
      <c r="B761" s="1239"/>
      <c r="C761" s="1240"/>
      <c r="D761" s="1241"/>
      <c r="E761" s="72"/>
      <c r="F761" s="26"/>
      <c r="G761" s="1096"/>
      <c r="H761" s="72"/>
      <c r="I761" s="72"/>
      <c r="J761" s="1096"/>
      <c r="L761" s="72"/>
      <c r="M761" s="126"/>
      <c r="N761" s="26"/>
      <c r="O761" s="590"/>
    </row>
    <row r="762" spans="1:15" ht="18.95" customHeight="1">
      <c r="A762" s="573"/>
      <c r="B762" s="1022"/>
      <c r="C762" s="368"/>
      <c r="D762" s="368"/>
      <c r="E762" s="25"/>
      <c r="F762" s="26"/>
      <c r="G762" s="1096"/>
      <c r="H762" s="72"/>
      <c r="I762" s="72"/>
      <c r="J762" s="1096"/>
      <c r="L762" s="72"/>
      <c r="M762" s="72"/>
      <c r="N762" s="26"/>
      <c r="O762" s="590"/>
    </row>
    <row r="763" spans="1:15" ht="18.95" customHeight="1">
      <c r="A763" s="573"/>
      <c r="B763" s="1022"/>
      <c r="C763" s="399"/>
      <c r="D763" s="267"/>
      <c r="E763" s="25"/>
      <c r="F763" s="26"/>
      <c r="G763" s="1096"/>
      <c r="H763" s="72"/>
      <c r="I763" s="72"/>
      <c r="J763" s="1096"/>
      <c r="L763" s="72"/>
      <c r="M763" s="72"/>
      <c r="N763" s="26"/>
      <c r="O763" s="590"/>
    </row>
    <row r="764" spans="1:15" ht="18.95" customHeight="1">
      <c r="A764" s="573"/>
      <c r="B764" s="1022"/>
      <c r="C764" s="368"/>
      <c r="D764" s="267"/>
      <c r="E764" s="25"/>
      <c r="F764" s="26"/>
      <c r="G764" s="1096"/>
      <c r="H764" s="72"/>
      <c r="I764" s="72"/>
      <c r="J764" s="1096"/>
      <c r="L764" s="72"/>
      <c r="M764" s="72"/>
      <c r="N764" s="26"/>
      <c r="O764" s="590"/>
    </row>
    <row r="765" spans="1:15" ht="18.95" customHeight="1">
      <c r="A765" s="573"/>
      <c r="B765" s="1022"/>
      <c r="C765" s="368"/>
      <c r="D765" s="267"/>
      <c r="E765" s="25"/>
      <c r="F765" s="26"/>
      <c r="G765" s="1096"/>
      <c r="H765" s="72"/>
      <c r="I765" s="72"/>
      <c r="J765" s="1096"/>
      <c r="L765" s="72"/>
      <c r="M765" s="72"/>
      <c r="N765" s="26"/>
      <c r="O765" s="590"/>
    </row>
    <row r="766" spans="1:15" ht="18.95" customHeight="1">
      <c r="A766" s="573"/>
      <c r="B766" s="1022"/>
      <c r="C766" s="368"/>
      <c r="D766" s="267"/>
      <c r="E766" s="25"/>
      <c r="F766" s="26"/>
      <c r="G766" s="1096"/>
      <c r="H766" s="72"/>
      <c r="I766" s="72"/>
      <c r="J766" s="1096"/>
      <c r="L766" s="72"/>
      <c r="M766" s="72"/>
      <c r="N766" s="26"/>
      <c r="O766" s="590"/>
    </row>
    <row r="767" spans="1:15" ht="18.95" customHeight="1">
      <c r="A767" s="573"/>
      <c r="B767" s="1022"/>
      <c r="C767" s="368"/>
      <c r="D767" s="267"/>
      <c r="E767" s="25"/>
      <c r="F767" s="26"/>
      <c r="G767" s="1096"/>
      <c r="H767" s="72"/>
      <c r="I767" s="72"/>
      <c r="J767" s="1096"/>
      <c r="L767" s="72"/>
      <c r="M767" s="72"/>
      <c r="N767" s="26"/>
      <c r="O767" s="590"/>
    </row>
    <row r="768" spans="1:15" ht="18.95" customHeight="1">
      <c r="A768" s="573"/>
      <c r="B768" s="1022"/>
      <c r="C768" s="399"/>
      <c r="D768" s="24"/>
      <c r="E768" s="25"/>
      <c r="F768" s="26"/>
      <c r="G768" s="1096"/>
      <c r="H768" s="72"/>
      <c r="I768" s="25"/>
      <c r="J768" s="1096"/>
      <c r="L768" s="30"/>
      <c r="M768" s="72"/>
      <c r="N768" s="26"/>
      <c r="O768" s="590"/>
    </row>
    <row r="769" spans="1:15" ht="18.95" customHeight="1">
      <c r="A769" s="268"/>
      <c r="B769" s="1106"/>
      <c r="C769" s="1063"/>
      <c r="D769" s="286"/>
      <c r="E769" s="25"/>
      <c r="F769" s="26"/>
      <c r="G769" s="1096"/>
      <c r="H769" s="72"/>
      <c r="I769" s="72"/>
      <c r="J769" s="1096"/>
      <c r="L769" s="72"/>
      <c r="M769" s="72"/>
      <c r="N769" s="26"/>
      <c r="O769" s="590"/>
    </row>
    <row r="770" spans="1:15" ht="18.95" customHeight="1">
      <c r="A770" s="268"/>
      <c r="B770" s="1242"/>
      <c r="C770" s="1243"/>
      <c r="D770" s="1244"/>
      <c r="E770" s="25"/>
      <c r="F770" s="26"/>
      <c r="G770" s="1096"/>
      <c r="H770" s="72"/>
      <c r="I770" s="72"/>
      <c r="J770" s="1096"/>
      <c r="L770" s="72"/>
      <c r="M770" s="126"/>
      <c r="N770" s="26"/>
      <c r="O770" s="590"/>
    </row>
    <row r="771" spans="1:15" ht="18.95" customHeight="1">
      <c r="A771" s="115"/>
      <c r="B771" s="1016"/>
      <c r="C771" s="47"/>
      <c r="D771" s="24"/>
      <c r="E771" s="72"/>
      <c r="F771" s="26"/>
      <c r="G771" s="1096"/>
      <c r="H771" s="72"/>
      <c r="I771" s="72"/>
      <c r="J771" s="1096"/>
      <c r="L771" s="72"/>
      <c r="M771" s="72"/>
      <c r="N771" s="26"/>
      <c r="O771" s="590"/>
    </row>
    <row r="772" spans="1:15" ht="18.95" customHeight="1">
      <c r="A772" s="115"/>
      <c r="B772" s="1102"/>
      <c r="C772" s="43"/>
      <c r="D772" s="24"/>
      <c r="E772" s="72"/>
      <c r="F772" s="26"/>
      <c r="G772" s="1096"/>
      <c r="H772" s="72"/>
      <c r="I772" s="72"/>
      <c r="J772" s="1096"/>
      <c r="L772" s="72"/>
      <c r="M772" s="72"/>
      <c r="N772" s="26"/>
      <c r="O772" s="590"/>
    </row>
    <row r="773" spans="1:15" ht="18.95" customHeight="1">
      <c r="A773" s="115"/>
      <c r="B773" s="1102"/>
      <c r="C773" s="43"/>
      <c r="D773" s="209"/>
      <c r="E773" s="72"/>
      <c r="F773" s="26"/>
      <c r="G773" s="1096"/>
      <c r="H773" s="72"/>
      <c r="I773" s="72"/>
      <c r="J773" s="1096"/>
      <c r="L773" s="72"/>
      <c r="M773" s="72"/>
      <c r="N773" s="26"/>
      <c r="O773" s="590"/>
    </row>
    <row r="774" spans="1:15" ht="18.95" customHeight="1">
      <c r="A774" s="115"/>
      <c r="B774" s="1102"/>
      <c r="C774" s="43"/>
      <c r="D774" s="209"/>
      <c r="E774" s="72"/>
      <c r="F774" s="26"/>
      <c r="G774" s="1096"/>
      <c r="H774" s="72"/>
      <c r="I774" s="72"/>
      <c r="J774" s="1096"/>
      <c r="L774" s="72"/>
      <c r="M774" s="72"/>
      <c r="N774" s="26"/>
      <c r="O774" s="590"/>
    </row>
    <row r="775" spans="1:15" ht="18.95" customHeight="1">
      <c r="A775" s="115"/>
      <c r="B775" s="1094"/>
      <c r="C775" s="368"/>
      <c r="D775" s="368"/>
      <c r="E775" s="72"/>
      <c r="F775" s="26"/>
      <c r="G775" s="1096"/>
      <c r="H775" s="72"/>
      <c r="I775" s="72"/>
      <c r="J775" s="1096"/>
      <c r="L775" s="72"/>
      <c r="M775" s="72"/>
      <c r="N775" s="26"/>
      <c r="O775" s="590"/>
    </row>
    <row r="776" spans="1:15" ht="18.95" customHeight="1">
      <c r="A776" s="70"/>
      <c r="B776" s="1094"/>
      <c r="C776" s="368"/>
      <c r="D776" s="368"/>
      <c r="E776" s="72"/>
      <c r="F776" s="26"/>
      <c r="G776" s="1096"/>
      <c r="H776" s="72"/>
      <c r="I776" s="72"/>
      <c r="J776" s="1096"/>
      <c r="L776" s="72"/>
      <c r="M776" s="72"/>
      <c r="N776" s="26"/>
      <c r="O776" s="590"/>
    </row>
    <row r="777" spans="1:15" ht="18.95" customHeight="1">
      <c r="A777" s="441"/>
      <c r="B777" s="1097"/>
      <c r="C777" s="403"/>
      <c r="D777" s="403"/>
      <c r="E777" s="107"/>
      <c r="F777" s="55"/>
      <c r="G777" s="1098"/>
      <c r="H777" s="107"/>
      <c r="I777" s="107"/>
      <c r="J777" s="1098"/>
      <c r="L777" s="107"/>
      <c r="M777" s="107"/>
      <c r="N777" s="55"/>
      <c r="O777" s="590"/>
    </row>
  </sheetData>
  <mergeCells count="31">
    <mergeCell ref="N5:N6"/>
    <mergeCell ref="B5:D6"/>
    <mergeCell ref="B702:D702"/>
    <mergeCell ref="B717:D717"/>
    <mergeCell ref="B746:D746"/>
    <mergeCell ref="B142:D142"/>
    <mergeCell ref="B202:D202"/>
    <mergeCell ref="B309:D309"/>
    <mergeCell ref="B410:D410"/>
    <mergeCell ref="B441:D441"/>
    <mergeCell ref="B20:D20"/>
    <mergeCell ref="E36:F36"/>
    <mergeCell ref="E37:F37"/>
    <mergeCell ref="E60:H60"/>
    <mergeCell ref="B75:D75"/>
    <mergeCell ref="B761:D761"/>
    <mergeCell ref="B770:D770"/>
    <mergeCell ref="B577:D577"/>
    <mergeCell ref="B638:D638"/>
    <mergeCell ref="B650:D650"/>
    <mergeCell ref="B676:D676"/>
    <mergeCell ref="B678:D678"/>
    <mergeCell ref="A1:C1"/>
    <mergeCell ref="L1:M1"/>
    <mergeCell ref="A2:C2"/>
    <mergeCell ref="A3:C3"/>
    <mergeCell ref="G5:I5"/>
    <mergeCell ref="J5:L5"/>
    <mergeCell ref="A5:A6"/>
    <mergeCell ref="E5:E6"/>
    <mergeCell ref="F5:F6"/>
  </mergeCells>
  <printOptions horizontalCentered="1"/>
  <pageMargins left="0.39370078740157499" right="0.39370078740157499" top="1.1811023622047201" bottom="0" header="0.78740157480314998" footer="0"/>
  <pageSetup paperSize="9" scale="71" fitToHeight="1000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New,Regular"&amp;14แบบปร.4(ก) แผ่นที่ &amp;P/166</oddHeader>
  </headerFooter>
  <rowBreaks count="25" manualBreakCount="25">
    <brk id="30" max="11" man="1"/>
    <brk id="57" max="11" man="1"/>
    <brk id="82" max="11" man="1"/>
    <brk id="106" max="11" man="1"/>
    <brk id="131" max="11" man="1"/>
    <brk id="159" max="11" man="1"/>
    <brk id="187" max="11" man="1"/>
    <brk id="215" max="11" man="1"/>
    <brk id="243" max="11" man="1"/>
    <brk id="271" max="11" man="1"/>
    <brk id="299" max="11" man="1"/>
    <brk id="327" max="11" man="1"/>
    <brk id="355" max="11" man="1"/>
    <brk id="383" max="11" man="1"/>
    <brk id="412" max="11" man="1"/>
    <brk id="441" max="11" man="1"/>
    <brk id="469" max="11" man="1"/>
    <brk id="497" max="11" man="1"/>
    <brk id="525" max="11" man="1"/>
    <brk id="552" max="11" man="1"/>
    <brk id="580" max="11" man="1"/>
    <brk id="609" max="11" man="1"/>
    <brk id="638" max="11" man="1"/>
    <brk id="665" max="11" man="1"/>
    <brk id="693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Z691"/>
  <sheetViews>
    <sheetView view="pageBreakPreview" topLeftCell="A190" zoomScaleNormal="70" workbookViewId="0">
      <selection activeCell="D27" sqref="D27"/>
    </sheetView>
  </sheetViews>
  <sheetFormatPr defaultColWidth="10.453125" defaultRowHeight="19.350000000000001" customHeight="1"/>
  <cols>
    <col min="1" max="1" width="6.7265625" style="203" customWidth="1"/>
    <col min="2" max="2" width="7.81640625" style="205" customWidth="1"/>
    <col min="3" max="3" width="24.453125" style="205" customWidth="1"/>
    <col min="4" max="4" width="55.7265625" style="203" customWidth="1"/>
    <col min="5" max="5" width="13.7265625" style="157" customWidth="1"/>
    <col min="6" max="6" width="9.54296875" style="154" customWidth="1"/>
    <col min="7" max="7" width="15.7265625" style="157" hidden="1" customWidth="1"/>
    <col min="8" max="9" width="15.7265625" style="157" customWidth="1"/>
    <col min="10" max="10" width="15.7265625" style="157" hidden="1" customWidth="1"/>
    <col min="11" max="13" width="15.7265625" style="157" customWidth="1"/>
    <col min="14" max="14" width="10.54296875" style="157" customWidth="1"/>
    <col min="15" max="15" width="17.26953125" style="962" customWidth="1"/>
    <col min="16" max="16" width="19.1796875" style="203" customWidth="1"/>
    <col min="17" max="17" width="26.1796875" style="203" customWidth="1"/>
    <col min="18" max="18" width="16" style="203" customWidth="1"/>
    <col min="19" max="19" width="20.1796875" style="203" customWidth="1"/>
    <col min="20" max="20" width="17.54296875" style="203" customWidth="1"/>
    <col min="21" max="21" width="10.453125" style="203"/>
    <col min="22" max="22" width="20.1796875" style="203" customWidth="1"/>
    <col min="23" max="23" width="17.54296875" style="203" customWidth="1"/>
    <col min="24" max="24" width="20.1796875" style="203" customWidth="1"/>
    <col min="25" max="25" width="16" style="203" customWidth="1"/>
    <col min="26" max="26" width="17.54296875" style="203" customWidth="1"/>
    <col min="27" max="16384" width="10.453125" style="203"/>
  </cols>
  <sheetData>
    <row r="1" spans="1:19" s="1" customFormat="1" ht="19.350000000000001" customHeight="1">
      <c r="A1" s="1229" t="s">
        <v>181</v>
      </c>
      <c r="B1" s="1229"/>
      <c r="C1" s="1229"/>
      <c r="D1" s="7" t="str">
        <f>+'RKCA1_ปร.5 (ก)'!C4</f>
        <v>โครงการจัดตั้งศูนย์การเรียนรู้แห่งชาติ OKMD : OKMD National Knowledge Center (Ratchadamnoen Center 1 และ 2)</v>
      </c>
      <c r="E1" s="304"/>
      <c r="F1" s="891"/>
      <c r="G1" s="634"/>
      <c r="H1" s="634"/>
      <c r="I1" s="95"/>
      <c r="J1" s="95" t="s">
        <v>182</v>
      </c>
      <c r="K1" s="95" t="s">
        <v>182</v>
      </c>
      <c r="L1" s="1230" t="s">
        <v>803</v>
      </c>
      <c r="M1" s="1230"/>
      <c r="N1" s="304"/>
      <c r="O1" s="966"/>
    </row>
    <row r="2" spans="1:19" s="1" customFormat="1" ht="19.350000000000001" customHeight="1">
      <c r="A2" s="1231" t="s">
        <v>125</v>
      </c>
      <c r="B2" s="1231"/>
      <c r="C2" s="1231"/>
      <c r="D2" s="9" t="str">
        <f>+'RKCA1_ปร.5 (ก)'!C5</f>
        <v>แขวงตลาดยอด เขตพระนคร กรุงเทพมหานคร</v>
      </c>
      <c r="E2" s="8"/>
      <c r="F2" s="963"/>
      <c r="G2" s="8"/>
      <c r="H2" s="8"/>
      <c r="I2" s="8"/>
      <c r="J2" s="96" t="s">
        <v>184</v>
      </c>
      <c r="K2" s="96" t="s">
        <v>184</v>
      </c>
      <c r="L2" s="97" t="str">
        <f>+'RKCA1_ปร.5 (ก)'!C10</f>
        <v xml:space="preserve">  16 กรกฎาคม 2568</v>
      </c>
      <c r="M2" s="98"/>
      <c r="N2" s="8"/>
      <c r="O2" s="966"/>
    </row>
    <row r="3" spans="1:19" s="1" customFormat="1" ht="19.350000000000001" customHeight="1">
      <c r="A3" s="1231" t="s">
        <v>185</v>
      </c>
      <c r="B3" s="1231"/>
      <c r="C3" s="1231"/>
      <c r="D3" s="9" t="str">
        <f>+'RKCA1_ปร.5 (ก)'!C9</f>
        <v>คณะกรรมการกำหนดราคากลาง</v>
      </c>
      <c r="E3" s="8"/>
      <c r="F3" s="963"/>
      <c r="G3" s="8"/>
      <c r="H3" s="8"/>
      <c r="I3" s="96"/>
      <c r="J3" s="96"/>
      <c r="K3" s="96"/>
      <c r="L3" s="97"/>
      <c r="M3" s="8"/>
      <c r="N3" s="8"/>
      <c r="O3" s="966"/>
    </row>
    <row r="4" spans="1:19" s="1" customFormat="1" ht="19.350000000000001" customHeight="1">
      <c r="B4" s="343"/>
      <c r="C4" s="819"/>
      <c r="D4" s="343"/>
      <c r="E4" s="3"/>
      <c r="F4" s="169"/>
      <c r="G4" s="3"/>
      <c r="H4" s="3"/>
      <c r="I4" s="3"/>
      <c r="J4" s="3"/>
      <c r="K4" s="3"/>
      <c r="L4" s="3"/>
      <c r="M4" s="3"/>
      <c r="N4" s="3"/>
      <c r="O4" s="966"/>
    </row>
    <row r="5" spans="1:19" ht="19.350000000000001" customHeight="1">
      <c r="A5" s="1270" t="s">
        <v>186</v>
      </c>
      <c r="B5" s="1235" t="s">
        <v>138</v>
      </c>
      <c r="C5" s="1287"/>
      <c r="D5" s="1288"/>
      <c r="E5" s="1237" t="s">
        <v>187</v>
      </c>
      <c r="F5" s="1237" t="s">
        <v>188</v>
      </c>
      <c r="G5" s="1269" t="s">
        <v>189</v>
      </c>
      <c r="H5" s="1233"/>
      <c r="I5" s="1234"/>
      <c r="J5" s="1269" t="s">
        <v>190</v>
      </c>
      <c r="K5" s="1233"/>
      <c r="L5" s="1234"/>
      <c r="M5" s="10" t="s">
        <v>191</v>
      </c>
      <c r="N5" s="1237" t="s">
        <v>140</v>
      </c>
      <c r="O5" s="967"/>
    </row>
    <row r="6" spans="1:19" ht="19.350000000000001" customHeight="1">
      <c r="A6" s="1271"/>
      <c r="B6" s="1236"/>
      <c r="C6" s="1289"/>
      <c r="D6" s="1290"/>
      <c r="E6" s="1238"/>
      <c r="F6" s="1238"/>
      <c r="G6" s="12" t="s">
        <v>192</v>
      </c>
      <c r="H6" s="12" t="s">
        <v>192</v>
      </c>
      <c r="I6" s="12" t="s">
        <v>193</v>
      </c>
      <c r="J6" s="12" t="s">
        <v>192</v>
      </c>
      <c r="K6" s="12" t="s">
        <v>192</v>
      </c>
      <c r="L6" s="12" t="s">
        <v>193</v>
      </c>
      <c r="M6" s="12" t="s">
        <v>194</v>
      </c>
      <c r="N6" s="1238"/>
      <c r="O6" s="967"/>
    </row>
    <row r="7" spans="1:19" ht="19.350000000000001" customHeight="1">
      <c r="A7" s="506"/>
      <c r="B7" s="329" t="s">
        <v>804</v>
      </c>
      <c r="C7" s="330"/>
      <c r="D7" s="331"/>
      <c r="E7" s="18"/>
      <c r="F7" s="19"/>
      <c r="G7" s="18"/>
      <c r="H7" s="18"/>
      <c r="I7" s="18"/>
      <c r="J7" s="20"/>
      <c r="K7" s="20"/>
      <c r="L7" s="218"/>
      <c r="M7" s="19"/>
      <c r="N7" s="19"/>
      <c r="O7" s="590"/>
    </row>
    <row r="8" spans="1:19" ht="19.350000000000001" customHeight="1">
      <c r="A8" s="265"/>
      <c r="B8" s="332" t="s">
        <v>162</v>
      </c>
      <c r="C8" s="333"/>
      <c r="D8" s="507"/>
      <c r="E8" s="25"/>
      <c r="F8" s="26"/>
      <c r="G8" s="25"/>
      <c r="H8" s="25"/>
      <c r="I8" s="25"/>
      <c r="J8" s="30"/>
      <c r="K8" s="30"/>
      <c r="L8" s="30"/>
      <c r="M8" s="72"/>
      <c r="N8" s="26"/>
      <c r="O8" s="590"/>
    </row>
    <row r="9" spans="1:19" ht="19.350000000000001" customHeight="1">
      <c r="A9" s="265"/>
      <c r="B9" s="332"/>
      <c r="C9" s="333"/>
      <c r="D9" s="507"/>
      <c r="E9" s="25"/>
      <c r="F9" s="26"/>
      <c r="G9" s="25"/>
      <c r="H9" s="25"/>
      <c r="I9" s="25"/>
      <c r="J9" s="30"/>
      <c r="K9" s="30"/>
      <c r="L9" s="30"/>
      <c r="M9" s="72"/>
      <c r="N9" s="26"/>
      <c r="O9" s="590"/>
    </row>
    <row r="10" spans="1:19" ht="19.350000000000001" customHeight="1">
      <c r="A10" s="28">
        <v>1</v>
      </c>
      <c r="B10" s="27" t="s">
        <v>196</v>
      </c>
      <c r="C10" s="29"/>
      <c r="D10" s="368"/>
      <c r="E10" s="72">
        <v>5338</v>
      </c>
      <c r="F10" s="26" t="s">
        <v>211</v>
      </c>
      <c r="G10" s="72"/>
      <c r="H10" s="72"/>
      <c r="I10" s="72">
        <f t="shared" ref="I10:M10" si="0">I53</f>
        <v>7220159.2853141865</v>
      </c>
      <c r="J10" s="72"/>
      <c r="K10" s="72"/>
      <c r="L10" s="72">
        <f t="shared" si="0"/>
        <v>1794574.6943774398</v>
      </c>
      <c r="M10" s="72">
        <f t="shared" si="0"/>
        <v>9014733.9796916228</v>
      </c>
      <c r="N10" s="26"/>
      <c r="O10" s="590">
        <f>P10*0.934908047</f>
        <v>9014733.9796916246</v>
      </c>
      <c r="P10" s="154">
        <v>9642375</v>
      </c>
      <c r="Q10" s="969"/>
      <c r="R10" s="970"/>
      <c r="S10" s="971"/>
    </row>
    <row r="11" spans="1:19" ht="19.350000000000001" customHeight="1">
      <c r="A11" s="28">
        <v>2</v>
      </c>
      <c r="B11" s="27" t="s">
        <v>197</v>
      </c>
      <c r="C11" s="29"/>
      <c r="D11" s="368"/>
      <c r="E11" s="25">
        <v>501.55054999999999</v>
      </c>
      <c r="F11" s="30" t="s">
        <v>211</v>
      </c>
      <c r="G11" s="25"/>
      <c r="H11" s="25"/>
      <c r="I11" s="25">
        <f t="shared" ref="I11:M11" si="1">I63</f>
        <v>590057.86478357995</v>
      </c>
      <c r="J11" s="25"/>
      <c r="K11" s="25"/>
      <c r="L11" s="25">
        <f t="shared" si="1"/>
        <v>157840.52557500999</v>
      </c>
      <c r="M11" s="25">
        <f t="shared" si="1"/>
        <v>747898.39035859006</v>
      </c>
      <c r="N11" s="26"/>
      <c r="O11" s="590">
        <f t="shared" ref="O11:O14" si="2">P11*0.934908047</f>
        <v>747898.39035858994</v>
      </c>
      <c r="P11" s="154">
        <v>799970</v>
      </c>
      <c r="Q11" s="970"/>
      <c r="R11" s="970"/>
      <c r="S11" s="971"/>
    </row>
    <row r="12" spans="1:19" ht="19.350000000000001" customHeight="1">
      <c r="A12" s="28">
        <v>3</v>
      </c>
      <c r="B12" s="27" t="s">
        <v>805</v>
      </c>
      <c r="C12" s="29"/>
      <c r="D12" s="368"/>
      <c r="E12" s="25">
        <v>4207</v>
      </c>
      <c r="F12" s="30" t="s">
        <v>211</v>
      </c>
      <c r="G12" s="25"/>
      <c r="H12" s="25"/>
      <c r="I12" s="25">
        <f t="shared" ref="I12:M12" si="3">I98</f>
        <v>3361350.6289309068</v>
      </c>
      <c r="J12" s="25"/>
      <c r="K12" s="25"/>
      <c r="L12" s="25">
        <f t="shared" si="3"/>
        <v>1061329.117839481</v>
      </c>
      <c r="M12" s="25">
        <f t="shared" si="3"/>
        <v>4422679.7467703884</v>
      </c>
      <c r="N12" s="26"/>
      <c r="O12" s="590">
        <f t="shared" si="2"/>
        <v>4422679.7467703875</v>
      </c>
      <c r="P12" s="154">
        <v>4730604</v>
      </c>
      <c r="Q12" s="970"/>
      <c r="R12" s="970"/>
      <c r="S12" s="971"/>
    </row>
    <row r="13" spans="1:19" ht="19.350000000000001" customHeight="1">
      <c r="A13" s="28">
        <v>4</v>
      </c>
      <c r="B13" s="27" t="s">
        <v>806</v>
      </c>
      <c r="C13" s="29"/>
      <c r="D13" s="368"/>
      <c r="E13" s="72">
        <v>66</v>
      </c>
      <c r="F13" s="26" t="s">
        <v>349</v>
      </c>
      <c r="G13" s="72"/>
      <c r="H13" s="72"/>
      <c r="I13" s="72">
        <f t="shared" ref="I13:M13" si="4">I162</f>
        <v>13428304.917360093</v>
      </c>
      <c r="J13" s="72"/>
      <c r="K13" s="72"/>
      <c r="L13" s="72">
        <f t="shared" si="4"/>
        <v>1582524.460605182</v>
      </c>
      <c r="M13" s="72">
        <f t="shared" si="4"/>
        <v>15010829.377965277</v>
      </c>
      <c r="N13" s="26"/>
      <c r="O13" s="590">
        <f t="shared" si="2"/>
        <v>15010829.377965273</v>
      </c>
      <c r="P13" s="154">
        <v>16055942</v>
      </c>
      <c r="Q13" s="970"/>
      <c r="R13" s="970"/>
      <c r="S13" s="971"/>
    </row>
    <row r="14" spans="1:19" ht="19.350000000000001" customHeight="1">
      <c r="A14" s="28">
        <v>5</v>
      </c>
      <c r="B14" s="27" t="s">
        <v>205</v>
      </c>
      <c r="C14" s="29"/>
      <c r="D14" s="368"/>
      <c r="E14" s="25"/>
      <c r="F14" s="30"/>
      <c r="G14" s="25"/>
      <c r="H14" s="25"/>
      <c r="I14" s="25">
        <f t="shared" ref="I14:M14" si="5">I183</f>
        <v>755256.11668848037</v>
      </c>
      <c r="J14" s="25"/>
      <c r="K14" s="25"/>
      <c r="L14" s="25">
        <f t="shared" si="5"/>
        <v>0</v>
      </c>
      <c r="M14" s="25">
        <f t="shared" si="5"/>
        <v>755256.11668848037</v>
      </c>
      <c r="N14" s="26"/>
      <c r="O14" s="590">
        <f t="shared" si="2"/>
        <v>755256.11668848002</v>
      </c>
      <c r="P14" s="154">
        <v>807840</v>
      </c>
      <c r="Q14" s="970"/>
      <c r="R14" s="970"/>
      <c r="S14" s="971"/>
    </row>
    <row r="15" spans="1:19" ht="19.350000000000001" customHeight="1">
      <c r="A15" s="28"/>
      <c r="B15" s="27"/>
      <c r="C15" s="29"/>
      <c r="D15" s="368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590"/>
      <c r="P15" s="533"/>
      <c r="Q15" s="594"/>
      <c r="R15" s="970"/>
      <c r="S15" s="971"/>
    </row>
    <row r="16" spans="1:19" ht="19.350000000000001" customHeight="1">
      <c r="A16" s="58"/>
      <c r="B16" s="1272" t="s">
        <v>807</v>
      </c>
      <c r="C16" s="1273"/>
      <c r="D16" s="1274"/>
      <c r="E16" s="34">
        <v>10112.55055</v>
      </c>
      <c r="F16" s="102" t="s">
        <v>211</v>
      </c>
      <c r="G16" s="34"/>
      <c r="H16" s="34"/>
      <c r="I16" s="34">
        <f>SUM(I10:I14)</f>
        <v>25355128.813077245</v>
      </c>
      <c r="J16" s="34"/>
      <c r="K16" s="34"/>
      <c r="L16" s="34">
        <f>SUM(L10:L14)</f>
        <v>4596268.7983971126</v>
      </c>
      <c r="M16" s="34">
        <f>SUM(M10:M14)</f>
        <v>29951397.611474354</v>
      </c>
      <c r="N16" s="35"/>
      <c r="O16" s="590">
        <f>SUM(O10:O15)</f>
        <v>29951397.611474354</v>
      </c>
      <c r="P16" s="3">
        <f>SUM(P10:P15)</f>
        <v>32036731</v>
      </c>
      <c r="R16" s="972"/>
    </row>
    <row r="17" spans="1:16" ht="19.350000000000001" customHeight="1">
      <c r="A17" s="28"/>
      <c r="B17" s="229"/>
      <c r="C17" s="208"/>
      <c r="D17" s="24"/>
      <c r="E17" s="25"/>
      <c r="F17" s="26"/>
      <c r="G17" s="25"/>
      <c r="H17" s="25"/>
      <c r="I17" s="25"/>
      <c r="J17" s="25"/>
      <c r="K17" s="25"/>
      <c r="L17" s="30"/>
      <c r="M17" s="25"/>
      <c r="N17" s="26"/>
      <c r="O17" s="590"/>
      <c r="P17" s="157"/>
    </row>
    <row r="18" spans="1:16" ht="19.350000000000001" customHeight="1">
      <c r="A18" s="28"/>
      <c r="B18" s="229"/>
      <c r="C18" s="208"/>
      <c r="D18" s="24"/>
      <c r="E18" s="25"/>
      <c r="F18" s="26"/>
      <c r="G18" s="25"/>
      <c r="H18" s="25"/>
      <c r="I18" s="25"/>
      <c r="J18" s="25"/>
      <c r="K18" s="25"/>
      <c r="L18" s="30"/>
      <c r="M18" s="25"/>
      <c r="N18" s="26"/>
      <c r="O18" s="590"/>
    </row>
    <row r="19" spans="1:16" ht="19.350000000000001" customHeight="1">
      <c r="A19" s="28"/>
      <c r="B19" s="229"/>
      <c r="C19" s="208"/>
      <c r="D19" s="24"/>
      <c r="E19" s="25"/>
      <c r="F19" s="26"/>
      <c r="G19" s="25"/>
      <c r="H19" s="25"/>
      <c r="I19" s="25"/>
      <c r="J19" s="25"/>
      <c r="K19" s="25"/>
      <c r="L19" s="30"/>
      <c r="M19" s="25"/>
      <c r="N19" s="26"/>
      <c r="O19" s="590"/>
    </row>
    <row r="20" spans="1:16" ht="19.350000000000001" customHeight="1">
      <c r="A20" s="28"/>
      <c r="B20" s="229"/>
      <c r="C20" s="208"/>
      <c r="D20" s="24"/>
      <c r="E20" s="25"/>
      <c r="F20" s="26"/>
      <c r="G20" s="25"/>
      <c r="H20" s="25"/>
      <c r="I20" s="25"/>
      <c r="J20" s="25"/>
      <c r="K20" s="25"/>
      <c r="L20" s="30"/>
      <c r="M20" s="25"/>
      <c r="N20" s="26"/>
      <c r="O20" s="590"/>
    </row>
    <row r="21" spans="1:16" ht="19.350000000000001" customHeight="1">
      <c r="A21" s="28"/>
      <c r="B21" s="229"/>
      <c r="C21" s="208"/>
      <c r="D21" s="24"/>
      <c r="E21" s="25"/>
      <c r="F21" s="26"/>
      <c r="G21" s="25"/>
      <c r="H21" s="25"/>
      <c r="I21" s="25"/>
      <c r="J21" s="25"/>
      <c r="K21" s="25"/>
      <c r="L21" s="30"/>
      <c r="M21" s="25"/>
      <c r="N21" s="26"/>
      <c r="O21" s="590"/>
    </row>
    <row r="22" spans="1:16" ht="19.350000000000001" customHeight="1">
      <c r="A22" s="28"/>
      <c r="B22" s="229"/>
      <c r="C22" s="208"/>
      <c r="D22" s="24"/>
      <c r="E22" s="25"/>
      <c r="F22" s="26"/>
      <c r="G22" s="25"/>
      <c r="H22" s="25"/>
      <c r="I22" s="25"/>
      <c r="J22" s="25"/>
      <c r="K22" s="25"/>
      <c r="L22" s="30"/>
      <c r="M22" s="25"/>
      <c r="N22" s="26"/>
      <c r="O22" s="590"/>
    </row>
    <row r="23" spans="1:16" ht="19.350000000000001" customHeight="1">
      <c r="A23" s="28"/>
      <c r="B23" s="229"/>
      <c r="C23" s="208"/>
      <c r="D23" s="24"/>
      <c r="E23" s="25"/>
      <c r="F23" s="26"/>
      <c r="G23" s="25"/>
      <c r="H23" s="25"/>
      <c r="I23" s="25"/>
      <c r="J23" s="25"/>
      <c r="K23" s="25"/>
      <c r="L23" s="30"/>
      <c r="M23" s="25"/>
      <c r="N23" s="26"/>
      <c r="O23" s="590"/>
    </row>
    <row r="24" spans="1:16" ht="19.350000000000001" customHeight="1">
      <c r="A24" s="21"/>
      <c r="B24" s="227"/>
      <c r="C24" s="226"/>
      <c r="D24" s="49"/>
      <c r="E24" s="25"/>
      <c r="F24" s="26"/>
      <c r="G24" s="25"/>
      <c r="H24" s="25"/>
      <c r="I24" s="25"/>
      <c r="J24" s="25"/>
      <c r="K24" s="25"/>
      <c r="L24" s="30"/>
      <c r="M24" s="25"/>
      <c r="N24" s="26"/>
      <c r="O24" s="590"/>
    </row>
    <row r="25" spans="1:16" ht="19.350000000000001" customHeight="1">
      <c r="A25" s="21"/>
      <c r="B25" s="227"/>
      <c r="C25" s="226"/>
      <c r="D25" s="49"/>
      <c r="E25" s="25"/>
      <c r="F25" s="26"/>
      <c r="G25" s="25"/>
      <c r="H25" s="25"/>
      <c r="I25" s="25"/>
      <c r="J25" s="25"/>
      <c r="K25" s="25"/>
      <c r="L25" s="30"/>
      <c r="M25" s="25"/>
      <c r="N25" s="26"/>
      <c r="O25" s="590"/>
    </row>
    <row r="26" spans="1:16" ht="19.350000000000001" customHeight="1">
      <c r="A26" s="21"/>
      <c r="B26" s="227"/>
      <c r="C26" s="226"/>
      <c r="D26" s="49"/>
      <c r="E26" s="25"/>
      <c r="F26" s="26"/>
      <c r="G26" s="25"/>
      <c r="H26" s="25"/>
      <c r="I26" s="25"/>
      <c r="J26" s="25"/>
      <c r="K26" s="25"/>
      <c r="L26" s="30"/>
      <c r="M26" s="25"/>
      <c r="N26" s="26"/>
      <c r="O26" s="590"/>
    </row>
    <row r="27" spans="1:16" ht="19.350000000000001" customHeight="1">
      <c r="A27" s="21"/>
      <c r="B27" s="227"/>
      <c r="C27" s="226"/>
      <c r="D27" s="49"/>
      <c r="E27" s="25"/>
      <c r="F27" s="26"/>
      <c r="G27" s="25"/>
      <c r="H27" s="25"/>
      <c r="I27" s="25"/>
      <c r="J27" s="25"/>
      <c r="K27" s="25"/>
      <c r="L27" s="30"/>
      <c r="M27" s="25"/>
      <c r="N27" s="26"/>
      <c r="O27" s="590"/>
    </row>
    <row r="28" spans="1:16" ht="19.350000000000001" customHeight="1">
      <c r="A28" s="21"/>
      <c r="B28" s="227"/>
      <c r="C28" s="226"/>
      <c r="D28" s="49"/>
      <c r="E28" s="25"/>
      <c r="F28" s="26"/>
      <c r="G28" s="25"/>
      <c r="H28" s="25"/>
      <c r="I28" s="25"/>
      <c r="J28" s="25"/>
      <c r="K28" s="25"/>
      <c r="L28" s="30"/>
      <c r="M28" s="25"/>
      <c r="N28" s="26"/>
      <c r="O28" s="590"/>
    </row>
    <row r="29" spans="1:16" ht="19.350000000000001" customHeight="1">
      <c r="A29" s="21"/>
      <c r="B29" s="1275"/>
      <c r="C29" s="1276"/>
      <c r="D29" s="1277"/>
      <c r="E29" s="25"/>
      <c r="F29" s="26"/>
      <c r="G29" s="25"/>
      <c r="H29" s="25"/>
      <c r="I29" s="25"/>
      <c r="J29" s="25"/>
      <c r="K29" s="25"/>
      <c r="L29" s="30"/>
      <c r="M29" s="25"/>
      <c r="N29" s="26"/>
      <c r="O29" s="590"/>
    </row>
    <row r="30" spans="1:16" ht="19.350000000000001" customHeight="1">
      <c r="A30" s="21"/>
      <c r="B30" s="287"/>
      <c r="C30" s="48"/>
      <c r="D30" s="49"/>
      <c r="E30" s="25"/>
      <c r="F30" s="26"/>
      <c r="G30" s="25"/>
      <c r="H30" s="25"/>
      <c r="I30" s="25"/>
      <c r="J30" s="25"/>
      <c r="K30" s="25"/>
      <c r="L30" s="30"/>
      <c r="M30" s="25"/>
      <c r="N30" s="26"/>
      <c r="O30" s="590"/>
    </row>
    <row r="31" spans="1:16" ht="19.350000000000001" customHeight="1">
      <c r="A31" s="220">
        <v>1</v>
      </c>
      <c r="B31" s="302" t="s">
        <v>196</v>
      </c>
      <c r="C31" s="221"/>
      <c r="D31" s="612"/>
      <c r="E31" s="34"/>
      <c r="F31" s="35"/>
      <c r="G31" s="34"/>
      <c r="H31" s="34"/>
      <c r="I31" s="34"/>
      <c r="J31" s="102"/>
      <c r="K31" s="102"/>
      <c r="L31" s="34"/>
      <c r="M31" s="35"/>
      <c r="N31" s="35"/>
      <c r="O31" s="590"/>
    </row>
    <row r="32" spans="1:16" ht="19.350000000000001" customHeight="1">
      <c r="A32" s="44"/>
      <c r="B32" s="27" t="s">
        <v>808</v>
      </c>
      <c r="C32" s="1278" t="s">
        <v>809</v>
      </c>
      <c r="D32" s="1279"/>
      <c r="E32" s="25">
        <v>699</v>
      </c>
      <c r="F32" s="26" t="s">
        <v>211</v>
      </c>
      <c r="G32" s="25">
        <v>450</v>
      </c>
      <c r="H32" s="25">
        <f>G32*O32</f>
        <v>420.70862115</v>
      </c>
      <c r="I32" s="25">
        <f>E32*H32</f>
        <v>294075.32618385</v>
      </c>
      <c r="J32" s="30">
        <v>153</v>
      </c>
      <c r="K32" s="30">
        <f>J32*O32</f>
        <v>143.040931191</v>
      </c>
      <c r="L32" s="30">
        <f>E32*K32</f>
        <v>99985.610902508997</v>
      </c>
      <c r="M32" s="72">
        <f t="shared" ref="M32:M51" si="6">I32+L32</f>
        <v>394060.93708635902</v>
      </c>
      <c r="N32" s="26"/>
      <c r="O32" s="921">
        <v>0.93490804699999996</v>
      </c>
    </row>
    <row r="33" spans="1:18" s="725" customFormat="1" ht="19.350000000000001" customHeight="1">
      <c r="A33" s="964"/>
      <c r="B33" s="27" t="s">
        <v>810</v>
      </c>
      <c r="C33" s="1278" t="s">
        <v>217</v>
      </c>
      <c r="D33" s="1279"/>
      <c r="E33" s="25">
        <v>6</v>
      </c>
      <c r="F33" s="26" t="s">
        <v>211</v>
      </c>
      <c r="G33" s="25">
        <v>96</v>
      </c>
      <c r="H33" s="25">
        <f t="shared" ref="H33:H95" si="7">G33*O33</f>
        <v>89.751172511999997</v>
      </c>
      <c r="I33" s="25">
        <f t="shared" ref="I33:I51" si="8">E33*H33</f>
        <v>538.50703507200001</v>
      </c>
      <c r="J33" s="30">
        <v>40</v>
      </c>
      <c r="K33" s="30">
        <f t="shared" ref="K33:K95" si="9">J33*O33</f>
        <v>37.396321880000002</v>
      </c>
      <c r="L33" s="30">
        <f t="shared" ref="L33:L51" si="10">E33*K33</f>
        <v>224.37793128000001</v>
      </c>
      <c r="M33" s="72">
        <f t="shared" si="6"/>
        <v>762.88496635199999</v>
      </c>
      <c r="N33" s="968"/>
      <c r="O33" s="921">
        <v>0.93490804699999996</v>
      </c>
      <c r="P33" s="725" t="s">
        <v>214</v>
      </c>
    </row>
    <row r="34" spans="1:18" ht="19.350000000000001" customHeight="1">
      <c r="A34" s="44"/>
      <c r="B34" s="27" t="s">
        <v>811</v>
      </c>
      <c r="C34" s="29" t="s">
        <v>812</v>
      </c>
      <c r="D34" s="368"/>
      <c r="E34" s="25">
        <v>113</v>
      </c>
      <c r="F34" s="26" t="s">
        <v>211</v>
      </c>
      <c r="G34" s="25">
        <v>238</v>
      </c>
      <c r="H34" s="25">
        <f t="shared" si="7"/>
        <v>222.508115186</v>
      </c>
      <c r="I34" s="25">
        <f t="shared" si="8"/>
        <v>25143.417016018</v>
      </c>
      <c r="J34" s="30">
        <v>161</v>
      </c>
      <c r="K34" s="30">
        <f t="shared" si="9"/>
        <v>150.520195567</v>
      </c>
      <c r="L34" s="30">
        <f t="shared" si="10"/>
        <v>17008.782099070999</v>
      </c>
      <c r="M34" s="72">
        <f t="shared" si="6"/>
        <v>42152.199115088995</v>
      </c>
      <c r="N34" s="26"/>
      <c r="O34" s="921">
        <v>0.93490804699999996</v>
      </c>
    </row>
    <row r="35" spans="1:18" ht="19.350000000000001" customHeight="1">
      <c r="A35" s="44"/>
      <c r="B35" s="27" t="s">
        <v>813</v>
      </c>
      <c r="C35" s="29" t="s">
        <v>812</v>
      </c>
      <c r="D35" s="368"/>
      <c r="E35" s="25" t="s">
        <v>814</v>
      </c>
      <c r="F35" s="26"/>
      <c r="G35" s="25"/>
      <c r="H35" s="25"/>
      <c r="I35" s="25"/>
      <c r="J35" s="30"/>
      <c r="K35" s="30"/>
      <c r="L35" s="30"/>
      <c r="M35" s="72"/>
      <c r="N35" s="288"/>
      <c r="O35" s="921">
        <v>0.93490804699999996</v>
      </c>
    </row>
    <row r="36" spans="1:18" ht="19.350000000000001" customHeight="1">
      <c r="A36" s="44"/>
      <c r="B36" s="27" t="s">
        <v>815</v>
      </c>
      <c r="C36" s="29" t="s">
        <v>812</v>
      </c>
      <c r="D36" s="349"/>
      <c r="E36" s="25" t="s">
        <v>814</v>
      </c>
      <c r="F36" s="26"/>
      <c r="G36" s="25"/>
      <c r="H36" s="25"/>
      <c r="I36" s="25"/>
      <c r="J36" s="30"/>
      <c r="K36" s="30"/>
      <c r="L36" s="30"/>
      <c r="M36" s="72"/>
      <c r="N36" s="26"/>
      <c r="O36" s="921">
        <v>0.93490804699999996</v>
      </c>
      <c r="R36" s="368"/>
    </row>
    <row r="37" spans="1:18" ht="19.350000000000001" customHeight="1">
      <c r="A37" s="44"/>
      <c r="B37" s="27" t="s">
        <v>816</v>
      </c>
      <c r="C37" s="29" t="s">
        <v>812</v>
      </c>
      <c r="D37" s="368"/>
      <c r="E37" s="25">
        <v>120</v>
      </c>
      <c r="F37" s="26" t="s">
        <v>211</v>
      </c>
      <c r="G37" s="25">
        <v>238</v>
      </c>
      <c r="H37" s="25">
        <f t="shared" si="7"/>
        <v>222.508115186</v>
      </c>
      <c r="I37" s="25">
        <f t="shared" si="8"/>
        <v>26700.97382232</v>
      </c>
      <c r="J37" s="30">
        <v>161</v>
      </c>
      <c r="K37" s="30">
        <f t="shared" si="9"/>
        <v>150.520195567</v>
      </c>
      <c r="L37" s="30">
        <f t="shared" si="10"/>
        <v>18062.42346804</v>
      </c>
      <c r="M37" s="72">
        <f t="shared" si="6"/>
        <v>44763.397290360001</v>
      </c>
      <c r="N37" s="26"/>
      <c r="O37" s="921">
        <v>0.93490804699999996</v>
      </c>
    </row>
    <row r="38" spans="1:18" ht="19.350000000000001" customHeight="1">
      <c r="A38" s="44"/>
      <c r="B38" s="27" t="s">
        <v>817</v>
      </c>
      <c r="C38" s="1278" t="s">
        <v>818</v>
      </c>
      <c r="D38" s="1279"/>
      <c r="E38" s="25">
        <v>511</v>
      </c>
      <c r="F38" s="26" t="s">
        <v>211</v>
      </c>
      <c r="G38" s="25">
        <v>2000</v>
      </c>
      <c r="H38" s="25">
        <f t="shared" si="7"/>
        <v>1869.816094</v>
      </c>
      <c r="I38" s="25">
        <f t="shared" si="8"/>
        <v>955476.024034</v>
      </c>
      <c r="J38" s="30">
        <v>600</v>
      </c>
      <c r="K38" s="30">
        <f t="shared" si="9"/>
        <v>560.94482819999996</v>
      </c>
      <c r="L38" s="30">
        <f t="shared" si="10"/>
        <v>286642.8072102</v>
      </c>
      <c r="M38" s="72">
        <f t="shared" si="6"/>
        <v>1242118.8312442</v>
      </c>
      <c r="N38" s="26"/>
      <c r="O38" s="921">
        <v>0.93490804699999996</v>
      </c>
    </row>
    <row r="39" spans="1:18" ht="19.350000000000001" customHeight="1">
      <c r="A39" s="44"/>
      <c r="B39" s="27" t="s">
        <v>819</v>
      </c>
      <c r="C39" s="1278" t="s">
        <v>820</v>
      </c>
      <c r="D39" s="1279"/>
      <c r="E39" s="25">
        <v>158</v>
      </c>
      <c r="F39" s="26" t="s">
        <v>211</v>
      </c>
      <c r="G39" s="25">
        <v>2250</v>
      </c>
      <c r="H39" s="25">
        <f t="shared" si="7"/>
        <v>2103.54310575</v>
      </c>
      <c r="I39" s="25">
        <f t="shared" si="8"/>
        <v>332359.81070849998</v>
      </c>
      <c r="J39" s="30">
        <v>600</v>
      </c>
      <c r="K39" s="30">
        <f t="shared" si="9"/>
        <v>560.94482819999996</v>
      </c>
      <c r="L39" s="30">
        <f t="shared" si="10"/>
        <v>88629.282855599988</v>
      </c>
      <c r="M39" s="72">
        <f t="shared" si="6"/>
        <v>420989.09356409998</v>
      </c>
      <c r="N39" s="26"/>
      <c r="O39" s="921">
        <v>0.93490804699999996</v>
      </c>
    </row>
    <row r="40" spans="1:18" ht="19.350000000000001" customHeight="1">
      <c r="A40" s="44"/>
      <c r="B40" s="27" t="s">
        <v>821</v>
      </c>
      <c r="C40" s="1280" t="s">
        <v>822</v>
      </c>
      <c r="D40" s="1281"/>
      <c r="E40" s="25">
        <v>430</v>
      </c>
      <c r="F40" s="26" t="s">
        <v>211</v>
      </c>
      <c r="G40" s="25">
        <v>2500</v>
      </c>
      <c r="H40" s="25">
        <f t="shared" si="7"/>
        <v>2337.2701174999997</v>
      </c>
      <c r="I40" s="25">
        <f t="shared" si="8"/>
        <v>1005026.1505249999</v>
      </c>
      <c r="J40" s="30">
        <v>600</v>
      </c>
      <c r="K40" s="30">
        <f t="shared" si="9"/>
        <v>560.94482819999996</v>
      </c>
      <c r="L40" s="30">
        <f t="shared" si="10"/>
        <v>241206.27612599998</v>
      </c>
      <c r="M40" s="72">
        <f t="shared" si="6"/>
        <v>1246232.426651</v>
      </c>
      <c r="N40" s="26"/>
      <c r="O40" s="921">
        <v>0.93490804699999996</v>
      </c>
    </row>
    <row r="41" spans="1:18" ht="19.350000000000001" customHeight="1">
      <c r="A41" s="44"/>
      <c r="B41" s="27" t="s">
        <v>823</v>
      </c>
      <c r="C41" s="1278" t="s">
        <v>824</v>
      </c>
      <c r="D41" s="1279"/>
      <c r="E41" s="25">
        <v>430</v>
      </c>
      <c r="F41" s="26" t="s">
        <v>211</v>
      </c>
      <c r="G41" s="25">
        <v>2000</v>
      </c>
      <c r="H41" s="25">
        <f t="shared" si="7"/>
        <v>1869.816094</v>
      </c>
      <c r="I41" s="25">
        <f t="shared" si="8"/>
        <v>804020.92041999998</v>
      </c>
      <c r="J41" s="30">
        <v>600</v>
      </c>
      <c r="K41" s="30">
        <f t="shared" si="9"/>
        <v>560.94482819999996</v>
      </c>
      <c r="L41" s="30">
        <f t="shared" si="10"/>
        <v>241206.27612599998</v>
      </c>
      <c r="M41" s="72">
        <f t="shared" si="6"/>
        <v>1045227.196546</v>
      </c>
      <c r="N41" s="26"/>
      <c r="O41" s="921">
        <v>0.93490804699999996</v>
      </c>
    </row>
    <row r="42" spans="1:18" ht="19.350000000000001" customHeight="1">
      <c r="A42" s="44"/>
      <c r="B42" s="27" t="s">
        <v>825</v>
      </c>
      <c r="C42" s="1282" t="s">
        <v>826</v>
      </c>
      <c r="D42" s="1283"/>
      <c r="E42" s="25">
        <v>105</v>
      </c>
      <c r="F42" s="26" t="s">
        <v>211</v>
      </c>
      <c r="G42" s="25">
        <v>2000</v>
      </c>
      <c r="H42" s="25">
        <f t="shared" si="7"/>
        <v>1869.816094</v>
      </c>
      <c r="I42" s="25">
        <f t="shared" si="8"/>
        <v>196330.68987</v>
      </c>
      <c r="J42" s="30">
        <v>600</v>
      </c>
      <c r="K42" s="30">
        <f t="shared" si="9"/>
        <v>560.94482819999996</v>
      </c>
      <c r="L42" s="30">
        <f t="shared" si="10"/>
        <v>58899.206960999996</v>
      </c>
      <c r="M42" s="72">
        <f t="shared" si="6"/>
        <v>255229.89683099999</v>
      </c>
      <c r="N42" s="26"/>
      <c r="O42" s="921">
        <v>0.93490804699999996</v>
      </c>
      <c r="Q42" s="965"/>
    </row>
    <row r="43" spans="1:18" ht="19.350000000000001" customHeight="1">
      <c r="A43" s="44"/>
      <c r="B43" s="27" t="s">
        <v>827</v>
      </c>
      <c r="C43" s="1282" t="s">
        <v>828</v>
      </c>
      <c r="D43" s="1283"/>
      <c r="E43" s="25">
        <v>113</v>
      </c>
      <c r="F43" s="26" t="s">
        <v>211</v>
      </c>
      <c r="G43" s="25">
        <v>2000</v>
      </c>
      <c r="H43" s="25">
        <f t="shared" si="7"/>
        <v>1869.816094</v>
      </c>
      <c r="I43" s="25">
        <f t="shared" si="8"/>
        <v>211289.21862200001</v>
      </c>
      <c r="J43" s="30">
        <v>600</v>
      </c>
      <c r="K43" s="30">
        <f t="shared" si="9"/>
        <v>560.94482819999996</v>
      </c>
      <c r="L43" s="30">
        <f t="shared" si="10"/>
        <v>63386.765586599999</v>
      </c>
      <c r="M43" s="72">
        <f t="shared" si="6"/>
        <v>274675.98420860001</v>
      </c>
      <c r="N43" s="26"/>
      <c r="O43" s="921">
        <v>0.93490804699999996</v>
      </c>
    </row>
    <row r="44" spans="1:18" ht="19.350000000000001" customHeight="1">
      <c r="A44" s="44"/>
      <c r="B44" s="27" t="s">
        <v>829</v>
      </c>
      <c r="C44" s="1278" t="s">
        <v>824</v>
      </c>
      <c r="D44" s="1279"/>
      <c r="E44" s="25">
        <v>95</v>
      </c>
      <c r="F44" s="26" t="s">
        <v>211</v>
      </c>
      <c r="G44" s="25">
        <v>2000</v>
      </c>
      <c r="H44" s="25">
        <f t="shared" si="7"/>
        <v>1869.816094</v>
      </c>
      <c r="I44" s="25">
        <f t="shared" si="8"/>
        <v>177632.52893</v>
      </c>
      <c r="J44" s="30">
        <v>600</v>
      </c>
      <c r="K44" s="30">
        <f t="shared" si="9"/>
        <v>560.94482819999996</v>
      </c>
      <c r="L44" s="30">
        <f t="shared" si="10"/>
        <v>53289.758678999999</v>
      </c>
      <c r="M44" s="72">
        <f t="shared" si="6"/>
        <v>230922.28760899999</v>
      </c>
      <c r="N44" s="26"/>
      <c r="O44" s="921">
        <v>0.93490804699999996</v>
      </c>
    </row>
    <row r="45" spans="1:18" ht="19.350000000000001" customHeight="1">
      <c r="A45" s="44"/>
      <c r="B45" s="27" t="s">
        <v>830</v>
      </c>
      <c r="C45" s="1278" t="s">
        <v>831</v>
      </c>
      <c r="D45" s="1279"/>
      <c r="E45" s="25">
        <v>31</v>
      </c>
      <c r="F45" s="26" t="s">
        <v>211</v>
      </c>
      <c r="G45" s="25">
        <v>695</v>
      </c>
      <c r="H45" s="25">
        <f t="shared" si="7"/>
        <v>649.76109266499998</v>
      </c>
      <c r="I45" s="25">
        <f t="shared" si="8"/>
        <v>20142.593872614998</v>
      </c>
      <c r="J45" s="30">
        <v>225</v>
      </c>
      <c r="K45" s="30">
        <f t="shared" si="9"/>
        <v>210.354310575</v>
      </c>
      <c r="L45" s="30">
        <f t="shared" si="10"/>
        <v>6520.9836278250004</v>
      </c>
      <c r="M45" s="72">
        <f t="shared" si="6"/>
        <v>26663.577500439998</v>
      </c>
      <c r="N45" s="26"/>
      <c r="O45" s="921">
        <v>0.93490804699999996</v>
      </c>
    </row>
    <row r="46" spans="1:18" ht="19.350000000000001" customHeight="1">
      <c r="A46" s="44"/>
      <c r="B46" s="27" t="s">
        <v>832</v>
      </c>
      <c r="C46" s="1278" t="s">
        <v>833</v>
      </c>
      <c r="D46" s="1279"/>
      <c r="E46" s="25">
        <v>19</v>
      </c>
      <c r="F46" s="26" t="s">
        <v>211</v>
      </c>
      <c r="G46" s="25">
        <v>2200</v>
      </c>
      <c r="H46" s="25">
        <f t="shared" si="7"/>
        <v>2056.7977034</v>
      </c>
      <c r="I46" s="25">
        <f t="shared" si="8"/>
        <v>39079.1563646</v>
      </c>
      <c r="J46" s="30">
        <v>350</v>
      </c>
      <c r="K46" s="30">
        <f t="shared" si="9"/>
        <v>327.21781644999999</v>
      </c>
      <c r="L46" s="30">
        <f t="shared" si="10"/>
        <v>6217.1385125500001</v>
      </c>
      <c r="M46" s="72">
        <f t="shared" si="6"/>
        <v>45296.294877150001</v>
      </c>
      <c r="N46" s="26"/>
      <c r="O46" s="921">
        <v>0.93490804699999996</v>
      </c>
    </row>
    <row r="47" spans="1:18" ht="19.350000000000001" customHeight="1">
      <c r="A47" s="44"/>
      <c r="B47" s="27" t="s">
        <v>834</v>
      </c>
      <c r="C47" s="1278" t="s">
        <v>835</v>
      </c>
      <c r="D47" s="1279"/>
      <c r="E47" s="25">
        <v>171</v>
      </c>
      <c r="F47" s="26" t="s">
        <v>211</v>
      </c>
      <c r="G47" s="25">
        <v>1210</v>
      </c>
      <c r="H47" s="25">
        <f t="shared" si="7"/>
        <v>1131.2387368699999</v>
      </c>
      <c r="I47" s="25">
        <f t="shared" si="8"/>
        <v>193441.82400476999</v>
      </c>
      <c r="J47" s="30">
        <v>295</v>
      </c>
      <c r="K47" s="30">
        <f t="shared" si="9"/>
        <v>275.79787386499999</v>
      </c>
      <c r="L47" s="30">
        <f t="shared" si="10"/>
        <v>47161.436430914997</v>
      </c>
      <c r="M47" s="72">
        <f t="shared" si="6"/>
        <v>240603.26043568499</v>
      </c>
      <c r="N47" s="26"/>
      <c r="O47" s="921">
        <v>0.93490804699999996</v>
      </c>
    </row>
    <row r="48" spans="1:18" ht="19.350000000000001" customHeight="1">
      <c r="A48" s="44"/>
      <c r="B48" s="27" t="s">
        <v>836</v>
      </c>
      <c r="C48" s="1278" t="s">
        <v>837</v>
      </c>
      <c r="D48" s="1279"/>
      <c r="E48" s="25">
        <v>529</v>
      </c>
      <c r="F48" s="26" t="s">
        <v>211</v>
      </c>
      <c r="G48" s="25">
        <v>600</v>
      </c>
      <c r="H48" s="25">
        <f t="shared" si="7"/>
        <v>560.94482819999996</v>
      </c>
      <c r="I48" s="25">
        <f t="shared" si="8"/>
        <v>296739.81411779998</v>
      </c>
      <c r="J48" s="30">
        <v>225</v>
      </c>
      <c r="K48" s="30">
        <f t="shared" si="9"/>
        <v>210.354310575</v>
      </c>
      <c r="L48" s="30">
        <f t="shared" si="10"/>
        <v>111277.43029417501</v>
      </c>
      <c r="M48" s="72">
        <f t="shared" si="6"/>
        <v>408017.24441197497</v>
      </c>
      <c r="N48" s="26"/>
      <c r="O48" s="921">
        <v>0.93490804699999996</v>
      </c>
    </row>
    <row r="49" spans="1:16" ht="19.350000000000001" customHeight="1">
      <c r="A49" s="44"/>
      <c r="B49" s="27" t="s">
        <v>838</v>
      </c>
      <c r="C49" s="1278" t="s">
        <v>839</v>
      </c>
      <c r="D49" s="1279"/>
      <c r="E49" s="25">
        <v>98</v>
      </c>
      <c r="F49" s="26" t="s">
        <v>211</v>
      </c>
      <c r="G49" s="25">
        <v>1590</v>
      </c>
      <c r="H49" s="25">
        <f t="shared" si="7"/>
        <v>1486.50379473</v>
      </c>
      <c r="I49" s="25">
        <f t="shared" si="8"/>
        <v>145677.37188354001</v>
      </c>
      <c r="J49" s="30">
        <v>150</v>
      </c>
      <c r="K49" s="30">
        <f t="shared" si="9"/>
        <v>140.23620704999999</v>
      </c>
      <c r="L49" s="30">
        <f t="shared" si="10"/>
        <v>13743.148290899999</v>
      </c>
      <c r="M49" s="72">
        <f t="shared" si="6"/>
        <v>159420.52017444</v>
      </c>
      <c r="N49" s="26"/>
      <c r="O49" s="921">
        <v>0.93490804699999996</v>
      </c>
    </row>
    <row r="50" spans="1:16" ht="19.350000000000001" customHeight="1">
      <c r="A50" s="44"/>
      <c r="B50" s="27" t="s">
        <v>840</v>
      </c>
      <c r="C50" s="1278" t="s">
        <v>841</v>
      </c>
      <c r="D50" s="1279"/>
      <c r="E50" s="25">
        <v>1660</v>
      </c>
      <c r="F50" s="26" t="s">
        <v>211</v>
      </c>
      <c r="G50" s="25">
        <v>1530</v>
      </c>
      <c r="H50" s="25">
        <f t="shared" si="7"/>
        <v>1430.40931191</v>
      </c>
      <c r="I50" s="25">
        <f t="shared" si="8"/>
        <v>2374479.4577706</v>
      </c>
      <c r="J50" s="30">
        <v>205</v>
      </c>
      <c r="K50" s="30">
        <f t="shared" si="9"/>
        <v>191.65614963499999</v>
      </c>
      <c r="L50" s="30">
        <f t="shared" si="10"/>
        <v>318149.20839409996</v>
      </c>
      <c r="M50" s="72">
        <f t="shared" si="6"/>
        <v>2692628.6661646999</v>
      </c>
      <c r="N50" s="26"/>
      <c r="O50" s="921">
        <v>0.93490804699999996</v>
      </c>
    </row>
    <row r="51" spans="1:16" ht="19.350000000000001" customHeight="1">
      <c r="A51" s="44"/>
      <c r="B51" s="27" t="s">
        <v>842</v>
      </c>
      <c r="C51" s="1278" t="s">
        <v>843</v>
      </c>
      <c r="D51" s="1279"/>
      <c r="E51" s="25">
        <v>50</v>
      </c>
      <c r="F51" s="26" t="s">
        <v>211</v>
      </c>
      <c r="G51" s="25">
        <v>2610</v>
      </c>
      <c r="H51" s="25">
        <f t="shared" si="7"/>
        <v>2440.1100026700001</v>
      </c>
      <c r="I51" s="25">
        <f t="shared" si="8"/>
        <v>122005.5001335</v>
      </c>
      <c r="J51" s="30">
        <v>2630.5</v>
      </c>
      <c r="K51" s="30">
        <f t="shared" si="9"/>
        <v>2459.2756176335001</v>
      </c>
      <c r="L51" s="30">
        <f t="shared" si="10"/>
        <v>122963.780881675</v>
      </c>
      <c r="M51" s="72">
        <f t="shared" si="6"/>
        <v>244969.28101517499</v>
      </c>
      <c r="N51" s="26"/>
      <c r="O51" s="921">
        <v>0.93490804699999996</v>
      </c>
    </row>
    <row r="52" spans="1:16" ht="19.350000000000001" customHeight="1">
      <c r="A52" s="44"/>
      <c r="B52" s="27"/>
      <c r="C52" s="355"/>
      <c r="D52" s="355"/>
      <c r="E52" s="25"/>
      <c r="F52" s="26"/>
      <c r="G52" s="25"/>
      <c r="H52" s="25"/>
      <c r="I52" s="25"/>
      <c r="J52" s="30"/>
      <c r="K52" s="30"/>
      <c r="L52" s="30"/>
      <c r="M52" s="72"/>
      <c r="N52" s="26"/>
      <c r="O52" s="921">
        <v>0.93490804699999996</v>
      </c>
    </row>
    <row r="53" spans="1:16" ht="19.350000000000001" customHeight="1">
      <c r="A53" s="44"/>
      <c r="B53" s="1272" t="s">
        <v>844</v>
      </c>
      <c r="C53" s="1273"/>
      <c r="D53" s="1274"/>
      <c r="E53" s="34">
        <v>5338</v>
      </c>
      <c r="F53" s="35" t="s">
        <v>211</v>
      </c>
      <c r="G53" s="34"/>
      <c r="H53" s="25"/>
      <c r="I53" s="34">
        <f>SUM(I32:I52)</f>
        <v>7220159.2853141865</v>
      </c>
      <c r="J53" s="102"/>
      <c r="K53" s="30"/>
      <c r="L53" s="126">
        <f>SUM(L32:L52)</f>
        <v>1794574.6943774398</v>
      </c>
      <c r="M53" s="126">
        <f>SUM(M32:M52)</f>
        <v>9014733.9796916228</v>
      </c>
      <c r="N53" s="26"/>
      <c r="O53" s="921">
        <v>0.93490804699999996</v>
      </c>
    </row>
    <row r="54" spans="1:16" ht="19.350000000000001" customHeight="1">
      <c r="A54" s="44"/>
      <c r="B54" s="31"/>
      <c r="C54" s="32"/>
      <c r="D54" s="33"/>
      <c r="E54" s="34"/>
      <c r="F54" s="35"/>
      <c r="G54" s="34"/>
      <c r="H54" s="25"/>
      <c r="I54" s="34"/>
      <c r="J54" s="102"/>
      <c r="K54" s="30"/>
      <c r="L54" s="126"/>
      <c r="M54" s="126"/>
      <c r="N54" s="119"/>
      <c r="O54" s="921">
        <v>0.93490804699999996</v>
      </c>
    </row>
    <row r="55" spans="1:16" ht="19.350000000000001" customHeight="1">
      <c r="A55" s="44"/>
      <c r="B55" s="31"/>
      <c r="C55" s="32"/>
      <c r="D55" s="33"/>
      <c r="E55" s="34"/>
      <c r="F55" s="35"/>
      <c r="G55" s="34"/>
      <c r="H55" s="25"/>
      <c r="I55" s="34"/>
      <c r="J55" s="102"/>
      <c r="K55" s="30"/>
      <c r="L55" s="126"/>
      <c r="M55" s="126"/>
      <c r="N55" s="119"/>
      <c r="O55" s="921">
        <v>0.93490804699999996</v>
      </c>
    </row>
    <row r="56" spans="1:16" ht="19.350000000000001" customHeight="1">
      <c r="A56" s="58"/>
      <c r="B56" s="1275"/>
      <c r="C56" s="1276"/>
      <c r="D56" s="1277"/>
      <c r="E56" s="34"/>
      <c r="F56" s="35"/>
      <c r="G56" s="34"/>
      <c r="H56" s="25"/>
      <c r="I56" s="34"/>
      <c r="J56" s="34"/>
      <c r="K56" s="30"/>
      <c r="L56" s="34"/>
      <c r="M56" s="34"/>
      <c r="N56" s="415"/>
      <c r="O56" s="921">
        <v>0.93490804699999996</v>
      </c>
    </row>
    <row r="57" spans="1:16" ht="19.350000000000001" customHeight="1">
      <c r="A57" s="220">
        <v>2</v>
      </c>
      <c r="B57" s="302" t="s">
        <v>197</v>
      </c>
      <c r="C57" s="221"/>
      <c r="D57" s="612"/>
      <c r="E57" s="34"/>
      <c r="F57" s="35"/>
      <c r="G57" s="34"/>
      <c r="H57" s="25"/>
      <c r="I57" s="34"/>
      <c r="J57" s="102"/>
      <c r="K57" s="30"/>
      <c r="L57" s="34"/>
      <c r="M57" s="35"/>
      <c r="N57" s="35"/>
      <c r="O57" s="921">
        <v>0.93490804699999996</v>
      </c>
    </row>
    <row r="58" spans="1:16" ht="19.350000000000001" customHeight="1">
      <c r="A58" s="44"/>
      <c r="B58" s="27" t="s">
        <v>845</v>
      </c>
      <c r="C58" s="1278" t="s">
        <v>846</v>
      </c>
      <c r="D58" s="1279"/>
      <c r="E58" s="25">
        <v>296</v>
      </c>
      <c r="F58" s="26" t="s">
        <v>211</v>
      </c>
      <c r="G58" s="25">
        <v>660</v>
      </c>
      <c r="H58" s="25">
        <f t="shared" si="7"/>
        <v>617.03931102000001</v>
      </c>
      <c r="I58" s="25">
        <f>E58*H58</f>
        <v>182643.63606192</v>
      </c>
      <c r="J58" s="30">
        <v>200</v>
      </c>
      <c r="K58" s="30">
        <f t="shared" si="9"/>
        <v>186.9816094</v>
      </c>
      <c r="L58" s="30">
        <f>E58*K58</f>
        <v>55346.556382399998</v>
      </c>
      <c r="M58" s="72">
        <f>I58+L58</f>
        <v>237990.19244432001</v>
      </c>
      <c r="N58" s="26"/>
      <c r="O58" s="921">
        <v>0.93490804699999996</v>
      </c>
    </row>
    <row r="59" spans="1:16" ht="19.350000000000001" customHeight="1">
      <c r="A59" s="44"/>
      <c r="B59" s="27" t="s">
        <v>847</v>
      </c>
      <c r="C59" s="1278" t="s">
        <v>848</v>
      </c>
      <c r="D59" s="1279"/>
      <c r="E59" s="25">
        <v>205</v>
      </c>
      <c r="F59" s="26" t="s">
        <v>211</v>
      </c>
      <c r="G59" s="25">
        <v>1290</v>
      </c>
      <c r="H59" s="25">
        <f t="shared" si="7"/>
        <v>1206.0313806300001</v>
      </c>
      <c r="I59" s="25">
        <f t="shared" ref="I59:I62" si="11">E59*H59</f>
        <v>247236.43302915001</v>
      </c>
      <c r="J59" s="30">
        <v>200</v>
      </c>
      <c r="K59" s="30">
        <f t="shared" si="9"/>
        <v>186.9816094</v>
      </c>
      <c r="L59" s="30">
        <f t="shared" ref="L59:L62" si="12">E59*K59</f>
        <v>38331.229927</v>
      </c>
      <c r="M59" s="72">
        <f>I59+L59</f>
        <v>285567.66295615002</v>
      </c>
      <c r="N59" s="26"/>
      <c r="O59" s="921">
        <v>0.93490804699999996</v>
      </c>
    </row>
    <row r="60" spans="1:16" ht="19.350000000000001" customHeight="1">
      <c r="A60" s="44"/>
      <c r="B60" s="27" t="s">
        <v>849</v>
      </c>
      <c r="C60" s="1278" t="s">
        <v>850</v>
      </c>
      <c r="D60" s="1279"/>
      <c r="E60" s="25">
        <v>49</v>
      </c>
      <c r="F60" s="26" t="s">
        <v>211</v>
      </c>
      <c r="G60" s="25">
        <v>870</v>
      </c>
      <c r="H60" s="25">
        <f t="shared" si="7"/>
        <v>813.37000088999991</v>
      </c>
      <c r="I60" s="25">
        <f t="shared" si="11"/>
        <v>39855.130043609999</v>
      </c>
      <c r="J60" s="30">
        <v>350</v>
      </c>
      <c r="K60" s="30">
        <f t="shared" si="9"/>
        <v>327.21781644999999</v>
      </c>
      <c r="L60" s="30">
        <f t="shared" si="12"/>
        <v>16033.673006049999</v>
      </c>
      <c r="M60" s="72">
        <f>I60+L60</f>
        <v>55888.803049659997</v>
      </c>
      <c r="N60" s="26"/>
      <c r="O60" s="921">
        <v>0.93490804699999996</v>
      </c>
    </row>
    <row r="61" spans="1:16" ht="19.350000000000001" customHeight="1">
      <c r="A61" s="44"/>
      <c r="B61" s="27" t="s">
        <v>851</v>
      </c>
      <c r="C61" s="1278" t="s">
        <v>852</v>
      </c>
      <c r="D61" s="1279"/>
      <c r="E61" s="25">
        <v>165</v>
      </c>
      <c r="F61" s="26" t="s">
        <v>211</v>
      </c>
      <c r="G61" s="25">
        <v>660</v>
      </c>
      <c r="H61" s="25">
        <f t="shared" si="7"/>
        <v>617.03931102000001</v>
      </c>
      <c r="I61" s="25">
        <f t="shared" si="11"/>
        <v>101811.4863183</v>
      </c>
      <c r="J61" s="30">
        <v>200</v>
      </c>
      <c r="K61" s="30">
        <f t="shared" si="9"/>
        <v>186.9816094</v>
      </c>
      <c r="L61" s="30">
        <f t="shared" si="12"/>
        <v>30851.965551000001</v>
      </c>
      <c r="M61" s="72">
        <f>I61+L61</f>
        <v>132663.45186929998</v>
      </c>
      <c r="N61" s="26"/>
      <c r="O61" s="921">
        <v>0.93490804699999996</v>
      </c>
    </row>
    <row r="62" spans="1:16" ht="19.350000000000001" customHeight="1">
      <c r="A62" s="44"/>
      <c r="B62" s="27" t="s">
        <v>853</v>
      </c>
      <c r="C62" s="1278" t="s">
        <v>854</v>
      </c>
      <c r="D62" s="1279"/>
      <c r="E62" s="25">
        <v>660</v>
      </c>
      <c r="F62" s="26" t="s">
        <v>211</v>
      </c>
      <c r="G62" s="25">
        <v>30</v>
      </c>
      <c r="H62" s="25">
        <f t="shared" si="7"/>
        <v>28.047241409999998</v>
      </c>
      <c r="I62" s="25">
        <f t="shared" si="11"/>
        <v>18511.1793306</v>
      </c>
      <c r="J62" s="25">
        <v>28</v>
      </c>
      <c r="K62" s="30">
        <f t="shared" si="9"/>
        <v>26.177425315999997</v>
      </c>
      <c r="L62" s="30">
        <f t="shared" si="12"/>
        <v>17277.100708559999</v>
      </c>
      <c r="M62" s="72">
        <f>I62+L62</f>
        <v>35788.280039160003</v>
      </c>
      <c r="N62" s="26"/>
      <c r="O62" s="921">
        <v>0.93490804699999996</v>
      </c>
      <c r="P62" s="204"/>
    </row>
    <row r="63" spans="1:16" ht="19.350000000000001" customHeight="1">
      <c r="A63" s="44"/>
      <c r="B63" s="1272" t="s">
        <v>855</v>
      </c>
      <c r="C63" s="1273"/>
      <c r="D63" s="1274"/>
      <c r="E63" s="34">
        <v>501.55054999999999</v>
      </c>
      <c r="F63" s="35" t="s">
        <v>211</v>
      </c>
      <c r="G63" s="34">
        <v>3510</v>
      </c>
      <c r="H63" s="25">
        <f t="shared" si="7"/>
        <v>3281.5272449700001</v>
      </c>
      <c r="I63" s="34">
        <f>SUM(I58:I62)</f>
        <v>590057.86478357995</v>
      </c>
      <c r="J63" s="34">
        <v>978</v>
      </c>
      <c r="K63" s="30">
        <f t="shared" si="9"/>
        <v>914.34006996599999</v>
      </c>
      <c r="L63" s="126">
        <f>SUM(L58:L62)</f>
        <v>157840.52557500999</v>
      </c>
      <c r="M63" s="126">
        <f>SUM(M58:M62)</f>
        <v>747898.39035859006</v>
      </c>
      <c r="N63" s="26"/>
      <c r="O63" s="921">
        <v>0.93490804699999996</v>
      </c>
    </row>
    <row r="64" spans="1:16" ht="19.350000000000001" customHeight="1">
      <c r="A64" s="44"/>
      <c r="B64" s="27"/>
      <c r="C64" s="1278"/>
      <c r="D64" s="1279"/>
      <c r="E64" s="25"/>
      <c r="F64" s="26"/>
      <c r="G64" s="25"/>
      <c r="H64" s="25"/>
      <c r="I64" s="25"/>
      <c r="J64" s="30"/>
      <c r="K64" s="30"/>
      <c r="L64" s="30"/>
      <c r="M64" s="72"/>
      <c r="N64" s="26"/>
      <c r="O64" s="921">
        <v>0.93490804699999996</v>
      </c>
    </row>
    <row r="65" spans="1:18" ht="19.350000000000001" customHeight="1">
      <c r="A65" s="220">
        <v>3</v>
      </c>
      <c r="B65" s="302" t="s">
        <v>805</v>
      </c>
      <c r="C65" s="221"/>
      <c r="D65" s="612"/>
      <c r="E65" s="25"/>
      <c r="F65" s="26"/>
      <c r="G65" s="25"/>
      <c r="H65" s="25"/>
      <c r="I65" s="25"/>
      <c r="J65" s="30"/>
      <c r="K65" s="30"/>
      <c r="L65" s="30"/>
      <c r="M65" s="72"/>
      <c r="N65" s="26"/>
      <c r="O65" s="921">
        <v>0.93490804699999996</v>
      </c>
      <c r="R65" s="965"/>
    </row>
    <row r="66" spans="1:18" s="725" customFormat="1" ht="19.350000000000001" customHeight="1">
      <c r="A66" s="973"/>
      <c r="B66" s="27" t="s">
        <v>856</v>
      </c>
      <c r="C66" s="1284" t="s">
        <v>857</v>
      </c>
      <c r="D66" s="1285"/>
      <c r="E66" s="25">
        <v>53</v>
      </c>
      <c r="F66" s="26" t="s">
        <v>211</v>
      </c>
      <c r="G66" s="25">
        <v>262</v>
      </c>
      <c r="H66" s="25">
        <f t="shared" si="7"/>
        <v>244.94590831399998</v>
      </c>
      <c r="I66" s="25">
        <f>E66*H66</f>
        <v>12982.133140641999</v>
      </c>
      <c r="J66" s="30">
        <v>75</v>
      </c>
      <c r="K66" s="30">
        <f t="shared" si="9"/>
        <v>70.118103524999995</v>
      </c>
      <c r="L66" s="30">
        <f>E66*K66</f>
        <v>3716.2594868249998</v>
      </c>
      <c r="M66" s="72">
        <f>I66+L66</f>
        <v>16698.392627467001</v>
      </c>
      <c r="N66" s="968"/>
      <c r="O66" s="921">
        <v>0.93490804699999996</v>
      </c>
      <c r="P66" s="725" t="s">
        <v>214</v>
      </c>
      <c r="Q66" s="976"/>
    </row>
    <row r="67" spans="1:18" s="725" customFormat="1" ht="19.350000000000001" customHeight="1">
      <c r="A67" s="973"/>
      <c r="B67" s="27"/>
      <c r="C67" s="526" t="s">
        <v>858</v>
      </c>
      <c r="D67" s="975"/>
      <c r="E67" s="25"/>
      <c r="F67" s="26"/>
      <c r="G67" s="25"/>
      <c r="H67" s="25"/>
      <c r="I67" s="25"/>
      <c r="J67" s="30"/>
      <c r="K67" s="30"/>
      <c r="L67" s="30"/>
      <c r="M67" s="72"/>
      <c r="N67" s="968"/>
      <c r="O67" s="921">
        <v>0.93490804699999996</v>
      </c>
      <c r="Q67" s="976"/>
    </row>
    <row r="68" spans="1:18" ht="19.350000000000001" customHeight="1">
      <c r="A68" s="265"/>
      <c r="B68" s="27"/>
      <c r="C68" s="368" t="s">
        <v>859</v>
      </c>
      <c r="D68" s="267"/>
      <c r="E68" s="25">
        <v>53</v>
      </c>
      <c r="F68" s="26" t="s">
        <v>211</v>
      </c>
      <c r="G68" s="25">
        <v>30</v>
      </c>
      <c r="H68" s="25">
        <f t="shared" si="7"/>
        <v>28.047241409999998</v>
      </c>
      <c r="I68" s="25">
        <f t="shared" ref="I68:I95" si="13">E68*H68</f>
        <v>1486.50379473</v>
      </c>
      <c r="J68" s="30">
        <v>28</v>
      </c>
      <c r="K68" s="30">
        <f t="shared" si="9"/>
        <v>26.177425315999997</v>
      </c>
      <c r="L68" s="30">
        <f t="shared" ref="L68:L95" si="14">E68*K68</f>
        <v>1387.403541748</v>
      </c>
      <c r="M68" s="72">
        <f>I68+L68</f>
        <v>2873.9073364779997</v>
      </c>
      <c r="N68" s="26"/>
      <c r="O68" s="921">
        <v>0.93490804699999996</v>
      </c>
      <c r="Q68" s="972"/>
    </row>
    <row r="69" spans="1:18" ht="19.350000000000001" customHeight="1">
      <c r="A69" s="44"/>
      <c r="B69" s="27" t="s">
        <v>860</v>
      </c>
      <c r="C69" s="1284" t="s">
        <v>861</v>
      </c>
      <c r="D69" s="1285"/>
      <c r="E69" s="25">
        <v>45</v>
      </c>
      <c r="F69" s="26" t="s">
        <v>211</v>
      </c>
      <c r="G69" s="25">
        <v>2250</v>
      </c>
      <c r="H69" s="25">
        <f t="shared" si="7"/>
        <v>2103.54310575</v>
      </c>
      <c r="I69" s="25">
        <f t="shared" si="13"/>
        <v>94659.439758749999</v>
      </c>
      <c r="J69" s="30">
        <v>400</v>
      </c>
      <c r="K69" s="30">
        <f t="shared" si="9"/>
        <v>373.96321879999999</v>
      </c>
      <c r="L69" s="30">
        <f t="shared" si="14"/>
        <v>16828.344846</v>
      </c>
      <c r="M69" s="72">
        <f>I69+L69</f>
        <v>111487.78460474999</v>
      </c>
      <c r="N69" s="26"/>
      <c r="O69" s="921">
        <v>0.93490804699999996</v>
      </c>
      <c r="Q69" s="972"/>
    </row>
    <row r="70" spans="1:18" ht="19.350000000000001" customHeight="1">
      <c r="A70" s="44"/>
      <c r="B70" s="27"/>
      <c r="C70" s="368" t="s">
        <v>862</v>
      </c>
      <c r="D70" s="267"/>
      <c r="E70" s="25">
        <v>45</v>
      </c>
      <c r="F70" s="26" t="s">
        <v>211</v>
      </c>
      <c r="G70" s="242"/>
      <c r="H70" s="25"/>
      <c r="I70" s="25"/>
      <c r="J70" s="384"/>
      <c r="K70" s="30"/>
      <c r="L70" s="30"/>
      <c r="M70" s="242"/>
      <c r="N70" s="26"/>
      <c r="O70" s="921">
        <v>0.93490804699999996</v>
      </c>
      <c r="Q70" s="972"/>
    </row>
    <row r="71" spans="1:18" s="725" customFormat="1" ht="19.350000000000001" customHeight="1">
      <c r="A71" s="964"/>
      <c r="B71" s="27" t="s">
        <v>863</v>
      </c>
      <c r="C71" s="1284" t="s">
        <v>864</v>
      </c>
      <c r="D71" s="1285"/>
      <c r="E71" s="25">
        <v>405</v>
      </c>
      <c r="F71" s="26" t="s">
        <v>211</v>
      </c>
      <c r="G71" s="25">
        <v>262</v>
      </c>
      <c r="H71" s="25">
        <f t="shared" si="7"/>
        <v>244.94590831399998</v>
      </c>
      <c r="I71" s="25">
        <f t="shared" si="13"/>
        <v>99203.092867169995</v>
      </c>
      <c r="J71" s="30">
        <v>75</v>
      </c>
      <c r="K71" s="30">
        <f t="shared" si="9"/>
        <v>70.118103524999995</v>
      </c>
      <c r="L71" s="30">
        <f t="shared" si="14"/>
        <v>28397.831927624997</v>
      </c>
      <c r="M71" s="72">
        <f>I71+L71</f>
        <v>127600.92479479499</v>
      </c>
      <c r="N71" s="968"/>
      <c r="O71" s="921">
        <v>0.93490804699999996</v>
      </c>
      <c r="P71" s="725" t="s">
        <v>214</v>
      </c>
      <c r="Q71" s="976"/>
    </row>
    <row r="72" spans="1:18" s="725" customFormat="1" ht="19.350000000000001" customHeight="1">
      <c r="A72" s="964"/>
      <c r="B72" s="27"/>
      <c r="C72" s="526" t="s">
        <v>865</v>
      </c>
      <c r="D72" s="975"/>
      <c r="E72" s="25"/>
      <c r="F72" s="26"/>
      <c r="G72" s="25"/>
      <c r="H72" s="25"/>
      <c r="I72" s="25"/>
      <c r="J72" s="30"/>
      <c r="K72" s="30"/>
      <c r="L72" s="30"/>
      <c r="M72" s="72"/>
      <c r="N72" s="968"/>
      <c r="O72" s="921">
        <v>0.93490804699999996</v>
      </c>
      <c r="Q72" s="976"/>
    </row>
    <row r="73" spans="1:18" ht="19.350000000000001" customHeight="1">
      <c r="A73" s="44"/>
      <c r="B73" s="27"/>
      <c r="C73" s="1284" t="s">
        <v>866</v>
      </c>
      <c r="D73" s="1285"/>
      <c r="E73" s="25">
        <v>405</v>
      </c>
      <c r="F73" s="26" t="s">
        <v>211</v>
      </c>
      <c r="G73" s="25">
        <v>361</v>
      </c>
      <c r="H73" s="25">
        <f t="shared" si="7"/>
        <v>337.501804967</v>
      </c>
      <c r="I73" s="25">
        <f t="shared" si="13"/>
        <v>136688.23101163501</v>
      </c>
      <c r="J73" s="30">
        <v>108.3</v>
      </c>
      <c r="K73" s="30">
        <f t="shared" si="9"/>
        <v>101.25054149009999</v>
      </c>
      <c r="L73" s="30">
        <f t="shared" si="14"/>
        <v>41006.469303490499</v>
      </c>
      <c r="M73" s="72">
        <f>I73+L73</f>
        <v>177694.70031512552</v>
      </c>
      <c r="N73" s="26"/>
      <c r="O73" s="921">
        <v>0.93490804699999996</v>
      </c>
      <c r="Q73" s="972"/>
    </row>
    <row r="74" spans="1:18" s="725" customFormat="1" ht="19.350000000000001" customHeight="1">
      <c r="A74" s="964"/>
      <c r="B74" s="27" t="s">
        <v>867</v>
      </c>
      <c r="C74" s="1284" t="s">
        <v>864</v>
      </c>
      <c r="D74" s="1285"/>
      <c r="E74" s="25">
        <v>577</v>
      </c>
      <c r="F74" s="26" t="s">
        <v>211</v>
      </c>
      <c r="G74" s="25">
        <v>262</v>
      </c>
      <c r="H74" s="25">
        <f t="shared" si="7"/>
        <v>244.94590831399998</v>
      </c>
      <c r="I74" s="25">
        <f t="shared" si="13"/>
        <v>141333.789097178</v>
      </c>
      <c r="J74" s="30">
        <v>75</v>
      </c>
      <c r="K74" s="30">
        <f t="shared" si="9"/>
        <v>70.118103524999995</v>
      </c>
      <c r="L74" s="30">
        <f t="shared" si="14"/>
        <v>40458.145733924997</v>
      </c>
      <c r="M74" s="72">
        <f>I74+L74</f>
        <v>181791.93483110299</v>
      </c>
      <c r="N74" s="968"/>
      <c r="O74" s="921">
        <v>0.93490804699999996</v>
      </c>
      <c r="P74" s="725" t="s">
        <v>214</v>
      </c>
      <c r="Q74" s="976"/>
    </row>
    <row r="75" spans="1:18" s="725" customFormat="1" ht="19.350000000000001" customHeight="1">
      <c r="A75" s="964"/>
      <c r="B75" s="27"/>
      <c r="C75" s="526" t="s">
        <v>865</v>
      </c>
      <c r="D75" s="975"/>
      <c r="E75" s="25"/>
      <c r="F75" s="26"/>
      <c r="G75" s="25"/>
      <c r="H75" s="25"/>
      <c r="I75" s="25"/>
      <c r="J75" s="30"/>
      <c r="K75" s="30"/>
      <c r="L75" s="30"/>
      <c r="M75" s="72"/>
      <c r="N75" s="968"/>
      <c r="O75" s="921">
        <v>0.93490804699999996</v>
      </c>
      <c r="Q75" s="976"/>
    </row>
    <row r="76" spans="1:18" ht="19.350000000000001" customHeight="1">
      <c r="A76" s="44"/>
      <c r="B76" s="27"/>
      <c r="C76" s="1284" t="s">
        <v>866</v>
      </c>
      <c r="D76" s="1285"/>
      <c r="E76" s="25">
        <v>577</v>
      </c>
      <c r="F76" s="26" t="s">
        <v>211</v>
      </c>
      <c r="G76" s="25">
        <v>361</v>
      </c>
      <c r="H76" s="25">
        <f t="shared" si="7"/>
        <v>337.501804967</v>
      </c>
      <c r="I76" s="25">
        <f t="shared" si="13"/>
        <v>194738.54146595899</v>
      </c>
      <c r="J76" s="30">
        <v>108.3</v>
      </c>
      <c r="K76" s="30">
        <f t="shared" si="9"/>
        <v>101.25054149009999</v>
      </c>
      <c r="L76" s="30">
        <f t="shared" si="14"/>
        <v>58421.562439787696</v>
      </c>
      <c r="M76" s="72">
        <f>I76+L76</f>
        <v>253160.10390574668</v>
      </c>
      <c r="N76" s="26"/>
      <c r="O76" s="921">
        <v>0.93490804699999996</v>
      </c>
      <c r="Q76" s="972"/>
    </row>
    <row r="77" spans="1:18" s="725" customFormat="1" ht="19.350000000000001" customHeight="1">
      <c r="A77" s="964"/>
      <c r="B77" s="27" t="s">
        <v>868</v>
      </c>
      <c r="C77" s="1284" t="s">
        <v>869</v>
      </c>
      <c r="D77" s="1285"/>
      <c r="E77" s="25">
        <v>349</v>
      </c>
      <c r="F77" s="26" t="s">
        <v>211</v>
      </c>
      <c r="G77" s="25">
        <v>262</v>
      </c>
      <c r="H77" s="25">
        <f t="shared" si="7"/>
        <v>244.94590831399998</v>
      </c>
      <c r="I77" s="25">
        <f t="shared" si="13"/>
        <v>85486.122001585987</v>
      </c>
      <c r="J77" s="30">
        <v>75</v>
      </c>
      <c r="K77" s="30">
        <f t="shared" si="9"/>
        <v>70.118103524999995</v>
      </c>
      <c r="L77" s="30">
        <f t="shared" si="14"/>
        <v>24471.218130224999</v>
      </c>
      <c r="M77" s="72">
        <f>I77+L77</f>
        <v>109957.34013181098</v>
      </c>
      <c r="N77" s="968"/>
      <c r="O77" s="921">
        <v>0.93490804699999996</v>
      </c>
      <c r="P77" s="725" t="s">
        <v>214</v>
      </c>
      <c r="Q77" s="976"/>
    </row>
    <row r="78" spans="1:18" s="725" customFormat="1" ht="19.350000000000001" customHeight="1">
      <c r="A78" s="964"/>
      <c r="B78" s="27"/>
      <c r="C78" s="526" t="s">
        <v>870</v>
      </c>
      <c r="D78" s="975"/>
      <c r="E78" s="25"/>
      <c r="F78" s="26"/>
      <c r="G78" s="25"/>
      <c r="H78" s="25"/>
      <c r="I78" s="25"/>
      <c r="J78" s="30"/>
      <c r="K78" s="30"/>
      <c r="L78" s="30"/>
      <c r="M78" s="72"/>
      <c r="N78" s="968"/>
      <c r="O78" s="921">
        <v>0.93490804699999996</v>
      </c>
      <c r="Q78" s="976"/>
    </row>
    <row r="79" spans="1:18" ht="19.350000000000001" customHeight="1">
      <c r="A79" s="44"/>
      <c r="B79" s="27"/>
      <c r="C79" s="1284" t="s">
        <v>871</v>
      </c>
      <c r="D79" s="1285"/>
      <c r="E79" s="25">
        <v>349</v>
      </c>
      <c r="F79" s="26" t="s">
        <v>211</v>
      </c>
      <c r="G79" s="25">
        <v>361</v>
      </c>
      <c r="H79" s="25">
        <f t="shared" si="7"/>
        <v>337.501804967</v>
      </c>
      <c r="I79" s="25">
        <f t="shared" si="13"/>
        <v>117788.129933483</v>
      </c>
      <c r="J79" s="30">
        <v>108.3</v>
      </c>
      <c r="K79" s="30">
        <f t="shared" si="9"/>
        <v>101.25054149009999</v>
      </c>
      <c r="L79" s="30">
        <f t="shared" si="14"/>
        <v>35336.438980044899</v>
      </c>
      <c r="M79" s="72">
        <f>I79+L79</f>
        <v>153124.56891352788</v>
      </c>
      <c r="N79" s="26"/>
      <c r="O79" s="921">
        <v>0.93490804699999996</v>
      </c>
    </row>
    <row r="80" spans="1:18" ht="19.350000000000001" customHeight="1">
      <c r="A80" s="44"/>
      <c r="B80" s="27"/>
      <c r="C80" s="526" t="s">
        <v>872</v>
      </c>
      <c r="D80" s="975"/>
      <c r="E80" s="25"/>
      <c r="F80" s="26"/>
      <c r="G80" s="25"/>
      <c r="H80" s="25"/>
      <c r="I80" s="25"/>
      <c r="J80" s="30"/>
      <c r="K80" s="30"/>
      <c r="L80" s="30"/>
      <c r="M80" s="72"/>
      <c r="N80" s="26"/>
      <c r="O80" s="921">
        <v>0.93490804699999996</v>
      </c>
    </row>
    <row r="81" spans="1:18" s="725" customFormat="1" ht="19.350000000000001" customHeight="1">
      <c r="A81" s="964"/>
      <c r="B81" s="27" t="s">
        <v>873</v>
      </c>
      <c r="C81" s="1284" t="s">
        <v>869</v>
      </c>
      <c r="D81" s="1285"/>
      <c r="E81" s="25">
        <v>159</v>
      </c>
      <c r="F81" s="26" t="s">
        <v>211</v>
      </c>
      <c r="G81" s="25">
        <v>262</v>
      </c>
      <c r="H81" s="25">
        <f t="shared" si="7"/>
        <v>244.94590831399998</v>
      </c>
      <c r="I81" s="25">
        <f t="shared" si="13"/>
        <v>38946.399421925998</v>
      </c>
      <c r="J81" s="30">
        <v>75</v>
      </c>
      <c r="K81" s="30">
        <f t="shared" si="9"/>
        <v>70.118103524999995</v>
      </c>
      <c r="L81" s="30">
        <f t="shared" si="14"/>
        <v>11148.778460475</v>
      </c>
      <c r="M81" s="72">
        <f>I81+L81</f>
        <v>50095.177882400996</v>
      </c>
      <c r="N81" s="968"/>
      <c r="O81" s="921">
        <v>0.93490804699999996</v>
      </c>
      <c r="P81" s="725" t="s">
        <v>214</v>
      </c>
    </row>
    <row r="82" spans="1:18" s="725" customFormat="1" ht="19.350000000000001" customHeight="1">
      <c r="A82" s="964"/>
      <c r="B82" s="27"/>
      <c r="C82" s="526" t="s">
        <v>870</v>
      </c>
      <c r="D82" s="975"/>
      <c r="E82" s="25"/>
      <c r="F82" s="26"/>
      <c r="G82" s="25"/>
      <c r="H82" s="25"/>
      <c r="I82" s="25"/>
      <c r="J82" s="30"/>
      <c r="K82" s="30"/>
      <c r="L82" s="30"/>
      <c r="M82" s="72"/>
      <c r="N82" s="968"/>
      <c r="O82" s="921">
        <v>0.93490804699999996</v>
      </c>
      <c r="R82" s="976"/>
    </row>
    <row r="83" spans="1:18" ht="19.350000000000001" customHeight="1">
      <c r="A83" s="44"/>
      <c r="B83" s="27"/>
      <c r="C83" s="1284" t="s">
        <v>874</v>
      </c>
      <c r="D83" s="1285"/>
      <c r="E83" s="25">
        <v>159</v>
      </c>
      <c r="F83" s="26" t="s">
        <v>211</v>
      </c>
      <c r="G83" s="25">
        <v>611</v>
      </c>
      <c r="H83" s="25">
        <f t="shared" si="7"/>
        <v>571.22881671699997</v>
      </c>
      <c r="I83" s="25">
        <f t="shared" si="13"/>
        <v>90825.381858002991</v>
      </c>
      <c r="J83" s="30">
        <v>183.3</v>
      </c>
      <c r="K83" s="30">
        <f t="shared" si="9"/>
        <v>171.36864501510001</v>
      </c>
      <c r="L83" s="30">
        <f t="shared" si="14"/>
        <v>27247.614557400902</v>
      </c>
      <c r="M83" s="72">
        <f>I83+L83</f>
        <v>118072.99641540389</v>
      </c>
      <c r="N83" s="26"/>
      <c r="O83" s="921">
        <v>0.93490804699999996</v>
      </c>
    </row>
    <row r="84" spans="1:18" ht="19.350000000000001" customHeight="1">
      <c r="A84" s="44"/>
      <c r="B84" s="27"/>
      <c r="C84" s="974"/>
      <c r="D84" s="975"/>
      <c r="E84" s="25"/>
      <c r="F84" s="26"/>
      <c r="G84" s="25"/>
      <c r="H84" s="25"/>
      <c r="I84" s="25"/>
      <c r="J84" s="30"/>
      <c r="K84" s="30"/>
      <c r="L84" s="30"/>
      <c r="M84" s="72"/>
      <c r="N84" s="26"/>
      <c r="O84" s="921">
        <v>0.93490804699999996</v>
      </c>
    </row>
    <row r="85" spans="1:18" ht="19.350000000000001" customHeight="1">
      <c r="A85" s="44"/>
      <c r="B85" s="27" t="s">
        <v>875</v>
      </c>
      <c r="C85" s="1284" t="s">
        <v>876</v>
      </c>
      <c r="D85" s="1285"/>
      <c r="E85" s="25">
        <v>513</v>
      </c>
      <c r="F85" s="26" t="s">
        <v>211</v>
      </c>
      <c r="G85" s="25">
        <v>1055</v>
      </c>
      <c r="H85" s="25">
        <f t="shared" si="7"/>
        <v>986.32798958499995</v>
      </c>
      <c r="I85" s="25">
        <f t="shared" si="13"/>
        <v>505986.25865710498</v>
      </c>
      <c r="J85" s="30">
        <v>94</v>
      </c>
      <c r="K85" s="30">
        <f t="shared" si="9"/>
        <v>87.881356417999996</v>
      </c>
      <c r="L85" s="30">
        <f t="shared" si="14"/>
        <v>45083.135842434</v>
      </c>
      <c r="M85" s="72">
        <f>I85+L85</f>
        <v>551069.39449953893</v>
      </c>
      <c r="N85" s="26"/>
      <c r="O85" s="921">
        <v>0.93490804699999996</v>
      </c>
      <c r="R85" s="972"/>
    </row>
    <row r="86" spans="1:18" ht="19.350000000000001" customHeight="1">
      <c r="A86" s="44"/>
      <c r="B86" s="27"/>
      <c r="C86" s="526" t="s">
        <v>877</v>
      </c>
      <c r="D86" s="975"/>
      <c r="E86" s="25"/>
      <c r="F86" s="26"/>
      <c r="G86" s="25"/>
      <c r="H86" s="25"/>
      <c r="I86" s="25"/>
      <c r="J86" s="30"/>
      <c r="K86" s="30"/>
      <c r="L86" s="30"/>
      <c r="M86" s="72"/>
      <c r="N86" s="26"/>
      <c r="O86" s="921">
        <v>0.93490804699999996</v>
      </c>
      <c r="R86" s="972"/>
    </row>
    <row r="87" spans="1:18" ht="19.350000000000001" customHeight="1">
      <c r="A87" s="44"/>
      <c r="B87" s="27" t="s">
        <v>878</v>
      </c>
      <c r="C87" s="1284" t="s">
        <v>879</v>
      </c>
      <c r="D87" s="1285"/>
      <c r="E87" s="25">
        <v>75</v>
      </c>
      <c r="F87" s="26" t="s">
        <v>211</v>
      </c>
      <c r="G87" s="25">
        <v>3810</v>
      </c>
      <c r="H87" s="25">
        <f t="shared" si="7"/>
        <v>3561.9996590699998</v>
      </c>
      <c r="I87" s="25">
        <f t="shared" si="13"/>
        <v>267149.97443025</v>
      </c>
      <c r="J87" s="25">
        <v>1225</v>
      </c>
      <c r="K87" s="30">
        <f t="shared" si="9"/>
        <v>1145.2623575749999</v>
      </c>
      <c r="L87" s="30">
        <f t="shared" si="14"/>
        <v>85894.676818124994</v>
      </c>
      <c r="M87" s="72">
        <f>I87+L87</f>
        <v>353044.65124837501</v>
      </c>
      <c r="N87" s="26"/>
      <c r="O87" s="921">
        <v>0.93490804699999996</v>
      </c>
      <c r="R87" s="368"/>
    </row>
    <row r="88" spans="1:18" ht="19.350000000000001" customHeight="1">
      <c r="A88" s="44"/>
      <c r="B88" s="29"/>
      <c r="C88" s="526" t="s">
        <v>880</v>
      </c>
      <c r="D88" s="975"/>
      <c r="E88" s="25"/>
      <c r="F88" s="26"/>
      <c r="G88" s="25"/>
      <c r="H88" s="25"/>
      <c r="I88" s="25"/>
      <c r="J88" s="25"/>
      <c r="K88" s="30"/>
      <c r="L88" s="30"/>
      <c r="M88" s="25"/>
      <c r="N88" s="26"/>
      <c r="O88" s="921">
        <v>0.93490804699999996</v>
      </c>
      <c r="R88" s="977"/>
    </row>
    <row r="89" spans="1:18" ht="19.350000000000001" customHeight="1">
      <c r="A89" s="44"/>
      <c r="B89" s="29"/>
      <c r="C89" s="526" t="s">
        <v>881</v>
      </c>
      <c r="D89" s="975"/>
      <c r="E89" s="25"/>
      <c r="F89" s="26"/>
      <c r="G89" s="25"/>
      <c r="H89" s="25"/>
      <c r="I89" s="25"/>
      <c r="J89" s="25"/>
      <c r="K89" s="30"/>
      <c r="L89" s="30"/>
      <c r="M89" s="25"/>
      <c r="N89" s="26"/>
      <c r="O89" s="921">
        <v>0.93490804699999996</v>
      </c>
      <c r="R89" s="977"/>
    </row>
    <row r="90" spans="1:18" ht="19.350000000000001" customHeight="1">
      <c r="A90" s="44"/>
      <c r="B90" s="349" t="s">
        <v>882</v>
      </c>
      <c r="C90" s="1284" t="s">
        <v>883</v>
      </c>
      <c r="D90" s="1285"/>
      <c r="E90" s="25">
        <v>25</v>
      </c>
      <c r="F90" s="26" t="s">
        <v>211</v>
      </c>
      <c r="G90" s="25">
        <v>3990</v>
      </c>
      <c r="H90" s="25">
        <f t="shared" si="7"/>
        <v>3730.2831075300001</v>
      </c>
      <c r="I90" s="25">
        <f t="shared" si="13"/>
        <v>93257.077688250007</v>
      </c>
      <c r="J90" s="25">
        <v>1725</v>
      </c>
      <c r="K90" s="30">
        <f t="shared" si="9"/>
        <v>1612.7163810749998</v>
      </c>
      <c r="L90" s="30">
        <f t="shared" si="14"/>
        <v>40317.909526874995</v>
      </c>
      <c r="M90" s="72">
        <f>I90+L90</f>
        <v>133574.987215125</v>
      </c>
      <c r="N90" s="26"/>
      <c r="O90" s="921">
        <v>0.93490804699999996</v>
      </c>
    </row>
    <row r="91" spans="1:18" ht="19.350000000000001" customHeight="1">
      <c r="A91" s="44"/>
      <c r="B91" s="349"/>
      <c r="C91" s="526" t="s">
        <v>880</v>
      </c>
      <c r="D91" s="975"/>
      <c r="E91" s="25"/>
      <c r="F91" s="26"/>
      <c r="G91" s="25"/>
      <c r="H91" s="25"/>
      <c r="I91" s="25"/>
      <c r="J91" s="25"/>
      <c r="K91" s="30"/>
      <c r="L91" s="30"/>
      <c r="M91" s="25"/>
      <c r="N91" s="26"/>
      <c r="O91" s="921">
        <v>0.93490804699999996</v>
      </c>
      <c r="R91" s="972"/>
    </row>
    <row r="92" spans="1:18" ht="19.350000000000001" customHeight="1">
      <c r="A92" s="44"/>
      <c r="B92" s="349"/>
      <c r="C92" s="526" t="s">
        <v>881</v>
      </c>
      <c r="D92" s="975"/>
      <c r="E92" s="25"/>
      <c r="F92" s="26"/>
      <c r="G92" s="25"/>
      <c r="H92" s="25"/>
      <c r="I92" s="25"/>
      <c r="J92" s="25"/>
      <c r="K92" s="30"/>
      <c r="L92" s="30"/>
      <c r="M92" s="25"/>
      <c r="N92" s="26"/>
      <c r="O92" s="921">
        <v>0.93490804699999996</v>
      </c>
    </row>
    <row r="93" spans="1:18" ht="19.350000000000001" customHeight="1">
      <c r="A93" s="44"/>
      <c r="B93" s="27" t="s">
        <v>884</v>
      </c>
      <c r="C93" s="1284" t="s">
        <v>885</v>
      </c>
      <c r="D93" s="1285"/>
      <c r="E93" s="25">
        <v>380</v>
      </c>
      <c r="F93" s="26" t="s">
        <v>211</v>
      </c>
      <c r="G93" s="25">
        <v>3850</v>
      </c>
      <c r="H93" s="25">
        <f t="shared" si="7"/>
        <v>3599.3959809499997</v>
      </c>
      <c r="I93" s="25">
        <f t="shared" si="13"/>
        <v>1367770.4727609998</v>
      </c>
      <c r="J93" s="25">
        <v>1650</v>
      </c>
      <c r="K93" s="30">
        <f t="shared" si="9"/>
        <v>1542.5982775499999</v>
      </c>
      <c r="L93" s="30">
        <f t="shared" si="14"/>
        <v>586187.34546899993</v>
      </c>
      <c r="M93" s="72">
        <f>I93+L93</f>
        <v>1953957.8182299999</v>
      </c>
      <c r="N93" s="26"/>
      <c r="O93" s="921">
        <v>0.93490804699999996</v>
      </c>
    </row>
    <row r="94" spans="1:18" ht="19.350000000000001" customHeight="1">
      <c r="A94" s="44"/>
      <c r="B94" s="27" t="s">
        <v>886</v>
      </c>
      <c r="C94" s="1284" t="s">
        <v>887</v>
      </c>
      <c r="D94" s="1285"/>
      <c r="E94" s="25">
        <v>12</v>
      </c>
      <c r="F94" s="26" t="s">
        <v>211</v>
      </c>
      <c r="G94" s="25">
        <v>4660</v>
      </c>
      <c r="H94" s="25">
        <f t="shared" si="7"/>
        <v>4356.6714990199998</v>
      </c>
      <c r="I94" s="25">
        <f t="shared" si="13"/>
        <v>52280.057988239998</v>
      </c>
      <c r="J94" s="30">
        <v>1375</v>
      </c>
      <c r="K94" s="30">
        <f t="shared" si="9"/>
        <v>1285.498564625</v>
      </c>
      <c r="L94" s="30">
        <f t="shared" si="14"/>
        <v>15425.982775500001</v>
      </c>
      <c r="M94" s="72">
        <f>I94+L94</f>
        <v>67706.040763739991</v>
      </c>
      <c r="N94" s="26"/>
      <c r="O94" s="921">
        <v>0.93490804699999996</v>
      </c>
      <c r="R94" s="972"/>
    </row>
    <row r="95" spans="1:18" ht="19.350000000000001" customHeight="1">
      <c r="A95" s="44"/>
      <c r="B95" s="27" t="s">
        <v>888</v>
      </c>
      <c r="C95" s="1284" t="s">
        <v>889</v>
      </c>
      <c r="D95" s="1285"/>
      <c r="E95" s="25">
        <v>13</v>
      </c>
      <c r="F95" s="26" t="s">
        <v>211</v>
      </c>
      <c r="G95" s="25">
        <v>5000</v>
      </c>
      <c r="H95" s="25">
        <f t="shared" si="7"/>
        <v>4674.5402349999995</v>
      </c>
      <c r="I95" s="25">
        <f t="shared" si="13"/>
        <v>60769.023054999991</v>
      </c>
      <c r="J95" s="30">
        <v>0</v>
      </c>
      <c r="K95" s="30">
        <f t="shared" si="9"/>
        <v>0</v>
      </c>
      <c r="L95" s="30">
        <f t="shared" si="14"/>
        <v>0</v>
      </c>
      <c r="M95" s="72">
        <f>I95+L95</f>
        <v>60769.023054999991</v>
      </c>
      <c r="N95" s="26"/>
      <c r="O95" s="921">
        <v>0.93490804699999996</v>
      </c>
      <c r="R95" s="972"/>
    </row>
    <row r="96" spans="1:18" ht="19.350000000000001" customHeight="1">
      <c r="A96" s="44"/>
      <c r="B96" s="27" t="s">
        <v>890</v>
      </c>
      <c r="C96" s="1284" t="s">
        <v>891</v>
      </c>
      <c r="D96" s="1285"/>
      <c r="E96" s="25">
        <v>13</v>
      </c>
      <c r="F96" s="26" t="s">
        <v>211</v>
      </c>
      <c r="G96" s="25" t="s">
        <v>892</v>
      </c>
      <c r="H96" s="25"/>
      <c r="I96" s="25"/>
      <c r="J96" s="30"/>
      <c r="K96" s="30"/>
      <c r="L96" s="30"/>
      <c r="M96" s="72"/>
      <c r="N96" s="288"/>
      <c r="O96" s="921">
        <v>0.93490804699999996</v>
      </c>
      <c r="R96" s="972"/>
    </row>
    <row r="97" spans="1:26" ht="19.350000000000001" customHeight="1">
      <c r="A97" s="44"/>
      <c r="B97" s="349"/>
      <c r="C97" s="526"/>
      <c r="D97" s="975"/>
      <c r="E97" s="25"/>
      <c r="F97" s="26"/>
      <c r="G97" s="25"/>
      <c r="H97" s="25"/>
      <c r="I97" s="25"/>
      <c r="J97" s="30"/>
      <c r="K97" s="30"/>
      <c r="L97" s="30"/>
      <c r="M97" s="72"/>
      <c r="N97" s="26"/>
      <c r="O97" s="921"/>
    </row>
    <row r="98" spans="1:26" ht="19.350000000000001" customHeight="1">
      <c r="A98" s="44"/>
      <c r="B98" s="1272" t="s">
        <v>893</v>
      </c>
      <c r="C98" s="1273"/>
      <c r="D98" s="1274"/>
      <c r="E98" s="126">
        <v>4207</v>
      </c>
      <c r="F98" s="35" t="s">
        <v>211</v>
      </c>
      <c r="G98" s="34"/>
      <c r="H98" s="25"/>
      <c r="I98" s="126">
        <f>SUM(I66:I96)</f>
        <v>3361350.6289309068</v>
      </c>
      <c r="J98" s="102"/>
      <c r="K98" s="30"/>
      <c r="L98" s="126">
        <f>SUM(L66:L96)</f>
        <v>1061329.117839481</v>
      </c>
      <c r="M98" s="126">
        <f>SUM(M66:M96)</f>
        <v>4422679.7467703884</v>
      </c>
      <c r="N98" s="26"/>
      <c r="O98" s="921"/>
    </row>
    <row r="99" spans="1:26" ht="19.350000000000001" customHeight="1">
      <c r="A99" s="44"/>
      <c r="B99" s="27"/>
      <c r="C99" s="526"/>
      <c r="D99" s="975"/>
      <c r="E99" s="25"/>
      <c r="F99" s="26"/>
      <c r="G99" s="25"/>
      <c r="H99" s="25"/>
      <c r="I99" s="25"/>
      <c r="J99" s="30"/>
      <c r="K99" s="30"/>
      <c r="L99" s="30"/>
      <c r="M99" s="72"/>
      <c r="N99" s="26"/>
      <c r="O99" s="921"/>
    </row>
    <row r="100" spans="1:26" ht="19.350000000000001" customHeight="1">
      <c r="A100" s="44"/>
      <c r="B100" s="27"/>
      <c r="C100" s="1284"/>
      <c r="D100" s="1285"/>
      <c r="E100" s="25"/>
      <c r="F100" s="26"/>
      <c r="G100" s="25"/>
      <c r="H100" s="25"/>
      <c r="I100" s="25"/>
      <c r="J100" s="30"/>
      <c r="K100" s="30"/>
      <c r="L100" s="30"/>
      <c r="M100" s="72"/>
      <c r="N100" s="26"/>
      <c r="O100" s="921"/>
    </row>
    <row r="101" spans="1:26" ht="19.350000000000001" customHeight="1">
      <c r="A101" s="44"/>
      <c r="B101" s="27"/>
      <c r="C101" s="974"/>
      <c r="D101" s="975"/>
      <c r="E101" s="25"/>
      <c r="F101" s="26"/>
      <c r="G101" s="25"/>
      <c r="H101" s="25"/>
      <c r="I101" s="25"/>
      <c r="J101" s="30"/>
      <c r="K101" s="30"/>
      <c r="L101" s="30"/>
      <c r="M101" s="72"/>
      <c r="N101" s="26"/>
      <c r="O101" s="921"/>
    </row>
    <row r="102" spans="1:26" ht="19.350000000000001" customHeight="1">
      <c r="A102" s="44"/>
      <c r="B102" s="27"/>
      <c r="C102" s="974"/>
      <c r="D102" s="975"/>
      <c r="E102" s="25"/>
      <c r="F102" s="26"/>
      <c r="G102" s="25"/>
      <c r="H102" s="25"/>
      <c r="I102" s="25"/>
      <c r="J102" s="30"/>
      <c r="K102" s="30"/>
      <c r="L102" s="30"/>
      <c r="M102" s="72"/>
      <c r="N102" s="26"/>
      <c r="O102" s="921"/>
    </row>
    <row r="103" spans="1:26" ht="19.350000000000001" customHeight="1">
      <c r="A103" s="44"/>
      <c r="B103" s="27"/>
      <c r="C103" s="974"/>
      <c r="D103" s="975"/>
      <c r="E103" s="25"/>
      <c r="F103" s="26"/>
      <c r="G103" s="25"/>
      <c r="H103" s="25"/>
      <c r="I103" s="25"/>
      <c r="J103" s="30"/>
      <c r="K103" s="30"/>
      <c r="L103" s="30"/>
      <c r="M103" s="72"/>
      <c r="N103" s="26"/>
      <c r="O103" s="921"/>
    </row>
    <row r="104" spans="1:26" ht="19.350000000000001" customHeight="1">
      <c r="A104" s="44"/>
      <c r="B104" s="27"/>
      <c r="C104" s="974"/>
      <c r="D104" s="975"/>
      <c r="E104" s="25"/>
      <c r="F104" s="26"/>
      <c r="G104" s="25"/>
      <c r="H104" s="25"/>
      <c r="I104" s="25"/>
      <c r="J104" s="30"/>
      <c r="K104" s="30"/>
      <c r="L104" s="30"/>
      <c r="M104" s="72"/>
      <c r="N104" s="26"/>
      <c r="O104" s="921"/>
    </row>
    <row r="105" spans="1:26" ht="19.350000000000001" customHeight="1">
      <c r="A105" s="44"/>
      <c r="B105" s="27"/>
      <c r="C105" s="974"/>
      <c r="D105" s="975"/>
      <c r="E105" s="25"/>
      <c r="F105" s="26"/>
      <c r="G105" s="25"/>
      <c r="H105" s="25"/>
      <c r="I105" s="25"/>
      <c r="J105" s="30"/>
      <c r="K105" s="30"/>
      <c r="L105" s="30"/>
      <c r="M105" s="72"/>
      <c r="N105" s="26"/>
      <c r="O105" s="921"/>
    </row>
    <row r="106" spans="1:26" ht="19.350000000000001" customHeight="1">
      <c r="A106" s="44"/>
      <c r="B106" s="27"/>
      <c r="C106" s="1284"/>
      <c r="D106" s="1285"/>
      <c r="E106" s="25"/>
      <c r="F106" s="26"/>
      <c r="G106" s="25"/>
      <c r="H106" s="25"/>
      <c r="I106" s="25"/>
      <c r="J106" s="30"/>
      <c r="K106" s="30"/>
      <c r="L106" s="30"/>
      <c r="M106" s="72"/>
      <c r="N106" s="26"/>
      <c r="O106" s="921"/>
    </row>
    <row r="107" spans="1:26" ht="19.350000000000001" customHeight="1">
      <c r="A107" s="44"/>
      <c r="B107" s="349"/>
      <c r="C107" s="1284"/>
      <c r="D107" s="1285"/>
      <c r="E107" s="25"/>
      <c r="F107" s="26"/>
      <c r="G107" s="25"/>
      <c r="H107" s="25"/>
      <c r="I107" s="25"/>
      <c r="J107" s="25"/>
      <c r="K107" s="30"/>
      <c r="L107" s="25"/>
      <c r="M107" s="25"/>
      <c r="N107" s="26"/>
      <c r="O107" s="921"/>
    </row>
    <row r="108" spans="1:26" ht="19.350000000000001" customHeight="1">
      <c r="A108" s="44"/>
      <c r="B108" s="349"/>
      <c r="C108" s="526"/>
      <c r="D108" s="975"/>
      <c r="E108" s="25"/>
      <c r="F108" s="26"/>
      <c r="G108" s="25"/>
      <c r="H108" s="25"/>
      <c r="I108" s="25"/>
      <c r="J108" s="25"/>
      <c r="K108" s="30"/>
      <c r="L108" s="25"/>
      <c r="M108" s="25"/>
      <c r="N108" s="26"/>
      <c r="O108" s="921"/>
    </row>
    <row r="109" spans="1:26" ht="19.350000000000001" customHeight="1">
      <c r="A109" s="573"/>
      <c r="B109" s="27"/>
      <c r="C109" s="1284"/>
      <c r="D109" s="1285"/>
      <c r="E109" s="25"/>
      <c r="F109" s="26"/>
      <c r="G109" s="25"/>
      <c r="H109" s="25"/>
      <c r="I109" s="25"/>
      <c r="J109" s="30"/>
      <c r="K109" s="30"/>
      <c r="L109" s="30"/>
      <c r="M109" s="72"/>
      <c r="N109" s="26"/>
      <c r="O109" s="921"/>
    </row>
    <row r="110" spans="1:26" ht="19.350000000000001" customHeight="1">
      <c r="A110" s="573"/>
      <c r="B110" s="27"/>
      <c r="C110" s="974"/>
      <c r="D110" s="975"/>
      <c r="E110" s="25"/>
      <c r="F110" s="26"/>
      <c r="G110" s="25"/>
      <c r="H110" s="25"/>
      <c r="I110" s="25"/>
      <c r="J110" s="30"/>
      <c r="K110" s="30"/>
      <c r="L110" s="30"/>
      <c r="M110" s="72"/>
      <c r="N110" s="26"/>
      <c r="O110" s="921"/>
      <c r="W110" s="1286"/>
      <c r="X110" s="1286"/>
      <c r="Y110" s="1286"/>
      <c r="Z110" s="1286"/>
    </row>
    <row r="111" spans="1:26" ht="19.350000000000001" customHeight="1">
      <c r="A111" s="573"/>
      <c r="B111" s="27"/>
      <c r="C111" s="1284"/>
      <c r="D111" s="1285"/>
      <c r="E111" s="25"/>
      <c r="F111" s="26"/>
      <c r="G111" s="25"/>
      <c r="H111" s="25"/>
      <c r="I111" s="25"/>
      <c r="J111" s="30"/>
      <c r="K111" s="30"/>
      <c r="L111" s="30"/>
      <c r="M111" s="72"/>
      <c r="N111" s="26"/>
      <c r="O111" s="921"/>
      <c r="W111" s="978"/>
      <c r="Y111" s="978"/>
    </row>
    <row r="112" spans="1:26" ht="19.350000000000001" customHeight="1">
      <c r="A112" s="573"/>
      <c r="B112" s="27"/>
      <c r="C112" s="1284"/>
      <c r="D112" s="1285"/>
      <c r="E112" s="25"/>
      <c r="F112" s="26"/>
      <c r="G112" s="25"/>
      <c r="H112" s="25"/>
      <c r="I112" s="25"/>
      <c r="J112" s="25"/>
      <c r="K112" s="30"/>
      <c r="L112" s="25"/>
      <c r="M112" s="25"/>
      <c r="N112" s="26"/>
      <c r="O112" s="921"/>
      <c r="S112" s="1286"/>
      <c r="T112" s="1286"/>
      <c r="V112" s="296"/>
      <c r="W112" s="978"/>
      <c r="Y112" s="978"/>
    </row>
    <row r="113" spans="1:26" ht="19.350000000000001" customHeight="1">
      <c r="A113" s="220">
        <v>4</v>
      </c>
      <c r="B113" s="302" t="s">
        <v>806</v>
      </c>
      <c r="C113" s="221"/>
      <c r="D113" s="612"/>
      <c r="E113" s="34"/>
      <c r="F113" s="35"/>
      <c r="G113" s="34"/>
      <c r="H113" s="25"/>
      <c r="I113" s="34"/>
      <c r="J113" s="102"/>
      <c r="K113" s="30"/>
      <c r="L113" s="34"/>
      <c r="M113" s="35"/>
      <c r="N113" s="35"/>
      <c r="O113" s="921"/>
      <c r="W113" s="978"/>
      <c r="Y113" s="978"/>
    </row>
    <row r="114" spans="1:26" ht="19.350000000000001" customHeight="1">
      <c r="A114" s="573"/>
      <c r="B114" s="27" t="s">
        <v>894</v>
      </c>
      <c r="C114" s="368" t="s">
        <v>895</v>
      </c>
      <c r="D114" s="368" t="s">
        <v>896</v>
      </c>
      <c r="E114" s="25">
        <v>1</v>
      </c>
      <c r="F114" s="26" t="s">
        <v>349</v>
      </c>
      <c r="G114" s="25">
        <v>205065</v>
      </c>
      <c r="H114" s="25">
        <f t="shared" ref="H114:H160" si="15">G114*O114</f>
        <v>191716.91865805499</v>
      </c>
      <c r="I114" s="25">
        <f>H114*E114</f>
        <v>191716.91865805499</v>
      </c>
      <c r="J114" s="25">
        <v>42315</v>
      </c>
      <c r="K114" s="30">
        <f t="shared" ref="K114:K160" si="16">J114*O114</f>
        <v>39560.634008804998</v>
      </c>
      <c r="L114" s="30">
        <f>K114*E114</f>
        <v>39560.634008804998</v>
      </c>
      <c r="M114" s="72">
        <f t="shared" ref="M114:M160" si="17">I114+L114</f>
        <v>231277.55266685999</v>
      </c>
      <c r="N114" s="26"/>
      <c r="O114" s="921">
        <v>0.93490804699999996</v>
      </c>
      <c r="Q114" s="979"/>
      <c r="R114" s="27"/>
      <c r="S114" s="979"/>
      <c r="T114" s="979"/>
      <c r="V114" s="296"/>
      <c r="W114" s="979"/>
      <c r="X114" s="979"/>
      <c r="Y114" s="979"/>
      <c r="Z114" s="979"/>
    </row>
    <row r="115" spans="1:26" ht="19.350000000000001" customHeight="1">
      <c r="A115" s="573"/>
      <c r="B115" s="27" t="s">
        <v>897</v>
      </c>
      <c r="C115" s="368" t="s">
        <v>895</v>
      </c>
      <c r="D115" s="368" t="s">
        <v>898</v>
      </c>
      <c r="E115" s="25">
        <v>1</v>
      </c>
      <c r="F115" s="26" t="s">
        <v>349</v>
      </c>
      <c r="G115" s="25">
        <v>26820</v>
      </c>
      <c r="H115" s="25">
        <f t="shared" si="15"/>
        <v>25074.233820539997</v>
      </c>
      <c r="I115" s="25">
        <f t="shared" ref="I115:I160" si="18">H115*E115</f>
        <v>25074.233820539997</v>
      </c>
      <c r="J115" s="25">
        <v>0</v>
      </c>
      <c r="K115" s="30">
        <f t="shared" si="16"/>
        <v>0</v>
      </c>
      <c r="L115" s="30">
        <f t="shared" ref="L115:L160" si="19">K115*E115</f>
        <v>0</v>
      </c>
      <c r="M115" s="72">
        <f t="shared" si="17"/>
        <v>25074.233820539997</v>
      </c>
      <c r="N115" s="26"/>
      <c r="O115" s="921">
        <v>0.93490804699999996</v>
      </c>
      <c r="Q115" s="979"/>
      <c r="R115" s="27"/>
      <c r="S115" s="979"/>
      <c r="T115" s="979"/>
      <c r="V115" s="296"/>
      <c r="W115" s="979"/>
      <c r="X115" s="979"/>
      <c r="Y115" s="979"/>
      <c r="Z115" s="979"/>
    </row>
    <row r="116" spans="1:26" ht="19.350000000000001" customHeight="1">
      <c r="A116" s="573"/>
      <c r="B116" s="27" t="s">
        <v>899</v>
      </c>
      <c r="C116" s="368" t="s">
        <v>900</v>
      </c>
      <c r="D116" s="368" t="s">
        <v>896</v>
      </c>
      <c r="E116" s="25">
        <v>1</v>
      </c>
      <c r="F116" s="26" t="s">
        <v>349</v>
      </c>
      <c r="G116" s="25">
        <v>500433</v>
      </c>
      <c r="H116" s="25">
        <f t="shared" si="15"/>
        <v>467858.83868435101</v>
      </c>
      <c r="I116" s="25">
        <f t="shared" si="18"/>
        <v>467858.83868435101</v>
      </c>
      <c r="J116" s="25">
        <v>125457</v>
      </c>
      <c r="K116" s="30">
        <f t="shared" si="16"/>
        <v>117290.75885247899</v>
      </c>
      <c r="L116" s="30">
        <f t="shared" si="19"/>
        <v>117290.75885247899</v>
      </c>
      <c r="M116" s="72">
        <f t="shared" si="17"/>
        <v>585149.59753683</v>
      </c>
      <c r="N116" s="26"/>
      <c r="O116" s="921">
        <v>0.93490804699999996</v>
      </c>
      <c r="Q116" s="979"/>
      <c r="R116" s="27"/>
      <c r="S116" s="979"/>
      <c r="T116" s="979"/>
      <c r="V116" s="296"/>
      <c r="W116" s="979"/>
      <c r="X116" s="979"/>
      <c r="Y116" s="979"/>
      <c r="Z116" s="979"/>
    </row>
    <row r="117" spans="1:26" ht="19.350000000000001" customHeight="1">
      <c r="A117" s="573"/>
      <c r="B117" s="27" t="s">
        <v>901</v>
      </c>
      <c r="C117" s="368" t="s">
        <v>902</v>
      </c>
      <c r="D117" s="368" t="s">
        <v>903</v>
      </c>
      <c r="E117" s="25">
        <v>1</v>
      </c>
      <c r="F117" s="26" t="s">
        <v>349</v>
      </c>
      <c r="G117" s="25">
        <v>480675</v>
      </c>
      <c r="H117" s="25">
        <f t="shared" si="15"/>
        <v>449386.92549172498</v>
      </c>
      <c r="I117" s="25">
        <f t="shared" si="18"/>
        <v>449386.92549172498</v>
      </c>
      <c r="J117" s="25">
        <v>86700</v>
      </c>
      <c r="K117" s="30">
        <f t="shared" si="16"/>
        <v>81056.527674900004</v>
      </c>
      <c r="L117" s="30">
        <f t="shared" si="19"/>
        <v>81056.527674900004</v>
      </c>
      <c r="M117" s="72">
        <f t="shared" si="17"/>
        <v>530443.453166625</v>
      </c>
      <c r="N117" s="26"/>
      <c r="O117" s="921">
        <v>0.93490804699999996</v>
      </c>
      <c r="Q117" s="979"/>
      <c r="R117" s="27"/>
      <c r="S117" s="979"/>
      <c r="T117" s="979"/>
      <c r="V117" s="296"/>
      <c r="W117" s="979"/>
      <c r="X117" s="979"/>
      <c r="Y117" s="979"/>
      <c r="Z117" s="979"/>
    </row>
    <row r="118" spans="1:26" ht="19.350000000000001" customHeight="1">
      <c r="A118" s="573"/>
      <c r="B118" s="27" t="s">
        <v>904</v>
      </c>
      <c r="C118" s="368" t="s">
        <v>905</v>
      </c>
      <c r="D118" s="368" t="s">
        <v>906</v>
      </c>
      <c r="E118" s="25">
        <v>1</v>
      </c>
      <c r="F118" s="26" t="s">
        <v>349</v>
      </c>
      <c r="G118" s="25">
        <v>315775</v>
      </c>
      <c r="H118" s="25">
        <f t="shared" si="15"/>
        <v>295220.58854142501</v>
      </c>
      <c r="I118" s="25">
        <f t="shared" si="18"/>
        <v>295220.58854142501</v>
      </c>
      <c r="J118" s="25">
        <v>38675</v>
      </c>
      <c r="K118" s="30">
        <f t="shared" si="16"/>
        <v>36157.568717725</v>
      </c>
      <c r="L118" s="30">
        <f t="shared" si="19"/>
        <v>36157.568717725</v>
      </c>
      <c r="M118" s="72">
        <f t="shared" si="17"/>
        <v>331378.15725915</v>
      </c>
      <c r="N118" s="26"/>
      <c r="O118" s="921">
        <v>0.93490804699999996</v>
      </c>
      <c r="Q118" s="979"/>
      <c r="R118" s="27"/>
      <c r="S118" s="979"/>
      <c r="T118" s="979"/>
      <c r="V118" s="296"/>
      <c r="W118" s="979"/>
      <c r="X118" s="979"/>
      <c r="Y118" s="979"/>
      <c r="Z118" s="979"/>
    </row>
    <row r="119" spans="1:26" ht="19.350000000000001" customHeight="1">
      <c r="A119" s="573"/>
      <c r="B119" s="27" t="s">
        <v>907</v>
      </c>
      <c r="C119" s="368" t="s">
        <v>908</v>
      </c>
      <c r="D119" s="368" t="s">
        <v>906</v>
      </c>
      <c r="E119" s="25">
        <v>1</v>
      </c>
      <c r="F119" s="26" t="s">
        <v>349</v>
      </c>
      <c r="G119" s="25">
        <v>226950</v>
      </c>
      <c r="H119" s="25">
        <f t="shared" si="15"/>
        <v>212177.38126664999</v>
      </c>
      <c r="I119" s="25">
        <f t="shared" si="18"/>
        <v>212177.38126664999</v>
      </c>
      <c r="J119" s="25">
        <v>38675</v>
      </c>
      <c r="K119" s="30">
        <f t="shared" si="16"/>
        <v>36157.568717725</v>
      </c>
      <c r="L119" s="30">
        <f t="shared" si="19"/>
        <v>36157.568717725</v>
      </c>
      <c r="M119" s="72">
        <f t="shared" si="17"/>
        <v>248334.94998437498</v>
      </c>
      <c r="N119" s="26"/>
      <c r="O119" s="921">
        <v>0.93490804699999996</v>
      </c>
      <c r="Q119" s="979"/>
      <c r="R119" s="27"/>
      <c r="S119" s="979"/>
      <c r="T119" s="979"/>
      <c r="V119" s="296"/>
      <c r="W119" s="979"/>
      <c r="X119" s="979"/>
      <c r="Y119" s="979"/>
      <c r="Z119" s="979"/>
    </row>
    <row r="120" spans="1:26" ht="19.350000000000001" customHeight="1">
      <c r="A120" s="573"/>
      <c r="B120" s="27" t="s">
        <v>909</v>
      </c>
      <c r="C120" s="368" t="s">
        <v>910</v>
      </c>
      <c r="D120" s="368" t="s">
        <v>911</v>
      </c>
      <c r="E120" s="25">
        <v>2</v>
      </c>
      <c r="F120" s="26" t="s">
        <v>349</v>
      </c>
      <c r="G120" s="25">
        <v>95200</v>
      </c>
      <c r="H120" s="25">
        <f t="shared" si="15"/>
        <v>89003.246074399998</v>
      </c>
      <c r="I120" s="25">
        <f t="shared" si="18"/>
        <v>178006.4921488</v>
      </c>
      <c r="J120" s="25">
        <v>3825</v>
      </c>
      <c r="K120" s="30">
        <f t="shared" si="16"/>
        <v>3576.023279775</v>
      </c>
      <c r="L120" s="30">
        <f t="shared" si="19"/>
        <v>7152.04655955</v>
      </c>
      <c r="M120" s="72">
        <f t="shared" si="17"/>
        <v>185158.53870835001</v>
      </c>
      <c r="N120" s="26"/>
      <c r="O120" s="921">
        <v>0.93490804699999996</v>
      </c>
      <c r="Q120" s="979"/>
      <c r="R120" s="27"/>
      <c r="S120" s="979"/>
      <c r="T120" s="979"/>
      <c r="V120" s="296"/>
      <c r="W120" s="979"/>
      <c r="X120" s="979"/>
      <c r="Y120" s="979"/>
      <c r="Z120" s="979"/>
    </row>
    <row r="121" spans="1:26" ht="19.350000000000001" customHeight="1">
      <c r="A121" s="573"/>
      <c r="B121" s="27" t="s">
        <v>912</v>
      </c>
      <c r="C121" s="368" t="s">
        <v>910</v>
      </c>
      <c r="D121" s="368" t="s">
        <v>913</v>
      </c>
      <c r="E121" s="25">
        <v>2</v>
      </c>
      <c r="F121" s="26" t="s">
        <v>349</v>
      </c>
      <c r="G121" s="25">
        <v>38675</v>
      </c>
      <c r="H121" s="25">
        <f t="shared" si="15"/>
        <v>36157.568717725</v>
      </c>
      <c r="I121" s="25">
        <f t="shared" si="18"/>
        <v>72315.13743545</v>
      </c>
      <c r="J121" s="25">
        <v>5525</v>
      </c>
      <c r="K121" s="30">
        <f t="shared" si="16"/>
        <v>5165.3669596749996</v>
      </c>
      <c r="L121" s="30">
        <f t="shared" si="19"/>
        <v>10330.733919349999</v>
      </c>
      <c r="M121" s="72">
        <f t="shared" si="17"/>
        <v>82645.871354799994</v>
      </c>
      <c r="N121" s="26"/>
      <c r="O121" s="921">
        <v>0.93490804699999996</v>
      </c>
      <c r="Q121" s="979"/>
      <c r="R121" s="27"/>
      <c r="S121" s="979"/>
      <c r="T121" s="979"/>
      <c r="V121" s="296"/>
      <c r="W121" s="979"/>
      <c r="X121" s="979"/>
      <c r="Y121" s="979"/>
      <c r="Z121" s="979"/>
    </row>
    <row r="122" spans="1:26" ht="19.350000000000001" customHeight="1">
      <c r="A122" s="573"/>
      <c r="B122" s="27" t="s">
        <v>914</v>
      </c>
      <c r="C122" s="368" t="s">
        <v>910</v>
      </c>
      <c r="D122" s="368" t="s">
        <v>911</v>
      </c>
      <c r="E122" s="25">
        <v>1</v>
      </c>
      <c r="F122" s="26" t="s">
        <v>349</v>
      </c>
      <c r="G122" s="25">
        <v>24120</v>
      </c>
      <c r="H122" s="25">
        <f t="shared" si="15"/>
        <v>22549.982093639999</v>
      </c>
      <c r="I122" s="25">
        <f t="shared" si="18"/>
        <v>22549.982093639999</v>
      </c>
      <c r="J122" s="25">
        <v>7440</v>
      </c>
      <c r="K122" s="30">
        <f t="shared" si="16"/>
        <v>6955.7158696799997</v>
      </c>
      <c r="L122" s="30">
        <f t="shared" si="19"/>
        <v>6955.7158696799997</v>
      </c>
      <c r="M122" s="72">
        <f t="shared" si="17"/>
        <v>29505.697963319999</v>
      </c>
      <c r="N122" s="26"/>
      <c r="O122" s="921">
        <v>0.93490804699999996</v>
      </c>
      <c r="Q122" s="979"/>
      <c r="R122" s="27"/>
      <c r="S122" s="979"/>
      <c r="T122" s="979"/>
      <c r="V122" s="296"/>
      <c r="W122" s="979"/>
      <c r="X122" s="979"/>
      <c r="Y122" s="979"/>
      <c r="Z122" s="979"/>
    </row>
    <row r="123" spans="1:26" ht="19.350000000000001" customHeight="1">
      <c r="A123" s="573"/>
      <c r="B123" s="27" t="s">
        <v>915</v>
      </c>
      <c r="C123" s="368" t="s">
        <v>910</v>
      </c>
      <c r="D123" s="368" t="s">
        <v>911</v>
      </c>
      <c r="E123" s="25">
        <v>1</v>
      </c>
      <c r="F123" s="26" t="s">
        <v>349</v>
      </c>
      <c r="G123" s="25">
        <v>24120</v>
      </c>
      <c r="H123" s="25">
        <f t="shared" si="15"/>
        <v>22549.982093639999</v>
      </c>
      <c r="I123" s="25">
        <f t="shared" si="18"/>
        <v>22549.982093639999</v>
      </c>
      <c r="J123" s="25">
        <v>7440</v>
      </c>
      <c r="K123" s="30">
        <f t="shared" si="16"/>
        <v>6955.7158696799997</v>
      </c>
      <c r="L123" s="30">
        <f t="shared" si="19"/>
        <v>6955.7158696799997</v>
      </c>
      <c r="M123" s="72">
        <f t="shared" si="17"/>
        <v>29505.697963319999</v>
      </c>
      <c r="N123" s="26"/>
      <c r="O123" s="921">
        <v>0.93490804699999996</v>
      </c>
      <c r="Q123" s="979"/>
      <c r="R123" s="27"/>
      <c r="S123" s="979"/>
      <c r="T123" s="979"/>
      <c r="V123" s="296"/>
      <c r="W123" s="979"/>
      <c r="X123" s="979"/>
      <c r="Y123" s="979"/>
      <c r="Z123" s="979"/>
    </row>
    <row r="124" spans="1:26" ht="19.350000000000001" customHeight="1">
      <c r="A124" s="573"/>
      <c r="B124" s="27" t="s">
        <v>916</v>
      </c>
      <c r="C124" s="368" t="s">
        <v>917</v>
      </c>
      <c r="D124" s="368" t="s">
        <v>918</v>
      </c>
      <c r="E124" s="25">
        <v>2</v>
      </c>
      <c r="F124" s="26" t="s">
        <v>349</v>
      </c>
      <c r="G124" s="25">
        <v>247775</v>
      </c>
      <c r="H124" s="25">
        <f t="shared" si="15"/>
        <v>231646.841345425</v>
      </c>
      <c r="I124" s="25">
        <f t="shared" si="18"/>
        <v>463293.68269084999</v>
      </c>
      <c r="J124" s="25">
        <v>24225</v>
      </c>
      <c r="K124" s="30">
        <f t="shared" si="16"/>
        <v>22648.147438575001</v>
      </c>
      <c r="L124" s="30">
        <f t="shared" si="19"/>
        <v>45296.294877150001</v>
      </c>
      <c r="M124" s="72">
        <f t="shared" si="17"/>
        <v>508589.97756799997</v>
      </c>
      <c r="N124" s="26"/>
      <c r="O124" s="921">
        <v>0.93490804699999996</v>
      </c>
      <c r="Q124" s="979"/>
      <c r="R124" s="27"/>
      <c r="S124" s="979"/>
      <c r="T124" s="979"/>
      <c r="V124" s="296"/>
      <c r="W124" s="979"/>
      <c r="X124" s="979"/>
      <c r="Y124" s="979"/>
      <c r="Z124" s="979"/>
    </row>
    <row r="125" spans="1:26" ht="19.350000000000001" customHeight="1">
      <c r="A125" s="573"/>
      <c r="B125" s="27" t="s">
        <v>919</v>
      </c>
      <c r="C125" s="368" t="s">
        <v>920</v>
      </c>
      <c r="D125" s="368" t="s">
        <v>911</v>
      </c>
      <c r="E125" s="25">
        <v>3</v>
      </c>
      <c r="F125" s="26" t="s">
        <v>349</v>
      </c>
      <c r="G125" s="25">
        <v>94005</v>
      </c>
      <c r="H125" s="25">
        <f t="shared" si="15"/>
        <v>87886.030958235002</v>
      </c>
      <c r="I125" s="25">
        <f t="shared" si="18"/>
        <v>263658.09287470498</v>
      </c>
      <c r="J125" s="25">
        <v>16940</v>
      </c>
      <c r="K125" s="30">
        <f t="shared" si="16"/>
        <v>15837.34231618</v>
      </c>
      <c r="L125" s="30">
        <f t="shared" si="19"/>
        <v>47512.026948539999</v>
      </c>
      <c r="M125" s="72">
        <f t="shared" si="17"/>
        <v>311170.11982324498</v>
      </c>
      <c r="N125" s="26"/>
      <c r="O125" s="921">
        <v>0.93490804699999996</v>
      </c>
      <c r="Q125" s="979"/>
      <c r="R125" s="27"/>
      <c r="S125" s="979"/>
      <c r="T125" s="979"/>
      <c r="V125" s="296"/>
      <c r="W125" s="979"/>
      <c r="X125" s="979"/>
      <c r="Y125" s="979"/>
      <c r="Z125" s="979"/>
    </row>
    <row r="126" spans="1:26" ht="19.350000000000001" customHeight="1">
      <c r="A126" s="573"/>
      <c r="B126" s="27" t="s">
        <v>921</v>
      </c>
      <c r="C126" s="368" t="s">
        <v>922</v>
      </c>
      <c r="D126" s="368" t="s">
        <v>923</v>
      </c>
      <c r="E126" s="25">
        <v>1</v>
      </c>
      <c r="F126" s="26" t="s">
        <v>349</v>
      </c>
      <c r="G126" s="25">
        <v>143650</v>
      </c>
      <c r="H126" s="25">
        <f t="shared" si="15"/>
        <v>134299.54095155001</v>
      </c>
      <c r="I126" s="25">
        <f t="shared" si="18"/>
        <v>134299.54095155001</v>
      </c>
      <c r="J126" s="25">
        <v>6375</v>
      </c>
      <c r="K126" s="30">
        <f t="shared" si="16"/>
        <v>5960.0387996250001</v>
      </c>
      <c r="L126" s="30">
        <f t="shared" si="19"/>
        <v>5960.0387996250001</v>
      </c>
      <c r="M126" s="72">
        <f t="shared" si="17"/>
        <v>140259.57975117501</v>
      </c>
      <c r="N126" s="26"/>
      <c r="O126" s="921">
        <v>0.93490804699999996</v>
      </c>
      <c r="Q126" s="979"/>
      <c r="R126" s="27"/>
      <c r="S126" s="979"/>
      <c r="T126" s="979"/>
      <c r="V126" s="296"/>
      <c r="W126" s="979"/>
      <c r="X126" s="979"/>
      <c r="Y126" s="979"/>
      <c r="Z126" s="979"/>
    </row>
    <row r="127" spans="1:26" ht="19.350000000000001" customHeight="1">
      <c r="A127" s="573"/>
      <c r="B127" s="27" t="s">
        <v>924</v>
      </c>
      <c r="C127" s="368" t="s">
        <v>925</v>
      </c>
      <c r="D127" s="368" t="s">
        <v>911</v>
      </c>
      <c r="E127" s="25">
        <v>1</v>
      </c>
      <c r="F127" s="26" t="s">
        <v>349</v>
      </c>
      <c r="G127" s="25">
        <v>18405</v>
      </c>
      <c r="H127" s="25">
        <f t="shared" si="15"/>
        <v>17206.982605034998</v>
      </c>
      <c r="I127" s="25">
        <f t="shared" si="18"/>
        <v>17206.982605034998</v>
      </c>
      <c r="J127" s="25">
        <v>8320</v>
      </c>
      <c r="K127" s="30">
        <f t="shared" si="16"/>
        <v>7778.4349510399998</v>
      </c>
      <c r="L127" s="30">
        <f t="shared" si="19"/>
        <v>7778.4349510399998</v>
      </c>
      <c r="M127" s="72">
        <f t="shared" si="17"/>
        <v>24985.417556074997</v>
      </c>
      <c r="N127" s="26"/>
      <c r="O127" s="921">
        <v>0.93490804699999996</v>
      </c>
      <c r="Q127" s="979"/>
      <c r="R127" s="27"/>
      <c r="S127" s="979"/>
      <c r="T127" s="979"/>
      <c r="V127" s="296"/>
      <c r="W127" s="979"/>
      <c r="X127" s="979"/>
      <c r="Y127" s="979"/>
      <c r="Z127" s="979"/>
    </row>
    <row r="128" spans="1:26" ht="19.350000000000001" customHeight="1">
      <c r="A128" s="573"/>
      <c r="B128" s="27" t="s">
        <v>926</v>
      </c>
      <c r="C128" s="368" t="s">
        <v>927</v>
      </c>
      <c r="D128" s="368" t="s">
        <v>928</v>
      </c>
      <c r="E128" s="25">
        <v>1</v>
      </c>
      <c r="F128" s="26" t="s">
        <v>349</v>
      </c>
      <c r="G128" s="25">
        <v>142197</v>
      </c>
      <c r="H128" s="25">
        <f t="shared" si="15"/>
        <v>132941.11955925901</v>
      </c>
      <c r="I128" s="25">
        <f t="shared" si="18"/>
        <v>132941.11955925901</v>
      </c>
      <c r="J128" s="25">
        <v>30783</v>
      </c>
      <c r="K128" s="30">
        <f t="shared" si="16"/>
        <v>28779.274410800997</v>
      </c>
      <c r="L128" s="30">
        <f t="shared" si="19"/>
        <v>28779.274410800997</v>
      </c>
      <c r="M128" s="72">
        <f t="shared" si="17"/>
        <v>161720.39397006002</v>
      </c>
      <c r="N128" s="26"/>
      <c r="O128" s="921">
        <v>0.93490804699999996</v>
      </c>
      <c r="Q128" s="979"/>
      <c r="R128" s="27"/>
      <c r="S128" s="979"/>
      <c r="T128" s="979"/>
      <c r="V128" s="296"/>
      <c r="W128" s="979"/>
      <c r="X128" s="979"/>
      <c r="Y128" s="979"/>
      <c r="Z128" s="979"/>
    </row>
    <row r="129" spans="1:26" ht="19.350000000000001" customHeight="1">
      <c r="A129" s="573"/>
      <c r="B129" s="27" t="s">
        <v>929</v>
      </c>
      <c r="C129" s="368" t="s">
        <v>902</v>
      </c>
      <c r="D129" s="368" t="s">
        <v>928</v>
      </c>
      <c r="E129" s="25">
        <v>1</v>
      </c>
      <c r="F129" s="26" t="s">
        <v>349</v>
      </c>
      <c r="G129" s="25">
        <v>316200</v>
      </c>
      <c r="H129" s="25">
        <f t="shared" si="15"/>
        <v>295617.92446139996</v>
      </c>
      <c r="I129" s="25">
        <f t="shared" si="18"/>
        <v>295617.92446139996</v>
      </c>
      <c r="J129" s="25">
        <v>77004</v>
      </c>
      <c r="K129" s="30">
        <f t="shared" si="16"/>
        <v>71991.659251188001</v>
      </c>
      <c r="L129" s="30">
        <f t="shared" si="19"/>
        <v>71991.659251188001</v>
      </c>
      <c r="M129" s="72">
        <f t="shared" si="17"/>
        <v>367609.58371258795</v>
      </c>
      <c r="N129" s="26"/>
      <c r="O129" s="921">
        <v>0.93490804699999996</v>
      </c>
      <c r="Q129" s="979"/>
      <c r="R129" s="27"/>
      <c r="S129" s="979"/>
      <c r="T129" s="979"/>
      <c r="V129" s="296"/>
      <c r="W129" s="979"/>
      <c r="X129" s="979"/>
      <c r="Y129" s="979"/>
      <c r="Z129" s="979"/>
    </row>
    <row r="130" spans="1:26" ht="19.350000000000001" customHeight="1">
      <c r="A130" s="573"/>
      <c r="B130" s="27" t="s">
        <v>930</v>
      </c>
      <c r="C130" s="368" t="s">
        <v>902</v>
      </c>
      <c r="D130" s="368" t="s">
        <v>928</v>
      </c>
      <c r="E130" s="25">
        <v>1</v>
      </c>
      <c r="F130" s="26" t="s">
        <v>349</v>
      </c>
      <c r="G130" s="25">
        <v>55893</v>
      </c>
      <c r="H130" s="25">
        <f t="shared" si="15"/>
        <v>52254.815470971</v>
      </c>
      <c r="I130" s="25">
        <f t="shared" si="18"/>
        <v>52254.815470971</v>
      </c>
      <c r="J130" s="25">
        <v>14136</v>
      </c>
      <c r="K130" s="30">
        <f t="shared" si="16"/>
        <v>13215.860152391999</v>
      </c>
      <c r="L130" s="30">
        <f t="shared" si="19"/>
        <v>13215.860152391999</v>
      </c>
      <c r="M130" s="72">
        <f t="shared" si="17"/>
        <v>65470.675623363</v>
      </c>
      <c r="N130" s="26"/>
      <c r="O130" s="921">
        <v>0.93490804699999996</v>
      </c>
      <c r="Q130" s="979"/>
      <c r="R130" s="27"/>
      <c r="S130" s="979"/>
      <c r="T130" s="979"/>
      <c r="V130" s="296"/>
      <c r="W130" s="979"/>
      <c r="X130" s="979"/>
      <c r="Y130" s="979"/>
      <c r="Z130" s="979"/>
    </row>
    <row r="131" spans="1:26" ht="19.350000000000001" customHeight="1">
      <c r="A131" s="573"/>
      <c r="B131" s="27" t="s">
        <v>931</v>
      </c>
      <c r="C131" s="368" t="s">
        <v>932</v>
      </c>
      <c r="D131" s="368" t="s">
        <v>933</v>
      </c>
      <c r="E131" s="25">
        <v>1</v>
      </c>
      <c r="F131" s="26" t="s">
        <v>349</v>
      </c>
      <c r="G131" s="25">
        <v>21510</v>
      </c>
      <c r="H131" s="25">
        <f t="shared" si="15"/>
        <v>20109.872090969999</v>
      </c>
      <c r="I131" s="25">
        <f t="shared" si="18"/>
        <v>20109.872090969999</v>
      </c>
      <c r="J131" s="25">
        <v>7640</v>
      </c>
      <c r="K131" s="30">
        <f t="shared" si="16"/>
        <v>7142.6974790799995</v>
      </c>
      <c r="L131" s="30">
        <f t="shared" si="19"/>
        <v>7142.6974790799995</v>
      </c>
      <c r="M131" s="72">
        <f t="shared" si="17"/>
        <v>27252.56957005</v>
      </c>
      <c r="N131" s="26"/>
      <c r="O131" s="921">
        <v>0.93490804699999996</v>
      </c>
      <c r="Q131" s="979"/>
      <c r="R131" s="27"/>
      <c r="S131" s="979"/>
      <c r="T131" s="979"/>
      <c r="V131" s="296"/>
      <c r="W131" s="979"/>
      <c r="X131" s="979"/>
      <c r="Y131" s="979"/>
      <c r="Z131" s="979"/>
    </row>
    <row r="132" spans="1:26" ht="19.350000000000001" customHeight="1">
      <c r="A132" s="573"/>
      <c r="B132" s="27" t="s">
        <v>934</v>
      </c>
      <c r="C132" s="368" t="s">
        <v>36</v>
      </c>
      <c r="D132" s="368" t="s">
        <v>933</v>
      </c>
      <c r="E132" s="25">
        <v>1</v>
      </c>
      <c r="F132" s="26" t="s">
        <v>349</v>
      </c>
      <c r="G132" s="25">
        <v>21510</v>
      </c>
      <c r="H132" s="25">
        <f t="shared" si="15"/>
        <v>20109.872090969999</v>
      </c>
      <c r="I132" s="25">
        <f t="shared" si="18"/>
        <v>20109.872090969999</v>
      </c>
      <c r="J132" s="25">
        <v>7640</v>
      </c>
      <c r="K132" s="30">
        <f t="shared" si="16"/>
        <v>7142.6974790799995</v>
      </c>
      <c r="L132" s="30">
        <f t="shared" si="19"/>
        <v>7142.6974790799995</v>
      </c>
      <c r="M132" s="72">
        <f t="shared" si="17"/>
        <v>27252.56957005</v>
      </c>
      <c r="N132" s="26"/>
      <c r="O132" s="921">
        <v>0.93490804699999996</v>
      </c>
      <c r="Q132" s="979"/>
      <c r="R132" s="27"/>
      <c r="S132" s="979"/>
      <c r="T132" s="979"/>
      <c r="V132" s="296"/>
      <c r="W132" s="979"/>
      <c r="X132" s="979"/>
      <c r="Y132" s="979"/>
      <c r="Z132" s="979"/>
    </row>
    <row r="133" spans="1:26" ht="19.350000000000001" customHeight="1">
      <c r="A133" s="573"/>
      <c r="B133" s="27" t="s">
        <v>935</v>
      </c>
      <c r="C133" s="368" t="s">
        <v>932</v>
      </c>
      <c r="D133" s="301" t="s">
        <v>923</v>
      </c>
      <c r="E133" s="25">
        <v>1</v>
      </c>
      <c r="F133" s="26" t="s">
        <v>349</v>
      </c>
      <c r="G133" s="25">
        <v>97200</v>
      </c>
      <c r="H133" s="25">
        <f t="shared" si="15"/>
        <v>90873.062168399993</v>
      </c>
      <c r="I133" s="25">
        <f t="shared" si="18"/>
        <v>90873.062168399993</v>
      </c>
      <c r="J133" s="25">
        <v>3564</v>
      </c>
      <c r="K133" s="30">
        <f t="shared" si="16"/>
        <v>3332.0122795079997</v>
      </c>
      <c r="L133" s="30">
        <f t="shared" si="19"/>
        <v>3332.0122795079997</v>
      </c>
      <c r="M133" s="72">
        <f t="shared" si="17"/>
        <v>94205.074447907988</v>
      </c>
      <c r="N133" s="26"/>
      <c r="O133" s="921">
        <v>0.93490804699999996</v>
      </c>
      <c r="Q133" s="979"/>
      <c r="R133" s="27"/>
      <c r="S133" s="979"/>
      <c r="T133" s="979"/>
      <c r="V133" s="296"/>
      <c r="W133" s="979"/>
      <c r="X133" s="979"/>
      <c r="Y133" s="979"/>
      <c r="Z133" s="979"/>
    </row>
    <row r="134" spans="1:26" ht="19.350000000000001" customHeight="1">
      <c r="A134" s="573"/>
      <c r="B134" s="27" t="s">
        <v>936</v>
      </c>
      <c r="C134" s="368" t="s">
        <v>937</v>
      </c>
      <c r="D134" s="368" t="s">
        <v>938</v>
      </c>
      <c r="E134" s="25">
        <v>4</v>
      </c>
      <c r="F134" s="26" t="s">
        <v>349</v>
      </c>
      <c r="G134" s="25">
        <v>526575</v>
      </c>
      <c r="H134" s="25">
        <f t="shared" si="15"/>
        <v>492299.204849025</v>
      </c>
      <c r="I134" s="25">
        <f t="shared" si="18"/>
        <v>1969196.8193961</v>
      </c>
      <c r="J134" s="25">
        <v>19125</v>
      </c>
      <c r="K134" s="30">
        <f t="shared" si="16"/>
        <v>17880.116398874998</v>
      </c>
      <c r="L134" s="30">
        <f t="shared" si="19"/>
        <v>71520.465595499991</v>
      </c>
      <c r="M134" s="72">
        <f t="shared" si="17"/>
        <v>2040717.2849916001</v>
      </c>
      <c r="N134" s="26"/>
      <c r="O134" s="921">
        <v>0.93490804699999996</v>
      </c>
      <c r="Q134" s="979"/>
      <c r="R134" s="27"/>
      <c r="S134" s="979"/>
      <c r="T134" s="979"/>
      <c r="V134" s="296"/>
      <c r="W134" s="979"/>
      <c r="X134" s="979"/>
      <c r="Y134" s="979"/>
      <c r="Z134" s="979"/>
    </row>
    <row r="135" spans="1:26" ht="19.350000000000001" customHeight="1">
      <c r="A135" s="573"/>
      <c r="B135" s="27" t="s">
        <v>939</v>
      </c>
      <c r="C135" s="368" t="s">
        <v>937</v>
      </c>
      <c r="D135" s="368" t="s">
        <v>903</v>
      </c>
      <c r="E135" s="25">
        <v>1</v>
      </c>
      <c r="F135" s="26" t="s">
        <v>349</v>
      </c>
      <c r="G135" s="25">
        <v>3971200</v>
      </c>
      <c r="H135" s="25">
        <f t="shared" si="15"/>
        <v>3712706.8362463997</v>
      </c>
      <c r="I135" s="25">
        <f t="shared" si="18"/>
        <v>3712706.8362463997</v>
      </c>
      <c r="J135" s="25">
        <v>235025</v>
      </c>
      <c r="K135" s="30">
        <f t="shared" si="16"/>
        <v>219726.76374617498</v>
      </c>
      <c r="L135" s="30">
        <f t="shared" si="19"/>
        <v>219726.76374617498</v>
      </c>
      <c r="M135" s="72">
        <f t="shared" si="17"/>
        <v>3932433.5999925747</v>
      </c>
      <c r="N135" s="26"/>
      <c r="O135" s="921">
        <v>0.93490804699999996</v>
      </c>
      <c r="Q135" s="979"/>
      <c r="R135" s="27"/>
      <c r="S135" s="979"/>
      <c r="T135" s="979"/>
      <c r="V135" s="296"/>
      <c r="W135" s="979"/>
      <c r="X135" s="979"/>
      <c r="Y135" s="979"/>
      <c r="Z135" s="979"/>
    </row>
    <row r="136" spans="1:26" ht="19.350000000000001" customHeight="1">
      <c r="A136" s="573"/>
      <c r="B136" s="27" t="s">
        <v>940</v>
      </c>
      <c r="C136" s="368" t="s">
        <v>937</v>
      </c>
      <c r="D136" s="368" t="s">
        <v>911</v>
      </c>
      <c r="E136" s="25">
        <v>2</v>
      </c>
      <c r="F136" s="26" t="s">
        <v>349</v>
      </c>
      <c r="G136" s="25">
        <v>116910</v>
      </c>
      <c r="H136" s="25">
        <f t="shared" si="15"/>
        <v>109300.09977477</v>
      </c>
      <c r="I136" s="25">
        <f t="shared" si="18"/>
        <v>218600.19954954</v>
      </c>
      <c r="J136" s="25">
        <v>23940</v>
      </c>
      <c r="K136" s="30">
        <f t="shared" si="16"/>
        <v>22381.69864518</v>
      </c>
      <c r="L136" s="30">
        <f t="shared" si="19"/>
        <v>44763.397290360001</v>
      </c>
      <c r="M136" s="72">
        <f t="shared" si="17"/>
        <v>263363.59683990001</v>
      </c>
      <c r="N136" s="26"/>
      <c r="O136" s="921">
        <v>0.93490804699999996</v>
      </c>
      <c r="Q136" s="979"/>
      <c r="R136" s="27"/>
      <c r="S136" s="979"/>
      <c r="T136" s="979"/>
      <c r="V136" s="296"/>
      <c r="W136" s="979"/>
      <c r="X136" s="979"/>
      <c r="Y136" s="979"/>
      <c r="Z136" s="979"/>
    </row>
    <row r="137" spans="1:26" ht="19.350000000000001" customHeight="1">
      <c r="A137" s="573"/>
      <c r="B137" s="27" t="s">
        <v>941</v>
      </c>
      <c r="C137" s="368" t="s">
        <v>942</v>
      </c>
      <c r="D137" s="368" t="s">
        <v>943</v>
      </c>
      <c r="E137" s="25">
        <v>1</v>
      </c>
      <c r="F137" s="26" t="s">
        <v>349</v>
      </c>
      <c r="G137" s="25">
        <v>348500</v>
      </c>
      <c r="H137" s="25">
        <f t="shared" si="15"/>
        <v>325815.45437950001</v>
      </c>
      <c r="I137" s="25">
        <f t="shared" si="18"/>
        <v>325815.45437950001</v>
      </c>
      <c r="J137" s="25">
        <v>0</v>
      </c>
      <c r="K137" s="30">
        <f t="shared" si="16"/>
        <v>0</v>
      </c>
      <c r="L137" s="30">
        <f t="shared" si="19"/>
        <v>0</v>
      </c>
      <c r="M137" s="72">
        <f t="shared" si="17"/>
        <v>325815.45437950001</v>
      </c>
      <c r="N137" s="26"/>
      <c r="O137" s="921">
        <v>0.93490804699999996</v>
      </c>
      <c r="Q137" s="979"/>
      <c r="R137" s="27"/>
      <c r="S137" s="979"/>
      <c r="T137" s="979"/>
      <c r="V137" s="296"/>
      <c r="W137" s="979"/>
      <c r="X137" s="979"/>
      <c r="Y137" s="979"/>
      <c r="Z137" s="979"/>
    </row>
    <row r="138" spans="1:26" ht="19.350000000000001" customHeight="1">
      <c r="A138" s="573"/>
      <c r="B138" s="27" t="s">
        <v>944</v>
      </c>
      <c r="C138" s="368" t="s">
        <v>942</v>
      </c>
      <c r="D138" s="368" t="s">
        <v>938</v>
      </c>
      <c r="E138" s="25">
        <v>2</v>
      </c>
      <c r="F138" s="26" t="s">
        <v>349</v>
      </c>
      <c r="G138" s="25">
        <v>90000</v>
      </c>
      <c r="H138" s="25">
        <f t="shared" si="15"/>
        <v>84141.724229999993</v>
      </c>
      <c r="I138" s="25">
        <f t="shared" si="18"/>
        <v>168283.44845999999</v>
      </c>
      <c r="J138" s="25">
        <v>17280</v>
      </c>
      <c r="K138" s="30">
        <f t="shared" si="16"/>
        <v>16155.211052159999</v>
      </c>
      <c r="L138" s="30">
        <f t="shared" si="19"/>
        <v>32310.422104319998</v>
      </c>
      <c r="M138" s="72">
        <f t="shared" si="17"/>
        <v>200593.87056431998</v>
      </c>
      <c r="N138" s="26"/>
      <c r="O138" s="921">
        <v>0.93490804699999996</v>
      </c>
      <c r="Q138" s="979"/>
      <c r="R138" s="27"/>
      <c r="S138" s="979"/>
      <c r="T138" s="979"/>
      <c r="V138" s="296"/>
      <c r="W138" s="979"/>
      <c r="X138" s="979"/>
      <c r="Y138" s="979"/>
      <c r="Z138" s="979"/>
    </row>
    <row r="139" spans="1:26" ht="19.350000000000001" customHeight="1">
      <c r="A139" s="573"/>
      <c r="B139" s="27" t="s">
        <v>945</v>
      </c>
      <c r="C139" s="368" t="s">
        <v>946</v>
      </c>
      <c r="D139" s="368" t="s">
        <v>938</v>
      </c>
      <c r="E139" s="25">
        <v>1</v>
      </c>
      <c r="F139" s="26" t="s">
        <v>349</v>
      </c>
      <c r="G139" s="25">
        <v>167450</v>
      </c>
      <c r="H139" s="25">
        <f t="shared" si="15"/>
        <v>156550.35247014998</v>
      </c>
      <c r="I139" s="25">
        <f t="shared" si="18"/>
        <v>156550.35247014998</v>
      </c>
      <c r="J139" s="25">
        <v>6375</v>
      </c>
      <c r="K139" s="30">
        <f t="shared" si="16"/>
        <v>5960.0387996250001</v>
      </c>
      <c r="L139" s="30">
        <f t="shared" si="19"/>
        <v>5960.0387996250001</v>
      </c>
      <c r="M139" s="72">
        <f t="shared" si="17"/>
        <v>162510.39126977499</v>
      </c>
      <c r="N139" s="26"/>
      <c r="O139" s="921">
        <v>0.93490804699999996</v>
      </c>
      <c r="Q139" s="979"/>
      <c r="R139" s="27"/>
      <c r="S139" s="979"/>
      <c r="T139" s="979"/>
      <c r="V139" s="296"/>
      <c r="W139" s="979"/>
      <c r="X139" s="979"/>
      <c r="Y139" s="979"/>
      <c r="Z139" s="979"/>
    </row>
    <row r="140" spans="1:26" ht="19.350000000000001" customHeight="1">
      <c r="A140" s="573"/>
      <c r="B140" s="27" t="s">
        <v>947</v>
      </c>
      <c r="C140" s="368" t="s">
        <v>948</v>
      </c>
      <c r="D140" s="368" t="s">
        <v>938</v>
      </c>
      <c r="E140" s="25">
        <v>1</v>
      </c>
      <c r="F140" s="26" t="s">
        <v>349</v>
      </c>
      <c r="G140" s="25">
        <v>221760</v>
      </c>
      <c r="H140" s="25">
        <f t="shared" si="15"/>
        <v>207325.20850271999</v>
      </c>
      <c r="I140" s="25">
        <f t="shared" si="18"/>
        <v>207325.20850271999</v>
      </c>
      <c r="J140" s="25">
        <v>38600</v>
      </c>
      <c r="K140" s="30">
        <f t="shared" si="16"/>
        <v>36087.450614199995</v>
      </c>
      <c r="L140" s="30">
        <f t="shared" si="19"/>
        <v>36087.450614199995</v>
      </c>
      <c r="M140" s="72">
        <f t="shared" si="17"/>
        <v>243412.65911692</v>
      </c>
      <c r="N140" s="26"/>
      <c r="O140" s="921">
        <v>0.93490804699999996</v>
      </c>
      <c r="Q140" s="979"/>
      <c r="R140" s="27"/>
      <c r="S140" s="979"/>
      <c r="T140" s="979"/>
      <c r="V140" s="296"/>
      <c r="W140" s="979"/>
      <c r="X140" s="979"/>
      <c r="Y140" s="979"/>
      <c r="Z140" s="979"/>
    </row>
    <row r="141" spans="1:26" ht="19.350000000000001" customHeight="1">
      <c r="A141" s="573"/>
      <c r="B141" s="27" t="s">
        <v>949</v>
      </c>
      <c r="C141" s="368" t="s">
        <v>948</v>
      </c>
      <c r="D141" s="368" t="s">
        <v>923</v>
      </c>
      <c r="E141" s="25">
        <v>1</v>
      </c>
      <c r="F141" s="26" t="s">
        <v>349</v>
      </c>
      <c r="G141" s="25">
        <v>231660</v>
      </c>
      <c r="H141" s="25">
        <f t="shared" si="15"/>
        <v>216580.79816802</v>
      </c>
      <c r="I141" s="25">
        <f t="shared" si="18"/>
        <v>216580.79816802</v>
      </c>
      <c r="J141" s="25">
        <v>38900</v>
      </c>
      <c r="K141" s="30">
        <f t="shared" si="16"/>
        <v>36367.9230283</v>
      </c>
      <c r="L141" s="30">
        <f t="shared" si="19"/>
        <v>36367.9230283</v>
      </c>
      <c r="M141" s="72">
        <f t="shared" si="17"/>
        <v>252948.72119632</v>
      </c>
      <c r="N141" s="26"/>
      <c r="O141" s="921">
        <v>0.93490804699999996</v>
      </c>
      <c r="Q141" s="979"/>
      <c r="R141" s="27"/>
      <c r="S141" s="979"/>
      <c r="T141" s="979"/>
      <c r="V141" s="296"/>
      <c r="W141" s="979"/>
      <c r="X141" s="979"/>
      <c r="Y141" s="979"/>
      <c r="Z141" s="979"/>
    </row>
    <row r="142" spans="1:26" ht="19.350000000000001" customHeight="1">
      <c r="A142" s="573"/>
      <c r="B142" s="27" t="s">
        <v>950</v>
      </c>
      <c r="C142" s="368" t="s">
        <v>937</v>
      </c>
      <c r="D142" s="368" t="s">
        <v>911</v>
      </c>
      <c r="E142" s="25">
        <v>1</v>
      </c>
      <c r="F142" s="26" t="s">
        <v>349</v>
      </c>
      <c r="G142" s="25">
        <v>19485</v>
      </c>
      <c r="H142" s="25">
        <f t="shared" si="15"/>
        <v>18216.683295794999</v>
      </c>
      <c r="I142" s="25">
        <f t="shared" si="18"/>
        <v>18216.683295794999</v>
      </c>
      <c r="J142" s="25">
        <v>7440</v>
      </c>
      <c r="K142" s="30">
        <f t="shared" si="16"/>
        <v>6955.7158696799997</v>
      </c>
      <c r="L142" s="30">
        <f t="shared" si="19"/>
        <v>6955.7158696799997</v>
      </c>
      <c r="M142" s="72">
        <f t="shared" si="17"/>
        <v>25172.399165474999</v>
      </c>
      <c r="N142" s="26"/>
      <c r="O142" s="921">
        <v>0.93490804699999996</v>
      </c>
      <c r="Q142" s="979"/>
      <c r="R142" s="27"/>
      <c r="S142" s="979"/>
      <c r="T142" s="979"/>
      <c r="V142" s="296"/>
      <c r="W142" s="979"/>
      <c r="X142" s="979"/>
      <c r="Y142" s="979"/>
      <c r="Z142" s="979"/>
    </row>
    <row r="143" spans="1:26" ht="19.350000000000001" customHeight="1">
      <c r="A143" s="573"/>
      <c r="B143" s="27" t="s">
        <v>951</v>
      </c>
      <c r="C143" s="368" t="s">
        <v>937</v>
      </c>
      <c r="D143" s="368" t="s">
        <v>913</v>
      </c>
      <c r="E143" s="25">
        <v>1</v>
      </c>
      <c r="F143" s="26" t="s">
        <v>349</v>
      </c>
      <c r="G143" s="25">
        <v>65025</v>
      </c>
      <c r="H143" s="25">
        <f t="shared" si="15"/>
        <v>60792.395756174999</v>
      </c>
      <c r="I143" s="25">
        <f t="shared" si="18"/>
        <v>60792.395756174999</v>
      </c>
      <c r="J143" s="25">
        <v>10200</v>
      </c>
      <c r="K143" s="30">
        <f t="shared" si="16"/>
        <v>9536.0620793999988</v>
      </c>
      <c r="L143" s="30">
        <f t="shared" si="19"/>
        <v>9536.0620793999988</v>
      </c>
      <c r="M143" s="72">
        <f t="shared" si="17"/>
        <v>70328.457835574998</v>
      </c>
      <c r="N143" s="26"/>
      <c r="O143" s="921">
        <v>0.93490804699999996</v>
      </c>
      <c r="Q143" s="979"/>
      <c r="R143" s="27"/>
      <c r="S143" s="979"/>
      <c r="T143" s="979"/>
      <c r="V143" s="296"/>
      <c r="W143" s="979"/>
      <c r="X143" s="979"/>
      <c r="Y143" s="979"/>
      <c r="Z143" s="979"/>
    </row>
    <row r="144" spans="1:26" ht="19.350000000000001" customHeight="1">
      <c r="A144" s="573"/>
      <c r="B144" s="27" t="s">
        <v>952</v>
      </c>
      <c r="C144" s="368" t="s">
        <v>953</v>
      </c>
      <c r="D144" s="368" t="s">
        <v>954</v>
      </c>
      <c r="E144" s="25">
        <v>1</v>
      </c>
      <c r="F144" s="26" t="s">
        <v>349</v>
      </c>
      <c r="G144" s="25">
        <v>143313</v>
      </c>
      <c r="H144" s="25">
        <f t="shared" si="15"/>
        <v>133984.47693971099</v>
      </c>
      <c r="I144" s="25">
        <f t="shared" si="18"/>
        <v>133984.47693971099</v>
      </c>
      <c r="J144" s="25">
        <v>51150</v>
      </c>
      <c r="K144" s="30">
        <f t="shared" si="16"/>
        <v>47820.546604049996</v>
      </c>
      <c r="L144" s="30">
        <f t="shared" si="19"/>
        <v>47820.546604049996</v>
      </c>
      <c r="M144" s="72">
        <f t="shared" si="17"/>
        <v>181805.023543761</v>
      </c>
      <c r="N144" s="26"/>
      <c r="O144" s="921">
        <v>0.93490804699999996</v>
      </c>
      <c r="Q144" s="979"/>
      <c r="R144" s="27"/>
      <c r="S144" s="979"/>
      <c r="T144" s="979"/>
      <c r="V144" s="296"/>
      <c r="W144" s="979"/>
      <c r="X144" s="979"/>
      <c r="Y144" s="979"/>
      <c r="Z144" s="979"/>
    </row>
    <row r="145" spans="1:26" ht="19.350000000000001" customHeight="1">
      <c r="A145" s="573"/>
      <c r="B145" s="27" t="s">
        <v>955</v>
      </c>
      <c r="C145" s="368" t="s">
        <v>902</v>
      </c>
      <c r="D145" s="368" t="s">
        <v>956</v>
      </c>
      <c r="E145" s="25">
        <v>1</v>
      </c>
      <c r="F145" s="26" t="s">
        <v>349</v>
      </c>
      <c r="G145" s="25">
        <v>342426</v>
      </c>
      <c r="H145" s="25">
        <f t="shared" si="15"/>
        <v>320136.82290202199</v>
      </c>
      <c r="I145" s="25">
        <f t="shared" si="18"/>
        <v>320136.82290202199</v>
      </c>
      <c r="J145" s="25">
        <v>125643</v>
      </c>
      <c r="K145" s="30">
        <f t="shared" si="16"/>
        <v>117464.651749221</v>
      </c>
      <c r="L145" s="30">
        <f t="shared" si="19"/>
        <v>117464.651749221</v>
      </c>
      <c r="M145" s="72">
        <f t="shared" si="17"/>
        <v>437601.47465124296</v>
      </c>
      <c r="N145" s="26"/>
      <c r="O145" s="921">
        <v>0.93490804699999996</v>
      </c>
      <c r="Q145" s="979"/>
      <c r="R145" s="27"/>
      <c r="S145" s="979"/>
      <c r="T145" s="979"/>
      <c r="V145" s="296"/>
      <c r="W145" s="979"/>
      <c r="X145" s="979"/>
      <c r="Y145" s="979"/>
      <c r="Z145" s="979"/>
    </row>
    <row r="146" spans="1:26" ht="19.350000000000001" customHeight="1">
      <c r="A146" s="573"/>
      <c r="B146" s="27" t="s">
        <v>957</v>
      </c>
      <c r="C146" s="368" t="s">
        <v>958</v>
      </c>
      <c r="D146" s="368" t="s">
        <v>959</v>
      </c>
      <c r="E146" s="25">
        <v>1</v>
      </c>
      <c r="F146" s="26" t="s">
        <v>349</v>
      </c>
      <c r="G146" s="25">
        <v>236592</v>
      </c>
      <c r="H146" s="25">
        <f t="shared" si="15"/>
        <v>221191.76465582399</v>
      </c>
      <c r="I146" s="25">
        <f t="shared" si="18"/>
        <v>221191.76465582399</v>
      </c>
      <c r="J146" s="25">
        <v>32085</v>
      </c>
      <c r="K146" s="30">
        <f t="shared" si="16"/>
        <v>29996.524687994999</v>
      </c>
      <c r="L146" s="30">
        <f t="shared" si="19"/>
        <v>29996.524687994999</v>
      </c>
      <c r="M146" s="72">
        <f t="shared" si="17"/>
        <v>251188.28934381899</v>
      </c>
      <c r="N146" s="26"/>
      <c r="O146" s="921">
        <v>0.93490804699999996</v>
      </c>
      <c r="Q146" s="979"/>
      <c r="R146" s="27"/>
      <c r="S146" s="979"/>
      <c r="T146" s="979"/>
      <c r="V146" s="296"/>
      <c r="W146" s="979"/>
      <c r="X146" s="979"/>
      <c r="Y146" s="979"/>
      <c r="Z146" s="979"/>
    </row>
    <row r="147" spans="1:26" ht="19.350000000000001" customHeight="1">
      <c r="A147" s="573"/>
      <c r="B147" s="27" t="s">
        <v>960</v>
      </c>
      <c r="C147" s="368" t="s">
        <v>958</v>
      </c>
      <c r="D147" s="368" t="s">
        <v>938</v>
      </c>
      <c r="E147" s="25">
        <v>1</v>
      </c>
      <c r="F147" s="26" t="s">
        <v>349</v>
      </c>
      <c r="G147" s="25">
        <v>90861</v>
      </c>
      <c r="H147" s="25">
        <f t="shared" si="15"/>
        <v>84946.680058466998</v>
      </c>
      <c r="I147" s="25">
        <f t="shared" si="18"/>
        <v>84946.680058466998</v>
      </c>
      <c r="J147" s="25">
        <v>22506</v>
      </c>
      <c r="K147" s="30">
        <f t="shared" si="16"/>
        <v>21041.040505781999</v>
      </c>
      <c r="L147" s="30">
        <f t="shared" si="19"/>
        <v>21041.040505781999</v>
      </c>
      <c r="M147" s="72">
        <f t="shared" si="17"/>
        <v>105987.720564249</v>
      </c>
      <c r="N147" s="26"/>
      <c r="O147" s="921">
        <v>0.93490804699999996</v>
      </c>
      <c r="Q147" s="979"/>
      <c r="R147" s="27"/>
      <c r="S147" s="979"/>
      <c r="T147" s="979"/>
      <c r="V147" s="296"/>
      <c r="W147" s="979"/>
      <c r="X147" s="979"/>
      <c r="Y147" s="979"/>
      <c r="Z147" s="979"/>
    </row>
    <row r="148" spans="1:26" ht="19.350000000000001" customHeight="1">
      <c r="A148" s="573"/>
      <c r="B148" s="27" t="s">
        <v>961</v>
      </c>
      <c r="C148" s="368" t="s">
        <v>958</v>
      </c>
      <c r="D148" s="368" t="s">
        <v>938</v>
      </c>
      <c r="E148" s="25">
        <v>1</v>
      </c>
      <c r="F148" s="26" t="s">
        <v>349</v>
      </c>
      <c r="G148" s="25">
        <v>28350</v>
      </c>
      <c r="H148" s="25">
        <f t="shared" si="15"/>
        <v>26504.643132449997</v>
      </c>
      <c r="I148" s="25">
        <f t="shared" si="18"/>
        <v>26504.643132449997</v>
      </c>
      <c r="J148" s="25">
        <v>0</v>
      </c>
      <c r="K148" s="30">
        <f t="shared" si="16"/>
        <v>0</v>
      </c>
      <c r="L148" s="30">
        <f t="shared" si="19"/>
        <v>0</v>
      </c>
      <c r="M148" s="72">
        <f t="shared" si="17"/>
        <v>26504.643132449997</v>
      </c>
      <c r="N148" s="26"/>
      <c r="O148" s="921">
        <v>0.93490804699999996</v>
      </c>
      <c r="Q148" s="979"/>
      <c r="R148" s="27"/>
      <c r="S148" s="979"/>
      <c r="T148" s="979"/>
      <c r="V148" s="296"/>
      <c r="W148" s="979"/>
      <c r="X148" s="979"/>
      <c r="Y148" s="979"/>
      <c r="Z148" s="979"/>
    </row>
    <row r="149" spans="1:26" ht="19.350000000000001" customHeight="1">
      <c r="A149" s="573"/>
      <c r="B149" s="27" t="s">
        <v>962</v>
      </c>
      <c r="C149" s="368" t="s">
        <v>958</v>
      </c>
      <c r="D149" s="368" t="s">
        <v>911</v>
      </c>
      <c r="E149" s="25">
        <v>1</v>
      </c>
      <c r="F149" s="26" t="s">
        <v>349</v>
      </c>
      <c r="G149" s="25">
        <v>25020</v>
      </c>
      <c r="H149" s="25">
        <f t="shared" si="15"/>
        <v>23391.399335939997</v>
      </c>
      <c r="I149" s="25">
        <f t="shared" si="18"/>
        <v>23391.399335939997</v>
      </c>
      <c r="J149" s="25">
        <v>0</v>
      </c>
      <c r="K149" s="30">
        <f t="shared" si="16"/>
        <v>0</v>
      </c>
      <c r="L149" s="30">
        <f t="shared" si="19"/>
        <v>0</v>
      </c>
      <c r="M149" s="72">
        <f t="shared" si="17"/>
        <v>23391.399335939997</v>
      </c>
      <c r="N149" s="26"/>
      <c r="O149" s="921">
        <v>0.93490804699999996</v>
      </c>
      <c r="Q149" s="979"/>
      <c r="R149" s="27"/>
      <c r="S149" s="979"/>
      <c r="T149" s="979"/>
      <c r="V149" s="296"/>
      <c r="W149" s="979"/>
      <c r="X149" s="979"/>
      <c r="Y149" s="979"/>
      <c r="Z149" s="979"/>
    </row>
    <row r="150" spans="1:26" ht="19.350000000000001" customHeight="1">
      <c r="A150" s="573"/>
      <c r="B150" s="27" t="s">
        <v>963</v>
      </c>
      <c r="C150" s="368" t="s">
        <v>964</v>
      </c>
      <c r="D150" s="368" t="s">
        <v>906</v>
      </c>
      <c r="E150" s="25">
        <v>1</v>
      </c>
      <c r="F150" s="26" t="s">
        <v>349</v>
      </c>
      <c r="G150" s="25">
        <v>178500</v>
      </c>
      <c r="H150" s="25">
        <f t="shared" si="15"/>
        <v>166881.08638950001</v>
      </c>
      <c r="I150" s="25">
        <f t="shared" si="18"/>
        <v>166881.08638950001</v>
      </c>
      <c r="J150" s="25">
        <v>25075</v>
      </c>
      <c r="K150" s="30">
        <f t="shared" si="16"/>
        <v>23442.819278524999</v>
      </c>
      <c r="L150" s="30">
        <f t="shared" si="19"/>
        <v>23442.819278524999</v>
      </c>
      <c r="M150" s="72">
        <f t="shared" si="17"/>
        <v>190323.90566802502</v>
      </c>
      <c r="N150" s="26"/>
      <c r="O150" s="921">
        <v>0.93490804699999996</v>
      </c>
      <c r="Q150" s="979"/>
      <c r="R150" s="27"/>
      <c r="S150" s="979"/>
      <c r="T150" s="979"/>
      <c r="V150" s="296"/>
      <c r="W150" s="979"/>
      <c r="X150" s="979"/>
      <c r="Y150" s="979"/>
      <c r="Z150" s="979"/>
    </row>
    <row r="151" spans="1:26" ht="19.350000000000001" customHeight="1">
      <c r="A151" s="573"/>
      <c r="B151" s="27" t="s">
        <v>965</v>
      </c>
      <c r="C151" s="368" t="s">
        <v>964</v>
      </c>
      <c r="D151" s="368" t="s">
        <v>954</v>
      </c>
      <c r="E151" s="25">
        <v>1</v>
      </c>
      <c r="F151" s="26" t="s">
        <v>349</v>
      </c>
      <c r="G151" s="25">
        <v>53550</v>
      </c>
      <c r="H151" s="25">
        <f t="shared" si="15"/>
        <v>50064.325916850001</v>
      </c>
      <c r="I151" s="25">
        <f t="shared" si="18"/>
        <v>50064.325916850001</v>
      </c>
      <c r="J151" s="25">
        <v>12750</v>
      </c>
      <c r="K151" s="30">
        <f t="shared" si="16"/>
        <v>11920.07759925</v>
      </c>
      <c r="L151" s="30">
        <f t="shared" si="19"/>
        <v>11920.07759925</v>
      </c>
      <c r="M151" s="72">
        <f t="shared" si="17"/>
        <v>61984.403516099999</v>
      </c>
      <c r="N151" s="26"/>
      <c r="O151" s="921">
        <v>0.93490804699999996</v>
      </c>
      <c r="Q151" s="979"/>
      <c r="R151" s="27"/>
      <c r="S151" s="979"/>
      <c r="T151" s="979"/>
      <c r="V151" s="296"/>
      <c r="W151" s="979"/>
      <c r="X151" s="979"/>
      <c r="Y151" s="979"/>
      <c r="Z151" s="979"/>
    </row>
    <row r="152" spans="1:26" ht="19.350000000000001" customHeight="1">
      <c r="A152" s="573"/>
      <c r="B152" s="27" t="s">
        <v>966</v>
      </c>
      <c r="C152" s="368" t="s">
        <v>964</v>
      </c>
      <c r="D152" s="368" t="s">
        <v>906</v>
      </c>
      <c r="E152" s="25">
        <v>1</v>
      </c>
      <c r="F152" s="26" t="s">
        <v>349</v>
      </c>
      <c r="G152" s="25">
        <v>348075</v>
      </c>
      <c r="H152" s="25">
        <f t="shared" si="15"/>
        <v>325418.11845952499</v>
      </c>
      <c r="I152" s="25">
        <f t="shared" si="18"/>
        <v>325418.11845952499</v>
      </c>
      <c r="J152" s="25">
        <v>52275</v>
      </c>
      <c r="K152" s="30">
        <f t="shared" si="16"/>
        <v>48872.318156925001</v>
      </c>
      <c r="L152" s="30">
        <f t="shared" si="19"/>
        <v>48872.318156925001</v>
      </c>
      <c r="M152" s="72">
        <f t="shared" si="17"/>
        <v>374290.43661644997</v>
      </c>
      <c r="N152" s="26"/>
      <c r="O152" s="921">
        <v>0.93490804699999996</v>
      </c>
      <c r="Q152" s="979"/>
      <c r="R152" s="27"/>
      <c r="S152" s="979"/>
      <c r="T152" s="979"/>
      <c r="V152" s="296"/>
      <c r="W152" s="979"/>
      <c r="X152" s="979"/>
      <c r="Y152" s="979"/>
      <c r="Z152" s="979"/>
    </row>
    <row r="153" spans="1:26" ht="19.350000000000001" customHeight="1">
      <c r="A153" s="573"/>
      <c r="B153" s="27" t="s">
        <v>967</v>
      </c>
      <c r="C153" s="368" t="s">
        <v>964</v>
      </c>
      <c r="D153" s="368" t="s">
        <v>954</v>
      </c>
      <c r="E153" s="25">
        <v>1</v>
      </c>
      <c r="F153" s="26" t="s">
        <v>349</v>
      </c>
      <c r="G153" s="25">
        <v>160650</v>
      </c>
      <c r="H153" s="25">
        <f t="shared" si="15"/>
        <v>150192.97775055</v>
      </c>
      <c r="I153" s="25">
        <f t="shared" si="18"/>
        <v>150192.97775055</v>
      </c>
      <c r="J153" s="25">
        <v>38250</v>
      </c>
      <c r="K153" s="30">
        <f t="shared" si="16"/>
        <v>35760.232797749995</v>
      </c>
      <c r="L153" s="30">
        <f t="shared" si="19"/>
        <v>35760.232797749995</v>
      </c>
      <c r="M153" s="72">
        <f t="shared" si="17"/>
        <v>185953.21054830001</v>
      </c>
      <c r="N153" s="26"/>
      <c r="O153" s="921">
        <v>0.93490804699999996</v>
      </c>
      <c r="Q153" s="979"/>
      <c r="R153" s="27"/>
      <c r="S153" s="979"/>
      <c r="T153" s="979"/>
      <c r="V153" s="296"/>
      <c r="W153" s="979"/>
      <c r="X153" s="979"/>
      <c r="Y153" s="979"/>
      <c r="Z153" s="979"/>
    </row>
    <row r="154" spans="1:26" ht="19.350000000000001" customHeight="1">
      <c r="A154" s="573"/>
      <c r="B154" s="27" t="s">
        <v>968</v>
      </c>
      <c r="C154" s="368" t="s">
        <v>969</v>
      </c>
      <c r="D154" s="368" t="s">
        <v>911</v>
      </c>
      <c r="E154" s="25">
        <v>1</v>
      </c>
      <c r="F154" s="26" t="s">
        <v>349</v>
      </c>
      <c r="G154" s="25">
        <v>88380</v>
      </c>
      <c r="H154" s="25">
        <f t="shared" si="15"/>
        <v>82627.173193859999</v>
      </c>
      <c r="I154" s="25">
        <f t="shared" si="18"/>
        <v>82627.173193859999</v>
      </c>
      <c r="J154" s="25">
        <v>16345</v>
      </c>
      <c r="K154" s="30">
        <f t="shared" si="16"/>
        <v>15281.072028215</v>
      </c>
      <c r="L154" s="30">
        <f t="shared" si="19"/>
        <v>15281.072028215</v>
      </c>
      <c r="M154" s="72">
        <f t="shared" si="17"/>
        <v>97908.245222074998</v>
      </c>
      <c r="N154" s="26"/>
      <c r="O154" s="921">
        <v>0.93490804699999996</v>
      </c>
      <c r="Q154" s="979"/>
      <c r="R154" s="27"/>
      <c r="S154" s="979"/>
      <c r="T154" s="979"/>
      <c r="V154" s="296"/>
      <c r="W154" s="979"/>
      <c r="X154" s="979"/>
      <c r="Y154" s="979"/>
      <c r="Z154" s="979"/>
    </row>
    <row r="155" spans="1:26" ht="19.350000000000001" customHeight="1">
      <c r="A155" s="573"/>
      <c r="B155" s="27" t="s">
        <v>970</v>
      </c>
      <c r="C155" s="368" t="s">
        <v>971</v>
      </c>
      <c r="D155" s="368" t="s">
        <v>911</v>
      </c>
      <c r="E155" s="25">
        <v>1</v>
      </c>
      <c r="F155" s="26" t="s">
        <v>349</v>
      </c>
      <c r="G155" s="25">
        <v>88380</v>
      </c>
      <c r="H155" s="25">
        <f t="shared" si="15"/>
        <v>82627.173193859999</v>
      </c>
      <c r="I155" s="25">
        <f t="shared" si="18"/>
        <v>82627.173193859999</v>
      </c>
      <c r="J155" s="25">
        <v>16345</v>
      </c>
      <c r="K155" s="30">
        <f t="shared" si="16"/>
        <v>15281.072028215</v>
      </c>
      <c r="L155" s="30">
        <f t="shared" si="19"/>
        <v>15281.072028215</v>
      </c>
      <c r="M155" s="72">
        <f t="shared" si="17"/>
        <v>97908.245222074998</v>
      </c>
      <c r="N155" s="26"/>
      <c r="O155" s="921">
        <v>0.93490804699999996</v>
      </c>
      <c r="Q155" s="979"/>
      <c r="R155" s="27"/>
      <c r="S155" s="979"/>
      <c r="T155" s="979"/>
      <c r="V155" s="296"/>
      <c r="W155" s="979"/>
      <c r="X155" s="979"/>
      <c r="Y155" s="979"/>
      <c r="Z155" s="979"/>
    </row>
    <row r="156" spans="1:26" ht="19.350000000000001" customHeight="1">
      <c r="A156" s="573"/>
      <c r="B156" s="27" t="s">
        <v>972</v>
      </c>
      <c r="C156" s="368" t="s">
        <v>973</v>
      </c>
      <c r="D156" s="368" t="s">
        <v>923</v>
      </c>
      <c r="E156" s="25">
        <v>2</v>
      </c>
      <c r="F156" s="26" t="s">
        <v>349</v>
      </c>
      <c r="G156" s="25">
        <v>151300</v>
      </c>
      <c r="H156" s="25">
        <f t="shared" si="15"/>
        <v>141451.58751109999</v>
      </c>
      <c r="I156" s="25">
        <f t="shared" si="18"/>
        <v>282903.17502219998</v>
      </c>
      <c r="J156" s="25">
        <v>6375</v>
      </c>
      <c r="K156" s="30">
        <f t="shared" si="16"/>
        <v>5960.0387996250001</v>
      </c>
      <c r="L156" s="30">
        <f t="shared" si="19"/>
        <v>11920.07759925</v>
      </c>
      <c r="M156" s="72">
        <f t="shared" si="17"/>
        <v>294823.25262145</v>
      </c>
      <c r="N156" s="26"/>
      <c r="O156" s="921">
        <v>0.93490804699999996</v>
      </c>
      <c r="Q156" s="979"/>
      <c r="R156" s="27"/>
      <c r="S156" s="979"/>
      <c r="T156" s="979"/>
      <c r="V156" s="296"/>
      <c r="W156" s="979"/>
      <c r="X156" s="979"/>
      <c r="Y156" s="979"/>
      <c r="Z156" s="979"/>
    </row>
    <row r="157" spans="1:26" ht="19.350000000000001" customHeight="1">
      <c r="A157" s="573"/>
      <c r="B157" s="27" t="s">
        <v>974</v>
      </c>
      <c r="C157" s="368" t="s">
        <v>975</v>
      </c>
      <c r="D157" s="368" t="s">
        <v>976</v>
      </c>
      <c r="E157" s="25">
        <v>1</v>
      </c>
      <c r="F157" s="26" t="s">
        <v>349</v>
      </c>
      <c r="G157" s="25">
        <v>22770</v>
      </c>
      <c r="H157" s="25">
        <f t="shared" si="15"/>
        <v>21287.856230189998</v>
      </c>
      <c r="I157" s="25">
        <f t="shared" si="18"/>
        <v>21287.856230189998</v>
      </c>
      <c r="J157" s="25">
        <v>7640</v>
      </c>
      <c r="K157" s="30">
        <f t="shared" si="16"/>
        <v>7142.6974790799995</v>
      </c>
      <c r="L157" s="30">
        <f t="shared" si="19"/>
        <v>7142.6974790799995</v>
      </c>
      <c r="M157" s="72">
        <f t="shared" si="17"/>
        <v>28430.553709269996</v>
      </c>
      <c r="N157" s="26"/>
      <c r="O157" s="921">
        <v>0.93490804699999996</v>
      </c>
      <c r="Q157" s="979"/>
      <c r="R157" s="27"/>
      <c r="S157" s="979"/>
      <c r="T157" s="979"/>
      <c r="V157" s="296"/>
      <c r="W157" s="979"/>
      <c r="X157" s="979"/>
      <c r="Y157" s="979"/>
      <c r="Z157" s="979"/>
    </row>
    <row r="158" spans="1:26" ht="19.350000000000001" customHeight="1">
      <c r="A158" s="573"/>
      <c r="B158" s="27" t="s">
        <v>977</v>
      </c>
      <c r="C158" s="368" t="s">
        <v>978</v>
      </c>
      <c r="D158" s="368" t="s">
        <v>906</v>
      </c>
      <c r="E158" s="25">
        <v>1</v>
      </c>
      <c r="F158" s="26" t="s">
        <v>349</v>
      </c>
      <c r="G158" s="25">
        <v>59241</v>
      </c>
      <c r="H158" s="25">
        <f t="shared" si="15"/>
        <v>55384.887612326995</v>
      </c>
      <c r="I158" s="25">
        <f t="shared" si="18"/>
        <v>55384.887612326995</v>
      </c>
      <c r="J158" s="25">
        <v>21018</v>
      </c>
      <c r="K158" s="30">
        <f t="shared" si="16"/>
        <v>19649.897331845998</v>
      </c>
      <c r="L158" s="30">
        <f t="shared" si="19"/>
        <v>19649.897331845998</v>
      </c>
      <c r="M158" s="72">
        <f t="shared" si="17"/>
        <v>75034.784944172992</v>
      </c>
      <c r="N158" s="26"/>
      <c r="O158" s="921">
        <v>0.93490804699999996</v>
      </c>
      <c r="Q158" s="979"/>
      <c r="R158" s="27"/>
      <c r="S158" s="979"/>
      <c r="T158" s="979"/>
      <c r="V158" s="296"/>
      <c r="W158" s="979"/>
      <c r="X158" s="979"/>
      <c r="Y158" s="979"/>
      <c r="Z158" s="979"/>
    </row>
    <row r="159" spans="1:26" ht="19.350000000000001" customHeight="1">
      <c r="A159" s="573"/>
      <c r="B159" s="27" t="s">
        <v>979</v>
      </c>
      <c r="C159" s="368" t="s">
        <v>980</v>
      </c>
      <c r="D159" s="368" t="s">
        <v>981</v>
      </c>
      <c r="E159" s="25">
        <v>2</v>
      </c>
      <c r="F159" s="26" t="s">
        <v>349</v>
      </c>
      <c r="G159" s="25">
        <v>105825</v>
      </c>
      <c r="H159" s="25">
        <f t="shared" si="15"/>
        <v>98936.644073774994</v>
      </c>
      <c r="I159" s="25">
        <f t="shared" si="18"/>
        <v>197873.28814754999</v>
      </c>
      <c r="J159" s="25">
        <v>5950</v>
      </c>
      <c r="K159" s="30">
        <f t="shared" si="16"/>
        <v>5562.7028796499999</v>
      </c>
      <c r="L159" s="30">
        <f t="shared" si="19"/>
        <v>11125.4057593</v>
      </c>
      <c r="M159" s="72">
        <f t="shared" si="17"/>
        <v>208998.69390684998</v>
      </c>
      <c r="N159" s="26"/>
      <c r="O159" s="921">
        <v>0.93490804699999996</v>
      </c>
      <c r="Q159" s="979"/>
      <c r="R159" s="27"/>
      <c r="S159" s="979"/>
      <c r="T159" s="979"/>
      <c r="V159" s="296"/>
      <c r="W159" s="979"/>
      <c r="X159" s="979"/>
      <c r="Y159" s="979"/>
      <c r="Z159" s="979"/>
    </row>
    <row r="160" spans="1:26" ht="19.350000000000001" customHeight="1">
      <c r="A160" s="573"/>
      <c r="B160" s="27" t="s">
        <v>982</v>
      </c>
      <c r="C160" s="368" t="s">
        <v>983</v>
      </c>
      <c r="D160" s="368" t="s">
        <v>911</v>
      </c>
      <c r="E160" s="25">
        <v>8</v>
      </c>
      <c r="F160" s="26" t="s">
        <v>349</v>
      </c>
      <c r="G160" s="25">
        <v>96480</v>
      </c>
      <c r="H160" s="25">
        <f t="shared" si="15"/>
        <v>90199.928374559997</v>
      </c>
      <c r="I160" s="25">
        <f t="shared" si="18"/>
        <v>721599.42699647998</v>
      </c>
      <c r="J160" s="25">
        <v>16420</v>
      </c>
      <c r="K160" s="30">
        <f t="shared" si="16"/>
        <v>15351.190131739999</v>
      </c>
      <c r="L160" s="30">
        <f t="shared" si="19"/>
        <v>122809.52105391999</v>
      </c>
      <c r="M160" s="72">
        <f t="shared" si="17"/>
        <v>844408.94805040001</v>
      </c>
      <c r="N160" s="26"/>
      <c r="O160" s="921">
        <v>0.93490804699999996</v>
      </c>
    </row>
    <row r="161" spans="1:17" ht="19.350000000000001" customHeight="1">
      <c r="A161" s="21"/>
      <c r="B161" s="285"/>
      <c r="C161" s="43"/>
      <c r="D161" s="286"/>
      <c r="E161" s="25"/>
      <c r="F161" s="26"/>
      <c r="G161" s="30"/>
      <c r="H161" s="25"/>
      <c r="I161" s="30"/>
      <c r="J161" s="30"/>
      <c r="K161" s="30"/>
      <c r="L161" s="72"/>
      <c r="M161" s="26"/>
      <c r="N161" s="26"/>
      <c r="O161" s="921">
        <v>0.93490804699999996</v>
      </c>
    </row>
    <row r="162" spans="1:17" ht="19.350000000000001" customHeight="1">
      <c r="A162" s="58"/>
      <c r="B162" s="1275" t="s">
        <v>984</v>
      </c>
      <c r="C162" s="1276"/>
      <c r="D162" s="1277"/>
      <c r="E162" s="34">
        <v>66</v>
      </c>
      <c r="F162" s="102" t="s">
        <v>349</v>
      </c>
      <c r="G162" s="34"/>
      <c r="H162" s="25"/>
      <c r="I162" s="34">
        <f>SUM(I114:I161)</f>
        <v>13428304.917360093</v>
      </c>
      <c r="J162" s="34"/>
      <c r="K162" s="30"/>
      <c r="L162" s="34">
        <f>SUM(L114:L161)</f>
        <v>1582524.460605182</v>
      </c>
      <c r="M162" s="34">
        <f>SUM(M114:M161)</f>
        <v>15010829.377965277</v>
      </c>
      <c r="N162" s="26"/>
      <c r="O162" s="921">
        <v>0.93490804699999996</v>
      </c>
    </row>
    <row r="163" spans="1:17" ht="19.350000000000001" customHeight="1">
      <c r="A163" s="58"/>
      <c r="B163" s="256"/>
      <c r="C163" s="257"/>
      <c r="D163" s="257"/>
      <c r="E163" s="34"/>
      <c r="F163" s="35"/>
      <c r="G163" s="34"/>
      <c r="H163" s="25"/>
      <c r="I163" s="34"/>
      <c r="J163" s="34"/>
      <c r="K163" s="30"/>
      <c r="L163" s="34"/>
      <c r="M163" s="34"/>
      <c r="N163" s="415"/>
      <c r="O163" s="921">
        <v>0.93490804699999996</v>
      </c>
    </row>
    <row r="164" spans="1:17" ht="19.350000000000001" customHeight="1">
      <c r="A164" s="58"/>
      <c r="B164" s="256"/>
      <c r="C164" s="257"/>
      <c r="D164" s="257"/>
      <c r="E164" s="34"/>
      <c r="F164" s="35"/>
      <c r="G164" s="34"/>
      <c r="H164" s="25"/>
      <c r="I164" s="34"/>
      <c r="J164" s="34"/>
      <c r="K164" s="30"/>
      <c r="L164" s="34"/>
      <c r="M164" s="34"/>
      <c r="N164" s="415"/>
      <c r="O164" s="921">
        <v>0.93490804699999996</v>
      </c>
    </row>
    <row r="165" spans="1:17" ht="19.350000000000001" customHeight="1">
      <c r="A165" s="58"/>
      <c r="B165" s="256"/>
      <c r="C165" s="257"/>
      <c r="D165" s="257"/>
      <c r="E165" s="34"/>
      <c r="F165" s="35"/>
      <c r="G165" s="34"/>
      <c r="H165" s="25"/>
      <c r="I165" s="34"/>
      <c r="J165" s="34"/>
      <c r="K165" s="30"/>
      <c r="L165" s="34"/>
      <c r="M165" s="34"/>
      <c r="N165" s="415"/>
      <c r="O165" s="921">
        <v>0.93490804699999996</v>
      </c>
    </row>
    <row r="166" spans="1:17" ht="19.350000000000001" customHeight="1">
      <c r="A166" s="58"/>
      <c r="B166" s="256"/>
      <c r="C166" s="257"/>
      <c r="D166" s="257"/>
      <c r="E166" s="34"/>
      <c r="F166" s="35"/>
      <c r="G166" s="34"/>
      <c r="H166" s="25"/>
      <c r="I166" s="34"/>
      <c r="J166" s="34"/>
      <c r="K166" s="30"/>
      <c r="L166" s="34"/>
      <c r="M166" s="34"/>
      <c r="N166" s="415"/>
      <c r="O166" s="921">
        <v>0.93490804699999996</v>
      </c>
    </row>
    <row r="167" spans="1:17" ht="19.350000000000001" customHeight="1">
      <c r="A167" s="58"/>
      <c r="B167" s="256"/>
      <c r="C167" s="257"/>
      <c r="D167" s="257"/>
      <c r="E167" s="34"/>
      <c r="F167" s="35"/>
      <c r="G167" s="34"/>
      <c r="H167" s="25"/>
      <c r="I167" s="34"/>
      <c r="J167" s="34"/>
      <c r="K167" s="30"/>
      <c r="L167" s="34"/>
      <c r="M167" s="34"/>
      <c r="N167" s="415"/>
      <c r="O167" s="921">
        <v>0.93490804699999996</v>
      </c>
    </row>
    <row r="168" spans="1:17" ht="19.350000000000001" customHeight="1">
      <c r="A168" s="58"/>
      <c r="B168" s="256"/>
      <c r="C168" s="257"/>
      <c r="D168" s="257"/>
      <c r="E168" s="34"/>
      <c r="F168" s="35"/>
      <c r="G168" s="34"/>
      <c r="H168" s="25"/>
      <c r="I168" s="34"/>
      <c r="J168" s="34"/>
      <c r="K168" s="30"/>
      <c r="L168" s="34"/>
      <c r="M168" s="34"/>
      <c r="N168" s="415"/>
      <c r="O168" s="921">
        <v>0.93490804699999996</v>
      </c>
    </row>
    <row r="169" spans="1:17" ht="19.350000000000001" customHeight="1">
      <c r="A169" s="220">
        <v>5</v>
      </c>
      <c r="B169" s="302" t="s">
        <v>205</v>
      </c>
      <c r="C169" s="221"/>
      <c r="D169" s="612"/>
      <c r="E169" s="34"/>
      <c r="F169" s="35"/>
      <c r="G169" s="34"/>
      <c r="H169" s="25"/>
      <c r="I169" s="34"/>
      <c r="J169" s="102"/>
      <c r="K169" s="30"/>
      <c r="L169" s="34"/>
      <c r="M169" s="35"/>
      <c r="N169" s="35"/>
      <c r="O169" s="921">
        <v>0.93490804699999996</v>
      </c>
      <c r="Q169" s="982"/>
    </row>
    <row r="170" spans="1:17" ht="19.350000000000001" customHeight="1">
      <c r="A170" s="573"/>
      <c r="B170" s="302" t="s">
        <v>985</v>
      </c>
      <c r="C170" s="368"/>
      <c r="D170" s="368"/>
      <c r="E170" s="34"/>
      <c r="F170" s="35"/>
      <c r="G170" s="34"/>
      <c r="H170" s="25"/>
      <c r="I170" s="34">
        <f>SUM(I171:I174)</f>
        <v>142479.9863628</v>
      </c>
      <c r="J170" s="102"/>
      <c r="K170" s="30"/>
      <c r="L170" s="102"/>
      <c r="M170" s="126">
        <f>SUM(M171:M174)</f>
        <v>142479.9863628</v>
      </c>
      <c r="N170" s="26"/>
      <c r="O170" s="921">
        <v>0.93490804699999996</v>
      </c>
      <c r="Q170" s="979"/>
    </row>
    <row r="171" spans="1:17" ht="19.350000000000001" customHeight="1">
      <c r="A171" s="573"/>
      <c r="B171" s="265" t="s">
        <v>273</v>
      </c>
      <c r="C171" s="29" t="s">
        <v>986</v>
      </c>
      <c r="D171" s="301"/>
      <c r="E171" s="25">
        <v>22</v>
      </c>
      <c r="F171" s="26" t="s">
        <v>987</v>
      </c>
      <c r="G171" s="25">
        <v>1200</v>
      </c>
      <c r="H171" s="25">
        <f t="shared" ref="H171:H181" si="20">G171*O171</f>
        <v>1121.8896563999999</v>
      </c>
      <c r="I171" s="25">
        <f>E171*H171</f>
        <v>24681.572440799999</v>
      </c>
      <c r="J171" s="30">
        <v>0</v>
      </c>
      <c r="K171" s="30">
        <f t="shared" ref="K171:K181" si="21">J171*O171</f>
        <v>0</v>
      </c>
      <c r="L171" s="30">
        <f>E171*J171</f>
        <v>0</v>
      </c>
      <c r="M171" s="72">
        <f>I171+L171</f>
        <v>24681.572440799999</v>
      </c>
      <c r="N171" s="26"/>
      <c r="O171" s="921">
        <v>0.93490804699999996</v>
      </c>
      <c r="Q171" s="979"/>
    </row>
    <row r="172" spans="1:17" ht="19.350000000000001" customHeight="1">
      <c r="A172" s="573"/>
      <c r="B172" s="265" t="s">
        <v>273</v>
      </c>
      <c r="C172" s="29" t="s">
        <v>988</v>
      </c>
      <c r="D172" s="301"/>
      <c r="E172" s="25">
        <v>44</v>
      </c>
      <c r="F172" s="26" t="s">
        <v>349</v>
      </c>
      <c r="G172" s="25">
        <v>800</v>
      </c>
      <c r="H172" s="25">
        <f t="shared" si="20"/>
        <v>747.92643759999999</v>
      </c>
      <c r="I172" s="25">
        <f t="shared" ref="I172:I174" si="22">E172*H172</f>
        <v>32908.763254400001</v>
      </c>
      <c r="J172" s="30">
        <v>0</v>
      </c>
      <c r="K172" s="30">
        <f t="shared" si="21"/>
        <v>0</v>
      </c>
      <c r="L172" s="30">
        <f>E172*J172</f>
        <v>0</v>
      </c>
      <c r="M172" s="72">
        <f>I172+L172</f>
        <v>32908.763254400001</v>
      </c>
      <c r="N172" s="26"/>
      <c r="O172" s="921">
        <v>0.93490804699999996</v>
      </c>
      <c r="Q172" s="979"/>
    </row>
    <row r="173" spans="1:17" ht="19.350000000000001" customHeight="1">
      <c r="A173" s="573"/>
      <c r="B173" s="265" t="s">
        <v>273</v>
      </c>
      <c r="C173" s="29" t="s">
        <v>989</v>
      </c>
      <c r="D173" s="301"/>
      <c r="E173" s="25">
        <v>44</v>
      </c>
      <c r="F173" s="26" t="s">
        <v>349</v>
      </c>
      <c r="G173" s="25">
        <v>1500</v>
      </c>
      <c r="H173" s="25">
        <f t="shared" si="20"/>
        <v>1402.3620704999998</v>
      </c>
      <c r="I173" s="25">
        <f t="shared" si="22"/>
        <v>61703.931101999995</v>
      </c>
      <c r="J173" s="30">
        <v>0</v>
      </c>
      <c r="K173" s="30">
        <f t="shared" si="21"/>
        <v>0</v>
      </c>
      <c r="L173" s="30">
        <f>E173*J173</f>
        <v>0</v>
      </c>
      <c r="M173" s="72">
        <f>I173+L173</f>
        <v>61703.931101999995</v>
      </c>
      <c r="N173" s="26"/>
      <c r="O173" s="921">
        <v>0.93490804699999996</v>
      </c>
      <c r="Q173" s="979"/>
    </row>
    <row r="174" spans="1:17" ht="19.350000000000001" customHeight="1">
      <c r="A174" s="573"/>
      <c r="B174" s="265" t="s">
        <v>273</v>
      </c>
      <c r="C174" s="29" t="s">
        <v>990</v>
      </c>
      <c r="D174" s="301"/>
      <c r="E174" s="25">
        <v>124</v>
      </c>
      <c r="F174" s="26" t="s">
        <v>275</v>
      </c>
      <c r="G174" s="25">
        <v>200</v>
      </c>
      <c r="H174" s="25">
        <f t="shared" si="20"/>
        <v>186.9816094</v>
      </c>
      <c r="I174" s="25">
        <f t="shared" si="22"/>
        <v>23185.7195656</v>
      </c>
      <c r="J174" s="30">
        <v>0</v>
      </c>
      <c r="K174" s="30">
        <f t="shared" si="21"/>
        <v>0</v>
      </c>
      <c r="L174" s="30">
        <f>E174*J174</f>
        <v>0</v>
      </c>
      <c r="M174" s="72">
        <f>I174+L174</f>
        <v>23185.7195656</v>
      </c>
      <c r="N174" s="26"/>
      <c r="O174" s="921">
        <v>0.93490804699999996</v>
      </c>
      <c r="Q174" s="982"/>
    </row>
    <row r="175" spans="1:17" ht="19.350000000000001" customHeight="1">
      <c r="A175" s="573"/>
      <c r="B175" s="302" t="s">
        <v>991</v>
      </c>
      <c r="C175" s="368"/>
      <c r="D175" s="368"/>
      <c r="E175" s="34"/>
      <c r="F175" s="35"/>
      <c r="G175" s="34"/>
      <c r="H175" s="25">
        <f t="shared" si="20"/>
        <v>0</v>
      </c>
      <c r="I175" s="34">
        <f>SUM(I176:I180)</f>
        <v>238812.91152567999</v>
      </c>
      <c r="J175" s="102"/>
      <c r="K175" s="30">
        <f t="shared" si="21"/>
        <v>0</v>
      </c>
      <c r="L175" s="102">
        <f>SUM(L176:L180)</f>
        <v>0</v>
      </c>
      <c r="M175" s="126">
        <f>SUM(M176:M180)</f>
        <v>238812.91152567999</v>
      </c>
      <c r="N175" s="26"/>
      <c r="O175" s="921">
        <v>0.93490804699999996</v>
      </c>
      <c r="Q175" s="979"/>
    </row>
    <row r="176" spans="1:17" ht="19.350000000000001" customHeight="1">
      <c r="A176" s="573"/>
      <c r="B176" s="265" t="s">
        <v>273</v>
      </c>
      <c r="C176" s="1167" t="s">
        <v>992</v>
      </c>
      <c r="D176" s="301"/>
      <c r="E176" s="25">
        <v>64</v>
      </c>
      <c r="F176" s="26" t="s">
        <v>987</v>
      </c>
      <c r="G176" s="25">
        <v>1200</v>
      </c>
      <c r="H176" s="25">
        <f t="shared" si="20"/>
        <v>1121.8896563999999</v>
      </c>
      <c r="I176" s="25">
        <f>E176*H176</f>
        <v>71800.938009599995</v>
      </c>
      <c r="J176" s="30"/>
      <c r="K176" s="30">
        <f t="shared" si="21"/>
        <v>0</v>
      </c>
      <c r="L176" s="30">
        <f t="shared" ref="L176:L181" si="23">E176*J176</f>
        <v>0</v>
      </c>
      <c r="M176" s="72">
        <f t="shared" ref="M176:M181" si="24">I176+L176</f>
        <v>71800.938009599995</v>
      </c>
      <c r="N176" s="26"/>
      <c r="O176" s="921">
        <v>0.93490804699999996</v>
      </c>
      <c r="Q176" s="979"/>
    </row>
    <row r="177" spans="1:17" ht="19.350000000000001" customHeight="1">
      <c r="A177" s="573"/>
      <c r="B177" s="265" t="s">
        <v>273</v>
      </c>
      <c r="C177" s="29" t="s">
        <v>993</v>
      </c>
      <c r="D177" s="301"/>
      <c r="E177" s="25">
        <v>32</v>
      </c>
      <c r="F177" s="26" t="s">
        <v>349</v>
      </c>
      <c r="G177" s="25">
        <v>20</v>
      </c>
      <c r="H177" s="25">
        <f t="shared" si="20"/>
        <v>18.698160940000001</v>
      </c>
      <c r="I177" s="25">
        <f t="shared" ref="I177:I181" si="25">E177*H177</f>
        <v>598.34115008000003</v>
      </c>
      <c r="J177" s="30">
        <v>0</v>
      </c>
      <c r="K177" s="30">
        <f t="shared" si="21"/>
        <v>0</v>
      </c>
      <c r="L177" s="30">
        <f t="shared" si="23"/>
        <v>0</v>
      </c>
      <c r="M177" s="72">
        <f t="shared" si="24"/>
        <v>598.34115008000003</v>
      </c>
      <c r="N177" s="26"/>
      <c r="O177" s="921">
        <v>0.93490804699999996</v>
      </c>
      <c r="Q177" s="979"/>
    </row>
    <row r="178" spans="1:17" ht="19.350000000000001" customHeight="1">
      <c r="A178" s="573"/>
      <c r="B178" s="265" t="s">
        <v>273</v>
      </c>
      <c r="C178" s="29" t="s">
        <v>988</v>
      </c>
      <c r="D178" s="301"/>
      <c r="E178" s="25">
        <v>60</v>
      </c>
      <c r="F178" s="26" t="s">
        <v>994</v>
      </c>
      <c r="G178" s="25">
        <v>800</v>
      </c>
      <c r="H178" s="25">
        <f t="shared" si="20"/>
        <v>747.92643759999999</v>
      </c>
      <c r="I178" s="25">
        <f t="shared" si="25"/>
        <v>44875.586256000002</v>
      </c>
      <c r="J178" s="30">
        <v>0</v>
      </c>
      <c r="K178" s="30">
        <f t="shared" si="21"/>
        <v>0</v>
      </c>
      <c r="L178" s="30">
        <f t="shared" si="23"/>
        <v>0</v>
      </c>
      <c r="M178" s="72">
        <f t="shared" si="24"/>
        <v>44875.586256000002</v>
      </c>
      <c r="N178" s="26"/>
      <c r="O178" s="921">
        <v>0.93490804699999996</v>
      </c>
      <c r="Q178" s="979"/>
    </row>
    <row r="179" spans="1:17" ht="19.350000000000001" customHeight="1">
      <c r="A179" s="573"/>
      <c r="B179" s="265" t="s">
        <v>273</v>
      </c>
      <c r="C179" s="29" t="s">
        <v>989</v>
      </c>
      <c r="D179" s="301"/>
      <c r="E179" s="25">
        <v>60</v>
      </c>
      <c r="F179" s="26" t="s">
        <v>994</v>
      </c>
      <c r="G179" s="25">
        <v>1500</v>
      </c>
      <c r="H179" s="25">
        <f t="shared" si="20"/>
        <v>1402.3620704999998</v>
      </c>
      <c r="I179" s="25">
        <f t="shared" si="25"/>
        <v>84141.724229999993</v>
      </c>
      <c r="J179" s="30">
        <v>0</v>
      </c>
      <c r="K179" s="30">
        <f t="shared" si="21"/>
        <v>0</v>
      </c>
      <c r="L179" s="30">
        <f t="shared" si="23"/>
        <v>0</v>
      </c>
      <c r="M179" s="72">
        <f t="shared" si="24"/>
        <v>84141.724229999993</v>
      </c>
      <c r="N179" s="26"/>
      <c r="O179" s="921">
        <v>0.93490804699999996</v>
      </c>
      <c r="Q179" s="979"/>
    </row>
    <row r="180" spans="1:17" s="1" customFormat="1" ht="19.350000000000001" customHeight="1">
      <c r="A180" s="573"/>
      <c r="B180" s="265" t="s">
        <v>273</v>
      </c>
      <c r="C180" s="29" t="s">
        <v>990</v>
      </c>
      <c r="D180" s="301"/>
      <c r="E180" s="25">
        <v>200</v>
      </c>
      <c r="F180" s="26" t="s">
        <v>275</v>
      </c>
      <c r="G180" s="25">
        <v>200</v>
      </c>
      <c r="H180" s="25">
        <f t="shared" si="20"/>
        <v>186.9816094</v>
      </c>
      <c r="I180" s="25">
        <f t="shared" si="25"/>
        <v>37396.321879999996</v>
      </c>
      <c r="J180" s="30">
        <v>0</v>
      </c>
      <c r="K180" s="30">
        <f t="shared" si="21"/>
        <v>0</v>
      </c>
      <c r="L180" s="30">
        <f t="shared" si="23"/>
        <v>0</v>
      </c>
      <c r="M180" s="72">
        <f t="shared" si="24"/>
        <v>37396.321879999996</v>
      </c>
      <c r="N180" s="26"/>
      <c r="O180" s="921">
        <v>0.93490804699999996</v>
      </c>
    </row>
    <row r="181" spans="1:17" ht="19.350000000000001" customHeight="1">
      <c r="A181" s="980"/>
      <c r="B181" s="302" t="s">
        <v>995</v>
      </c>
      <c r="C181" s="612" t="s">
        <v>996</v>
      </c>
      <c r="D181" s="303"/>
      <c r="E181" s="25">
        <v>22</v>
      </c>
      <c r="F181" s="26" t="s">
        <v>211</v>
      </c>
      <c r="G181" s="25">
        <v>18181.818181818198</v>
      </c>
      <c r="H181" s="25">
        <f t="shared" si="20"/>
        <v>16998.328127272744</v>
      </c>
      <c r="I181" s="25">
        <f t="shared" si="25"/>
        <v>373963.21880000038</v>
      </c>
      <c r="J181" s="30"/>
      <c r="K181" s="30">
        <f t="shared" si="21"/>
        <v>0</v>
      </c>
      <c r="L181" s="30">
        <f t="shared" si="23"/>
        <v>0</v>
      </c>
      <c r="M181" s="72">
        <f t="shared" si="24"/>
        <v>373963.21880000038</v>
      </c>
      <c r="N181" s="35"/>
      <c r="O181" s="921">
        <v>0.93490804699999996</v>
      </c>
    </row>
    <row r="182" spans="1:17" ht="19.350000000000001" customHeight="1">
      <c r="A182" s="265"/>
      <c r="B182" s="283"/>
      <c r="C182" s="43"/>
      <c r="D182" s="286"/>
      <c r="E182" s="25"/>
      <c r="F182" s="26"/>
      <c r="G182" s="30"/>
      <c r="H182" s="30"/>
      <c r="I182" s="30"/>
      <c r="J182" s="30"/>
      <c r="K182" s="30"/>
      <c r="L182" s="72"/>
      <c r="M182" s="26"/>
      <c r="N182" s="26"/>
      <c r="O182" s="921"/>
    </row>
    <row r="183" spans="1:17" ht="19.350000000000001" customHeight="1">
      <c r="A183" s="58"/>
      <c r="B183" s="1275" t="s">
        <v>997</v>
      </c>
      <c r="C183" s="1276"/>
      <c r="D183" s="1277"/>
      <c r="E183" s="34"/>
      <c r="F183" s="35"/>
      <c r="G183" s="34"/>
      <c r="H183" s="34"/>
      <c r="I183" s="34">
        <f>I170+I175+I181</f>
        <v>755256.11668848037</v>
      </c>
      <c r="J183" s="34"/>
      <c r="K183" s="34"/>
      <c r="L183" s="34"/>
      <c r="M183" s="34">
        <f>M170+M175+M181</f>
        <v>755256.11668848037</v>
      </c>
      <c r="N183" s="415"/>
      <c r="O183" s="921"/>
    </row>
    <row r="184" spans="1:17" ht="19.350000000000001" customHeight="1">
      <c r="A184" s="280"/>
      <c r="B184" s="352"/>
      <c r="C184" s="368"/>
      <c r="D184" s="267"/>
      <c r="E184" s="25"/>
      <c r="F184" s="26"/>
      <c r="G184" s="72"/>
      <c r="H184" s="72"/>
      <c r="I184" s="72"/>
      <c r="J184" s="25"/>
      <c r="K184" s="25"/>
      <c r="L184" s="72"/>
      <c r="M184" s="26"/>
      <c r="N184" s="26"/>
      <c r="O184" s="921"/>
    </row>
    <row r="185" spans="1:17" ht="19.350000000000001" customHeight="1">
      <c r="A185" s="372"/>
      <c r="B185" s="352"/>
      <c r="C185" s="368"/>
      <c r="D185" s="267"/>
      <c r="E185" s="25"/>
      <c r="F185" s="26"/>
      <c r="G185" s="72"/>
      <c r="H185" s="72"/>
      <c r="I185" s="72"/>
      <c r="J185" s="25"/>
      <c r="K185" s="25"/>
      <c r="L185" s="72"/>
      <c r="M185" s="26"/>
      <c r="N185" s="26"/>
      <c r="O185" s="921"/>
    </row>
    <row r="186" spans="1:17" ht="19.350000000000001" customHeight="1">
      <c r="A186" s="981"/>
      <c r="B186" s="315"/>
      <c r="C186" s="47"/>
      <c r="D186" s="24"/>
      <c r="E186" s="25"/>
      <c r="F186" s="26"/>
      <c r="G186" s="72"/>
      <c r="H186" s="72"/>
      <c r="I186" s="72"/>
      <c r="J186" s="25"/>
      <c r="K186" s="25"/>
      <c r="L186" s="72"/>
      <c r="M186" s="26"/>
      <c r="N186" s="26"/>
      <c r="O186" s="921"/>
    </row>
    <row r="187" spans="1:17" ht="19.350000000000001" customHeight="1">
      <c r="A187" s="280"/>
      <c r="B187" s="315"/>
      <c r="C187" s="47"/>
      <c r="D187" s="24"/>
      <c r="E187" s="25"/>
      <c r="F187" s="26"/>
      <c r="G187" s="72"/>
      <c r="H187" s="72"/>
      <c r="I187" s="72"/>
      <c r="J187" s="25"/>
      <c r="K187" s="25"/>
      <c r="L187" s="72"/>
      <c r="M187" s="26"/>
      <c r="N187" s="26"/>
      <c r="O187" s="921"/>
    </row>
    <row r="188" spans="1:17" ht="19.350000000000001" customHeight="1">
      <c r="A188" s="115"/>
      <c r="B188" s="41"/>
      <c r="C188" s="47"/>
      <c r="D188" s="24"/>
      <c r="E188" s="72"/>
      <c r="F188" s="26"/>
      <c r="G188" s="72"/>
      <c r="H188" s="72"/>
      <c r="I188" s="72"/>
      <c r="J188" s="72"/>
      <c r="K188" s="72"/>
      <c r="L188" s="72"/>
      <c r="M188" s="26"/>
      <c r="N188" s="26"/>
      <c r="O188" s="921"/>
    </row>
    <row r="189" spans="1:17" ht="19.350000000000001" customHeight="1">
      <c r="A189" s="115"/>
      <c r="B189" s="315"/>
      <c r="C189" s="285"/>
      <c r="D189" s="40"/>
      <c r="E189" s="72"/>
      <c r="F189" s="26"/>
      <c r="G189" s="72"/>
      <c r="H189" s="72"/>
      <c r="I189" s="72"/>
      <c r="J189" s="72"/>
      <c r="K189" s="72"/>
      <c r="L189" s="72"/>
      <c r="M189" s="26"/>
      <c r="N189" s="26"/>
      <c r="O189" s="921"/>
    </row>
    <row r="190" spans="1:17" ht="19.350000000000001" customHeight="1">
      <c r="A190" s="115"/>
      <c r="B190" s="399"/>
      <c r="C190" s="43"/>
      <c r="D190" s="24"/>
      <c r="E190" s="72"/>
      <c r="F190" s="26"/>
      <c r="G190" s="72"/>
      <c r="H190" s="72"/>
      <c r="I190" s="72"/>
      <c r="J190" s="72"/>
      <c r="K190" s="72"/>
      <c r="L190" s="72"/>
      <c r="M190" s="26"/>
      <c r="N190" s="26"/>
      <c r="O190" s="921"/>
    </row>
    <row r="191" spans="1:17" ht="19.350000000000001" customHeight="1">
      <c r="A191" s="21"/>
      <c r="B191" s="399"/>
      <c r="C191" s="43"/>
      <c r="D191" s="286"/>
      <c r="E191" s="72"/>
      <c r="F191" s="26"/>
      <c r="G191" s="72"/>
      <c r="H191" s="72"/>
      <c r="I191" s="72"/>
      <c r="J191" s="72"/>
      <c r="K191" s="72"/>
      <c r="L191" s="72"/>
      <c r="M191" s="26"/>
      <c r="N191" s="26"/>
      <c r="O191" s="921"/>
    </row>
    <row r="192" spans="1:17" ht="19.350000000000001" customHeight="1">
      <c r="A192" s="21"/>
      <c r="B192" s="265"/>
      <c r="C192" s="48"/>
      <c r="D192" s="49"/>
      <c r="E192" s="25"/>
      <c r="F192" s="26"/>
      <c r="G192" s="25"/>
      <c r="H192" s="25"/>
      <c r="I192" s="25"/>
      <c r="J192" s="25"/>
      <c r="K192" s="25"/>
      <c r="L192" s="30"/>
      <c r="M192" s="25"/>
      <c r="N192" s="26"/>
      <c r="O192" s="921"/>
    </row>
    <row r="193" spans="1:15" ht="19.350000000000001" customHeight="1">
      <c r="A193" s="21"/>
      <c r="B193" s="265"/>
      <c r="C193" s="48"/>
      <c r="D193" s="49"/>
      <c r="E193" s="25"/>
      <c r="F193" s="26"/>
      <c r="G193" s="25"/>
      <c r="H193" s="25"/>
      <c r="I193" s="25"/>
      <c r="J193" s="25"/>
      <c r="K193" s="25"/>
      <c r="L193" s="30"/>
      <c r="M193" s="25"/>
      <c r="N193" s="26"/>
      <c r="O193" s="921"/>
    </row>
    <row r="194" spans="1:15" ht="19.350000000000001" customHeight="1">
      <c r="A194" s="21"/>
      <c r="B194" s="265"/>
      <c r="C194" s="48"/>
      <c r="D194" s="49"/>
      <c r="E194" s="25"/>
      <c r="F194" s="26"/>
      <c r="G194" s="25"/>
      <c r="H194" s="25"/>
      <c r="I194" s="25"/>
      <c r="J194" s="25"/>
      <c r="K194" s="25"/>
      <c r="L194" s="30"/>
      <c r="M194" s="25"/>
      <c r="N194" s="26"/>
      <c r="O194" s="921"/>
    </row>
    <row r="195" spans="1:15" ht="19.350000000000001" customHeight="1">
      <c r="A195" s="50"/>
      <c r="B195" s="983"/>
      <c r="C195" s="271"/>
      <c r="D195" s="236"/>
      <c r="E195" s="54"/>
      <c r="F195" s="55"/>
      <c r="G195" s="54"/>
      <c r="H195" s="54"/>
      <c r="I195" s="54"/>
      <c r="J195" s="54"/>
      <c r="K195" s="54"/>
      <c r="L195" s="146"/>
      <c r="M195" s="54"/>
      <c r="N195" s="55"/>
      <c r="O195" s="921"/>
    </row>
    <row r="196" spans="1:15" ht="19.350000000000001" customHeight="1">
      <c r="O196" s="921"/>
    </row>
    <row r="197" spans="1:15" ht="19.350000000000001" customHeight="1">
      <c r="O197" s="921"/>
    </row>
    <row r="198" spans="1:15" ht="19.350000000000001" customHeight="1">
      <c r="O198" s="921"/>
    </row>
    <row r="199" spans="1:15" ht="19.350000000000001" customHeight="1">
      <c r="O199" s="921"/>
    </row>
    <row r="200" spans="1:15" ht="19.350000000000001" customHeight="1">
      <c r="O200" s="921"/>
    </row>
    <row r="201" spans="1:15" ht="19.350000000000001" customHeight="1">
      <c r="O201" s="921"/>
    </row>
    <row r="202" spans="1:15" ht="19.350000000000001" customHeight="1">
      <c r="O202" s="921"/>
    </row>
    <row r="203" spans="1:15" ht="19.350000000000001" customHeight="1">
      <c r="O203" s="921"/>
    </row>
    <row r="204" spans="1:15" ht="19.350000000000001" customHeight="1">
      <c r="O204" s="921"/>
    </row>
    <row r="205" spans="1:15" ht="19.350000000000001" customHeight="1">
      <c r="O205" s="921"/>
    </row>
    <row r="206" spans="1:15" ht="19.350000000000001" customHeight="1">
      <c r="O206" s="921"/>
    </row>
    <row r="207" spans="1:15" ht="19.350000000000001" customHeight="1">
      <c r="O207" s="921"/>
    </row>
    <row r="208" spans="1:15" ht="19.350000000000001" customHeight="1">
      <c r="O208" s="921"/>
    </row>
    <row r="209" spans="15:15" ht="19.350000000000001" customHeight="1">
      <c r="O209" s="921"/>
    </row>
    <row r="210" spans="15:15" ht="19.350000000000001" customHeight="1">
      <c r="O210" s="921"/>
    </row>
    <row r="211" spans="15:15" ht="19.350000000000001" customHeight="1">
      <c r="O211" s="921"/>
    </row>
    <row r="212" spans="15:15" ht="19.350000000000001" customHeight="1">
      <c r="O212" s="921"/>
    </row>
    <row r="213" spans="15:15" ht="19.350000000000001" customHeight="1">
      <c r="O213" s="921"/>
    </row>
    <row r="214" spans="15:15" ht="19.350000000000001" customHeight="1">
      <c r="O214" s="921"/>
    </row>
    <row r="215" spans="15:15" ht="19.350000000000001" customHeight="1">
      <c r="O215" s="921"/>
    </row>
    <row r="216" spans="15:15" ht="19.350000000000001" customHeight="1">
      <c r="O216" s="921"/>
    </row>
    <row r="217" spans="15:15" ht="19.350000000000001" customHeight="1">
      <c r="O217" s="921"/>
    </row>
    <row r="218" spans="15:15" ht="19.350000000000001" customHeight="1">
      <c r="O218" s="921"/>
    </row>
    <row r="219" spans="15:15" ht="19.350000000000001" customHeight="1">
      <c r="O219" s="921"/>
    </row>
    <row r="220" spans="15:15" ht="19.350000000000001" customHeight="1">
      <c r="O220" s="921"/>
    </row>
    <row r="221" spans="15:15" ht="19.350000000000001" customHeight="1">
      <c r="O221" s="921"/>
    </row>
    <row r="222" spans="15:15" ht="19.350000000000001" customHeight="1">
      <c r="O222" s="590"/>
    </row>
    <row r="223" spans="15:15" ht="19.350000000000001" customHeight="1">
      <c r="O223" s="590"/>
    </row>
    <row r="224" spans="15:15" ht="19.350000000000001" customHeight="1">
      <c r="O224" s="590"/>
    </row>
    <row r="225" spans="15:15" ht="19.350000000000001" customHeight="1">
      <c r="O225" s="590"/>
    </row>
    <row r="226" spans="15:15" ht="19.350000000000001" customHeight="1">
      <c r="O226" s="590"/>
    </row>
    <row r="227" spans="15:15" ht="19.350000000000001" customHeight="1">
      <c r="O227" s="590"/>
    </row>
    <row r="228" spans="15:15" ht="19.350000000000001" customHeight="1">
      <c r="O228" s="590"/>
    </row>
    <row r="229" spans="15:15" ht="19.350000000000001" customHeight="1">
      <c r="O229" s="590"/>
    </row>
    <row r="230" spans="15:15" ht="19.350000000000001" customHeight="1">
      <c r="O230" s="590"/>
    </row>
    <row r="231" spans="15:15" ht="19.350000000000001" customHeight="1">
      <c r="O231" s="590"/>
    </row>
    <row r="232" spans="15:15" ht="19.350000000000001" customHeight="1">
      <c r="O232" s="590"/>
    </row>
    <row r="233" spans="15:15" ht="19.350000000000001" customHeight="1">
      <c r="O233" s="590"/>
    </row>
    <row r="234" spans="15:15" ht="19.350000000000001" customHeight="1">
      <c r="O234" s="590"/>
    </row>
    <row r="235" spans="15:15" ht="19.350000000000001" customHeight="1">
      <c r="O235" s="590"/>
    </row>
    <row r="236" spans="15:15" ht="19.350000000000001" customHeight="1">
      <c r="O236" s="590"/>
    </row>
    <row r="237" spans="15:15" ht="19.350000000000001" customHeight="1">
      <c r="O237" s="590"/>
    </row>
    <row r="238" spans="15:15" ht="19.350000000000001" customHeight="1">
      <c r="O238" s="590"/>
    </row>
    <row r="239" spans="15:15" ht="19.350000000000001" customHeight="1">
      <c r="O239" s="590"/>
    </row>
    <row r="240" spans="15:15" ht="19.350000000000001" customHeight="1">
      <c r="O240" s="590"/>
    </row>
    <row r="241" spans="15:15" ht="19.350000000000001" customHeight="1">
      <c r="O241" s="590"/>
    </row>
    <row r="242" spans="15:15" ht="19.350000000000001" customHeight="1">
      <c r="O242" s="590"/>
    </row>
    <row r="243" spans="15:15" ht="19.350000000000001" customHeight="1">
      <c r="O243" s="590"/>
    </row>
    <row r="244" spans="15:15" ht="19.350000000000001" customHeight="1">
      <c r="O244" s="921">
        <v>0.93450996900000005</v>
      </c>
    </row>
    <row r="245" spans="15:15" ht="19.350000000000001" customHeight="1">
      <c r="O245" s="921">
        <v>0.93450996900000005</v>
      </c>
    </row>
    <row r="246" spans="15:15" ht="19.350000000000001" customHeight="1">
      <c r="O246" s="921">
        <v>0.93450996900000005</v>
      </c>
    </row>
    <row r="247" spans="15:15" ht="19.350000000000001" customHeight="1">
      <c r="O247" s="921">
        <v>0.93450996900000005</v>
      </c>
    </row>
    <row r="248" spans="15:15" ht="19.350000000000001" customHeight="1">
      <c r="O248" s="921">
        <v>0.93450996900000005</v>
      </c>
    </row>
    <row r="249" spans="15:15" ht="19.350000000000001" customHeight="1">
      <c r="O249" s="921">
        <v>0.93450996900000005</v>
      </c>
    </row>
    <row r="250" spans="15:15" ht="19.350000000000001" customHeight="1">
      <c r="O250" s="921">
        <v>0.93450996900000005</v>
      </c>
    </row>
    <row r="251" spans="15:15" ht="19.350000000000001" customHeight="1">
      <c r="O251" s="921">
        <v>0.93450996900000005</v>
      </c>
    </row>
    <row r="252" spans="15:15" ht="19.350000000000001" customHeight="1">
      <c r="O252" s="921">
        <v>0.93450996900000005</v>
      </c>
    </row>
    <row r="253" spans="15:15" ht="19.350000000000001" customHeight="1">
      <c r="O253" s="921">
        <v>0.93450996900000005</v>
      </c>
    </row>
    <row r="254" spans="15:15" ht="19.350000000000001" customHeight="1">
      <c r="O254" s="921">
        <v>0.93450996900000005</v>
      </c>
    </row>
    <row r="255" spans="15:15" ht="19.350000000000001" customHeight="1">
      <c r="O255" s="921">
        <v>0.93450996900000005</v>
      </c>
    </row>
    <row r="256" spans="15:15" ht="19.350000000000001" customHeight="1">
      <c r="O256" s="921">
        <v>0.93450996900000005</v>
      </c>
    </row>
    <row r="257" spans="15:15" ht="19.350000000000001" customHeight="1">
      <c r="O257" s="921">
        <v>0.93450996900000005</v>
      </c>
    </row>
    <row r="258" spans="15:15" ht="19.350000000000001" customHeight="1">
      <c r="O258" s="921">
        <v>0.93450996900000005</v>
      </c>
    </row>
    <row r="259" spans="15:15" ht="19.350000000000001" customHeight="1">
      <c r="O259" s="921">
        <v>0.93450996900000005</v>
      </c>
    </row>
    <row r="260" spans="15:15" ht="19.350000000000001" customHeight="1">
      <c r="O260" s="921">
        <v>0.93450996900000005</v>
      </c>
    </row>
    <row r="261" spans="15:15" ht="19.350000000000001" customHeight="1">
      <c r="O261" s="921">
        <v>0.93450996900000005</v>
      </c>
    </row>
    <row r="262" spans="15:15" ht="19.350000000000001" customHeight="1">
      <c r="O262" s="921">
        <v>0.93450996900000005</v>
      </c>
    </row>
    <row r="263" spans="15:15" ht="19.350000000000001" customHeight="1">
      <c r="O263" s="921">
        <v>0.93450996900000005</v>
      </c>
    </row>
    <row r="264" spans="15:15" ht="19.350000000000001" customHeight="1">
      <c r="O264" s="921">
        <v>0.93450996900000005</v>
      </c>
    </row>
    <row r="265" spans="15:15" ht="19.350000000000001" customHeight="1">
      <c r="O265" s="921">
        <v>0.93450996900000005</v>
      </c>
    </row>
    <row r="266" spans="15:15" ht="19.350000000000001" customHeight="1">
      <c r="O266" s="921">
        <v>0.93450996900000005</v>
      </c>
    </row>
    <row r="267" spans="15:15" ht="19.350000000000001" customHeight="1">
      <c r="O267" s="921">
        <v>0.93450996900000005</v>
      </c>
    </row>
    <row r="268" spans="15:15" ht="19.350000000000001" customHeight="1">
      <c r="O268" s="921">
        <v>0.93450996900000005</v>
      </c>
    </row>
    <row r="269" spans="15:15" ht="19.350000000000001" customHeight="1">
      <c r="O269" s="921">
        <v>0.93450996900000005</v>
      </c>
    </row>
    <row r="270" spans="15:15" ht="19.350000000000001" customHeight="1">
      <c r="O270" s="921">
        <v>0.93450996900000005</v>
      </c>
    </row>
    <row r="271" spans="15:15" ht="19.350000000000001" customHeight="1">
      <c r="O271" s="921">
        <v>0.93450996900000005</v>
      </c>
    </row>
    <row r="272" spans="15:15" ht="19.350000000000001" customHeight="1">
      <c r="O272" s="921">
        <v>0.93450996900000005</v>
      </c>
    </row>
    <row r="273" spans="15:15" ht="19.350000000000001" customHeight="1">
      <c r="O273" s="921">
        <v>0.93450996900000005</v>
      </c>
    </row>
    <row r="274" spans="15:15" ht="19.350000000000001" customHeight="1">
      <c r="O274" s="921">
        <v>0.93450996900000005</v>
      </c>
    </row>
    <row r="275" spans="15:15" ht="19.350000000000001" customHeight="1">
      <c r="O275" s="921">
        <v>0.93450996900000005</v>
      </c>
    </row>
    <row r="276" spans="15:15" ht="19.350000000000001" customHeight="1">
      <c r="O276" s="921">
        <v>0.93450996900000005</v>
      </c>
    </row>
    <row r="277" spans="15:15" ht="19.350000000000001" customHeight="1">
      <c r="O277" s="921">
        <v>0.93450996900000005</v>
      </c>
    </row>
    <row r="278" spans="15:15" ht="19.350000000000001" customHeight="1">
      <c r="O278" s="921">
        <v>0.93450996900000005</v>
      </c>
    </row>
    <row r="279" spans="15:15" ht="19.350000000000001" customHeight="1">
      <c r="O279" s="921">
        <v>0.93450996900000005</v>
      </c>
    </row>
    <row r="280" spans="15:15" ht="19.350000000000001" customHeight="1">
      <c r="O280" s="921">
        <v>0.93450996900000005</v>
      </c>
    </row>
    <row r="281" spans="15:15" ht="19.350000000000001" customHeight="1">
      <c r="O281" s="921">
        <v>0.93450996900000005</v>
      </c>
    </row>
    <row r="282" spans="15:15" ht="19.350000000000001" customHeight="1">
      <c r="O282" s="921">
        <v>0.93450996900000005</v>
      </c>
    </row>
    <row r="283" spans="15:15" ht="19.350000000000001" customHeight="1">
      <c r="O283" s="921">
        <v>0.93450996900000005</v>
      </c>
    </row>
    <row r="284" spans="15:15" ht="19.350000000000001" customHeight="1">
      <c r="O284" s="921">
        <v>0.93450996900000005</v>
      </c>
    </row>
    <row r="285" spans="15:15" ht="19.350000000000001" customHeight="1">
      <c r="O285" s="921">
        <v>0.93450996900000005</v>
      </c>
    </row>
    <row r="286" spans="15:15" ht="19.350000000000001" customHeight="1">
      <c r="O286" s="921">
        <v>0.93450996900000005</v>
      </c>
    </row>
    <row r="287" spans="15:15" ht="19.350000000000001" customHeight="1">
      <c r="O287" s="921">
        <v>0.93450996900000005</v>
      </c>
    </row>
    <row r="288" spans="15:15" ht="19.350000000000001" customHeight="1">
      <c r="O288" s="921">
        <v>0.93450996900000005</v>
      </c>
    </row>
    <row r="289" spans="15:15" ht="19.350000000000001" customHeight="1">
      <c r="O289" s="921">
        <v>0.93450996900000005</v>
      </c>
    </row>
    <row r="290" spans="15:15" ht="19.350000000000001" customHeight="1">
      <c r="O290" s="921">
        <v>0.93450996900000005</v>
      </c>
    </row>
    <row r="291" spans="15:15" ht="19.350000000000001" customHeight="1">
      <c r="O291" s="921">
        <v>0.93450996900000005</v>
      </c>
    </row>
    <row r="292" spans="15:15" ht="19.350000000000001" customHeight="1">
      <c r="O292" s="921">
        <v>0.93450996900000005</v>
      </c>
    </row>
    <row r="293" spans="15:15" ht="19.350000000000001" customHeight="1">
      <c r="O293" s="921">
        <v>0.93450996900000005</v>
      </c>
    </row>
    <row r="294" spans="15:15" ht="19.350000000000001" customHeight="1">
      <c r="O294" s="921">
        <v>0.93450996900000005</v>
      </c>
    </row>
    <row r="295" spans="15:15" ht="19.350000000000001" customHeight="1">
      <c r="O295" s="921">
        <v>0.93450996900000005</v>
      </c>
    </row>
    <row r="296" spans="15:15" ht="19.350000000000001" customHeight="1">
      <c r="O296" s="921">
        <v>0.93450996900000005</v>
      </c>
    </row>
    <row r="297" spans="15:15" ht="19.350000000000001" customHeight="1">
      <c r="O297" s="921">
        <v>0.93450996900000005</v>
      </c>
    </row>
    <row r="298" spans="15:15" ht="19.350000000000001" customHeight="1">
      <c r="O298" s="921">
        <v>0.93450996900000005</v>
      </c>
    </row>
    <row r="299" spans="15:15" ht="19.350000000000001" customHeight="1">
      <c r="O299" s="921">
        <v>0.93450996900000005</v>
      </c>
    </row>
    <row r="300" spans="15:15" ht="19.350000000000001" customHeight="1">
      <c r="O300" s="921">
        <v>0.93450996900000005</v>
      </c>
    </row>
    <row r="301" spans="15:15" ht="19.350000000000001" customHeight="1">
      <c r="O301" s="921">
        <v>0.93450996900000005</v>
      </c>
    </row>
    <row r="302" spans="15:15" ht="19.350000000000001" customHeight="1">
      <c r="O302" s="921">
        <v>0.93450996900000005</v>
      </c>
    </row>
    <row r="303" spans="15:15" ht="19.350000000000001" customHeight="1">
      <c r="O303" s="921">
        <v>0.93450996900000005</v>
      </c>
    </row>
    <row r="304" spans="15:15" ht="19.350000000000001" customHeight="1">
      <c r="O304" s="921">
        <v>0.93450996900000005</v>
      </c>
    </row>
    <row r="305" spans="15:15" ht="19.350000000000001" customHeight="1">
      <c r="O305" s="921">
        <v>0.93450996900000005</v>
      </c>
    </row>
    <row r="306" spans="15:15" ht="19.350000000000001" customHeight="1">
      <c r="O306" s="921">
        <v>0.93450996900000005</v>
      </c>
    </row>
    <row r="307" spans="15:15" ht="19.350000000000001" customHeight="1">
      <c r="O307" s="921">
        <v>0.93450996900000005</v>
      </c>
    </row>
    <row r="308" spans="15:15" ht="19.350000000000001" customHeight="1">
      <c r="O308" s="921">
        <v>0.93450996900000005</v>
      </c>
    </row>
    <row r="309" spans="15:15" ht="19.350000000000001" customHeight="1">
      <c r="O309" s="921">
        <v>0.93450996900000005</v>
      </c>
    </row>
    <row r="310" spans="15:15" ht="19.350000000000001" customHeight="1">
      <c r="O310" s="921">
        <v>0.93450996900000005</v>
      </c>
    </row>
    <row r="311" spans="15:15" ht="19.350000000000001" customHeight="1">
      <c r="O311" s="921">
        <v>0.93450996900000005</v>
      </c>
    </row>
    <row r="312" spans="15:15" ht="19.350000000000001" customHeight="1">
      <c r="O312" s="921">
        <v>0.93450996900000005</v>
      </c>
    </row>
    <row r="313" spans="15:15" ht="19.350000000000001" customHeight="1">
      <c r="O313" s="921">
        <v>0.93450996900000005</v>
      </c>
    </row>
    <row r="314" spans="15:15" ht="19.350000000000001" customHeight="1">
      <c r="O314" s="921">
        <v>0.93450996900000005</v>
      </c>
    </row>
    <row r="315" spans="15:15" ht="19.350000000000001" customHeight="1">
      <c r="O315" s="921">
        <v>0.93450996900000005</v>
      </c>
    </row>
    <row r="316" spans="15:15" ht="19.350000000000001" customHeight="1">
      <c r="O316" s="921">
        <v>0.93450996900000005</v>
      </c>
    </row>
    <row r="317" spans="15:15" ht="19.350000000000001" customHeight="1">
      <c r="O317" s="921">
        <v>0.93450996900000005</v>
      </c>
    </row>
    <row r="318" spans="15:15" ht="19.350000000000001" customHeight="1">
      <c r="O318" s="921">
        <v>0.93450996900000005</v>
      </c>
    </row>
    <row r="319" spans="15:15" ht="19.350000000000001" customHeight="1">
      <c r="O319" s="921">
        <v>0.93450996900000005</v>
      </c>
    </row>
    <row r="320" spans="15:15" ht="19.350000000000001" customHeight="1">
      <c r="O320" s="921">
        <v>0.93450996900000005</v>
      </c>
    </row>
    <row r="321" spans="15:15" ht="19.350000000000001" customHeight="1">
      <c r="O321" s="921">
        <v>0.93450996900000005</v>
      </c>
    </row>
    <row r="322" spans="15:15" ht="19.350000000000001" customHeight="1">
      <c r="O322" s="921">
        <v>0.93450996900000005</v>
      </c>
    </row>
    <row r="326" spans="15:15" ht="19.350000000000001" customHeight="1">
      <c r="O326" s="590"/>
    </row>
    <row r="327" spans="15:15" ht="19.350000000000001" customHeight="1">
      <c r="O327" s="590"/>
    </row>
    <row r="328" spans="15:15" ht="19.350000000000001" customHeight="1">
      <c r="O328" s="921">
        <v>0.93450996900000005</v>
      </c>
    </row>
    <row r="329" spans="15:15" ht="19.350000000000001" customHeight="1">
      <c r="O329" s="921">
        <v>0.93450996900000005</v>
      </c>
    </row>
    <row r="330" spans="15:15" ht="19.350000000000001" customHeight="1">
      <c r="O330" s="921">
        <v>0.93450996900000005</v>
      </c>
    </row>
    <row r="331" spans="15:15" ht="19.350000000000001" customHeight="1">
      <c r="O331" s="921">
        <v>0.93450996900000005</v>
      </c>
    </row>
    <row r="332" spans="15:15" ht="19.350000000000001" customHeight="1">
      <c r="O332" s="921">
        <v>0.93450996900000005</v>
      </c>
    </row>
    <row r="333" spans="15:15" ht="19.350000000000001" customHeight="1">
      <c r="O333" s="921">
        <v>0.93450996900000005</v>
      </c>
    </row>
    <row r="334" spans="15:15" ht="19.350000000000001" customHeight="1">
      <c r="O334" s="921">
        <v>0.93450996900000005</v>
      </c>
    </row>
    <row r="335" spans="15:15" ht="19.350000000000001" customHeight="1">
      <c r="O335" s="921">
        <v>0.93450996900000005</v>
      </c>
    </row>
    <row r="336" spans="15:15" ht="19.350000000000001" customHeight="1">
      <c r="O336" s="921">
        <v>0.93450996900000005</v>
      </c>
    </row>
    <row r="337" spans="15:15" ht="19.350000000000001" customHeight="1">
      <c r="O337" s="921">
        <v>0.93450996900000005</v>
      </c>
    </row>
    <row r="338" spans="15:15" ht="19.350000000000001" customHeight="1">
      <c r="O338" s="921">
        <v>0.93450996900000005</v>
      </c>
    </row>
    <row r="339" spans="15:15" ht="19.350000000000001" customHeight="1">
      <c r="O339" s="921">
        <v>0.93450996900000005</v>
      </c>
    </row>
    <row r="340" spans="15:15" ht="19.350000000000001" customHeight="1">
      <c r="O340" s="921">
        <v>0.93450996900000005</v>
      </c>
    </row>
    <row r="341" spans="15:15" ht="19.350000000000001" customHeight="1">
      <c r="O341" s="921">
        <v>0.93450996900000005</v>
      </c>
    </row>
    <row r="342" spans="15:15" ht="19.350000000000001" customHeight="1">
      <c r="O342" s="921">
        <v>0.93450996900000005</v>
      </c>
    </row>
    <row r="343" spans="15:15" ht="19.350000000000001" customHeight="1">
      <c r="O343" s="921">
        <v>0.93450996900000005</v>
      </c>
    </row>
    <row r="344" spans="15:15" ht="19.350000000000001" customHeight="1">
      <c r="O344" s="921">
        <v>0.93450996900000005</v>
      </c>
    </row>
    <row r="345" spans="15:15" ht="19.350000000000001" customHeight="1">
      <c r="O345" s="921">
        <v>0.93450996900000005</v>
      </c>
    </row>
    <row r="346" spans="15:15" ht="19.350000000000001" customHeight="1">
      <c r="O346" s="921">
        <v>0.93450996900000005</v>
      </c>
    </row>
    <row r="347" spans="15:15" ht="19.350000000000001" customHeight="1">
      <c r="O347" s="921">
        <v>0.93450996900000005</v>
      </c>
    </row>
    <row r="348" spans="15:15" ht="19.350000000000001" customHeight="1">
      <c r="O348" s="921">
        <v>0.93450996900000005</v>
      </c>
    </row>
    <row r="349" spans="15:15" ht="19.350000000000001" customHeight="1">
      <c r="O349" s="921">
        <v>0.93450996900000005</v>
      </c>
    </row>
    <row r="350" spans="15:15" ht="19.350000000000001" customHeight="1">
      <c r="O350" s="921">
        <v>0.93450996900000005</v>
      </c>
    </row>
    <row r="351" spans="15:15" ht="19.350000000000001" customHeight="1">
      <c r="O351" s="921">
        <v>0.93450996900000005</v>
      </c>
    </row>
    <row r="352" spans="15:15" ht="19.350000000000001" customHeight="1">
      <c r="O352" s="921">
        <v>0.93450996900000005</v>
      </c>
    </row>
    <row r="353" spans="15:15" ht="19.350000000000001" customHeight="1">
      <c r="O353" s="921">
        <v>0.93450996900000005</v>
      </c>
    </row>
    <row r="354" spans="15:15" ht="19.350000000000001" customHeight="1">
      <c r="O354" s="921">
        <v>0.93450996900000005</v>
      </c>
    </row>
    <row r="355" spans="15:15" ht="19.350000000000001" customHeight="1">
      <c r="O355" s="921">
        <v>0.93450996900000005</v>
      </c>
    </row>
    <row r="356" spans="15:15" ht="19.350000000000001" customHeight="1">
      <c r="O356" s="921">
        <v>0.93450996900000005</v>
      </c>
    </row>
    <row r="357" spans="15:15" ht="19.350000000000001" customHeight="1">
      <c r="O357" s="921">
        <v>0.93450996900000005</v>
      </c>
    </row>
    <row r="358" spans="15:15" ht="19.350000000000001" customHeight="1">
      <c r="O358" s="921">
        <v>0.93450996900000005</v>
      </c>
    </row>
    <row r="359" spans="15:15" ht="19.350000000000001" customHeight="1">
      <c r="O359" s="921">
        <v>0.93450996900000005</v>
      </c>
    </row>
    <row r="360" spans="15:15" ht="19.350000000000001" customHeight="1">
      <c r="O360" s="921">
        <v>0.93450996900000005</v>
      </c>
    </row>
    <row r="361" spans="15:15" ht="19.350000000000001" customHeight="1">
      <c r="O361" s="921">
        <v>0.93450996900000005</v>
      </c>
    </row>
    <row r="362" spans="15:15" ht="19.350000000000001" customHeight="1">
      <c r="O362" s="921">
        <v>0.93450996900000005</v>
      </c>
    </row>
    <row r="363" spans="15:15" ht="19.350000000000001" customHeight="1">
      <c r="O363" s="921">
        <v>0.93450996900000005</v>
      </c>
    </row>
    <row r="364" spans="15:15" ht="19.350000000000001" customHeight="1">
      <c r="O364" s="921">
        <v>0.93450996900000005</v>
      </c>
    </row>
    <row r="365" spans="15:15" ht="19.350000000000001" customHeight="1">
      <c r="O365" s="921">
        <v>0.93450996900000005</v>
      </c>
    </row>
    <row r="366" spans="15:15" ht="19.350000000000001" customHeight="1">
      <c r="O366" s="921">
        <v>0.93450996900000005</v>
      </c>
    </row>
    <row r="367" spans="15:15" ht="19.350000000000001" customHeight="1">
      <c r="O367" s="921">
        <v>0.93450996900000005</v>
      </c>
    </row>
    <row r="368" spans="15:15" ht="19.350000000000001" customHeight="1">
      <c r="O368" s="921">
        <v>0.93450996900000005</v>
      </c>
    </row>
    <row r="369" spans="15:15" ht="19.350000000000001" customHeight="1">
      <c r="O369" s="921">
        <v>0.93450996900000005</v>
      </c>
    </row>
    <row r="370" spans="15:15" ht="19.350000000000001" customHeight="1">
      <c r="O370" s="921">
        <v>0.93450996900000005</v>
      </c>
    </row>
    <row r="371" spans="15:15" ht="19.350000000000001" customHeight="1">
      <c r="O371" s="921">
        <v>0.93450996900000005</v>
      </c>
    </row>
    <row r="372" spans="15:15" ht="19.350000000000001" customHeight="1">
      <c r="O372" s="921">
        <v>0.93450996900000005</v>
      </c>
    </row>
    <row r="373" spans="15:15" ht="19.350000000000001" customHeight="1">
      <c r="O373" s="921">
        <v>0.93450996900000005</v>
      </c>
    </row>
    <row r="374" spans="15:15" ht="19.350000000000001" customHeight="1">
      <c r="O374" s="921">
        <v>0.93450996900000005</v>
      </c>
    </row>
    <row r="375" spans="15:15" ht="19.350000000000001" customHeight="1">
      <c r="O375" s="921">
        <v>0.93450996900000005</v>
      </c>
    </row>
    <row r="376" spans="15:15" ht="19.350000000000001" customHeight="1">
      <c r="O376" s="921">
        <v>0.93450996900000005</v>
      </c>
    </row>
    <row r="377" spans="15:15" ht="19.350000000000001" customHeight="1">
      <c r="O377" s="921">
        <v>0.93450996900000005</v>
      </c>
    </row>
    <row r="378" spans="15:15" ht="19.350000000000001" customHeight="1">
      <c r="O378" s="921">
        <v>0.93450996900000005</v>
      </c>
    </row>
    <row r="379" spans="15:15" ht="19.350000000000001" customHeight="1">
      <c r="O379" s="921">
        <v>0.93450996900000005</v>
      </c>
    </row>
    <row r="380" spans="15:15" ht="19.350000000000001" customHeight="1">
      <c r="O380" s="921">
        <v>0.93450996900000005</v>
      </c>
    </row>
    <row r="381" spans="15:15" ht="19.350000000000001" customHeight="1">
      <c r="O381" s="921">
        <v>0.93450996900000005</v>
      </c>
    </row>
    <row r="382" spans="15:15" ht="19.350000000000001" customHeight="1">
      <c r="O382" s="921">
        <v>0.93450996900000005</v>
      </c>
    </row>
    <row r="383" spans="15:15" ht="19.350000000000001" customHeight="1">
      <c r="O383" s="921">
        <v>0.93450996900000005</v>
      </c>
    </row>
    <row r="384" spans="15:15" ht="19.350000000000001" customHeight="1">
      <c r="O384" s="921">
        <v>0.93450996900000005</v>
      </c>
    </row>
    <row r="385" spans="15:15" ht="19.350000000000001" customHeight="1">
      <c r="O385" s="921">
        <v>0.93450996900000005</v>
      </c>
    </row>
    <row r="386" spans="15:15" ht="19.350000000000001" customHeight="1">
      <c r="O386" s="921">
        <v>0.93450996900000005</v>
      </c>
    </row>
    <row r="387" spans="15:15" ht="19.350000000000001" customHeight="1">
      <c r="O387" s="921">
        <v>0.93450996900000005</v>
      </c>
    </row>
    <row r="388" spans="15:15" ht="19.350000000000001" customHeight="1">
      <c r="O388" s="921">
        <v>0.93450996900000005</v>
      </c>
    </row>
    <row r="389" spans="15:15" ht="19.350000000000001" customHeight="1">
      <c r="O389" s="921">
        <v>0.93450996900000005</v>
      </c>
    </row>
    <row r="390" spans="15:15" ht="19.350000000000001" customHeight="1">
      <c r="O390" s="921">
        <v>0.93450996900000005</v>
      </c>
    </row>
    <row r="391" spans="15:15" ht="19.350000000000001" customHeight="1">
      <c r="O391" s="921">
        <v>0.93450996900000005</v>
      </c>
    </row>
    <row r="392" spans="15:15" ht="19.350000000000001" customHeight="1">
      <c r="O392" s="921">
        <v>0.93450996900000005</v>
      </c>
    </row>
    <row r="393" spans="15:15" ht="19.350000000000001" customHeight="1">
      <c r="O393" s="921">
        <v>0.93450996900000005</v>
      </c>
    </row>
    <row r="394" spans="15:15" ht="19.350000000000001" customHeight="1">
      <c r="O394" s="921">
        <v>0.93450996900000005</v>
      </c>
    </row>
    <row r="395" spans="15:15" ht="19.350000000000001" customHeight="1">
      <c r="O395" s="921">
        <v>0.93450996900000005</v>
      </c>
    </row>
    <row r="396" spans="15:15" ht="19.350000000000001" customHeight="1">
      <c r="O396" s="921">
        <v>0.93450996900000005</v>
      </c>
    </row>
    <row r="397" spans="15:15" ht="19.350000000000001" customHeight="1">
      <c r="O397" s="921">
        <v>0.93450996900000005</v>
      </c>
    </row>
    <row r="398" spans="15:15" ht="19.350000000000001" customHeight="1">
      <c r="O398" s="921">
        <v>0.93450996900000005</v>
      </c>
    </row>
    <row r="399" spans="15:15" ht="19.350000000000001" customHeight="1">
      <c r="O399" s="921">
        <v>0.93450996900000005</v>
      </c>
    </row>
    <row r="400" spans="15:15" ht="19.350000000000001" customHeight="1">
      <c r="O400" s="921">
        <v>0.93450996900000005</v>
      </c>
    </row>
    <row r="401" spans="15:15" ht="19.350000000000001" customHeight="1">
      <c r="O401" s="921">
        <v>0.93450996900000005</v>
      </c>
    </row>
    <row r="402" spans="15:15" ht="19.350000000000001" customHeight="1">
      <c r="O402" s="921">
        <v>0.93450996900000005</v>
      </c>
    </row>
    <row r="403" spans="15:15" ht="19.350000000000001" customHeight="1">
      <c r="O403" s="921">
        <v>0.93450996900000005</v>
      </c>
    </row>
    <row r="404" spans="15:15" ht="19.350000000000001" customHeight="1">
      <c r="O404" s="921">
        <v>0.93450996900000005</v>
      </c>
    </row>
    <row r="405" spans="15:15" ht="19.350000000000001" customHeight="1">
      <c r="O405" s="921">
        <v>0.93450996900000005</v>
      </c>
    </row>
    <row r="406" spans="15:15" ht="19.350000000000001" customHeight="1">
      <c r="O406" s="921">
        <v>0.93450996900000005</v>
      </c>
    </row>
    <row r="407" spans="15:15" ht="19.350000000000001" customHeight="1">
      <c r="O407" s="921">
        <v>0.93450996900000005</v>
      </c>
    </row>
    <row r="408" spans="15:15" ht="19.350000000000001" customHeight="1">
      <c r="O408" s="921">
        <v>0.93450996900000005</v>
      </c>
    </row>
    <row r="409" spans="15:15" ht="19.350000000000001" customHeight="1">
      <c r="O409" s="921">
        <v>0.93450996900000005</v>
      </c>
    </row>
    <row r="410" spans="15:15" ht="19.350000000000001" customHeight="1">
      <c r="O410" s="921">
        <v>0.93450996900000005</v>
      </c>
    </row>
    <row r="411" spans="15:15" ht="19.350000000000001" customHeight="1">
      <c r="O411" s="921">
        <v>0.93450996900000005</v>
      </c>
    </row>
    <row r="412" spans="15:15" ht="19.350000000000001" customHeight="1">
      <c r="O412" s="921">
        <v>0.93450996900000005</v>
      </c>
    </row>
    <row r="413" spans="15:15" ht="19.350000000000001" customHeight="1">
      <c r="O413" s="921">
        <v>0.93450996900000005</v>
      </c>
    </row>
    <row r="414" spans="15:15" ht="19.350000000000001" customHeight="1">
      <c r="O414" s="921">
        <v>0.93450996900000005</v>
      </c>
    </row>
    <row r="415" spans="15:15" ht="19.350000000000001" customHeight="1">
      <c r="O415" s="921">
        <v>0.93450996900000005</v>
      </c>
    </row>
    <row r="416" spans="15:15" ht="19.350000000000001" customHeight="1">
      <c r="O416" s="921">
        <v>0.93450996900000005</v>
      </c>
    </row>
    <row r="417" spans="15:15" ht="19.350000000000001" customHeight="1">
      <c r="O417" s="921">
        <v>0.93450996900000005</v>
      </c>
    </row>
    <row r="418" spans="15:15" ht="19.350000000000001" customHeight="1">
      <c r="O418" s="921">
        <v>0.93450996900000005</v>
      </c>
    </row>
    <row r="419" spans="15:15" ht="19.350000000000001" customHeight="1">
      <c r="O419" s="921">
        <v>0.93450996900000005</v>
      </c>
    </row>
    <row r="420" spans="15:15" ht="19.350000000000001" customHeight="1">
      <c r="O420" s="921">
        <v>0.93450996900000005</v>
      </c>
    </row>
    <row r="421" spans="15:15" ht="19.350000000000001" customHeight="1">
      <c r="O421" s="921">
        <v>0.93450996900000005</v>
      </c>
    </row>
    <row r="422" spans="15:15" ht="19.350000000000001" customHeight="1">
      <c r="O422" s="921">
        <v>0.93450996900000005</v>
      </c>
    </row>
    <row r="423" spans="15:15" ht="19.350000000000001" customHeight="1">
      <c r="O423" s="921">
        <v>0.93450996900000005</v>
      </c>
    </row>
    <row r="424" spans="15:15" ht="19.350000000000001" customHeight="1">
      <c r="O424" s="921">
        <v>0.93450996900000005</v>
      </c>
    </row>
    <row r="425" spans="15:15" ht="19.350000000000001" customHeight="1">
      <c r="O425" s="921">
        <v>0.93450996900000005</v>
      </c>
    </row>
    <row r="426" spans="15:15" ht="19.350000000000001" customHeight="1">
      <c r="O426" s="921">
        <v>0.93450996900000005</v>
      </c>
    </row>
    <row r="427" spans="15:15" ht="19.350000000000001" customHeight="1">
      <c r="O427" s="921">
        <v>0.93450996900000005</v>
      </c>
    </row>
    <row r="428" spans="15:15" ht="19.350000000000001" customHeight="1">
      <c r="O428" s="921">
        <v>0.93450996900000005</v>
      </c>
    </row>
    <row r="429" spans="15:15" ht="19.350000000000001" customHeight="1">
      <c r="O429" s="921">
        <v>0.93450996900000005</v>
      </c>
    </row>
    <row r="430" spans="15:15" ht="19.350000000000001" customHeight="1">
      <c r="O430" s="921">
        <v>0.93450996900000005</v>
      </c>
    </row>
    <row r="431" spans="15:15" ht="19.350000000000001" customHeight="1">
      <c r="O431" s="921">
        <v>0.93450996900000005</v>
      </c>
    </row>
    <row r="432" spans="15:15" ht="19.350000000000001" customHeight="1">
      <c r="O432" s="921">
        <v>0.93450996900000005</v>
      </c>
    </row>
    <row r="433" spans="15:15" ht="19.350000000000001" customHeight="1">
      <c r="O433" s="921">
        <v>0.93450996900000005</v>
      </c>
    </row>
    <row r="434" spans="15:15" ht="19.350000000000001" customHeight="1">
      <c r="O434" s="921">
        <v>0.93450996900000005</v>
      </c>
    </row>
    <row r="435" spans="15:15" ht="19.350000000000001" customHeight="1">
      <c r="O435" s="921">
        <v>0.93450996900000005</v>
      </c>
    </row>
    <row r="436" spans="15:15" ht="19.350000000000001" customHeight="1">
      <c r="O436" s="921">
        <v>0.93450996900000005</v>
      </c>
    </row>
    <row r="437" spans="15:15" ht="19.350000000000001" customHeight="1">
      <c r="O437" s="921">
        <v>0.93450996900000005</v>
      </c>
    </row>
    <row r="438" spans="15:15" ht="19.350000000000001" customHeight="1">
      <c r="O438" s="921">
        <v>0.93450996900000005</v>
      </c>
    </row>
    <row r="439" spans="15:15" ht="19.350000000000001" customHeight="1">
      <c r="O439" s="921">
        <v>0.93450996900000005</v>
      </c>
    </row>
    <row r="440" spans="15:15" ht="19.350000000000001" customHeight="1">
      <c r="O440" s="921">
        <v>0.93450996900000005</v>
      </c>
    </row>
    <row r="441" spans="15:15" ht="19.350000000000001" customHeight="1">
      <c r="O441" s="921">
        <v>0.93450996900000005</v>
      </c>
    </row>
    <row r="442" spans="15:15" ht="19.350000000000001" customHeight="1">
      <c r="O442" s="921">
        <v>0.93450996900000005</v>
      </c>
    </row>
    <row r="443" spans="15:15" ht="19.350000000000001" customHeight="1">
      <c r="O443" s="921">
        <v>0.93450996900000005</v>
      </c>
    </row>
    <row r="444" spans="15:15" ht="19.350000000000001" customHeight="1">
      <c r="O444" s="921">
        <v>0.93450996900000005</v>
      </c>
    </row>
    <row r="445" spans="15:15" ht="19.350000000000001" customHeight="1">
      <c r="O445" s="921">
        <v>0.93450996900000005</v>
      </c>
    </row>
    <row r="446" spans="15:15" ht="19.350000000000001" customHeight="1">
      <c r="O446" s="921">
        <v>0.93450996900000005</v>
      </c>
    </row>
    <row r="447" spans="15:15" ht="19.350000000000001" customHeight="1">
      <c r="O447" s="921">
        <v>0.93450996900000005</v>
      </c>
    </row>
    <row r="448" spans="15:15" ht="19.350000000000001" customHeight="1">
      <c r="O448" s="921">
        <v>0.93450996900000005</v>
      </c>
    </row>
    <row r="449" spans="15:15" ht="19.350000000000001" customHeight="1">
      <c r="O449" s="921">
        <v>0.93450996900000005</v>
      </c>
    </row>
    <row r="450" spans="15:15" ht="19.350000000000001" customHeight="1">
      <c r="O450" s="921">
        <v>0.93450996900000005</v>
      </c>
    </row>
    <row r="451" spans="15:15" ht="19.350000000000001" customHeight="1">
      <c r="O451" s="921">
        <v>0.93450996900000005</v>
      </c>
    </row>
    <row r="452" spans="15:15" ht="19.350000000000001" customHeight="1">
      <c r="O452" s="921">
        <v>0.93450996900000005</v>
      </c>
    </row>
    <row r="453" spans="15:15" ht="19.350000000000001" customHeight="1">
      <c r="O453" s="921">
        <v>0.93450996900000005</v>
      </c>
    </row>
    <row r="454" spans="15:15" ht="19.350000000000001" customHeight="1">
      <c r="O454" s="921">
        <v>0.93450996900000005</v>
      </c>
    </row>
    <row r="455" spans="15:15" ht="19.350000000000001" customHeight="1">
      <c r="O455" s="921">
        <v>0.93450996900000005</v>
      </c>
    </row>
    <row r="456" spans="15:15" ht="19.350000000000001" customHeight="1">
      <c r="O456" s="921">
        <v>0.93450996900000005</v>
      </c>
    </row>
    <row r="457" spans="15:15" ht="19.350000000000001" customHeight="1">
      <c r="O457" s="921">
        <v>0.93450996900000005</v>
      </c>
    </row>
    <row r="458" spans="15:15" ht="19.350000000000001" customHeight="1">
      <c r="O458" s="921">
        <v>0.93450996900000005</v>
      </c>
    </row>
    <row r="459" spans="15:15" ht="19.350000000000001" customHeight="1">
      <c r="O459" s="921">
        <v>0.93450996900000005</v>
      </c>
    </row>
    <row r="460" spans="15:15" ht="19.350000000000001" customHeight="1">
      <c r="O460" s="921">
        <v>0.93450996900000005</v>
      </c>
    </row>
    <row r="461" spans="15:15" ht="19.350000000000001" customHeight="1">
      <c r="O461" s="921">
        <v>0.93450996900000005</v>
      </c>
    </row>
    <row r="462" spans="15:15" ht="19.350000000000001" customHeight="1">
      <c r="O462" s="921">
        <v>0.93450996900000005</v>
      </c>
    </row>
    <row r="463" spans="15:15" ht="19.350000000000001" customHeight="1">
      <c r="O463" s="921">
        <v>0.93450996900000005</v>
      </c>
    </row>
    <row r="464" spans="15:15" ht="19.350000000000001" customHeight="1">
      <c r="O464" s="921">
        <v>0.93450996900000005</v>
      </c>
    </row>
    <row r="465" spans="15:15" ht="19.350000000000001" customHeight="1">
      <c r="O465" s="921">
        <v>0.93450996900000005</v>
      </c>
    </row>
    <row r="466" spans="15:15" ht="19.350000000000001" customHeight="1">
      <c r="O466" s="921">
        <v>0.93450996900000005</v>
      </c>
    </row>
    <row r="467" spans="15:15" ht="19.350000000000001" customHeight="1">
      <c r="O467" s="921">
        <v>0.93450996900000005</v>
      </c>
    </row>
    <row r="468" spans="15:15" ht="19.350000000000001" customHeight="1">
      <c r="O468" s="921">
        <v>0.93450996900000005</v>
      </c>
    </row>
    <row r="469" spans="15:15" ht="19.350000000000001" customHeight="1">
      <c r="O469" s="921">
        <v>0.93450996900000005</v>
      </c>
    </row>
    <row r="470" spans="15:15" ht="19.350000000000001" customHeight="1">
      <c r="O470" s="921">
        <v>0.93450996900000005</v>
      </c>
    </row>
    <row r="471" spans="15:15" ht="19.350000000000001" customHeight="1">
      <c r="O471" s="921">
        <v>0.93450996900000005</v>
      </c>
    </row>
    <row r="472" spans="15:15" ht="19.350000000000001" customHeight="1">
      <c r="O472" s="921">
        <v>0.93450996900000005</v>
      </c>
    </row>
    <row r="473" spans="15:15" ht="19.350000000000001" customHeight="1">
      <c r="O473" s="921">
        <v>0.93450996900000005</v>
      </c>
    </row>
    <row r="474" spans="15:15" ht="19.350000000000001" customHeight="1">
      <c r="O474" s="921">
        <v>0.93450996900000005</v>
      </c>
    </row>
    <row r="475" spans="15:15" ht="19.350000000000001" customHeight="1">
      <c r="O475" s="921">
        <v>0.93450996900000005</v>
      </c>
    </row>
    <row r="476" spans="15:15" ht="19.350000000000001" customHeight="1">
      <c r="O476" s="921">
        <v>0.93450996900000005</v>
      </c>
    </row>
    <row r="477" spans="15:15" ht="19.350000000000001" customHeight="1">
      <c r="O477" s="921">
        <v>0.93450996900000005</v>
      </c>
    </row>
    <row r="478" spans="15:15" ht="19.350000000000001" customHeight="1">
      <c r="O478" s="921">
        <v>0.93450996900000005</v>
      </c>
    </row>
    <row r="479" spans="15:15" ht="19.350000000000001" customHeight="1">
      <c r="O479" s="921">
        <v>0.93450996900000005</v>
      </c>
    </row>
    <row r="480" spans="15:15" ht="19.350000000000001" customHeight="1">
      <c r="O480" s="921">
        <v>0.93450996900000005</v>
      </c>
    </row>
    <row r="481" spans="15:15" ht="19.350000000000001" customHeight="1">
      <c r="O481" s="921">
        <v>0.93450996900000005</v>
      </c>
    </row>
    <row r="482" spans="15:15" ht="19.350000000000001" customHeight="1">
      <c r="O482" s="921">
        <v>0.93450996900000005</v>
      </c>
    </row>
    <row r="483" spans="15:15" ht="19.350000000000001" customHeight="1">
      <c r="O483" s="921">
        <v>0.93450996900000005</v>
      </c>
    </row>
    <row r="484" spans="15:15" ht="19.350000000000001" customHeight="1">
      <c r="O484" s="921">
        <v>0.93450996900000005</v>
      </c>
    </row>
    <row r="485" spans="15:15" ht="19.350000000000001" customHeight="1">
      <c r="O485" s="921">
        <v>0.93450996900000005</v>
      </c>
    </row>
    <row r="486" spans="15:15" ht="19.350000000000001" customHeight="1">
      <c r="O486" s="921">
        <v>0.93450996900000005</v>
      </c>
    </row>
    <row r="487" spans="15:15" ht="19.350000000000001" customHeight="1">
      <c r="O487" s="921">
        <v>0.93450996900000005</v>
      </c>
    </row>
    <row r="488" spans="15:15" ht="19.350000000000001" customHeight="1">
      <c r="O488" s="921">
        <v>0.93450996900000005</v>
      </c>
    </row>
    <row r="489" spans="15:15" ht="19.350000000000001" customHeight="1">
      <c r="O489" s="921">
        <v>0.93450996900000005</v>
      </c>
    </row>
    <row r="490" spans="15:15" ht="19.350000000000001" customHeight="1">
      <c r="O490" s="921">
        <v>0.93450996900000005</v>
      </c>
    </row>
    <row r="491" spans="15:15" ht="19.350000000000001" customHeight="1">
      <c r="O491" s="921">
        <v>0.93450996900000005</v>
      </c>
    </row>
    <row r="492" spans="15:15" ht="19.350000000000001" customHeight="1">
      <c r="O492" s="921">
        <v>0.93450996900000005</v>
      </c>
    </row>
    <row r="493" spans="15:15" ht="19.350000000000001" customHeight="1">
      <c r="O493" s="921">
        <v>0.93450996900000005</v>
      </c>
    </row>
    <row r="494" spans="15:15" ht="19.350000000000001" customHeight="1">
      <c r="O494" s="921">
        <v>0.93450996900000005</v>
      </c>
    </row>
    <row r="495" spans="15:15" ht="19.350000000000001" customHeight="1">
      <c r="O495" s="921">
        <v>0.93450996900000005</v>
      </c>
    </row>
    <row r="496" spans="15:15" ht="19.350000000000001" customHeight="1">
      <c r="O496" s="921">
        <v>0.93450996900000005</v>
      </c>
    </row>
    <row r="497" spans="15:15" ht="19.350000000000001" customHeight="1">
      <c r="O497" s="921">
        <v>0.93450996900000005</v>
      </c>
    </row>
    <row r="498" spans="15:15" ht="19.350000000000001" customHeight="1">
      <c r="O498" s="921">
        <v>0.93450996900000005</v>
      </c>
    </row>
    <row r="499" spans="15:15" ht="19.350000000000001" customHeight="1">
      <c r="O499" s="921">
        <v>0.93450996900000005</v>
      </c>
    </row>
    <row r="500" spans="15:15" ht="19.350000000000001" customHeight="1">
      <c r="O500" s="921">
        <v>0.93450996900000005</v>
      </c>
    </row>
    <row r="501" spans="15:15" ht="19.350000000000001" customHeight="1">
      <c r="O501" s="921">
        <v>0.93450996900000005</v>
      </c>
    </row>
    <row r="502" spans="15:15" ht="19.350000000000001" customHeight="1">
      <c r="O502" s="921">
        <v>0.93450996900000005</v>
      </c>
    </row>
    <row r="503" spans="15:15" ht="19.350000000000001" customHeight="1">
      <c r="O503" s="921">
        <v>0.93450996900000005</v>
      </c>
    </row>
    <row r="504" spans="15:15" ht="19.350000000000001" customHeight="1">
      <c r="O504" s="921">
        <v>0.93450996900000005</v>
      </c>
    </row>
    <row r="505" spans="15:15" ht="19.350000000000001" customHeight="1">
      <c r="O505" s="921">
        <v>0.93450996900000005</v>
      </c>
    </row>
    <row r="506" spans="15:15" ht="19.350000000000001" customHeight="1">
      <c r="O506" s="921">
        <v>0.93450996900000005</v>
      </c>
    </row>
    <row r="507" spans="15:15" ht="19.350000000000001" customHeight="1">
      <c r="O507" s="921">
        <v>0.93450996900000005</v>
      </c>
    </row>
    <row r="508" spans="15:15" ht="19.350000000000001" customHeight="1">
      <c r="O508" s="921">
        <v>0.93450996900000005</v>
      </c>
    </row>
    <row r="509" spans="15:15" ht="19.350000000000001" customHeight="1">
      <c r="O509" s="921">
        <v>0.93450996900000005</v>
      </c>
    </row>
    <row r="510" spans="15:15" ht="19.350000000000001" customHeight="1">
      <c r="O510" s="921">
        <v>0.93450996900000005</v>
      </c>
    </row>
    <row r="511" spans="15:15" ht="19.350000000000001" customHeight="1">
      <c r="O511" s="921">
        <v>0.93450996900000005</v>
      </c>
    </row>
    <row r="512" spans="15:15" ht="19.350000000000001" customHeight="1">
      <c r="O512" s="921">
        <v>0.93450996900000005</v>
      </c>
    </row>
    <row r="513" spans="15:15" ht="19.350000000000001" customHeight="1">
      <c r="O513" s="921">
        <v>0.93450996900000005</v>
      </c>
    </row>
    <row r="514" spans="15:15" ht="19.350000000000001" customHeight="1">
      <c r="O514" s="921">
        <v>0.93450996900000005</v>
      </c>
    </row>
    <row r="515" spans="15:15" ht="19.350000000000001" customHeight="1">
      <c r="O515" s="921">
        <v>0.93450996900000005</v>
      </c>
    </row>
    <row r="516" spans="15:15" ht="19.350000000000001" customHeight="1">
      <c r="O516" s="921">
        <v>0.93450996900000005</v>
      </c>
    </row>
    <row r="517" spans="15:15" ht="19.350000000000001" customHeight="1">
      <c r="O517" s="921">
        <v>0.93450996900000005</v>
      </c>
    </row>
    <row r="518" spans="15:15" ht="19.350000000000001" customHeight="1">
      <c r="O518" s="921">
        <v>0.93450996900000005</v>
      </c>
    </row>
    <row r="519" spans="15:15" ht="19.350000000000001" customHeight="1">
      <c r="O519" s="921">
        <v>0.93450996900000005</v>
      </c>
    </row>
    <row r="520" spans="15:15" ht="19.350000000000001" customHeight="1">
      <c r="O520" s="921">
        <v>0.93450996900000005</v>
      </c>
    </row>
    <row r="521" spans="15:15" ht="19.350000000000001" customHeight="1">
      <c r="O521" s="921">
        <v>0.93450996900000005</v>
      </c>
    </row>
    <row r="522" spans="15:15" ht="19.350000000000001" customHeight="1">
      <c r="O522" s="921">
        <v>0.93450996900000005</v>
      </c>
    </row>
    <row r="523" spans="15:15" ht="19.350000000000001" customHeight="1">
      <c r="O523" s="921">
        <v>0.93450996900000005</v>
      </c>
    </row>
    <row r="524" spans="15:15" ht="19.350000000000001" customHeight="1">
      <c r="O524" s="921">
        <v>0.93450996900000005</v>
      </c>
    </row>
    <row r="525" spans="15:15" ht="19.350000000000001" customHeight="1">
      <c r="O525" s="921">
        <v>0.93450996900000005</v>
      </c>
    </row>
    <row r="526" spans="15:15" ht="19.350000000000001" customHeight="1">
      <c r="O526" s="921">
        <v>0.93450996900000005</v>
      </c>
    </row>
    <row r="527" spans="15:15" ht="19.350000000000001" customHeight="1">
      <c r="O527" s="921">
        <v>0.93450996900000005</v>
      </c>
    </row>
    <row r="528" spans="15:15" ht="19.350000000000001" customHeight="1">
      <c r="O528" s="921">
        <v>0.93450996900000005</v>
      </c>
    </row>
    <row r="529" spans="15:15" ht="19.350000000000001" customHeight="1">
      <c r="O529" s="921">
        <v>0.93450996900000005</v>
      </c>
    </row>
    <row r="530" spans="15:15" ht="19.350000000000001" customHeight="1">
      <c r="O530" s="921">
        <v>0.93450996900000005</v>
      </c>
    </row>
    <row r="531" spans="15:15" ht="19.350000000000001" customHeight="1">
      <c r="O531" s="921">
        <v>0.93450996900000005</v>
      </c>
    </row>
    <row r="532" spans="15:15" ht="19.350000000000001" customHeight="1">
      <c r="O532" s="921">
        <v>0.93450996900000005</v>
      </c>
    </row>
    <row r="533" spans="15:15" ht="19.350000000000001" customHeight="1">
      <c r="O533" s="921">
        <v>0.93450996900000005</v>
      </c>
    </row>
    <row r="534" spans="15:15" ht="19.350000000000001" customHeight="1">
      <c r="O534" s="921">
        <v>0.93450996900000005</v>
      </c>
    </row>
    <row r="535" spans="15:15" ht="19.350000000000001" customHeight="1">
      <c r="O535" s="921">
        <v>0.93450996900000005</v>
      </c>
    </row>
    <row r="536" spans="15:15" ht="19.350000000000001" customHeight="1">
      <c r="O536" s="921">
        <v>0.93450996900000005</v>
      </c>
    </row>
    <row r="537" spans="15:15" ht="19.350000000000001" customHeight="1">
      <c r="O537" s="921">
        <v>0.93450996900000005</v>
      </c>
    </row>
    <row r="538" spans="15:15" ht="19.350000000000001" customHeight="1">
      <c r="O538" s="921">
        <v>0.93450996900000005</v>
      </c>
    </row>
    <row r="539" spans="15:15" ht="19.350000000000001" customHeight="1">
      <c r="O539" s="921">
        <v>0.93450996900000005</v>
      </c>
    </row>
    <row r="540" spans="15:15" ht="19.350000000000001" customHeight="1">
      <c r="O540" s="921">
        <v>0.93450996900000005</v>
      </c>
    </row>
    <row r="541" spans="15:15" ht="19.350000000000001" customHeight="1">
      <c r="O541" s="921">
        <v>0.93450996900000005</v>
      </c>
    </row>
    <row r="542" spans="15:15" ht="19.350000000000001" customHeight="1">
      <c r="O542" s="921">
        <v>0.93450996900000005</v>
      </c>
    </row>
    <row r="543" spans="15:15" ht="19.350000000000001" customHeight="1">
      <c r="O543" s="921">
        <v>0.93450996900000005</v>
      </c>
    </row>
    <row r="544" spans="15:15" ht="19.350000000000001" customHeight="1">
      <c r="O544" s="921">
        <v>0.93450996900000005</v>
      </c>
    </row>
    <row r="545" spans="15:15" ht="19.350000000000001" customHeight="1">
      <c r="O545" s="921">
        <v>0.93450996900000005</v>
      </c>
    </row>
    <row r="546" spans="15:15" ht="19.350000000000001" customHeight="1">
      <c r="O546" s="921">
        <v>0.93450996900000005</v>
      </c>
    </row>
    <row r="547" spans="15:15" ht="19.350000000000001" customHeight="1">
      <c r="O547" s="921">
        <v>0.93450996900000005</v>
      </c>
    </row>
    <row r="548" spans="15:15" ht="19.350000000000001" customHeight="1">
      <c r="O548" s="921">
        <v>0.93450996900000005</v>
      </c>
    </row>
    <row r="549" spans="15:15" ht="19.350000000000001" customHeight="1">
      <c r="O549" s="921">
        <v>0.93450996900000005</v>
      </c>
    </row>
    <row r="550" spans="15:15" ht="19.350000000000001" customHeight="1">
      <c r="O550" s="921">
        <v>0.93450996900000005</v>
      </c>
    </row>
    <row r="551" spans="15:15" ht="19.350000000000001" customHeight="1">
      <c r="O551" s="921">
        <v>0.93450996900000005</v>
      </c>
    </row>
    <row r="552" spans="15:15" ht="19.350000000000001" customHeight="1">
      <c r="O552" s="921">
        <v>0.93450996900000005</v>
      </c>
    </row>
    <row r="553" spans="15:15" ht="19.350000000000001" customHeight="1">
      <c r="O553" s="921">
        <v>0.93450996900000005</v>
      </c>
    </row>
    <row r="554" spans="15:15" ht="19.350000000000001" customHeight="1">
      <c r="O554" s="921">
        <v>0.93450996900000005</v>
      </c>
    </row>
    <row r="555" spans="15:15" ht="19.350000000000001" customHeight="1">
      <c r="O555" s="921">
        <v>0.93450996900000005</v>
      </c>
    </row>
    <row r="556" spans="15:15" ht="19.350000000000001" customHeight="1">
      <c r="O556" s="921">
        <v>0.93450996900000005</v>
      </c>
    </row>
    <row r="557" spans="15:15" ht="19.350000000000001" customHeight="1">
      <c r="O557" s="921">
        <v>0.93450996900000005</v>
      </c>
    </row>
    <row r="558" spans="15:15" ht="19.350000000000001" customHeight="1">
      <c r="O558" s="921">
        <v>0.93450996900000005</v>
      </c>
    </row>
    <row r="559" spans="15:15" ht="19.350000000000001" customHeight="1">
      <c r="O559" s="921">
        <v>0.93450996900000005</v>
      </c>
    </row>
    <row r="560" spans="15:15" ht="19.350000000000001" customHeight="1">
      <c r="O560" s="921">
        <v>0.93450996900000005</v>
      </c>
    </row>
    <row r="561" spans="15:15" ht="19.350000000000001" customHeight="1">
      <c r="O561" s="921">
        <v>0.93450996900000005</v>
      </c>
    </row>
    <row r="562" spans="15:15" ht="19.350000000000001" customHeight="1">
      <c r="O562" s="921">
        <v>0.93450996900000005</v>
      </c>
    </row>
    <row r="563" spans="15:15" ht="19.350000000000001" customHeight="1">
      <c r="O563" s="921">
        <v>0.93450996900000005</v>
      </c>
    </row>
    <row r="564" spans="15:15" ht="19.350000000000001" customHeight="1">
      <c r="O564" s="921">
        <v>0.93450996900000005</v>
      </c>
    </row>
    <row r="565" spans="15:15" ht="19.350000000000001" customHeight="1">
      <c r="O565" s="921">
        <v>0.93450996900000005</v>
      </c>
    </row>
    <row r="566" spans="15:15" ht="19.350000000000001" customHeight="1">
      <c r="O566" s="921">
        <v>0.93450996900000005</v>
      </c>
    </row>
    <row r="567" spans="15:15" ht="19.350000000000001" customHeight="1">
      <c r="O567" s="921">
        <v>0.93450996900000005</v>
      </c>
    </row>
    <row r="568" spans="15:15" ht="19.350000000000001" customHeight="1">
      <c r="O568" s="921">
        <v>0.93450996900000005</v>
      </c>
    </row>
    <row r="569" spans="15:15" ht="19.350000000000001" customHeight="1">
      <c r="O569" s="921">
        <v>0.93450996900000005</v>
      </c>
    </row>
    <row r="570" spans="15:15" ht="19.350000000000001" customHeight="1">
      <c r="O570" s="921">
        <v>0.93450996900000005</v>
      </c>
    </row>
    <row r="571" spans="15:15" ht="19.350000000000001" customHeight="1">
      <c r="O571" s="921">
        <v>0.93450996900000005</v>
      </c>
    </row>
    <row r="572" spans="15:15" ht="19.350000000000001" customHeight="1">
      <c r="O572" s="921">
        <v>0.93450996900000005</v>
      </c>
    </row>
    <row r="573" spans="15:15" ht="19.350000000000001" customHeight="1">
      <c r="O573" s="921">
        <v>0.93450996900000005</v>
      </c>
    </row>
    <row r="574" spans="15:15" ht="19.350000000000001" customHeight="1">
      <c r="O574" s="921">
        <v>0.93450996900000005</v>
      </c>
    </row>
    <row r="575" spans="15:15" ht="19.350000000000001" customHeight="1">
      <c r="O575" s="921">
        <v>0.93450996900000005</v>
      </c>
    </row>
    <row r="576" spans="15:15" ht="19.350000000000001" customHeight="1">
      <c r="O576" s="921">
        <v>0.93450996900000005</v>
      </c>
    </row>
    <row r="577" spans="15:15" ht="19.350000000000001" customHeight="1">
      <c r="O577" s="921">
        <v>0.93450996900000005</v>
      </c>
    </row>
    <row r="578" spans="15:15" ht="19.350000000000001" customHeight="1">
      <c r="O578" s="921">
        <v>0.93450996900000005</v>
      </c>
    </row>
    <row r="579" spans="15:15" ht="19.350000000000001" customHeight="1">
      <c r="O579" s="921">
        <v>0.93450996900000005</v>
      </c>
    </row>
    <row r="580" spans="15:15" ht="19.350000000000001" customHeight="1">
      <c r="O580" s="921">
        <v>0.93450996900000005</v>
      </c>
    </row>
    <row r="581" spans="15:15" ht="19.350000000000001" customHeight="1">
      <c r="O581" s="921">
        <v>0.93450996900000005</v>
      </c>
    </row>
    <row r="582" spans="15:15" ht="19.350000000000001" customHeight="1">
      <c r="O582" s="921">
        <v>0.93450996900000005</v>
      </c>
    </row>
    <row r="583" spans="15:15" ht="19.350000000000001" customHeight="1">
      <c r="O583" s="921">
        <v>0.93450996900000005</v>
      </c>
    </row>
    <row r="584" spans="15:15" ht="19.350000000000001" customHeight="1">
      <c r="O584" s="921">
        <v>0.93450996900000005</v>
      </c>
    </row>
    <row r="585" spans="15:15" ht="19.350000000000001" customHeight="1">
      <c r="O585" s="921">
        <v>0.93450996900000005</v>
      </c>
    </row>
    <row r="586" spans="15:15" ht="19.350000000000001" customHeight="1">
      <c r="O586" s="921">
        <v>0.93450996900000005</v>
      </c>
    </row>
    <row r="587" spans="15:15" ht="19.350000000000001" customHeight="1">
      <c r="O587" s="921">
        <v>0.93450996900000005</v>
      </c>
    </row>
    <row r="588" spans="15:15" ht="19.350000000000001" customHeight="1">
      <c r="O588" s="984"/>
    </row>
    <row r="589" spans="15:15" ht="19.350000000000001" customHeight="1">
      <c r="O589" s="984"/>
    </row>
    <row r="590" spans="15:15" ht="19.350000000000001" customHeight="1">
      <c r="O590" s="590"/>
    </row>
    <row r="591" spans="15:15" ht="19.350000000000001" customHeight="1">
      <c r="O591" s="590"/>
    </row>
    <row r="592" spans="15:15" ht="19.350000000000001" customHeight="1">
      <c r="O592" s="590"/>
    </row>
    <row r="593" spans="15:15" ht="19.350000000000001" customHeight="1">
      <c r="O593" s="590"/>
    </row>
    <row r="594" spans="15:15" ht="19.350000000000001" customHeight="1">
      <c r="O594" s="590"/>
    </row>
    <row r="595" spans="15:15" ht="19.350000000000001" customHeight="1">
      <c r="O595" s="590"/>
    </row>
    <row r="596" spans="15:15" ht="19.350000000000001" customHeight="1">
      <c r="O596" s="590"/>
    </row>
    <row r="597" spans="15:15" ht="19.350000000000001" customHeight="1">
      <c r="O597" s="590"/>
    </row>
    <row r="598" spans="15:15" ht="19.350000000000001" customHeight="1">
      <c r="O598" s="590"/>
    </row>
    <row r="599" spans="15:15" ht="19.350000000000001" customHeight="1">
      <c r="O599" s="590"/>
    </row>
    <row r="600" spans="15:15" ht="19.350000000000001" customHeight="1">
      <c r="O600" s="590"/>
    </row>
    <row r="601" spans="15:15" ht="19.350000000000001" customHeight="1">
      <c r="O601" s="590"/>
    </row>
    <row r="602" spans="15:15" ht="19.350000000000001" customHeight="1">
      <c r="O602" s="590"/>
    </row>
    <row r="603" spans="15:15" ht="19.350000000000001" customHeight="1">
      <c r="O603" s="590"/>
    </row>
    <row r="604" spans="15:15" ht="19.350000000000001" customHeight="1">
      <c r="O604" s="590"/>
    </row>
    <row r="605" spans="15:15" ht="19.350000000000001" customHeight="1">
      <c r="O605" s="590"/>
    </row>
    <row r="606" spans="15:15" ht="19.350000000000001" customHeight="1">
      <c r="O606" s="590"/>
    </row>
    <row r="607" spans="15:15" ht="19.350000000000001" customHeight="1">
      <c r="O607" s="590"/>
    </row>
    <row r="608" spans="15:15" ht="19.350000000000001" customHeight="1">
      <c r="O608" s="590"/>
    </row>
    <row r="609" spans="15:15" ht="19.350000000000001" customHeight="1">
      <c r="O609" s="590"/>
    </row>
    <row r="610" spans="15:15" ht="19.350000000000001" customHeight="1">
      <c r="O610" s="921">
        <v>0.93450996900000005</v>
      </c>
    </row>
    <row r="611" spans="15:15" ht="19.350000000000001" customHeight="1">
      <c r="O611" s="921">
        <v>0.93450996900000005</v>
      </c>
    </row>
    <row r="612" spans="15:15" ht="19.350000000000001" customHeight="1">
      <c r="O612" s="921">
        <v>0.93450996900000005</v>
      </c>
    </row>
    <row r="613" spans="15:15" ht="19.350000000000001" customHeight="1">
      <c r="O613" s="921">
        <v>0.93450996900000005</v>
      </c>
    </row>
    <row r="614" spans="15:15" ht="19.350000000000001" customHeight="1">
      <c r="O614" s="921">
        <v>0.93450996900000005</v>
      </c>
    </row>
    <row r="615" spans="15:15" ht="19.350000000000001" customHeight="1">
      <c r="O615" s="590"/>
    </row>
    <row r="616" spans="15:15" ht="19.350000000000001" customHeight="1">
      <c r="O616" s="590"/>
    </row>
    <row r="617" spans="15:15" ht="19.350000000000001" customHeight="1">
      <c r="O617" s="590"/>
    </row>
    <row r="618" spans="15:15" ht="19.350000000000001" customHeight="1">
      <c r="O618" s="590"/>
    </row>
    <row r="619" spans="15:15" ht="19.350000000000001" customHeight="1">
      <c r="O619" s="590"/>
    </row>
    <row r="620" spans="15:15" ht="19.350000000000001" customHeight="1">
      <c r="O620" s="590"/>
    </row>
    <row r="621" spans="15:15" ht="19.350000000000001" customHeight="1">
      <c r="O621" s="590"/>
    </row>
    <row r="622" spans="15:15" ht="19.350000000000001" customHeight="1">
      <c r="O622" s="590"/>
    </row>
    <row r="623" spans="15:15" ht="19.350000000000001" customHeight="1">
      <c r="O623" s="590"/>
    </row>
    <row r="624" spans="15:15" ht="19.350000000000001" customHeight="1">
      <c r="O624" s="590"/>
    </row>
    <row r="625" spans="15:15" ht="19.350000000000001" customHeight="1">
      <c r="O625" s="590"/>
    </row>
    <row r="626" spans="15:15" ht="19.350000000000001" customHeight="1">
      <c r="O626" s="590"/>
    </row>
    <row r="627" spans="15:15" ht="19.350000000000001" customHeight="1">
      <c r="O627" s="590"/>
    </row>
    <row r="628" spans="15:15" ht="19.350000000000001" customHeight="1">
      <c r="O628" s="590"/>
    </row>
    <row r="629" spans="15:15" ht="19.350000000000001" customHeight="1">
      <c r="O629" s="590"/>
    </row>
    <row r="630" spans="15:15" ht="19.350000000000001" customHeight="1">
      <c r="O630" s="590"/>
    </row>
    <row r="631" spans="15:15" ht="19.350000000000001" customHeight="1">
      <c r="O631" s="590"/>
    </row>
    <row r="632" spans="15:15" ht="19.350000000000001" customHeight="1">
      <c r="O632" s="590"/>
    </row>
    <row r="633" spans="15:15" ht="19.350000000000001" customHeight="1">
      <c r="O633" s="590"/>
    </row>
    <row r="634" spans="15:15" ht="19.350000000000001" customHeight="1">
      <c r="O634" s="590"/>
    </row>
    <row r="635" spans="15:15" ht="19.350000000000001" customHeight="1">
      <c r="O635" s="590"/>
    </row>
    <row r="636" spans="15:15" ht="19.350000000000001" customHeight="1">
      <c r="O636" s="590"/>
    </row>
    <row r="637" spans="15:15" ht="19.350000000000001" customHeight="1">
      <c r="O637" s="590"/>
    </row>
    <row r="645" spans="15:15" ht="19.350000000000001" customHeight="1">
      <c r="O645" s="590"/>
    </row>
    <row r="646" spans="15:15" ht="19.350000000000001" customHeight="1">
      <c r="O646" s="590"/>
    </row>
    <row r="647" spans="15:15" ht="19.350000000000001" customHeight="1">
      <c r="O647" s="590"/>
    </row>
    <row r="648" spans="15:15" ht="19.350000000000001" customHeight="1">
      <c r="O648" s="590"/>
    </row>
    <row r="649" spans="15:15" ht="19.350000000000001" customHeight="1">
      <c r="O649" s="590"/>
    </row>
    <row r="650" spans="15:15" ht="19.350000000000001" customHeight="1">
      <c r="O650" s="590"/>
    </row>
    <row r="651" spans="15:15" ht="19.350000000000001" customHeight="1">
      <c r="O651" s="590"/>
    </row>
    <row r="652" spans="15:15" ht="19.350000000000001" customHeight="1">
      <c r="O652" s="590"/>
    </row>
    <row r="653" spans="15:15" ht="19.350000000000001" customHeight="1">
      <c r="O653" s="590"/>
    </row>
    <row r="654" spans="15:15" ht="19.350000000000001" customHeight="1">
      <c r="O654" s="590"/>
    </row>
    <row r="655" spans="15:15" ht="19.350000000000001" customHeight="1">
      <c r="O655" s="590"/>
    </row>
    <row r="656" spans="15:15" ht="19.350000000000001" customHeight="1">
      <c r="O656" s="590"/>
    </row>
    <row r="657" spans="15:15" ht="19.350000000000001" customHeight="1">
      <c r="O657" s="590"/>
    </row>
    <row r="658" spans="15:15" ht="19.350000000000001" customHeight="1">
      <c r="O658" s="590"/>
    </row>
    <row r="659" spans="15:15" ht="19.350000000000001" customHeight="1">
      <c r="O659" s="590"/>
    </row>
    <row r="660" spans="15:15" ht="19.350000000000001" customHeight="1">
      <c r="O660" s="590"/>
    </row>
    <row r="661" spans="15:15" ht="19.350000000000001" customHeight="1">
      <c r="O661" s="590"/>
    </row>
    <row r="662" spans="15:15" ht="19.350000000000001" customHeight="1">
      <c r="O662" s="590"/>
    </row>
    <row r="663" spans="15:15" ht="19.350000000000001" customHeight="1">
      <c r="O663" s="590"/>
    </row>
    <row r="664" spans="15:15" ht="19.350000000000001" customHeight="1">
      <c r="O664" s="590"/>
    </row>
    <row r="665" spans="15:15" ht="19.350000000000001" customHeight="1">
      <c r="O665" s="590"/>
    </row>
    <row r="673" spans="15:15" ht="19.350000000000001" customHeight="1">
      <c r="O673" s="590"/>
    </row>
    <row r="674" spans="15:15" ht="19.350000000000001" customHeight="1">
      <c r="O674" s="590"/>
    </row>
    <row r="675" spans="15:15" ht="19.350000000000001" customHeight="1">
      <c r="O675" s="590"/>
    </row>
    <row r="676" spans="15:15" ht="19.350000000000001" customHeight="1">
      <c r="O676" s="590"/>
    </row>
    <row r="677" spans="15:15" ht="19.350000000000001" customHeight="1">
      <c r="O677" s="590"/>
    </row>
    <row r="678" spans="15:15" ht="19.350000000000001" customHeight="1">
      <c r="O678" s="590"/>
    </row>
    <row r="679" spans="15:15" ht="19.350000000000001" customHeight="1">
      <c r="O679" s="590"/>
    </row>
    <row r="680" spans="15:15" ht="19.350000000000001" customHeight="1">
      <c r="O680" s="590"/>
    </row>
    <row r="681" spans="15:15" ht="19.350000000000001" customHeight="1">
      <c r="O681" s="590"/>
    </row>
    <row r="682" spans="15:15" ht="19.350000000000001" customHeight="1">
      <c r="O682" s="590"/>
    </row>
    <row r="683" spans="15:15" ht="19.350000000000001" customHeight="1">
      <c r="O683" s="590"/>
    </row>
    <row r="684" spans="15:15" ht="19.350000000000001" customHeight="1">
      <c r="O684" s="590"/>
    </row>
    <row r="685" spans="15:15" ht="19.350000000000001" customHeight="1">
      <c r="O685" s="590"/>
    </row>
    <row r="686" spans="15:15" ht="19.350000000000001" customHeight="1">
      <c r="O686" s="590"/>
    </row>
    <row r="687" spans="15:15" ht="19.350000000000001" customHeight="1">
      <c r="O687" s="590"/>
    </row>
    <row r="688" spans="15:15" ht="19.350000000000001" customHeight="1">
      <c r="O688" s="590"/>
    </row>
    <row r="689" spans="15:15" ht="19.350000000000001" customHeight="1">
      <c r="O689" s="590"/>
    </row>
    <row r="690" spans="15:15" ht="19.350000000000001" customHeight="1">
      <c r="O690" s="590"/>
    </row>
    <row r="691" spans="15:15" ht="19.350000000000001" customHeight="1">
      <c r="O691" s="590"/>
    </row>
  </sheetData>
  <mergeCells count="66">
    <mergeCell ref="N5:N6"/>
    <mergeCell ref="B5:D6"/>
    <mergeCell ref="C111:D111"/>
    <mergeCell ref="C112:D112"/>
    <mergeCell ref="S112:T112"/>
    <mergeCell ref="C81:D81"/>
    <mergeCell ref="C83:D83"/>
    <mergeCell ref="C85:D85"/>
    <mergeCell ref="C87:D87"/>
    <mergeCell ref="C90:D90"/>
    <mergeCell ref="C73:D73"/>
    <mergeCell ref="C74:D74"/>
    <mergeCell ref="C76:D76"/>
    <mergeCell ref="C77:D77"/>
    <mergeCell ref="C79:D79"/>
    <mergeCell ref="B63:D63"/>
    <mergeCell ref="B162:D162"/>
    <mergeCell ref="B183:D183"/>
    <mergeCell ref="C100:D100"/>
    <mergeCell ref="C106:D106"/>
    <mergeCell ref="C107:D107"/>
    <mergeCell ref="C109:D109"/>
    <mergeCell ref="W110:Z110"/>
    <mergeCell ref="C93:D93"/>
    <mergeCell ref="C94:D94"/>
    <mergeCell ref="C95:D95"/>
    <mergeCell ref="C96:D96"/>
    <mergeCell ref="B98:D98"/>
    <mergeCell ref="C64:D64"/>
    <mergeCell ref="C66:D66"/>
    <mergeCell ref="C69:D69"/>
    <mergeCell ref="C71:D71"/>
    <mergeCell ref="C58:D58"/>
    <mergeCell ref="C59:D59"/>
    <mergeCell ref="C60:D60"/>
    <mergeCell ref="C61:D61"/>
    <mergeCell ref="C62:D62"/>
    <mergeCell ref="C49:D49"/>
    <mergeCell ref="C50:D50"/>
    <mergeCell ref="C51:D51"/>
    <mergeCell ref="B53:D53"/>
    <mergeCell ref="B56:D56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B16:D16"/>
    <mergeCell ref="B29:D29"/>
    <mergeCell ref="C32:D32"/>
    <mergeCell ref="C33:D33"/>
    <mergeCell ref="C38:D38"/>
    <mergeCell ref="A1:C1"/>
    <mergeCell ref="L1:M1"/>
    <mergeCell ref="A2:C2"/>
    <mergeCell ref="A3:C3"/>
    <mergeCell ref="G5:I5"/>
    <mergeCell ref="J5:L5"/>
    <mergeCell ref="A5:A6"/>
    <mergeCell ref="E5:E6"/>
    <mergeCell ref="F5:F6"/>
  </mergeCells>
  <conditionalFormatting sqref="N114:N162">
    <cfRule type="cellIs" dxfId="0" priority="1" operator="lessThan">
      <formula>0</formula>
    </cfRule>
  </conditionalFormatting>
  <printOptions horizontalCentered="1"/>
  <pageMargins left="0.39370078740157499" right="0.39370078740157499" top="1.1811023622047201" bottom="0" header="0.78740157480314998" footer="0"/>
  <pageSetup paperSize="9" scale="73" firstPageNumber="27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 แผ่นที่ &amp;P/166</oddHeader>
  </headerFooter>
  <rowBreaks count="6" manualBreakCount="6">
    <brk id="30" max="13" man="1"/>
    <brk id="56" max="13" man="1"/>
    <brk id="84" max="13" man="1"/>
    <brk id="112" max="13" man="1"/>
    <brk id="140" max="13" man="1"/>
    <brk id="168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W685"/>
  <sheetViews>
    <sheetView view="pageBreakPreview" topLeftCell="A682" zoomScaleNormal="85" workbookViewId="0">
      <selection activeCell="D27" sqref="D27"/>
    </sheetView>
  </sheetViews>
  <sheetFormatPr defaultColWidth="10.453125" defaultRowHeight="18.95" customHeight="1"/>
  <cols>
    <col min="1" max="1" width="6.7265625" style="203" customWidth="1"/>
    <col min="2" max="2" width="20.453125" style="631" customWidth="1"/>
    <col min="3" max="3" width="14.453125" style="205" customWidth="1"/>
    <col min="4" max="4" width="75.7265625" style="633" customWidth="1"/>
    <col min="5" max="5" width="10.7265625" style="157" customWidth="1"/>
    <col min="6" max="6" width="9.54296875" style="154" customWidth="1"/>
    <col min="7" max="7" width="15.7265625" style="157" hidden="1" customWidth="1"/>
    <col min="8" max="9" width="15.7265625" style="157" customWidth="1"/>
    <col min="10" max="10" width="15.7265625" style="157" hidden="1" customWidth="1"/>
    <col min="11" max="13" width="15.7265625" style="157" customWidth="1"/>
    <col min="14" max="14" width="12.54296875" style="157" customWidth="1"/>
    <col min="15" max="15" width="20.453125" style="204" customWidth="1"/>
    <col min="16" max="16" width="17.1796875" style="204" customWidth="1"/>
    <col min="17" max="17" width="10.81640625" style="204" customWidth="1"/>
    <col min="18" max="18" width="26.7265625" style="204" customWidth="1"/>
    <col min="19" max="19" width="10.453125" style="204"/>
    <col min="20" max="20" width="12" style="204" customWidth="1"/>
    <col min="21" max="23" width="10.453125" style="204"/>
    <col min="24" max="16384" width="10.453125" style="203"/>
  </cols>
  <sheetData>
    <row r="1" spans="1:23" s="1" customFormat="1" ht="18.95" customHeight="1">
      <c r="A1" s="1229" t="s">
        <v>181</v>
      </c>
      <c r="B1" s="1229"/>
      <c r="C1" s="1229"/>
      <c r="D1" s="7" t="str">
        <f>+'RKCA1_ปร.5 (ก)'!C4</f>
        <v>โครงการจัดตั้งศูนย์การเรียนรู้แห่งชาติ OKMD : OKMD National Knowledge Center (Ratchadamnoen Center 1 และ 2)</v>
      </c>
      <c r="E1" s="304"/>
      <c r="F1" s="891"/>
      <c r="G1" s="634"/>
      <c r="H1" s="634"/>
      <c r="I1" s="95"/>
      <c r="J1" s="95" t="s">
        <v>182</v>
      </c>
      <c r="K1" s="95" t="s">
        <v>182</v>
      </c>
      <c r="L1" s="662" t="s">
        <v>998</v>
      </c>
      <c r="M1" s="662"/>
      <c r="N1" s="304"/>
      <c r="O1" s="206"/>
      <c r="P1" s="206"/>
      <c r="Q1" s="206"/>
      <c r="R1" s="206"/>
      <c r="S1" s="206"/>
      <c r="T1" s="206"/>
      <c r="U1" s="206"/>
      <c r="V1" s="206"/>
      <c r="W1" s="206"/>
    </row>
    <row r="2" spans="1:23" s="1" customFormat="1" ht="18.95" customHeight="1">
      <c r="A2" s="1231" t="s">
        <v>125</v>
      </c>
      <c r="B2" s="1231"/>
      <c r="C2" s="1231"/>
      <c r="D2" s="9" t="str">
        <f>+'RKCA1_ปร.5 (ก)'!C5</f>
        <v>แขวงตลาดยอด เขตพระนคร กรุงเทพมหานคร</v>
      </c>
      <c r="E2" s="8"/>
      <c r="F2" s="8"/>
      <c r="G2" s="8"/>
      <c r="H2" s="8"/>
      <c r="I2" s="8"/>
      <c r="J2" s="96" t="s">
        <v>184</v>
      </c>
      <c r="K2" s="96" t="s">
        <v>184</v>
      </c>
      <c r="L2" s="97" t="str">
        <f>+'RKCA1_ปร.5 (ก)'!C10</f>
        <v xml:space="preserve">  16 กรกฎาคม 2568</v>
      </c>
      <c r="M2" s="98"/>
      <c r="N2" s="8"/>
      <c r="O2" s="206"/>
      <c r="P2" s="206"/>
      <c r="Q2" s="206"/>
      <c r="R2" s="206"/>
      <c r="S2" s="206"/>
      <c r="T2" s="206"/>
      <c r="U2" s="206"/>
      <c r="V2" s="206"/>
      <c r="W2" s="206"/>
    </row>
    <row r="3" spans="1:23" s="1" customFormat="1" ht="18.95" customHeight="1">
      <c r="A3" s="1231" t="s">
        <v>185</v>
      </c>
      <c r="B3" s="1231"/>
      <c r="C3" s="1231"/>
      <c r="D3" s="9" t="str">
        <f>+'RKCA1_ปร.5 (ก)'!C9</f>
        <v>คณะกรรมการกำหนดราคากลาง</v>
      </c>
      <c r="E3" s="8"/>
      <c r="F3" s="8"/>
      <c r="G3" s="8"/>
      <c r="H3" s="8"/>
      <c r="I3" s="96"/>
      <c r="J3" s="96"/>
      <c r="K3" s="96"/>
      <c r="L3" s="97"/>
      <c r="M3" s="8"/>
      <c r="N3" s="8"/>
      <c r="O3" s="206"/>
      <c r="P3" s="206"/>
      <c r="Q3" s="206"/>
      <c r="R3" s="206"/>
      <c r="S3" s="206"/>
      <c r="T3" s="206"/>
      <c r="U3" s="206"/>
      <c r="V3" s="206"/>
      <c r="W3" s="206"/>
    </row>
    <row r="4" spans="1:23" s="1" customFormat="1" ht="18.95" customHeight="1">
      <c r="A4" s="892"/>
      <c r="B4" s="893"/>
      <c r="C4" s="11"/>
      <c r="D4" s="892"/>
      <c r="E4" s="3"/>
      <c r="F4" s="169"/>
      <c r="G4" s="3"/>
      <c r="H4" s="3"/>
      <c r="I4" s="3"/>
      <c r="J4" s="3"/>
      <c r="K4" s="3"/>
      <c r="L4" s="3"/>
      <c r="M4" s="3"/>
      <c r="N4" s="3"/>
      <c r="O4" s="206"/>
      <c r="P4" s="206"/>
      <c r="Q4" s="206"/>
      <c r="R4" s="206"/>
      <c r="S4" s="206"/>
      <c r="T4" s="206"/>
      <c r="U4" s="206"/>
      <c r="V4" s="206"/>
      <c r="W4" s="206"/>
    </row>
    <row r="5" spans="1:23" ht="18.95" customHeight="1">
      <c r="A5" s="1235" t="s">
        <v>186</v>
      </c>
      <c r="B5" s="1235" t="s">
        <v>138</v>
      </c>
      <c r="C5" s="1287"/>
      <c r="D5" s="1288"/>
      <c r="E5" s="1291" t="s">
        <v>187</v>
      </c>
      <c r="F5" s="1237" t="s">
        <v>188</v>
      </c>
      <c r="G5" s="1269" t="s">
        <v>189</v>
      </c>
      <c r="H5" s="1233"/>
      <c r="I5" s="1234"/>
      <c r="J5" s="1269" t="s">
        <v>190</v>
      </c>
      <c r="K5" s="1233"/>
      <c r="L5" s="1234"/>
      <c r="M5" s="10" t="s">
        <v>191</v>
      </c>
      <c r="N5" s="1237" t="s">
        <v>140</v>
      </c>
      <c r="O5" s="204" t="s">
        <v>151</v>
      </c>
    </row>
    <row r="6" spans="1:23" ht="18.95" customHeight="1">
      <c r="A6" s="1236"/>
      <c r="B6" s="1236"/>
      <c r="C6" s="1289"/>
      <c r="D6" s="1290"/>
      <c r="E6" s="1292"/>
      <c r="F6" s="1238"/>
      <c r="G6" s="12" t="s">
        <v>192</v>
      </c>
      <c r="H6" s="12" t="s">
        <v>192</v>
      </c>
      <c r="I6" s="12" t="s">
        <v>193</v>
      </c>
      <c r="J6" s="12" t="s">
        <v>192</v>
      </c>
      <c r="K6" s="12" t="s">
        <v>192</v>
      </c>
      <c r="L6" s="12" t="s">
        <v>193</v>
      </c>
      <c r="M6" s="12" t="s">
        <v>194</v>
      </c>
      <c r="N6" s="1238"/>
      <c r="O6" s="206"/>
    </row>
    <row r="7" spans="1:23" ht="18.95" customHeight="1">
      <c r="A7" s="506"/>
      <c r="B7" s="329" t="s">
        <v>999</v>
      </c>
      <c r="C7" s="330"/>
      <c r="D7" s="331"/>
      <c r="E7" s="894"/>
      <c r="F7" s="20"/>
      <c r="G7" s="18"/>
      <c r="H7" s="18"/>
      <c r="I7" s="18"/>
      <c r="J7" s="20"/>
      <c r="K7" s="20"/>
      <c r="L7" s="218"/>
      <c r="M7" s="19"/>
      <c r="N7" s="19"/>
      <c r="O7" s="203"/>
      <c r="P7" s="203"/>
      <c r="Q7" s="203"/>
      <c r="R7" s="203"/>
      <c r="S7" s="203"/>
      <c r="T7" s="203"/>
      <c r="U7" s="203"/>
      <c r="V7" s="203"/>
      <c r="W7" s="203"/>
    </row>
    <row r="8" spans="1:23" ht="18.95" customHeight="1">
      <c r="A8" s="265"/>
      <c r="B8" s="332" t="s">
        <v>162</v>
      </c>
      <c r="C8" s="333"/>
      <c r="D8" s="334"/>
      <c r="E8" s="104"/>
      <c r="F8" s="30"/>
      <c r="G8" s="25"/>
      <c r="H8" s="25"/>
      <c r="I8" s="25"/>
      <c r="J8" s="30"/>
      <c r="K8" s="30"/>
      <c r="L8" s="30"/>
      <c r="M8" s="72"/>
      <c r="N8" s="26"/>
      <c r="O8" s="203"/>
      <c r="P8" s="203"/>
      <c r="Q8" s="203"/>
      <c r="R8" s="203"/>
      <c r="S8" s="203"/>
      <c r="T8" s="203"/>
      <c r="U8" s="203"/>
      <c r="V8" s="203"/>
      <c r="W8" s="203"/>
    </row>
    <row r="9" spans="1:23" ht="18.95" customHeight="1">
      <c r="A9" s="508">
        <v>1</v>
      </c>
      <c r="B9" s="27" t="s">
        <v>1000</v>
      </c>
      <c r="C9" s="29"/>
      <c r="D9" s="895"/>
      <c r="E9" s="104"/>
      <c r="F9" s="30"/>
      <c r="G9" s="25"/>
      <c r="H9" s="25"/>
      <c r="I9" s="25">
        <f>I89</f>
        <v>3587168.2251124824</v>
      </c>
      <c r="J9" s="25"/>
      <c r="K9" s="25"/>
      <c r="L9" s="25">
        <f>L89</f>
        <v>0</v>
      </c>
      <c r="M9" s="25">
        <f>M89</f>
        <v>3587168.2251124824</v>
      </c>
      <c r="N9" s="26"/>
      <c r="O9" s="915">
        <f>P9*0.934908047</f>
        <v>3587168.225112482</v>
      </c>
      <c r="P9" s="916">
        <v>3836920.9</v>
      </c>
      <c r="Q9" s="922"/>
    </row>
    <row r="10" spans="1:23" ht="18.95" customHeight="1">
      <c r="A10" s="508">
        <v>2</v>
      </c>
      <c r="B10" s="27" t="s">
        <v>1001</v>
      </c>
      <c r="C10" s="29"/>
      <c r="D10" s="895"/>
      <c r="E10" s="104"/>
      <c r="F10" s="30"/>
      <c r="G10" s="25"/>
      <c r="H10" s="25"/>
      <c r="I10" s="25">
        <f>I170</f>
        <v>1886150.8073971837</v>
      </c>
      <c r="J10" s="25"/>
      <c r="K10" s="25"/>
      <c r="L10" s="25">
        <f>L170</f>
        <v>251719.31711451497</v>
      </c>
      <c r="M10" s="25">
        <f>M170</f>
        <v>2137870.1245116997</v>
      </c>
      <c r="N10" s="26"/>
      <c r="O10" s="915">
        <f t="shared" ref="O10:O19" si="0">P10*0.934908047</f>
        <v>2137870.1245116987</v>
      </c>
      <c r="P10" s="916">
        <v>2286717</v>
      </c>
      <c r="Q10" s="922"/>
    </row>
    <row r="11" spans="1:23" ht="18.95" customHeight="1">
      <c r="A11" s="508">
        <v>3</v>
      </c>
      <c r="B11" s="27" t="s">
        <v>1002</v>
      </c>
      <c r="C11" s="29"/>
      <c r="D11" s="895"/>
      <c r="E11" s="104"/>
      <c r="F11" s="30"/>
      <c r="G11" s="25"/>
      <c r="H11" s="25"/>
      <c r="I11" s="25">
        <f>I221</f>
        <v>1751818.8020441742</v>
      </c>
      <c r="J11" s="25"/>
      <c r="K11" s="25"/>
      <c r="L11" s="25">
        <f>L221</f>
        <v>69940.354132564127</v>
      </c>
      <c r="M11" s="25">
        <f>M221</f>
        <v>1821759.1561767382</v>
      </c>
      <c r="N11" s="26"/>
      <c r="O11" s="915">
        <f t="shared" si="0"/>
        <v>1821759.155896266</v>
      </c>
      <c r="P11" s="916">
        <v>1948597.15</v>
      </c>
      <c r="Q11" s="922"/>
    </row>
    <row r="12" spans="1:23" ht="18.95" customHeight="1">
      <c r="A12" s="508">
        <v>4</v>
      </c>
      <c r="B12" s="27" t="s">
        <v>1003</v>
      </c>
      <c r="C12" s="29"/>
      <c r="D12" s="895"/>
      <c r="E12" s="104"/>
      <c r="F12" s="30"/>
      <c r="G12" s="25"/>
      <c r="H12" s="25"/>
      <c r="I12" s="25">
        <f>I322</f>
        <v>7390602.3713627541</v>
      </c>
      <c r="J12" s="25"/>
      <c r="K12" s="25"/>
      <c r="L12" s="25">
        <f>L322</f>
        <v>0</v>
      </c>
      <c r="M12" s="25">
        <f>M322</f>
        <v>7496536.8021683237</v>
      </c>
      <c r="N12" s="26"/>
      <c r="O12" s="915">
        <f t="shared" si="0"/>
        <v>7496536.8021683246</v>
      </c>
      <c r="P12" s="916">
        <v>8018475</v>
      </c>
      <c r="Q12" s="922"/>
    </row>
    <row r="13" spans="1:23" ht="18.95" customHeight="1">
      <c r="A13" s="508">
        <v>5</v>
      </c>
      <c r="B13" s="27" t="s">
        <v>1004</v>
      </c>
      <c r="C13" s="29"/>
      <c r="D13" s="895"/>
      <c r="E13" s="104"/>
      <c r="F13" s="30"/>
      <c r="G13" s="25"/>
      <c r="H13" s="25"/>
      <c r="I13" s="25">
        <f>I374</f>
        <v>3418150.0324183437</v>
      </c>
      <c r="J13" s="25"/>
      <c r="K13" s="25"/>
      <c r="L13" s="25">
        <f>L374</f>
        <v>414608.34614332498</v>
      </c>
      <c r="M13" s="25">
        <f>M374</f>
        <v>3832758.3785616695</v>
      </c>
      <c r="N13" s="26"/>
      <c r="O13" s="915">
        <f t="shared" si="0"/>
        <v>3832758.37856167</v>
      </c>
      <c r="P13" s="916">
        <v>4099610</v>
      </c>
      <c r="Q13" s="922"/>
    </row>
    <row r="14" spans="1:23" ht="18.95" customHeight="1">
      <c r="A14" s="508">
        <v>6</v>
      </c>
      <c r="B14" s="27" t="s">
        <v>1005</v>
      </c>
      <c r="C14" s="29"/>
      <c r="D14" s="895"/>
      <c r="E14" s="104"/>
      <c r="F14" s="30"/>
      <c r="G14" s="25"/>
      <c r="H14" s="25"/>
      <c r="I14" s="25">
        <f>I406</f>
        <v>2040904.2666009997</v>
      </c>
      <c r="J14" s="25"/>
      <c r="K14" s="25"/>
      <c r="L14" s="25">
        <f>L406</f>
        <v>89423.954695549997</v>
      </c>
      <c r="M14" s="25">
        <f>M406</f>
        <v>2130328.2212965502</v>
      </c>
      <c r="N14" s="26"/>
      <c r="O14" s="915">
        <f t="shared" si="0"/>
        <v>2130328.2212965498</v>
      </c>
      <c r="P14" s="917">
        <v>2278650</v>
      </c>
      <c r="Q14" s="923"/>
    </row>
    <row r="15" spans="1:23" ht="18.95" customHeight="1">
      <c r="A15" s="508">
        <v>7</v>
      </c>
      <c r="B15" s="27" t="s">
        <v>1006</v>
      </c>
      <c r="C15" s="29"/>
      <c r="D15" s="895"/>
      <c r="E15" s="104"/>
      <c r="F15" s="30"/>
      <c r="G15" s="25"/>
      <c r="H15" s="25"/>
      <c r="I15" s="25">
        <f>I414</f>
        <v>338207.66054248495</v>
      </c>
      <c r="J15" s="25"/>
      <c r="K15" s="25"/>
      <c r="L15" s="25">
        <f>L414</f>
        <v>5132.6451780299994</v>
      </c>
      <c r="M15" s="25">
        <f>M414</f>
        <v>343340.30572051497</v>
      </c>
      <c r="N15" s="25"/>
      <c r="O15" s="915">
        <f t="shared" si="0"/>
        <v>343340.30572051497</v>
      </c>
      <c r="P15" s="917">
        <v>367245</v>
      </c>
      <c r="Q15" s="923"/>
    </row>
    <row r="16" spans="1:23" ht="18.95" customHeight="1">
      <c r="A16" s="508">
        <v>8</v>
      </c>
      <c r="B16" s="27" t="s">
        <v>1007</v>
      </c>
      <c r="C16" s="29"/>
      <c r="D16" s="895"/>
      <c r="E16" s="104"/>
      <c r="F16" s="30"/>
      <c r="G16" s="25"/>
      <c r="H16" s="25"/>
      <c r="I16" s="25">
        <f>I487</f>
        <v>11997681.511507334</v>
      </c>
      <c r="J16" s="25"/>
      <c r="K16" s="25"/>
      <c r="L16" s="25">
        <f>L487</f>
        <v>76653.110773530017</v>
      </c>
      <c r="M16" s="25">
        <f>M487</f>
        <v>12074334.62228086</v>
      </c>
      <c r="N16" s="26"/>
      <c r="O16" s="915">
        <f t="shared" si="0"/>
        <v>12074334.622280858</v>
      </c>
      <c r="P16" s="917">
        <v>12914997</v>
      </c>
      <c r="Q16" s="923"/>
    </row>
    <row r="17" spans="1:20" s="204" customFormat="1" ht="18.95" customHeight="1">
      <c r="A17" s="508">
        <v>9</v>
      </c>
      <c r="B17" s="27" t="s">
        <v>1008</v>
      </c>
      <c r="C17" s="29"/>
      <c r="D17" s="895"/>
      <c r="E17" s="104"/>
      <c r="F17" s="30"/>
      <c r="G17" s="25"/>
      <c r="H17" s="25"/>
      <c r="I17" s="25">
        <f>I570</f>
        <v>2224810.0285263699</v>
      </c>
      <c r="J17" s="25"/>
      <c r="K17" s="25"/>
      <c r="L17" s="25">
        <f>L570</f>
        <v>60862.51385969999</v>
      </c>
      <c r="M17" s="25">
        <f>M570</f>
        <v>2285672.5423860699</v>
      </c>
      <c r="N17" s="25"/>
      <c r="O17" s="915">
        <f t="shared" si="0"/>
        <v>2285672.5423860699</v>
      </c>
      <c r="P17" s="917">
        <v>2444810</v>
      </c>
      <c r="Q17" s="923"/>
    </row>
    <row r="18" spans="1:20" s="204" customFormat="1" ht="18.95" customHeight="1">
      <c r="A18" s="508">
        <v>10</v>
      </c>
      <c r="B18" s="27" t="s">
        <v>1009</v>
      </c>
      <c r="C18" s="29"/>
      <c r="D18" s="895"/>
      <c r="E18" s="104"/>
      <c r="F18" s="30"/>
      <c r="G18" s="25"/>
      <c r="H18" s="25"/>
      <c r="I18" s="25">
        <f>I660</f>
        <v>1465424.4229942907</v>
      </c>
      <c r="J18" s="25"/>
      <c r="K18" s="25"/>
      <c r="L18" s="25">
        <f>L660</f>
        <v>80818.126122914997</v>
      </c>
      <c r="M18" s="25">
        <f>M660</f>
        <v>1546242.5491172057</v>
      </c>
      <c r="N18" s="25"/>
      <c r="O18" s="915">
        <f t="shared" si="0"/>
        <v>1546242.5491172059</v>
      </c>
      <c r="P18" s="917">
        <v>1653898</v>
      </c>
      <c r="Q18" s="923"/>
    </row>
    <row r="19" spans="1:20" s="204" customFormat="1" ht="18.95" customHeight="1">
      <c r="A19" s="508">
        <v>11</v>
      </c>
      <c r="B19" s="27" t="s">
        <v>1010</v>
      </c>
      <c r="C19" s="29"/>
      <c r="D19" s="895"/>
      <c r="E19" s="104"/>
      <c r="F19" s="30"/>
      <c r="G19" s="25"/>
      <c r="H19" s="25"/>
      <c r="I19" s="25">
        <f>I685</f>
        <v>300771.137616464</v>
      </c>
      <c r="J19" s="25"/>
      <c r="K19" s="25"/>
      <c r="L19" s="25">
        <f>L685</f>
        <v>1028.3988517</v>
      </c>
      <c r="M19" s="25">
        <f>M685</f>
        <v>301799.53646816395</v>
      </c>
      <c r="N19" s="25"/>
      <c r="O19" s="915">
        <f t="shared" si="0"/>
        <v>301799.53646816401</v>
      </c>
      <c r="P19" s="917">
        <v>322812</v>
      </c>
      <c r="Q19" s="923"/>
    </row>
    <row r="20" spans="1:20" s="204" customFormat="1" ht="18.95" customHeight="1">
      <c r="A20" s="508"/>
      <c r="B20" s="27"/>
      <c r="C20" s="29"/>
      <c r="D20" s="895"/>
      <c r="E20" s="104"/>
      <c r="F20" s="30"/>
      <c r="G20" s="30"/>
      <c r="H20" s="30"/>
      <c r="I20" s="30"/>
      <c r="J20" s="30"/>
      <c r="K20" s="30"/>
      <c r="L20" s="72"/>
      <c r="M20" s="26"/>
      <c r="N20" s="26"/>
      <c r="O20" s="918"/>
      <c r="P20" s="919"/>
      <c r="Q20" s="922"/>
    </row>
    <row r="21" spans="1:20" s="204" customFormat="1" ht="18.95" customHeight="1">
      <c r="A21" s="256"/>
      <c r="B21" s="1272" t="s">
        <v>1011</v>
      </c>
      <c r="C21" s="1273"/>
      <c r="D21" s="1274"/>
      <c r="E21" s="896"/>
      <c r="F21" s="102"/>
      <c r="G21" s="34"/>
      <c r="H21" s="34"/>
      <c r="I21" s="34">
        <f>SUM(I9:I19)</f>
        <v>36401689.266122885</v>
      </c>
      <c r="J21" s="34"/>
      <c r="K21" s="34"/>
      <c r="L21" s="34">
        <f>SUM(L9:L19)</f>
        <v>1050186.7668718291</v>
      </c>
      <c r="M21" s="34">
        <f>SUM(M9:M19)</f>
        <v>37557810.463800281</v>
      </c>
      <c r="N21" s="35"/>
      <c r="O21" s="920">
        <f>SUM(O9:O20)</f>
        <v>37557810.463519804</v>
      </c>
      <c r="P21" s="439">
        <f>SUM(P9:P20)</f>
        <v>40172732.049999997</v>
      </c>
    </row>
    <row r="22" spans="1:20" s="204" customFormat="1" ht="18.95" customHeight="1">
      <c r="A22" s="508"/>
      <c r="B22" s="229"/>
      <c r="C22" s="208"/>
      <c r="D22" s="24"/>
      <c r="E22" s="104"/>
      <c r="F22" s="30"/>
      <c r="G22" s="25"/>
      <c r="H22" s="25"/>
      <c r="I22" s="25"/>
      <c r="J22" s="25"/>
      <c r="K22" s="25"/>
      <c r="L22" s="30"/>
      <c r="M22" s="25"/>
      <c r="N22" s="26"/>
    </row>
    <row r="23" spans="1:20" s="204" customFormat="1" ht="18.95" customHeight="1">
      <c r="A23" s="265"/>
      <c r="B23" s="227"/>
      <c r="C23" s="226"/>
      <c r="D23" s="49"/>
      <c r="E23" s="104"/>
      <c r="F23" s="30"/>
      <c r="G23" s="25"/>
      <c r="H23" s="25"/>
      <c r="I23" s="25"/>
      <c r="J23" s="25"/>
      <c r="K23" s="25"/>
      <c r="L23" s="30"/>
      <c r="M23" s="25"/>
      <c r="N23" s="26"/>
      <c r="P23" s="206"/>
      <c r="Q23" s="206"/>
      <c r="R23" s="206"/>
      <c r="S23" s="206"/>
      <c r="T23" s="206"/>
    </row>
    <row r="24" spans="1:20" s="204" customFormat="1" ht="18.95" customHeight="1">
      <c r="A24" s="265"/>
      <c r="B24" s="227"/>
      <c r="C24" s="226"/>
      <c r="D24" s="49"/>
      <c r="E24" s="104"/>
      <c r="F24" s="30"/>
      <c r="G24" s="25"/>
      <c r="H24" s="25"/>
      <c r="I24" s="25"/>
      <c r="J24" s="25"/>
      <c r="K24" s="25"/>
      <c r="L24" s="30"/>
      <c r="M24" s="25"/>
      <c r="N24" s="26"/>
      <c r="R24" s="206"/>
      <c r="S24" s="206"/>
    </row>
    <row r="25" spans="1:20" s="204" customFormat="1" ht="18.95" customHeight="1">
      <c r="A25" s="265"/>
      <c r="B25" s="227"/>
      <c r="C25" s="226"/>
      <c r="D25" s="49"/>
      <c r="E25" s="104"/>
      <c r="F25" s="30"/>
      <c r="G25" s="25"/>
      <c r="H25" s="25"/>
      <c r="I25" s="25"/>
      <c r="J25" s="25"/>
      <c r="K25" s="25"/>
      <c r="L25" s="30"/>
      <c r="M25" s="25"/>
      <c r="N25" s="26"/>
      <c r="R25" s="206"/>
      <c r="S25" s="206"/>
    </row>
    <row r="26" spans="1:20" s="204" customFormat="1" ht="18.95" customHeight="1">
      <c r="A26" s="265"/>
      <c r="B26" s="227"/>
      <c r="C26" s="226"/>
      <c r="D26" s="49"/>
      <c r="E26" s="104"/>
      <c r="F26" s="30"/>
      <c r="G26" s="25"/>
      <c r="H26" s="25"/>
      <c r="I26" s="25"/>
      <c r="J26" s="25"/>
      <c r="K26" s="25"/>
      <c r="L26" s="30"/>
      <c r="M26" s="25"/>
      <c r="N26" s="26"/>
      <c r="R26" s="206"/>
      <c r="S26" s="206"/>
    </row>
    <row r="27" spans="1:20" s="204" customFormat="1" ht="18.95" customHeight="1">
      <c r="A27" s="265"/>
      <c r="B27" s="227"/>
      <c r="C27" s="226"/>
      <c r="D27" s="49"/>
      <c r="E27" s="104"/>
      <c r="F27" s="30"/>
      <c r="G27" s="25"/>
      <c r="H27" s="25"/>
      <c r="I27" s="25"/>
      <c r="J27" s="25"/>
      <c r="K27" s="25"/>
      <c r="L27" s="30"/>
      <c r="M27" s="25"/>
      <c r="N27" s="26"/>
      <c r="R27" s="206"/>
      <c r="S27" s="206"/>
    </row>
    <row r="28" spans="1:20" s="204" customFormat="1" ht="18.95" customHeight="1">
      <c r="A28" s="265"/>
      <c r="B28" s="227"/>
      <c r="C28" s="226"/>
      <c r="D28" s="49"/>
      <c r="E28" s="104"/>
      <c r="F28" s="30"/>
      <c r="G28" s="25"/>
      <c r="H28" s="25"/>
      <c r="I28" s="25"/>
      <c r="J28" s="25"/>
      <c r="K28" s="25"/>
      <c r="L28" s="30"/>
      <c r="M28" s="25"/>
      <c r="N28" s="26"/>
      <c r="R28" s="206"/>
      <c r="S28" s="206"/>
    </row>
    <row r="29" spans="1:20" s="204" customFormat="1" ht="18.95" customHeight="1">
      <c r="A29" s="265"/>
      <c r="B29" s="1275"/>
      <c r="C29" s="1276"/>
      <c r="D29" s="1277"/>
      <c r="E29" s="104"/>
      <c r="F29" s="30"/>
      <c r="G29" s="25"/>
      <c r="H29" s="25"/>
      <c r="I29" s="25"/>
      <c r="J29" s="25"/>
      <c r="K29" s="25"/>
      <c r="L29" s="30"/>
      <c r="M29" s="25"/>
      <c r="N29" s="26"/>
      <c r="R29" s="206"/>
      <c r="S29" s="206"/>
    </row>
    <row r="30" spans="1:20" s="204" customFormat="1" ht="18.95" customHeight="1">
      <c r="A30" s="265"/>
      <c r="B30" s="287"/>
      <c r="C30" s="48"/>
      <c r="D30" s="49"/>
      <c r="E30" s="104"/>
      <c r="F30" s="30"/>
      <c r="G30" s="25"/>
      <c r="H30" s="25"/>
      <c r="I30" s="25"/>
      <c r="J30" s="25"/>
      <c r="K30" s="25"/>
      <c r="L30" s="30"/>
      <c r="M30" s="25"/>
      <c r="N30" s="26"/>
      <c r="R30" s="206"/>
      <c r="S30" s="206"/>
    </row>
    <row r="31" spans="1:20" s="204" customFormat="1" ht="18.95" customHeight="1">
      <c r="A31" s="648">
        <v>1</v>
      </c>
      <c r="B31" s="302" t="s">
        <v>1000</v>
      </c>
      <c r="C31" s="221"/>
      <c r="D31" s="897"/>
      <c r="E31" s="896"/>
      <c r="F31" s="102"/>
      <c r="G31" s="34"/>
      <c r="H31" s="34"/>
      <c r="I31" s="34"/>
      <c r="J31" s="102"/>
      <c r="K31" s="102"/>
      <c r="L31" s="34"/>
      <c r="M31" s="35"/>
      <c r="N31" s="35"/>
      <c r="R31" s="206"/>
      <c r="S31" s="206"/>
    </row>
    <row r="32" spans="1:20" s="204" customFormat="1" ht="18.95" customHeight="1">
      <c r="A32" s="898"/>
      <c r="B32" s="899" t="s">
        <v>1012</v>
      </c>
      <c r="C32" s="900" t="s">
        <v>895</v>
      </c>
      <c r="D32" s="901"/>
      <c r="E32" s="902"/>
      <c r="F32" s="903"/>
      <c r="G32" s="904"/>
      <c r="H32" s="904"/>
      <c r="I32" s="904"/>
      <c r="J32" s="904"/>
      <c r="K32" s="904"/>
      <c r="L32" s="904"/>
      <c r="M32" s="904"/>
      <c r="N32" s="903"/>
      <c r="R32" s="206"/>
      <c r="S32" s="206"/>
    </row>
    <row r="33" spans="1:23" ht="18.95" customHeight="1">
      <c r="A33" s="651"/>
      <c r="B33" s="27" t="s">
        <v>1013</v>
      </c>
      <c r="C33" s="349" t="s">
        <v>1014</v>
      </c>
      <c r="D33" s="49"/>
      <c r="E33" s="104">
        <v>1</v>
      </c>
      <c r="F33" s="30" t="s">
        <v>349</v>
      </c>
      <c r="G33" s="25" t="s">
        <v>1015</v>
      </c>
      <c r="H33" s="25" t="s">
        <v>1015</v>
      </c>
      <c r="I33" s="25"/>
      <c r="J33" s="25"/>
      <c r="K33" s="25"/>
      <c r="L33" s="30"/>
      <c r="M33" s="72"/>
      <c r="N33" s="26"/>
    </row>
    <row r="34" spans="1:23" s="887" customFormat="1" ht="18.95" customHeight="1">
      <c r="A34" s="905"/>
      <c r="B34" s="906" t="s">
        <v>1016</v>
      </c>
      <c r="C34" s="382" t="s">
        <v>1017</v>
      </c>
      <c r="D34" s="907" t="s">
        <v>1018</v>
      </c>
      <c r="E34" s="908">
        <v>8</v>
      </c>
      <c r="F34" s="384" t="s">
        <v>211</v>
      </c>
      <c r="G34" s="242">
        <v>3330</v>
      </c>
      <c r="H34" s="242">
        <f>G34*O34</f>
        <v>3113.2437965099998</v>
      </c>
      <c r="I34" s="242">
        <f>E34*H34</f>
        <v>24905.950372079998</v>
      </c>
      <c r="J34" s="242"/>
      <c r="K34" s="242"/>
      <c r="L34" s="384">
        <f>E34*J34</f>
        <v>0</v>
      </c>
      <c r="M34" s="242">
        <f>I34+L34</f>
        <v>24905.950372079998</v>
      </c>
      <c r="N34" s="912"/>
      <c r="O34" s="921">
        <v>0.93490804699999996</v>
      </c>
      <c r="P34" s="203"/>
      <c r="Q34" s="203"/>
      <c r="R34" s="204"/>
      <c r="S34" s="204"/>
      <c r="T34" s="204"/>
      <c r="U34" s="888"/>
      <c r="V34" s="888"/>
      <c r="W34" s="888"/>
    </row>
    <row r="35" spans="1:23" s="887" customFormat="1" ht="18.95" customHeight="1">
      <c r="A35" s="905"/>
      <c r="B35" s="906" t="s">
        <v>1019</v>
      </c>
      <c r="C35" s="382" t="s">
        <v>1017</v>
      </c>
      <c r="D35" s="907" t="s">
        <v>1018</v>
      </c>
      <c r="E35" s="908">
        <v>30</v>
      </c>
      <c r="F35" s="384" t="s">
        <v>211</v>
      </c>
      <c r="G35" s="242">
        <v>3330</v>
      </c>
      <c r="H35" s="242">
        <f t="shared" ref="H35:H37" si="1">G35*O35</f>
        <v>3113.2437965099998</v>
      </c>
      <c r="I35" s="242">
        <f t="shared" ref="I35:I43" si="2">E35*H35</f>
        <v>93397.313895300002</v>
      </c>
      <c r="J35" s="242"/>
      <c r="K35" s="242"/>
      <c r="L35" s="384">
        <f>E35*J35</f>
        <v>0</v>
      </c>
      <c r="M35" s="242">
        <f t="shared" ref="M35:M88" si="3">I35+L35</f>
        <v>93397.313895300002</v>
      </c>
      <c r="N35" s="384"/>
      <c r="O35" s="921">
        <v>0.93490804699999996</v>
      </c>
      <c r="P35" s="204"/>
      <c r="Q35" s="204"/>
      <c r="R35" s="204"/>
      <c r="S35" s="204"/>
      <c r="T35" s="204"/>
      <c r="U35" s="888"/>
      <c r="V35" s="888"/>
      <c r="W35" s="888"/>
    </row>
    <row r="36" spans="1:23" s="887" customFormat="1" ht="18.95" customHeight="1">
      <c r="A36" s="905"/>
      <c r="B36" s="381" t="s">
        <v>1020</v>
      </c>
      <c r="C36" s="382" t="s">
        <v>1021</v>
      </c>
      <c r="D36" s="907"/>
      <c r="E36" s="908">
        <v>8.6</v>
      </c>
      <c r="F36" s="384" t="s">
        <v>286</v>
      </c>
      <c r="G36" s="242">
        <v>32000</v>
      </c>
      <c r="H36" s="242">
        <f t="shared" si="1"/>
        <v>29917.057504</v>
      </c>
      <c r="I36" s="242">
        <f t="shared" si="2"/>
        <v>257286.69453439998</v>
      </c>
      <c r="J36" s="242"/>
      <c r="K36" s="242"/>
      <c r="L36" s="384">
        <f>E36*J36</f>
        <v>0</v>
      </c>
      <c r="M36" s="242">
        <f t="shared" si="3"/>
        <v>257286.69453439998</v>
      </c>
      <c r="N36" s="384"/>
      <c r="O36" s="921">
        <v>0.93490804699999996</v>
      </c>
      <c r="P36" s="204"/>
      <c r="Q36" s="204"/>
      <c r="R36" s="204"/>
      <c r="S36" s="204"/>
      <c r="T36" s="204"/>
      <c r="U36" s="888"/>
      <c r="V36" s="888"/>
      <c r="W36" s="888"/>
    </row>
    <row r="37" spans="1:23" s="887" customFormat="1" ht="18.95" customHeight="1">
      <c r="A37" s="905"/>
      <c r="B37" s="381" t="s">
        <v>1022</v>
      </c>
      <c r="C37" s="382"/>
      <c r="D37" s="907"/>
      <c r="E37" s="908">
        <v>1</v>
      </c>
      <c r="F37" s="384" t="s">
        <v>349</v>
      </c>
      <c r="G37" s="242">
        <v>7990</v>
      </c>
      <c r="H37" s="242">
        <f t="shared" si="1"/>
        <v>7469.9152955299996</v>
      </c>
      <c r="I37" s="242">
        <f t="shared" si="2"/>
        <v>7469.9152955299996</v>
      </c>
      <c r="J37" s="242"/>
      <c r="K37" s="242"/>
      <c r="L37" s="384"/>
      <c r="M37" s="242">
        <f t="shared" si="3"/>
        <v>7469.9152955299996</v>
      </c>
      <c r="N37" s="384"/>
      <c r="O37" s="921">
        <v>0.93490804699999996</v>
      </c>
      <c r="P37" s="204"/>
      <c r="Q37" s="204"/>
      <c r="R37" s="204"/>
      <c r="S37" s="204"/>
      <c r="T37" s="204"/>
      <c r="U37" s="888"/>
      <c r="V37" s="888"/>
      <c r="W37" s="888"/>
    </row>
    <row r="38" spans="1:23" ht="18.95" customHeight="1">
      <c r="A38" s="651"/>
      <c r="B38" s="27" t="s">
        <v>1023</v>
      </c>
      <c r="C38" s="349" t="s">
        <v>1014</v>
      </c>
      <c r="D38" s="49"/>
      <c r="E38" s="104">
        <v>1</v>
      </c>
      <c r="F38" s="30" t="s">
        <v>349</v>
      </c>
      <c r="G38" s="25" t="s">
        <v>1024</v>
      </c>
      <c r="H38" s="25" t="s">
        <v>1024</v>
      </c>
      <c r="I38" s="242"/>
      <c r="J38" s="25"/>
      <c r="K38" s="25"/>
      <c r="L38" s="30"/>
      <c r="M38" s="242"/>
      <c r="N38" s="26"/>
      <c r="O38" s="921">
        <v>0.93490804699999996</v>
      </c>
    </row>
    <row r="39" spans="1:23" s="888" customFormat="1" ht="18.95" customHeight="1">
      <c r="A39" s="909"/>
      <c r="B39" s="906" t="s">
        <v>1019</v>
      </c>
      <c r="C39" s="382" t="s">
        <v>1025</v>
      </c>
      <c r="D39" s="907" t="s">
        <v>1026</v>
      </c>
      <c r="E39" s="910">
        <v>23</v>
      </c>
      <c r="F39" s="384" t="s">
        <v>211</v>
      </c>
      <c r="G39" s="242">
        <v>3330</v>
      </c>
      <c r="H39" s="242">
        <f>G39*O39</f>
        <v>3113.2437965099998</v>
      </c>
      <c r="I39" s="242">
        <f t="shared" si="2"/>
        <v>71604.607319729999</v>
      </c>
      <c r="J39" s="912">
        <v>0</v>
      </c>
      <c r="K39" s="912"/>
      <c r="L39" s="912">
        <f>E39*J39</f>
        <v>0</v>
      </c>
      <c r="M39" s="242">
        <f t="shared" si="3"/>
        <v>71604.607319729999</v>
      </c>
      <c r="N39" s="912"/>
      <c r="O39" s="921">
        <v>0.93490804699999996</v>
      </c>
      <c r="P39" s="204"/>
      <c r="Q39" s="204"/>
      <c r="R39" s="204"/>
      <c r="S39" s="204"/>
      <c r="T39" s="204"/>
    </row>
    <row r="40" spans="1:23" s="888" customFormat="1" ht="18.95" customHeight="1">
      <c r="A40" s="909"/>
      <c r="B40" s="911" t="s">
        <v>1027</v>
      </c>
      <c r="C40" s="382" t="s">
        <v>1017</v>
      </c>
      <c r="D40" s="907" t="s">
        <v>1026</v>
      </c>
      <c r="E40" s="910">
        <v>4</v>
      </c>
      <c r="F40" s="384" t="s">
        <v>211</v>
      </c>
      <c r="G40" s="242">
        <v>3330</v>
      </c>
      <c r="H40" s="242">
        <f t="shared" ref="H40:H88" si="4">G40*O40</f>
        <v>3113.2437965099998</v>
      </c>
      <c r="I40" s="242">
        <f t="shared" si="2"/>
        <v>12452.975186039999</v>
      </c>
      <c r="J40" s="912">
        <v>0</v>
      </c>
      <c r="K40" s="912"/>
      <c r="L40" s="912">
        <f>E40*J40</f>
        <v>0</v>
      </c>
      <c r="M40" s="242">
        <f t="shared" si="3"/>
        <v>12452.975186039999</v>
      </c>
      <c r="N40" s="912"/>
      <c r="O40" s="921">
        <v>0.93490804699999996</v>
      </c>
      <c r="P40" s="204"/>
      <c r="Q40" s="204"/>
      <c r="R40" s="204"/>
      <c r="S40" s="204"/>
      <c r="T40" s="204"/>
    </row>
    <row r="41" spans="1:23" s="888" customFormat="1" ht="18.95" customHeight="1">
      <c r="A41" s="909"/>
      <c r="B41" s="381" t="s">
        <v>1028</v>
      </c>
      <c r="C41" s="382" t="s">
        <v>1029</v>
      </c>
      <c r="D41" s="907" t="s">
        <v>1030</v>
      </c>
      <c r="E41" s="910">
        <v>8.3000000000000007</v>
      </c>
      <c r="F41" s="384" t="s">
        <v>286</v>
      </c>
      <c r="G41" s="912">
        <v>32000</v>
      </c>
      <c r="H41" s="242">
        <f t="shared" si="4"/>
        <v>29917.057504</v>
      </c>
      <c r="I41" s="242">
        <f t="shared" si="2"/>
        <v>248311.57728320002</v>
      </c>
      <c r="J41" s="912"/>
      <c r="K41" s="912"/>
      <c r="L41" s="912">
        <f>E41*J41</f>
        <v>0</v>
      </c>
      <c r="M41" s="242">
        <f t="shared" si="3"/>
        <v>248311.57728320002</v>
      </c>
      <c r="N41" s="912"/>
      <c r="O41" s="921">
        <v>0.93490804699999996</v>
      </c>
      <c r="P41" s="204"/>
      <c r="Q41" s="204"/>
      <c r="R41" s="204"/>
      <c r="S41" s="204"/>
      <c r="T41" s="204"/>
    </row>
    <row r="42" spans="1:23" ht="18.95" customHeight="1">
      <c r="A42" s="651"/>
      <c r="B42" s="27" t="s">
        <v>1031</v>
      </c>
      <c r="C42" s="349" t="s">
        <v>1032</v>
      </c>
      <c r="D42" s="49"/>
      <c r="E42" s="104">
        <v>1</v>
      </c>
      <c r="F42" s="30" t="s">
        <v>349</v>
      </c>
      <c r="G42" s="25" t="s">
        <v>1033</v>
      </c>
      <c r="H42" s="25" t="s">
        <v>1033</v>
      </c>
      <c r="I42" s="242" t="s">
        <v>151</v>
      </c>
      <c r="J42" s="25"/>
      <c r="K42" s="25"/>
      <c r="L42" s="30"/>
      <c r="M42" s="242" t="s">
        <v>151</v>
      </c>
      <c r="N42" s="26"/>
      <c r="O42" s="921">
        <v>0.93490804699999996</v>
      </c>
    </row>
    <row r="43" spans="1:23" s="888" customFormat="1" ht="18.95" customHeight="1">
      <c r="A43" s="909"/>
      <c r="B43" s="906" t="s">
        <v>1019</v>
      </c>
      <c r="C43" s="382" t="s">
        <v>1034</v>
      </c>
      <c r="D43" s="907" t="s">
        <v>1035</v>
      </c>
      <c r="E43" s="910">
        <v>5</v>
      </c>
      <c r="F43" s="384" t="s">
        <v>211</v>
      </c>
      <c r="G43" s="242">
        <v>3330</v>
      </c>
      <c r="H43" s="242">
        <f t="shared" si="4"/>
        <v>3113.2437965099998</v>
      </c>
      <c r="I43" s="242">
        <f t="shared" si="2"/>
        <v>15566.218982549999</v>
      </c>
      <c r="J43" s="912">
        <v>0</v>
      </c>
      <c r="K43" s="912"/>
      <c r="L43" s="912">
        <f>E43*J43</f>
        <v>0</v>
      </c>
      <c r="M43" s="242">
        <f t="shared" si="3"/>
        <v>15566.218982549999</v>
      </c>
      <c r="N43" s="912"/>
      <c r="O43" s="921">
        <v>0.93490804699999996</v>
      </c>
      <c r="P43" s="204"/>
      <c r="Q43" s="204"/>
      <c r="R43" s="204"/>
      <c r="S43" s="204"/>
      <c r="T43" s="204"/>
    </row>
    <row r="44" spans="1:23" s="888" customFormat="1" ht="18.95" customHeight="1">
      <c r="A44" s="909"/>
      <c r="B44" s="906" t="s">
        <v>1019</v>
      </c>
      <c r="C44" s="382" t="s">
        <v>1036</v>
      </c>
      <c r="D44" s="907" t="s">
        <v>1037</v>
      </c>
      <c r="E44" s="910">
        <v>0</v>
      </c>
      <c r="F44" s="384" t="s">
        <v>286</v>
      </c>
      <c r="G44" s="912"/>
      <c r="H44" s="242">
        <f t="shared" si="4"/>
        <v>0</v>
      </c>
      <c r="I44" s="242">
        <f t="shared" ref="I44:I88" si="5">E44*H44</f>
        <v>0</v>
      </c>
      <c r="J44" s="912"/>
      <c r="K44" s="912"/>
      <c r="L44" s="912"/>
      <c r="M44" s="242">
        <f t="shared" si="3"/>
        <v>0</v>
      </c>
      <c r="N44" s="912"/>
      <c r="O44" s="921">
        <v>0.93490804699999996</v>
      </c>
      <c r="P44" s="204"/>
      <c r="Q44" s="204"/>
      <c r="R44" s="204"/>
      <c r="S44" s="204"/>
      <c r="T44" s="204"/>
    </row>
    <row r="45" spans="1:23" s="888" customFormat="1" ht="18.95" customHeight="1">
      <c r="A45" s="909"/>
      <c r="B45" s="906" t="s">
        <v>1038</v>
      </c>
      <c r="C45" s="382" t="s">
        <v>1036</v>
      </c>
      <c r="D45" s="907" t="s">
        <v>1037</v>
      </c>
      <c r="E45" s="910">
        <v>6.5</v>
      </c>
      <c r="F45" s="384" t="s">
        <v>211</v>
      </c>
      <c r="G45" s="912">
        <v>32000</v>
      </c>
      <c r="H45" s="242">
        <f t="shared" si="4"/>
        <v>29917.057504</v>
      </c>
      <c r="I45" s="242">
        <f t="shared" si="5"/>
        <v>194460.87377599999</v>
      </c>
      <c r="J45" s="912"/>
      <c r="K45" s="912"/>
      <c r="L45" s="912"/>
      <c r="M45" s="242">
        <f t="shared" si="3"/>
        <v>194460.87377599999</v>
      </c>
      <c r="N45" s="912"/>
      <c r="O45" s="921">
        <v>0.93490804699999996</v>
      </c>
      <c r="P45" s="204"/>
      <c r="Q45" s="204"/>
      <c r="R45" s="204"/>
      <c r="S45" s="204"/>
      <c r="T45" s="204"/>
    </row>
    <row r="46" spans="1:23" s="888" customFormat="1" ht="18.95" customHeight="1">
      <c r="A46" s="909"/>
      <c r="B46" s="906" t="s">
        <v>1039</v>
      </c>
      <c r="C46" s="382" t="s">
        <v>51</v>
      </c>
      <c r="D46" s="907" t="s">
        <v>1040</v>
      </c>
      <c r="E46" s="910">
        <v>7</v>
      </c>
      <c r="F46" s="384" t="s">
        <v>211</v>
      </c>
      <c r="G46" s="912">
        <v>9700</v>
      </c>
      <c r="H46" s="242">
        <f t="shared" si="4"/>
        <v>9068.6080559000002</v>
      </c>
      <c r="I46" s="242">
        <f t="shared" si="5"/>
        <v>63480.256391300005</v>
      </c>
      <c r="J46" s="912">
        <v>0</v>
      </c>
      <c r="K46" s="912"/>
      <c r="L46" s="912">
        <f>E46*J46</f>
        <v>0</v>
      </c>
      <c r="M46" s="242">
        <f t="shared" si="3"/>
        <v>63480.256391300005</v>
      </c>
      <c r="N46" s="912"/>
      <c r="O46" s="921">
        <v>0.93490804699999996</v>
      </c>
      <c r="P46" s="204"/>
      <c r="Q46" s="204"/>
      <c r="R46" s="204"/>
      <c r="S46" s="204"/>
      <c r="T46" s="204"/>
    </row>
    <row r="47" spans="1:23" s="888" customFormat="1" ht="18.95" customHeight="1">
      <c r="A47" s="909"/>
      <c r="B47" s="906" t="s">
        <v>1041</v>
      </c>
      <c r="C47" s="1282" t="s">
        <v>1042</v>
      </c>
      <c r="D47" s="1283"/>
      <c r="E47" s="910">
        <v>3</v>
      </c>
      <c r="F47" s="384" t="s">
        <v>349</v>
      </c>
      <c r="G47" s="912">
        <v>11495</v>
      </c>
      <c r="H47" s="242">
        <f t="shared" si="4"/>
        <v>10746.768000265</v>
      </c>
      <c r="I47" s="242">
        <f t="shared" si="5"/>
        <v>32240.304000794997</v>
      </c>
      <c r="J47" s="912"/>
      <c r="K47" s="912"/>
      <c r="L47" s="912">
        <f>E47*J47</f>
        <v>0</v>
      </c>
      <c r="M47" s="242">
        <f t="shared" si="3"/>
        <v>32240.304000794997</v>
      </c>
      <c r="N47" s="912"/>
      <c r="O47" s="921">
        <v>0.93490804699999996</v>
      </c>
      <c r="P47" s="204"/>
      <c r="Q47" s="204"/>
      <c r="R47" s="204"/>
      <c r="S47" s="204"/>
      <c r="T47" s="204"/>
    </row>
    <row r="48" spans="1:23" s="888" customFormat="1" ht="18.95" customHeight="1">
      <c r="A48" s="909"/>
      <c r="B48" s="906"/>
      <c r="C48" s="913"/>
      <c r="D48" s="914"/>
      <c r="E48" s="910"/>
      <c r="F48" s="384"/>
      <c r="G48" s="912"/>
      <c r="H48" s="242" t="s">
        <v>151</v>
      </c>
      <c r="I48" s="242" t="s">
        <v>151</v>
      </c>
      <c r="J48" s="912"/>
      <c r="K48" s="912"/>
      <c r="L48" s="912"/>
      <c r="M48" s="242" t="s">
        <v>151</v>
      </c>
      <c r="N48" s="912"/>
      <c r="O48" s="921">
        <v>0.93490804699999996</v>
      </c>
      <c r="P48" s="204"/>
      <c r="Q48" s="204"/>
      <c r="R48" s="204"/>
      <c r="S48" s="204"/>
      <c r="T48" s="204"/>
    </row>
    <row r="49" spans="1:23" s="888" customFormat="1" ht="18.95" customHeight="1">
      <c r="A49" s="909"/>
      <c r="B49" s="906" t="s">
        <v>1043</v>
      </c>
      <c r="C49" s="1282" t="s">
        <v>1044</v>
      </c>
      <c r="D49" s="1283"/>
      <c r="E49" s="910">
        <v>2</v>
      </c>
      <c r="F49" s="384" t="s">
        <v>349</v>
      </c>
      <c r="G49" s="912">
        <v>32000</v>
      </c>
      <c r="H49" s="242">
        <f t="shared" si="4"/>
        <v>29917.057504</v>
      </c>
      <c r="I49" s="242">
        <f t="shared" si="5"/>
        <v>59834.115008000001</v>
      </c>
      <c r="J49" s="912"/>
      <c r="K49" s="912"/>
      <c r="L49" s="912">
        <f>E49*J49</f>
        <v>0</v>
      </c>
      <c r="M49" s="242">
        <f t="shared" si="3"/>
        <v>59834.115008000001</v>
      </c>
      <c r="N49" s="912"/>
      <c r="O49" s="921">
        <v>0.93490804699999996</v>
      </c>
      <c r="P49" s="204"/>
      <c r="Q49" s="204"/>
      <c r="R49" s="204"/>
      <c r="S49" s="204"/>
      <c r="T49" s="204"/>
    </row>
    <row r="50" spans="1:23" s="888" customFormat="1" ht="18.95" customHeight="1">
      <c r="A50" s="909"/>
      <c r="B50" s="906" t="s">
        <v>1045</v>
      </c>
      <c r="C50" s="1282" t="s">
        <v>1046</v>
      </c>
      <c r="D50" s="1283"/>
      <c r="E50" s="910">
        <v>2</v>
      </c>
      <c r="F50" s="384" t="s">
        <v>349</v>
      </c>
      <c r="G50" s="912">
        <v>13900</v>
      </c>
      <c r="H50" s="242">
        <f t="shared" si="4"/>
        <v>12995.2218533</v>
      </c>
      <c r="I50" s="242">
        <f t="shared" si="5"/>
        <v>25990.443706599999</v>
      </c>
      <c r="J50" s="912"/>
      <c r="K50" s="912"/>
      <c r="L50" s="912">
        <f>E50*J50</f>
        <v>0</v>
      </c>
      <c r="M50" s="242">
        <f t="shared" si="3"/>
        <v>25990.443706599999</v>
      </c>
      <c r="N50" s="912"/>
      <c r="O50" s="921">
        <v>0.93490804699999996</v>
      </c>
      <c r="P50" s="204"/>
      <c r="Q50" s="204"/>
      <c r="R50" s="204"/>
      <c r="S50" s="204"/>
      <c r="T50" s="204"/>
    </row>
    <row r="51" spans="1:23" s="888" customFormat="1" ht="18.95" customHeight="1">
      <c r="A51" s="909"/>
      <c r="B51" s="906" t="s">
        <v>1047</v>
      </c>
      <c r="C51" s="1282" t="s">
        <v>1048</v>
      </c>
      <c r="D51" s="1283"/>
      <c r="E51" s="910">
        <v>2</v>
      </c>
      <c r="F51" s="384" t="s">
        <v>349</v>
      </c>
      <c r="G51" s="912">
        <v>59900</v>
      </c>
      <c r="H51" s="242">
        <f t="shared" si="4"/>
        <v>56000.992015299998</v>
      </c>
      <c r="I51" s="242">
        <f t="shared" si="5"/>
        <v>112001.9840306</v>
      </c>
      <c r="J51" s="912"/>
      <c r="K51" s="912"/>
      <c r="L51" s="912">
        <f>E51*J51</f>
        <v>0</v>
      </c>
      <c r="M51" s="242">
        <f t="shared" si="3"/>
        <v>112001.9840306</v>
      </c>
      <c r="N51" s="912"/>
      <c r="O51" s="921">
        <v>0.93490804699999996</v>
      </c>
      <c r="P51" s="204"/>
      <c r="Q51" s="204"/>
      <c r="R51" s="204"/>
      <c r="S51" s="204"/>
      <c r="T51" s="204"/>
    </row>
    <row r="52" spans="1:23" ht="18.95" customHeight="1">
      <c r="A52" s="651"/>
      <c r="B52" s="27" t="s">
        <v>1049</v>
      </c>
      <c r="C52" s="349" t="s">
        <v>1050</v>
      </c>
      <c r="D52" s="49"/>
      <c r="E52" s="104">
        <v>1</v>
      </c>
      <c r="F52" s="30" t="s">
        <v>349</v>
      </c>
      <c r="G52" s="25" t="s">
        <v>1051</v>
      </c>
      <c r="H52" s="25" t="s">
        <v>1051</v>
      </c>
      <c r="I52" s="242" t="s">
        <v>151</v>
      </c>
      <c r="J52" s="25"/>
      <c r="K52" s="25"/>
      <c r="L52" s="30"/>
      <c r="M52" s="242" t="s">
        <v>151</v>
      </c>
      <c r="N52" s="26"/>
      <c r="O52" s="921">
        <v>0.93490804699999996</v>
      </c>
    </row>
    <row r="53" spans="1:23" s="887" customFormat="1" ht="18.95" customHeight="1">
      <c r="A53" s="905"/>
      <c r="B53" s="906" t="s">
        <v>1019</v>
      </c>
      <c r="C53" s="382" t="s">
        <v>1034</v>
      </c>
      <c r="D53" s="907" t="s">
        <v>1035</v>
      </c>
      <c r="E53" s="908">
        <v>5</v>
      </c>
      <c r="F53" s="384" t="s">
        <v>286</v>
      </c>
      <c r="G53" s="242">
        <v>3330</v>
      </c>
      <c r="H53" s="242">
        <f t="shared" si="4"/>
        <v>3113.2437965099998</v>
      </c>
      <c r="I53" s="242">
        <f t="shared" si="5"/>
        <v>15566.218982549999</v>
      </c>
      <c r="J53" s="242">
        <v>0</v>
      </c>
      <c r="K53" s="242"/>
      <c r="L53" s="384">
        <f>E53*J53</f>
        <v>0</v>
      </c>
      <c r="M53" s="242">
        <f t="shared" si="3"/>
        <v>15566.218982549999</v>
      </c>
      <c r="N53" s="384"/>
      <c r="O53" s="921">
        <v>0.93490804699999996</v>
      </c>
      <c r="P53" s="203"/>
      <c r="Q53" s="203"/>
      <c r="R53" s="204"/>
      <c r="S53" s="204"/>
      <c r="T53" s="204"/>
      <c r="U53" s="888"/>
      <c r="V53" s="888"/>
      <c r="W53" s="888"/>
    </row>
    <row r="54" spans="1:23" s="887" customFormat="1" ht="18.95" customHeight="1">
      <c r="A54" s="905"/>
      <c r="B54" s="906" t="s">
        <v>1019</v>
      </c>
      <c r="C54" s="382" t="s">
        <v>1036</v>
      </c>
      <c r="D54" s="907" t="s">
        <v>1052</v>
      </c>
      <c r="E54" s="908"/>
      <c r="F54" s="384" t="s">
        <v>286</v>
      </c>
      <c r="G54" s="242"/>
      <c r="H54" s="242">
        <f t="shared" si="4"/>
        <v>0</v>
      </c>
      <c r="I54" s="242">
        <f t="shared" si="5"/>
        <v>0</v>
      </c>
      <c r="J54" s="242"/>
      <c r="K54" s="242"/>
      <c r="L54" s="384"/>
      <c r="M54" s="242">
        <f t="shared" si="3"/>
        <v>0</v>
      </c>
      <c r="N54" s="384"/>
      <c r="O54" s="921">
        <v>0.93490804699999996</v>
      </c>
      <c r="P54" s="204"/>
      <c r="Q54" s="204"/>
      <c r="R54" s="204"/>
      <c r="S54" s="204"/>
      <c r="T54" s="204"/>
      <c r="U54" s="888"/>
      <c r="V54" s="888"/>
      <c r="W54" s="888"/>
    </row>
    <row r="55" spans="1:23" s="887" customFormat="1" ht="18.95" customHeight="1">
      <c r="A55" s="905"/>
      <c r="B55" s="906" t="s">
        <v>1038</v>
      </c>
      <c r="C55" s="382" t="s">
        <v>1036</v>
      </c>
      <c r="D55" s="907" t="s">
        <v>1052</v>
      </c>
      <c r="E55" s="908">
        <v>7.4</v>
      </c>
      <c r="F55" s="384" t="s">
        <v>286</v>
      </c>
      <c r="G55" s="242">
        <v>32000</v>
      </c>
      <c r="H55" s="242">
        <f t="shared" si="4"/>
        <v>29917.057504</v>
      </c>
      <c r="I55" s="242">
        <f t="shared" si="5"/>
        <v>221386.22552960002</v>
      </c>
      <c r="J55" s="242"/>
      <c r="K55" s="242"/>
      <c r="L55" s="384"/>
      <c r="M55" s="242">
        <f t="shared" si="3"/>
        <v>221386.22552960002</v>
      </c>
      <c r="N55" s="384"/>
      <c r="O55" s="921">
        <v>0.93490804699999996</v>
      </c>
      <c r="P55" s="204"/>
      <c r="Q55" s="204"/>
      <c r="R55" s="204"/>
      <c r="S55" s="204"/>
      <c r="T55" s="204"/>
      <c r="U55" s="888"/>
      <c r="V55" s="888"/>
      <c r="W55" s="888"/>
    </row>
    <row r="56" spans="1:23" s="887" customFormat="1" ht="18.95" customHeight="1">
      <c r="A56" s="905"/>
      <c r="B56" s="906" t="s">
        <v>1039</v>
      </c>
      <c r="C56" s="382" t="s">
        <v>1053</v>
      </c>
      <c r="D56" s="907" t="s">
        <v>1040</v>
      </c>
      <c r="E56" s="908">
        <v>10</v>
      </c>
      <c r="F56" s="384" t="s">
        <v>286</v>
      </c>
      <c r="G56" s="242">
        <v>9700</v>
      </c>
      <c r="H56" s="242">
        <f t="shared" si="4"/>
        <v>9068.6080559000002</v>
      </c>
      <c r="I56" s="242">
        <f t="shared" si="5"/>
        <v>90686.080558999995</v>
      </c>
      <c r="J56" s="242">
        <v>0</v>
      </c>
      <c r="K56" s="242"/>
      <c r="L56" s="384">
        <f>E56*J56</f>
        <v>0</v>
      </c>
      <c r="M56" s="242">
        <f t="shared" si="3"/>
        <v>90686.080558999995</v>
      </c>
      <c r="N56" s="384"/>
      <c r="O56" s="921">
        <v>0.93490804699999996</v>
      </c>
      <c r="P56" s="204"/>
      <c r="Q56" s="204"/>
      <c r="R56" s="204"/>
      <c r="S56" s="204"/>
      <c r="T56" s="204"/>
      <c r="U56" s="888"/>
      <c r="V56" s="888"/>
      <c r="W56" s="888"/>
    </row>
    <row r="57" spans="1:23" s="887" customFormat="1" ht="18.95" customHeight="1">
      <c r="A57" s="905"/>
      <c r="B57" s="906" t="s">
        <v>1054</v>
      </c>
      <c r="C57" s="382" t="s">
        <v>1055</v>
      </c>
      <c r="D57" s="907"/>
      <c r="E57" s="908">
        <v>1</v>
      </c>
      <c r="F57" s="384" t="s">
        <v>286</v>
      </c>
      <c r="G57" s="242">
        <v>16900</v>
      </c>
      <c r="H57" s="242">
        <f t="shared" si="4"/>
        <v>15799.9459943</v>
      </c>
      <c r="I57" s="242">
        <f t="shared" si="5"/>
        <v>15799.9459943</v>
      </c>
      <c r="J57" s="242"/>
      <c r="K57" s="242"/>
      <c r="L57" s="384">
        <f>E57*J57</f>
        <v>0</v>
      </c>
      <c r="M57" s="242">
        <f t="shared" si="3"/>
        <v>15799.9459943</v>
      </c>
      <c r="N57" s="384"/>
      <c r="O57" s="921">
        <v>0.93490804699999996</v>
      </c>
      <c r="P57" s="204"/>
      <c r="Q57" s="204"/>
      <c r="R57" s="204"/>
      <c r="S57" s="204"/>
      <c r="T57" s="204"/>
      <c r="U57" s="888"/>
      <c r="V57" s="888"/>
      <c r="W57" s="888"/>
    </row>
    <row r="58" spans="1:23" s="887" customFormat="1" ht="18.95" customHeight="1">
      <c r="A58" s="905"/>
      <c r="B58" s="906"/>
      <c r="C58" s="382"/>
      <c r="D58" s="907"/>
      <c r="E58" s="908"/>
      <c r="F58" s="384"/>
      <c r="G58" s="242"/>
      <c r="H58" s="242">
        <f t="shared" si="4"/>
        <v>0</v>
      </c>
      <c r="I58" s="242">
        <f t="shared" si="5"/>
        <v>0</v>
      </c>
      <c r="J58" s="242"/>
      <c r="K58" s="242"/>
      <c r="L58" s="384"/>
      <c r="M58" s="242">
        <f t="shared" si="3"/>
        <v>0</v>
      </c>
      <c r="N58" s="384"/>
      <c r="O58" s="921">
        <v>0.93490804699999996</v>
      </c>
      <c r="P58" s="204"/>
      <c r="Q58" s="204"/>
      <c r="R58" s="204"/>
      <c r="S58" s="204"/>
      <c r="T58" s="204"/>
      <c r="U58" s="888"/>
      <c r="V58" s="888"/>
      <c r="W58" s="888"/>
    </row>
    <row r="59" spans="1:23" s="887" customFormat="1" ht="18.95" customHeight="1">
      <c r="A59" s="905"/>
      <c r="B59" s="906" t="s">
        <v>1056</v>
      </c>
      <c r="C59" s="382" t="s">
        <v>1057</v>
      </c>
      <c r="D59" s="907"/>
      <c r="E59" s="908">
        <v>2</v>
      </c>
      <c r="F59" s="384" t="s">
        <v>286</v>
      </c>
      <c r="G59" s="242">
        <v>37050</v>
      </c>
      <c r="H59" s="242">
        <f t="shared" si="4"/>
        <v>34638.34314135</v>
      </c>
      <c r="I59" s="242">
        <f t="shared" si="5"/>
        <v>69276.6862827</v>
      </c>
      <c r="J59" s="242"/>
      <c r="K59" s="242"/>
      <c r="L59" s="384">
        <f>E59*J59</f>
        <v>0</v>
      </c>
      <c r="M59" s="242">
        <f t="shared" si="3"/>
        <v>69276.6862827</v>
      </c>
      <c r="N59" s="384"/>
      <c r="O59" s="921">
        <v>0.93490804699999996</v>
      </c>
      <c r="P59" s="204"/>
      <c r="Q59" s="204"/>
      <c r="R59" s="204"/>
      <c r="S59" s="204"/>
      <c r="T59" s="204"/>
      <c r="U59" s="888"/>
      <c r="V59" s="888"/>
      <c r="W59" s="888"/>
    </row>
    <row r="60" spans="1:23" ht="18.95" customHeight="1">
      <c r="A60" s="651"/>
      <c r="B60" s="27" t="s">
        <v>1058</v>
      </c>
      <c r="C60" s="349" t="s">
        <v>1059</v>
      </c>
      <c r="D60" s="49"/>
      <c r="E60" s="104">
        <v>1</v>
      </c>
      <c r="F60" s="30" t="s">
        <v>349</v>
      </c>
      <c r="G60" s="25" t="s">
        <v>1060</v>
      </c>
      <c r="H60" s="25" t="s">
        <v>1060</v>
      </c>
      <c r="I60" s="242"/>
      <c r="J60" s="25"/>
      <c r="K60" s="25"/>
      <c r="L60" s="30"/>
      <c r="M60" s="242"/>
      <c r="N60" s="26"/>
      <c r="O60" s="921">
        <v>0.93490804699999996</v>
      </c>
    </row>
    <row r="61" spans="1:23" s="887" customFormat="1" ht="18.95" customHeight="1">
      <c r="A61" s="905"/>
      <c r="B61" s="906" t="s">
        <v>1061</v>
      </c>
      <c r="C61" s="382" t="s">
        <v>1062</v>
      </c>
      <c r="D61" s="907" t="s">
        <v>1063</v>
      </c>
      <c r="E61" s="908">
        <v>2.5</v>
      </c>
      <c r="F61" s="384" t="s">
        <v>211</v>
      </c>
      <c r="G61" s="676">
        <v>32000</v>
      </c>
      <c r="H61" s="242">
        <f t="shared" si="4"/>
        <v>29917.057504</v>
      </c>
      <c r="I61" s="242">
        <f t="shared" si="5"/>
        <v>74792.643760000006</v>
      </c>
      <c r="J61" s="242"/>
      <c r="K61" s="242"/>
      <c r="L61" s="384">
        <f>E61*J61</f>
        <v>0</v>
      </c>
      <c r="M61" s="242">
        <f t="shared" si="3"/>
        <v>74792.643760000006</v>
      </c>
      <c r="N61" s="384"/>
      <c r="O61" s="921">
        <v>0.93490804699999996</v>
      </c>
      <c r="P61" s="204"/>
      <c r="Q61" s="204"/>
      <c r="R61" s="204"/>
      <c r="S61" s="204"/>
      <c r="T61" s="204"/>
      <c r="U61" s="888"/>
      <c r="V61" s="888"/>
      <c r="W61" s="888"/>
    </row>
    <row r="62" spans="1:23" s="887" customFormat="1" ht="18.95" customHeight="1">
      <c r="A62" s="905"/>
      <c r="B62" s="906" t="s">
        <v>1061</v>
      </c>
      <c r="C62" s="382" t="s">
        <v>1064</v>
      </c>
      <c r="D62" s="907" t="s">
        <v>1063</v>
      </c>
      <c r="E62" s="908">
        <v>1.6</v>
      </c>
      <c r="F62" s="384" t="s">
        <v>211</v>
      </c>
      <c r="G62" s="676">
        <v>12000</v>
      </c>
      <c r="H62" s="242">
        <f t="shared" si="4"/>
        <v>11218.896563999999</v>
      </c>
      <c r="I62" s="242">
        <f t="shared" si="5"/>
        <v>17950.234502399999</v>
      </c>
      <c r="J62" s="242"/>
      <c r="K62" s="242"/>
      <c r="L62" s="384">
        <f>E62*J62</f>
        <v>0</v>
      </c>
      <c r="M62" s="242">
        <f t="shared" si="3"/>
        <v>17950.234502399999</v>
      </c>
      <c r="N62" s="384"/>
      <c r="O62" s="921">
        <v>0.93490804699999996</v>
      </c>
      <c r="P62" s="204"/>
      <c r="Q62" s="204"/>
      <c r="R62" s="204"/>
      <c r="S62" s="204"/>
      <c r="T62" s="204"/>
      <c r="U62" s="888"/>
      <c r="V62" s="888"/>
      <c r="W62" s="888"/>
    </row>
    <row r="63" spans="1:23" ht="18.95" customHeight="1">
      <c r="A63" s="651"/>
      <c r="B63" s="27" t="s">
        <v>1065</v>
      </c>
      <c r="C63" s="349" t="s">
        <v>1066</v>
      </c>
      <c r="D63" s="49"/>
      <c r="E63" s="104">
        <v>1</v>
      </c>
      <c r="F63" s="30" t="s">
        <v>349</v>
      </c>
      <c r="G63" s="676" t="s">
        <v>1067</v>
      </c>
      <c r="H63" s="242" t="s">
        <v>1067</v>
      </c>
      <c r="I63" s="242"/>
      <c r="J63" s="242"/>
      <c r="K63" s="242"/>
      <c r="L63" s="242"/>
      <c r="M63" s="242"/>
      <c r="N63" s="26"/>
      <c r="O63" s="921">
        <v>0.93490804699999996</v>
      </c>
    </row>
    <row r="64" spans="1:23" s="887" customFormat="1" ht="18.95" customHeight="1">
      <c r="A64" s="905"/>
      <c r="B64" s="906" t="s">
        <v>1061</v>
      </c>
      <c r="C64" s="382" t="s">
        <v>1062</v>
      </c>
      <c r="D64" s="907" t="s">
        <v>1063</v>
      </c>
      <c r="E64" s="908">
        <v>1.2</v>
      </c>
      <c r="F64" s="384" t="s">
        <v>286</v>
      </c>
      <c r="G64" s="676">
        <v>32000</v>
      </c>
      <c r="H64" s="242">
        <f t="shared" si="4"/>
        <v>29917.057504</v>
      </c>
      <c r="I64" s="242">
        <f t="shared" si="5"/>
        <v>35900.469004799997</v>
      </c>
      <c r="J64" s="242"/>
      <c r="K64" s="242"/>
      <c r="L64" s="384">
        <f>E64*J64</f>
        <v>0</v>
      </c>
      <c r="M64" s="242">
        <f t="shared" si="3"/>
        <v>35900.469004799997</v>
      </c>
      <c r="N64" s="384"/>
      <c r="O64" s="921">
        <v>0.93490804699999996</v>
      </c>
      <c r="P64" s="204"/>
      <c r="Q64" s="204"/>
      <c r="R64" s="204"/>
      <c r="S64" s="204"/>
      <c r="T64" s="204"/>
      <c r="U64" s="888"/>
      <c r="V64" s="888"/>
      <c r="W64" s="888"/>
    </row>
    <row r="65" spans="1:23" s="887" customFormat="1" ht="18.95" customHeight="1">
      <c r="A65" s="905"/>
      <c r="B65" s="906" t="s">
        <v>1061</v>
      </c>
      <c r="C65" s="382" t="s">
        <v>1064</v>
      </c>
      <c r="D65" s="907" t="s">
        <v>1063</v>
      </c>
      <c r="E65" s="908">
        <v>2</v>
      </c>
      <c r="F65" s="384" t="s">
        <v>286</v>
      </c>
      <c r="G65" s="676">
        <v>12000</v>
      </c>
      <c r="H65" s="242">
        <f t="shared" si="4"/>
        <v>11218.896563999999</v>
      </c>
      <c r="I65" s="242">
        <f t="shared" si="5"/>
        <v>22437.793127999998</v>
      </c>
      <c r="J65" s="242"/>
      <c r="K65" s="242"/>
      <c r="L65" s="384">
        <f>E65*J65</f>
        <v>0</v>
      </c>
      <c r="M65" s="242">
        <f t="shared" si="3"/>
        <v>22437.793127999998</v>
      </c>
      <c r="N65" s="384"/>
      <c r="O65" s="921">
        <v>0.93490804699999996</v>
      </c>
      <c r="P65" s="204"/>
      <c r="Q65" s="204"/>
      <c r="R65" s="204"/>
      <c r="S65" s="204"/>
      <c r="T65" s="204"/>
      <c r="U65" s="888"/>
      <c r="V65" s="888"/>
      <c r="W65" s="888"/>
    </row>
    <row r="66" spans="1:23" s="887" customFormat="1" ht="18.95" customHeight="1">
      <c r="A66" s="905"/>
      <c r="B66" s="906" t="s">
        <v>1068</v>
      </c>
      <c r="C66" s="382" t="s">
        <v>1069</v>
      </c>
      <c r="D66" s="907"/>
      <c r="E66" s="908">
        <v>2</v>
      </c>
      <c r="F66" s="384" t="s">
        <v>349</v>
      </c>
      <c r="G66" s="242">
        <v>24650</v>
      </c>
      <c r="H66" s="242">
        <f t="shared" si="4"/>
        <v>23045.483358549998</v>
      </c>
      <c r="I66" s="242">
        <f t="shared" si="5"/>
        <v>46090.966717099996</v>
      </c>
      <c r="J66" s="242"/>
      <c r="K66" s="242"/>
      <c r="L66" s="384">
        <f>E66*J66</f>
        <v>0</v>
      </c>
      <c r="M66" s="242">
        <f t="shared" si="3"/>
        <v>46090.966717099996</v>
      </c>
      <c r="N66" s="384"/>
      <c r="O66" s="921">
        <v>0.93490804699999996</v>
      </c>
      <c r="P66" s="204"/>
      <c r="Q66" s="204"/>
      <c r="R66" s="204"/>
      <c r="S66" s="204"/>
      <c r="T66" s="204"/>
      <c r="U66" s="888"/>
      <c r="V66" s="888"/>
      <c r="W66" s="888"/>
    </row>
    <row r="67" spans="1:23" s="887" customFormat="1" ht="18.95" customHeight="1">
      <c r="A67" s="905"/>
      <c r="B67" s="906" t="s">
        <v>1070</v>
      </c>
      <c r="C67" s="382" t="s">
        <v>1069</v>
      </c>
      <c r="D67" s="907"/>
      <c r="E67" s="908">
        <v>1</v>
      </c>
      <c r="F67" s="384" t="s">
        <v>349</v>
      </c>
      <c r="G67" s="242">
        <v>24650</v>
      </c>
      <c r="H67" s="242">
        <f t="shared" si="4"/>
        <v>23045.483358549998</v>
      </c>
      <c r="I67" s="242">
        <f t="shared" si="5"/>
        <v>23045.483358549998</v>
      </c>
      <c r="J67" s="242"/>
      <c r="K67" s="242"/>
      <c r="L67" s="384">
        <f>E67*J67</f>
        <v>0</v>
      </c>
      <c r="M67" s="242">
        <f t="shared" si="3"/>
        <v>23045.483358549998</v>
      </c>
      <c r="N67" s="384"/>
      <c r="O67" s="921">
        <v>0.93490804699999996</v>
      </c>
      <c r="P67" s="204"/>
      <c r="Q67" s="204"/>
      <c r="R67" s="204"/>
      <c r="S67" s="204"/>
      <c r="T67" s="204"/>
      <c r="U67" s="888"/>
      <c r="V67" s="888"/>
      <c r="W67" s="888"/>
    </row>
    <row r="68" spans="1:23" ht="18.95" customHeight="1">
      <c r="A68" s="651"/>
      <c r="B68" s="27" t="s">
        <v>1071</v>
      </c>
      <c r="C68" s="349" t="s">
        <v>1072</v>
      </c>
      <c r="D68" s="49"/>
      <c r="E68" s="104">
        <v>1</v>
      </c>
      <c r="F68" s="30" t="s">
        <v>349</v>
      </c>
      <c r="G68" s="25" t="s">
        <v>1073</v>
      </c>
      <c r="H68" s="25" t="s">
        <v>1073</v>
      </c>
      <c r="I68" s="242"/>
      <c r="J68" s="25"/>
      <c r="K68" s="25"/>
      <c r="L68" s="30"/>
      <c r="M68" s="242"/>
      <c r="N68" s="26"/>
      <c r="O68" s="921">
        <v>0.93490804699999996</v>
      </c>
    </row>
    <row r="69" spans="1:23" s="887" customFormat="1" ht="18.95" customHeight="1">
      <c r="A69" s="905"/>
      <c r="B69" s="906" t="s">
        <v>1061</v>
      </c>
      <c r="C69" s="382" t="s">
        <v>1074</v>
      </c>
      <c r="D69" s="907" t="s">
        <v>1075</v>
      </c>
      <c r="E69" s="908">
        <v>1.7</v>
      </c>
      <c r="F69" s="384" t="s">
        <v>286</v>
      </c>
      <c r="G69" s="242">
        <v>32000</v>
      </c>
      <c r="H69" s="242">
        <f t="shared" si="4"/>
        <v>29917.057504</v>
      </c>
      <c r="I69" s="242">
        <f t="shared" si="5"/>
        <v>50858.997756799996</v>
      </c>
      <c r="J69" s="242"/>
      <c r="K69" s="242"/>
      <c r="L69" s="384"/>
      <c r="M69" s="242">
        <f t="shared" si="3"/>
        <v>50858.997756799996</v>
      </c>
      <c r="N69" s="384"/>
      <c r="O69" s="921">
        <v>0.93490804699999996</v>
      </c>
      <c r="P69" s="204"/>
      <c r="Q69" s="204"/>
      <c r="R69" s="204"/>
      <c r="S69" s="204"/>
      <c r="T69" s="204"/>
      <c r="U69" s="888"/>
      <c r="V69" s="888"/>
      <c r="W69" s="888"/>
    </row>
    <row r="70" spans="1:23" s="887" customFormat="1" ht="18.95" customHeight="1">
      <c r="A70" s="905"/>
      <c r="B70" s="906" t="s">
        <v>1076</v>
      </c>
      <c r="C70" s="382" t="s">
        <v>1077</v>
      </c>
      <c r="D70" s="907" t="s">
        <v>1078</v>
      </c>
      <c r="E70" s="908">
        <v>8</v>
      </c>
      <c r="F70" s="384" t="s">
        <v>211</v>
      </c>
      <c r="G70" s="242">
        <v>3330</v>
      </c>
      <c r="H70" s="242">
        <f t="shared" si="4"/>
        <v>3113.2437965099998</v>
      </c>
      <c r="I70" s="242">
        <f t="shared" si="5"/>
        <v>24905.950372079998</v>
      </c>
      <c r="J70" s="242"/>
      <c r="K70" s="242"/>
      <c r="L70" s="384"/>
      <c r="M70" s="242">
        <f t="shared" si="3"/>
        <v>24905.950372079998</v>
      </c>
      <c r="N70" s="384"/>
      <c r="O70" s="921">
        <v>0.93490804699999996</v>
      </c>
      <c r="P70" s="204"/>
      <c r="Q70" s="204"/>
      <c r="R70" s="204"/>
      <c r="S70" s="204"/>
      <c r="T70" s="204"/>
      <c r="U70" s="888"/>
      <c r="V70" s="888"/>
      <c r="W70" s="888"/>
    </row>
    <row r="71" spans="1:23" ht="18.95" customHeight="1">
      <c r="A71" s="651"/>
      <c r="B71" s="27" t="s">
        <v>1079</v>
      </c>
      <c r="C71" s="349" t="s">
        <v>1080</v>
      </c>
      <c r="D71" s="49"/>
      <c r="E71" s="104">
        <v>2</v>
      </c>
      <c r="F71" s="30" t="s">
        <v>349</v>
      </c>
      <c r="G71" s="25" t="s">
        <v>1081</v>
      </c>
      <c r="H71" s="25" t="s">
        <v>1081</v>
      </c>
      <c r="I71" s="242"/>
      <c r="J71" s="25"/>
      <c r="K71" s="25"/>
      <c r="L71" s="30"/>
      <c r="M71" s="242"/>
      <c r="N71" s="26"/>
      <c r="O71" s="921">
        <v>0.93490804699999996</v>
      </c>
    </row>
    <row r="72" spans="1:23" s="887" customFormat="1" ht="18.95" customHeight="1">
      <c r="A72" s="905"/>
      <c r="B72" s="906" t="s">
        <v>1019</v>
      </c>
      <c r="C72" s="382" t="s">
        <v>1077</v>
      </c>
      <c r="D72" s="907" t="s">
        <v>1082</v>
      </c>
      <c r="E72" s="908">
        <v>12.5</v>
      </c>
      <c r="F72" s="384" t="s">
        <v>211</v>
      </c>
      <c r="G72" s="242">
        <v>3330</v>
      </c>
      <c r="H72" s="242">
        <f t="shared" si="4"/>
        <v>3113.2437965099998</v>
      </c>
      <c r="I72" s="242">
        <f t="shared" si="5"/>
        <v>38915.547456374996</v>
      </c>
      <c r="J72" s="242"/>
      <c r="K72" s="242"/>
      <c r="L72" s="384"/>
      <c r="M72" s="242">
        <f t="shared" si="3"/>
        <v>38915.547456374996</v>
      </c>
      <c r="N72" s="384"/>
      <c r="O72" s="921">
        <v>0.93490804699999996</v>
      </c>
      <c r="P72" s="204"/>
      <c r="Q72" s="204"/>
      <c r="R72" s="204"/>
      <c r="S72" s="204"/>
      <c r="T72" s="204"/>
      <c r="U72" s="888"/>
      <c r="V72" s="888"/>
      <c r="W72" s="888"/>
    </row>
    <row r="73" spans="1:23" s="887" customFormat="1" ht="18.95" customHeight="1">
      <c r="A73" s="905"/>
      <c r="B73" s="906" t="s">
        <v>1083</v>
      </c>
      <c r="C73" s="382" t="s">
        <v>1053</v>
      </c>
      <c r="D73" s="907" t="s">
        <v>1040</v>
      </c>
      <c r="E73" s="908">
        <v>16</v>
      </c>
      <c r="F73" s="384" t="s">
        <v>211</v>
      </c>
      <c r="G73" s="242">
        <v>9700</v>
      </c>
      <c r="H73" s="242">
        <f t="shared" si="4"/>
        <v>9068.6080559000002</v>
      </c>
      <c r="I73" s="242">
        <f t="shared" si="5"/>
        <v>145097.7288944</v>
      </c>
      <c r="J73" s="242"/>
      <c r="K73" s="242"/>
      <c r="L73" s="384"/>
      <c r="M73" s="242">
        <f t="shared" si="3"/>
        <v>145097.7288944</v>
      </c>
      <c r="N73" s="384"/>
      <c r="O73" s="921">
        <v>0.93490804699999996</v>
      </c>
      <c r="P73" s="204"/>
      <c r="Q73" s="204"/>
      <c r="R73" s="204"/>
      <c r="S73" s="204"/>
      <c r="T73" s="204"/>
      <c r="U73" s="888"/>
      <c r="V73" s="888"/>
      <c r="W73" s="888"/>
    </row>
    <row r="74" spans="1:23" s="887" customFormat="1" ht="18.95" customHeight="1">
      <c r="A74" s="905"/>
      <c r="B74" s="906" t="s">
        <v>1028</v>
      </c>
      <c r="C74" s="382" t="s">
        <v>1084</v>
      </c>
      <c r="D74" s="907" t="s">
        <v>1085</v>
      </c>
      <c r="E74" s="908">
        <v>10</v>
      </c>
      <c r="F74" s="384" t="s">
        <v>286</v>
      </c>
      <c r="G74" s="242">
        <v>32640</v>
      </c>
      <c r="H74" s="242">
        <f t="shared" si="4"/>
        <v>30515.39865408</v>
      </c>
      <c r="I74" s="242">
        <f t="shared" si="5"/>
        <v>305153.98654080002</v>
      </c>
      <c r="J74" s="242"/>
      <c r="K74" s="242"/>
      <c r="L74" s="384">
        <v>0</v>
      </c>
      <c r="M74" s="242">
        <f t="shared" si="3"/>
        <v>305153.98654080002</v>
      </c>
      <c r="N74" s="384"/>
      <c r="O74" s="921">
        <v>0.93490804699999996</v>
      </c>
      <c r="P74" s="204"/>
      <c r="Q74" s="204"/>
      <c r="R74" s="204"/>
      <c r="S74" s="204"/>
      <c r="T74" s="204"/>
      <c r="U74" s="888"/>
      <c r="V74" s="888"/>
      <c r="W74" s="888"/>
    </row>
    <row r="75" spans="1:23" s="887" customFormat="1" ht="18.95" customHeight="1">
      <c r="A75" s="905"/>
      <c r="B75" s="906" t="s">
        <v>1041</v>
      </c>
      <c r="C75" s="1282" t="s">
        <v>1086</v>
      </c>
      <c r="D75" s="1283"/>
      <c r="E75" s="908">
        <v>12</v>
      </c>
      <c r="F75" s="384" t="s">
        <v>349</v>
      </c>
      <c r="G75" s="242">
        <v>11495</v>
      </c>
      <c r="H75" s="242">
        <f t="shared" si="4"/>
        <v>10746.768000265</v>
      </c>
      <c r="I75" s="242">
        <f t="shared" si="5"/>
        <v>128961.21600317999</v>
      </c>
      <c r="J75" s="242"/>
      <c r="K75" s="242"/>
      <c r="L75" s="384">
        <f>E75*J75</f>
        <v>0</v>
      </c>
      <c r="M75" s="242">
        <f t="shared" si="3"/>
        <v>128961.21600317999</v>
      </c>
      <c r="N75" s="384"/>
      <c r="O75" s="921">
        <v>0.93490804699999996</v>
      </c>
      <c r="P75" s="204"/>
      <c r="Q75" s="204"/>
      <c r="R75" s="204"/>
      <c r="S75" s="204"/>
      <c r="T75" s="204"/>
      <c r="U75" s="888"/>
      <c r="V75" s="888"/>
      <c r="W75" s="888"/>
    </row>
    <row r="76" spans="1:23" s="887" customFormat="1" ht="18.95" customHeight="1">
      <c r="A76" s="905"/>
      <c r="B76" s="906" t="s">
        <v>1043</v>
      </c>
      <c r="C76" s="1282" t="s">
        <v>1044</v>
      </c>
      <c r="D76" s="1283"/>
      <c r="E76" s="908">
        <v>4</v>
      </c>
      <c r="F76" s="384" t="s">
        <v>349</v>
      </c>
      <c r="G76" s="242">
        <v>43900</v>
      </c>
      <c r="H76" s="242">
        <f t="shared" si="4"/>
        <v>41042.4632633</v>
      </c>
      <c r="I76" s="242">
        <f t="shared" si="5"/>
        <v>164169.8530532</v>
      </c>
      <c r="J76" s="242"/>
      <c r="K76" s="242"/>
      <c r="L76" s="384">
        <f>E76*J76</f>
        <v>0</v>
      </c>
      <c r="M76" s="242">
        <f t="shared" si="3"/>
        <v>164169.8530532</v>
      </c>
      <c r="N76" s="384"/>
      <c r="O76" s="921">
        <v>0.93490804699999996</v>
      </c>
      <c r="P76" s="204"/>
      <c r="Q76" s="204"/>
      <c r="R76" s="204"/>
      <c r="S76" s="204"/>
      <c r="T76" s="204"/>
      <c r="U76" s="888"/>
      <c r="V76" s="888"/>
      <c r="W76" s="888"/>
    </row>
    <row r="77" spans="1:23" s="887" customFormat="1" ht="18.95" customHeight="1">
      <c r="A77" s="905"/>
      <c r="B77" s="906" t="s">
        <v>1045</v>
      </c>
      <c r="C77" s="1282" t="s">
        <v>1046</v>
      </c>
      <c r="D77" s="1283"/>
      <c r="E77" s="908">
        <v>8</v>
      </c>
      <c r="F77" s="384" t="s">
        <v>349</v>
      </c>
      <c r="G77" s="242">
        <v>13900</v>
      </c>
      <c r="H77" s="242">
        <f t="shared" si="4"/>
        <v>12995.2218533</v>
      </c>
      <c r="I77" s="242">
        <f t="shared" si="5"/>
        <v>103961.7748264</v>
      </c>
      <c r="J77" s="242"/>
      <c r="K77" s="242"/>
      <c r="L77" s="384">
        <f>E77*J77</f>
        <v>0</v>
      </c>
      <c r="M77" s="242">
        <f t="shared" si="3"/>
        <v>103961.7748264</v>
      </c>
      <c r="N77" s="384"/>
      <c r="O77" s="921">
        <v>0.93490804699999996</v>
      </c>
      <c r="P77" s="204"/>
      <c r="Q77" s="204"/>
      <c r="R77" s="204"/>
      <c r="S77" s="204"/>
      <c r="T77" s="204"/>
      <c r="U77" s="888"/>
      <c r="V77" s="888"/>
      <c r="W77" s="888"/>
    </row>
    <row r="78" spans="1:23" s="887" customFormat="1" ht="18.95" customHeight="1">
      <c r="A78" s="905"/>
      <c r="B78" s="906" t="s">
        <v>1047</v>
      </c>
      <c r="C78" s="1282" t="s">
        <v>1048</v>
      </c>
      <c r="D78" s="1283"/>
      <c r="E78" s="908">
        <v>8</v>
      </c>
      <c r="F78" s="384" t="s">
        <v>349</v>
      </c>
      <c r="G78" s="242">
        <v>59900</v>
      </c>
      <c r="H78" s="242">
        <f t="shared" si="4"/>
        <v>56000.992015299998</v>
      </c>
      <c r="I78" s="242">
        <f t="shared" si="5"/>
        <v>448007.93612239999</v>
      </c>
      <c r="J78" s="242"/>
      <c r="K78" s="242"/>
      <c r="L78" s="384">
        <f>E78*J78</f>
        <v>0</v>
      </c>
      <c r="M78" s="242">
        <f t="shared" si="3"/>
        <v>448007.93612239999</v>
      </c>
      <c r="N78" s="384"/>
      <c r="O78" s="921">
        <v>0.93490804699999996</v>
      </c>
      <c r="P78" s="204"/>
      <c r="Q78" s="204"/>
      <c r="R78" s="204"/>
      <c r="S78" s="204"/>
      <c r="T78" s="204"/>
      <c r="U78" s="888"/>
      <c r="V78" s="888"/>
      <c r="W78" s="888"/>
    </row>
    <row r="79" spans="1:23" s="887" customFormat="1" ht="18.95" customHeight="1">
      <c r="A79" s="905"/>
      <c r="B79" s="924" t="s">
        <v>1087</v>
      </c>
      <c r="C79" s="1282" t="s">
        <v>1088</v>
      </c>
      <c r="D79" s="1283"/>
      <c r="E79" s="908">
        <v>16</v>
      </c>
      <c r="F79" s="384" t="s">
        <v>349</v>
      </c>
      <c r="G79" s="242">
        <v>8455</v>
      </c>
      <c r="H79" s="242">
        <f t="shared" si="4"/>
        <v>7904.6475373849999</v>
      </c>
      <c r="I79" s="242">
        <f t="shared" si="5"/>
        <v>126474.36059816</v>
      </c>
      <c r="J79" s="242"/>
      <c r="K79" s="242"/>
      <c r="L79" s="384">
        <f>E79*J79</f>
        <v>0</v>
      </c>
      <c r="M79" s="242">
        <f t="shared" si="3"/>
        <v>126474.36059816</v>
      </c>
      <c r="N79" s="384"/>
      <c r="O79" s="921">
        <v>0.93490804699999996</v>
      </c>
      <c r="P79" s="204"/>
      <c r="Q79" s="204"/>
      <c r="R79" s="204"/>
      <c r="S79" s="204"/>
      <c r="T79" s="204"/>
      <c r="U79" s="888"/>
      <c r="V79" s="888"/>
      <c r="W79" s="888"/>
    </row>
    <row r="80" spans="1:23" s="887" customFormat="1" ht="18.95" customHeight="1">
      <c r="A80" s="651"/>
      <c r="B80" s="27" t="s">
        <v>1089</v>
      </c>
      <c r="C80" s="349" t="s">
        <v>1090</v>
      </c>
      <c r="D80" s="49"/>
      <c r="E80" s="104">
        <v>2</v>
      </c>
      <c r="F80" s="30" t="s">
        <v>349</v>
      </c>
      <c r="G80" s="25"/>
      <c r="H80" s="242">
        <f t="shared" si="4"/>
        <v>0</v>
      </c>
      <c r="I80" s="242">
        <f t="shared" si="5"/>
        <v>0</v>
      </c>
      <c r="J80" s="25"/>
      <c r="K80" s="25"/>
      <c r="L80" s="25"/>
      <c r="M80" s="242">
        <f t="shared" si="3"/>
        <v>0</v>
      </c>
      <c r="N80" s="26"/>
      <c r="O80" s="921">
        <v>0.93490804699999996</v>
      </c>
      <c r="P80" s="204"/>
      <c r="Q80" s="204"/>
      <c r="R80" s="204"/>
      <c r="S80" s="204"/>
      <c r="T80" s="204"/>
      <c r="U80" s="888"/>
      <c r="V80" s="888"/>
      <c r="W80" s="888"/>
    </row>
    <row r="81" spans="1:23" ht="18.95" customHeight="1">
      <c r="A81" s="905"/>
      <c r="B81" s="906" t="s">
        <v>1091</v>
      </c>
      <c r="C81" s="382" t="s">
        <v>1077</v>
      </c>
      <c r="D81" s="907" t="s">
        <v>1026</v>
      </c>
      <c r="E81" s="908">
        <v>32.93</v>
      </c>
      <c r="F81" s="384" t="s">
        <v>211</v>
      </c>
      <c r="G81" s="242">
        <v>3330</v>
      </c>
      <c r="H81" s="242">
        <f t="shared" si="4"/>
        <v>3113.2437965099998</v>
      </c>
      <c r="I81" s="242">
        <f t="shared" si="5"/>
        <v>102519.1182190743</v>
      </c>
      <c r="J81" s="242"/>
      <c r="K81" s="242"/>
      <c r="L81" s="384">
        <f>E81*J81</f>
        <v>0</v>
      </c>
      <c r="M81" s="242">
        <f t="shared" si="3"/>
        <v>102519.1182190743</v>
      </c>
      <c r="N81" s="384"/>
      <c r="O81" s="921">
        <v>0.93490804699999996</v>
      </c>
    </row>
    <row r="82" spans="1:23" s="887" customFormat="1" ht="18.95" customHeight="1">
      <c r="A82" s="905"/>
      <c r="B82" s="906" t="s">
        <v>1092</v>
      </c>
      <c r="C82" s="382" t="s">
        <v>1077</v>
      </c>
      <c r="D82" s="907" t="s">
        <v>1026</v>
      </c>
      <c r="E82" s="908">
        <v>12.8</v>
      </c>
      <c r="F82" s="384" t="s">
        <v>211</v>
      </c>
      <c r="G82" s="242">
        <v>3330</v>
      </c>
      <c r="H82" s="242">
        <f t="shared" si="4"/>
        <v>3113.2437965099998</v>
      </c>
      <c r="I82" s="242">
        <f t="shared" si="5"/>
        <v>39849.520595328002</v>
      </c>
      <c r="J82" s="242"/>
      <c r="K82" s="242"/>
      <c r="L82" s="384">
        <f>E82*J82</f>
        <v>0</v>
      </c>
      <c r="M82" s="242">
        <f t="shared" si="3"/>
        <v>39849.520595328002</v>
      </c>
      <c r="N82" s="384"/>
      <c r="O82" s="921">
        <v>0.93490804699999996</v>
      </c>
      <c r="P82" s="204"/>
      <c r="Q82" s="204"/>
      <c r="R82" s="204"/>
      <c r="S82" s="204"/>
      <c r="T82" s="204"/>
      <c r="U82" s="888"/>
      <c r="V82" s="888"/>
      <c r="W82" s="888"/>
    </row>
    <row r="83" spans="1:23" s="887" customFormat="1" ht="18.95" customHeight="1">
      <c r="A83" s="905"/>
      <c r="B83" s="906" t="s">
        <v>1093</v>
      </c>
      <c r="C83" s="382" t="s">
        <v>1094</v>
      </c>
      <c r="D83" s="907" t="s">
        <v>1095</v>
      </c>
      <c r="E83" s="908">
        <v>2.5</v>
      </c>
      <c r="F83" s="384" t="s">
        <v>211</v>
      </c>
      <c r="G83" s="242">
        <v>2000</v>
      </c>
      <c r="H83" s="242">
        <f t="shared" si="4"/>
        <v>1869.816094</v>
      </c>
      <c r="I83" s="242">
        <f t="shared" si="5"/>
        <v>4674.5402350000004</v>
      </c>
      <c r="J83" s="242"/>
      <c r="K83" s="242"/>
      <c r="L83" s="384">
        <f>E83*J83</f>
        <v>0</v>
      </c>
      <c r="M83" s="242">
        <f t="shared" si="3"/>
        <v>4674.5402350000004</v>
      </c>
      <c r="N83" s="384"/>
      <c r="O83" s="921">
        <v>0.93490804699999996</v>
      </c>
      <c r="P83" s="204"/>
      <c r="Q83" s="204"/>
      <c r="R83" s="204"/>
      <c r="S83" s="204"/>
      <c r="T83" s="204"/>
      <c r="U83" s="888"/>
      <c r="V83" s="888"/>
      <c r="W83" s="888"/>
    </row>
    <row r="84" spans="1:23" s="887" customFormat="1" ht="18.95" customHeight="1">
      <c r="A84" s="905"/>
      <c r="B84" s="906" t="s">
        <v>1096</v>
      </c>
      <c r="C84" s="382" t="s">
        <v>1097</v>
      </c>
      <c r="D84" s="907"/>
      <c r="E84" s="908">
        <v>2</v>
      </c>
      <c r="F84" s="384" t="s">
        <v>349</v>
      </c>
      <c r="G84" s="242">
        <v>3890</v>
      </c>
      <c r="H84" s="242">
        <f t="shared" si="4"/>
        <v>3636.7923028299997</v>
      </c>
      <c r="I84" s="242">
        <f t="shared" si="5"/>
        <v>7273.5846056599994</v>
      </c>
      <c r="J84" s="242"/>
      <c r="K84" s="242"/>
      <c r="L84" s="384"/>
      <c r="M84" s="242">
        <f t="shared" si="3"/>
        <v>7273.5846056599994</v>
      </c>
      <c r="N84" s="384"/>
      <c r="O84" s="921">
        <v>0.93490804699999996</v>
      </c>
      <c r="P84" s="204"/>
      <c r="Q84" s="204"/>
      <c r="R84" s="204"/>
      <c r="S84" s="204"/>
      <c r="T84" s="204"/>
      <c r="U84" s="888"/>
      <c r="V84" s="888"/>
      <c r="W84" s="888"/>
    </row>
    <row r="85" spans="1:23" s="887" customFormat="1" ht="18.95" customHeight="1">
      <c r="A85" s="905"/>
      <c r="B85" s="906"/>
      <c r="C85" s="382" t="s">
        <v>1098</v>
      </c>
      <c r="D85" s="907"/>
      <c r="E85" s="908"/>
      <c r="F85" s="384"/>
      <c r="G85" s="242"/>
      <c r="H85" s="242">
        <f t="shared" si="4"/>
        <v>0</v>
      </c>
      <c r="I85" s="242">
        <f t="shared" si="5"/>
        <v>0</v>
      </c>
      <c r="J85" s="242"/>
      <c r="K85" s="242"/>
      <c r="L85" s="384"/>
      <c r="M85" s="242">
        <f t="shared" si="3"/>
        <v>0</v>
      </c>
      <c r="N85" s="384"/>
      <c r="O85" s="921">
        <v>0.93490804699999996</v>
      </c>
      <c r="P85" s="204"/>
      <c r="Q85" s="204"/>
      <c r="R85" s="204"/>
      <c r="S85" s="204"/>
      <c r="T85" s="204"/>
      <c r="U85" s="888"/>
      <c r="V85" s="888"/>
      <c r="W85" s="888"/>
    </row>
    <row r="86" spans="1:23" s="887" customFormat="1" ht="18.95" customHeight="1">
      <c r="A86" s="648"/>
      <c r="B86" s="302" t="s">
        <v>353</v>
      </c>
      <c r="C86" s="221"/>
      <c r="D86" s="897"/>
      <c r="E86" s="896"/>
      <c r="F86" s="102"/>
      <c r="G86" s="34"/>
      <c r="H86" s="242">
        <f t="shared" si="4"/>
        <v>0</v>
      </c>
      <c r="I86" s="242">
        <f t="shared" si="5"/>
        <v>0</v>
      </c>
      <c r="J86" s="34"/>
      <c r="K86" s="34"/>
      <c r="L86" s="34"/>
      <c r="M86" s="242">
        <f t="shared" si="3"/>
        <v>0</v>
      </c>
      <c r="N86" s="35"/>
      <c r="O86" s="921">
        <v>0.93490804699999996</v>
      </c>
      <c r="P86" s="204"/>
      <c r="Q86" s="204"/>
      <c r="R86" s="204"/>
      <c r="S86" s="204"/>
      <c r="T86" s="204"/>
      <c r="U86" s="888"/>
      <c r="V86" s="888"/>
      <c r="W86" s="888"/>
    </row>
    <row r="87" spans="1:23" s="1" customFormat="1" ht="18.95" customHeight="1">
      <c r="A87" s="651" t="s">
        <v>1099</v>
      </c>
      <c r="B87" s="27" t="s">
        <v>1100</v>
      </c>
      <c r="C87" s="29"/>
      <c r="D87" s="895"/>
      <c r="E87" s="104">
        <v>55</v>
      </c>
      <c r="F87" s="30" t="s">
        <v>286</v>
      </c>
      <c r="G87" s="25">
        <v>100</v>
      </c>
      <c r="H87" s="242">
        <f t="shared" si="4"/>
        <v>93.490804699999998</v>
      </c>
      <c r="I87" s="242">
        <f t="shared" si="5"/>
        <v>5141.9942584999999</v>
      </c>
      <c r="J87" s="25"/>
      <c r="K87" s="25"/>
      <c r="L87" s="25"/>
      <c r="M87" s="242">
        <f t="shared" si="3"/>
        <v>5141.9942584999999</v>
      </c>
      <c r="N87" s="26"/>
      <c r="O87" s="921">
        <v>0.93490804699999996</v>
      </c>
      <c r="P87" s="206"/>
      <c r="Q87" s="206"/>
      <c r="R87" s="206"/>
      <c r="S87" s="206"/>
      <c r="T87" s="206"/>
      <c r="U87" s="206"/>
      <c r="V87" s="206"/>
      <c r="W87" s="206"/>
    </row>
    <row r="88" spans="1:23" s="889" customFormat="1" ht="18.95" customHeight="1">
      <c r="A88" s="645"/>
      <c r="B88" s="302" t="s">
        <v>1101</v>
      </c>
      <c r="C88" s="221"/>
      <c r="D88" s="897"/>
      <c r="E88" s="896">
        <v>12</v>
      </c>
      <c r="F88" s="102" t="s">
        <v>771</v>
      </c>
      <c r="G88" s="34">
        <v>3500</v>
      </c>
      <c r="H88" s="244">
        <f t="shared" si="4"/>
        <v>3272.1781645000001</v>
      </c>
      <c r="I88" s="244">
        <f t="shared" si="5"/>
        <v>39266.137973999997</v>
      </c>
      <c r="J88" s="102"/>
      <c r="K88" s="102"/>
      <c r="L88" s="102"/>
      <c r="M88" s="244">
        <f t="shared" si="3"/>
        <v>39266.137973999997</v>
      </c>
      <c r="N88" s="126"/>
      <c r="O88" s="921">
        <v>0.93490804699999996</v>
      </c>
      <c r="P88" s="204"/>
      <c r="Q88" s="204"/>
      <c r="R88" s="204"/>
      <c r="S88" s="204"/>
      <c r="T88" s="204"/>
      <c r="U88" s="926"/>
      <c r="V88" s="926"/>
      <c r="W88" s="926"/>
    </row>
    <row r="89" spans="1:23" s="1" customFormat="1" ht="18.95" customHeight="1">
      <c r="A89" s="925"/>
      <c r="B89" s="1293" t="s">
        <v>1102</v>
      </c>
      <c r="C89" s="1294"/>
      <c r="D89" s="1295"/>
      <c r="E89" s="902"/>
      <c r="F89" s="903"/>
      <c r="G89" s="904"/>
      <c r="H89" s="904"/>
      <c r="I89" s="904">
        <f>SUM(I34:I88)</f>
        <v>3587168.2251124824</v>
      </c>
      <c r="J89" s="904"/>
      <c r="K89" s="904"/>
      <c r="L89" s="904">
        <f>SUM(L34:L88)</f>
        <v>0</v>
      </c>
      <c r="M89" s="904">
        <f>SUM(M34:M88)</f>
        <v>3587168.2251124824</v>
      </c>
      <c r="N89" s="902"/>
      <c r="O89" s="921">
        <v>0.93490804699999996</v>
      </c>
      <c r="P89" s="206"/>
      <c r="Q89" s="206"/>
      <c r="R89" s="206"/>
      <c r="S89" s="206"/>
      <c r="T89" s="206"/>
      <c r="U89" s="206"/>
      <c r="V89" s="206"/>
      <c r="W89" s="206"/>
    </row>
    <row r="90" spans="1:23" ht="18.95" customHeight="1">
      <c r="A90" s="256"/>
      <c r="B90" s="256"/>
      <c r="C90" s="257"/>
      <c r="D90" s="258"/>
      <c r="E90" s="896"/>
      <c r="F90" s="102"/>
      <c r="G90" s="34"/>
      <c r="H90" s="34"/>
      <c r="I90" s="34"/>
      <c r="J90" s="34"/>
      <c r="K90" s="34"/>
      <c r="L90" s="34"/>
      <c r="M90" s="34"/>
      <c r="N90" s="415"/>
      <c r="O90" s="921">
        <v>0.93490804699999996</v>
      </c>
    </row>
    <row r="91" spans="1:23" ht="18.95" customHeight="1">
      <c r="A91" s="648">
        <v>2</v>
      </c>
      <c r="B91" s="302" t="s">
        <v>1001</v>
      </c>
      <c r="C91" s="221"/>
      <c r="D91" s="897"/>
      <c r="E91" s="896"/>
      <c r="F91" s="102"/>
      <c r="G91" s="34"/>
      <c r="H91" s="34"/>
      <c r="I91" s="34"/>
      <c r="J91" s="102"/>
      <c r="K91" s="102"/>
      <c r="L91" s="34"/>
      <c r="M91" s="35"/>
      <c r="N91" s="35"/>
      <c r="O91" s="921">
        <v>0.93490804699999996</v>
      </c>
    </row>
    <row r="92" spans="1:23" ht="18.95" customHeight="1">
      <c r="A92" s="898"/>
      <c r="B92" s="899" t="s">
        <v>1103</v>
      </c>
      <c r="C92" s="900" t="s">
        <v>925</v>
      </c>
      <c r="D92" s="901"/>
      <c r="E92" s="902"/>
      <c r="F92" s="903"/>
      <c r="G92" s="904"/>
      <c r="H92" s="904"/>
      <c r="I92" s="904"/>
      <c r="J92" s="904"/>
      <c r="K92" s="904"/>
      <c r="L92" s="904"/>
      <c r="M92" s="904"/>
      <c r="N92" s="903"/>
      <c r="O92" s="921">
        <v>0.93490804699999996</v>
      </c>
    </row>
    <row r="93" spans="1:23" ht="18.95" customHeight="1">
      <c r="A93" s="651"/>
      <c r="B93" s="27" t="s">
        <v>1104</v>
      </c>
      <c r="C93" s="349" t="s">
        <v>1105</v>
      </c>
      <c r="D93" s="49"/>
      <c r="E93" s="104">
        <v>12.5</v>
      </c>
      <c r="F93" s="30" t="s">
        <v>211</v>
      </c>
      <c r="G93" s="25">
        <v>4200</v>
      </c>
      <c r="H93" s="25">
        <f>G93*O93</f>
        <v>3926.6137973999998</v>
      </c>
      <c r="I93" s="242">
        <f t="shared" ref="I93:I156" si="6">E93*H93</f>
        <v>49082.6724675</v>
      </c>
      <c r="J93" s="25">
        <v>950</v>
      </c>
      <c r="K93" s="25">
        <f>J93*O93</f>
        <v>888.16264464999995</v>
      </c>
      <c r="L93" s="30">
        <f>E93*K93</f>
        <v>11102.033058125</v>
      </c>
      <c r="M93" s="72">
        <f t="shared" ref="M93:M96" si="7">I93+L93</f>
        <v>60184.705525625002</v>
      </c>
      <c r="N93" s="26"/>
      <c r="O93" s="921">
        <v>0.93490804699999996</v>
      </c>
    </row>
    <row r="94" spans="1:23" ht="18.95" customHeight="1">
      <c r="A94" s="651"/>
      <c r="B94" s="27" t="s">
        <v>1106</v>
      </c>
      <c r="C94" s="349" t="s">
        <v>1105</v>
      </c>
      <c r="D94" s="49"/>
      <c r="E94" s="104">
        <v>9</v>
      </c>
      <c r="F94" s="30" t="s">
        <v>211</v>
      </c>
      <c r="G94" s="25">
        <v>4200</v>
      </c>
      <c r="H94" s="25">
        <f t="shared" ref="H94:H156" si="8">G94*O94</f>
        <v>3926.6137973999998</v>
      </c>
      <c r="I94" s="242">
        <f t="shared" si="6"/>
        <v>35339.524176599996</v>
      </c>
      <c r="J94" s="25">
        <v>950</v>
      </c>
      <c r="K94" s="25">
        <f t="shared" ref="K94:K156" si="9">J94*O94</f>
        <v>888.16264464999995</v>
      </c>
      <c r="L94" s="30">
        <f t="shared" ref="L94:L113" si="10">E94*K94</f>
        <v>7993.4638018499991</v>
      </c>
      <c r="M94" s="72">
        <f t="shared" si="7"/>
        <v>43332.987978449994</v>
      </c>
      <c r="N94" s="26"/>
      <c r="O94" s="921">
        <v>0.93490804699999996</v>
      </c>
    </row>
    <row r="95" spans="1:23" ht="18.95" customHeight="1">
      <c r="A95" s="651"/>
      <c r="B95" s="27" t="s">
        <v>1107</v>
      </c>
      <c r="C95" s="349" t="s">
        <v>1105</v>
      </c>
      <c r="D95" s="49"/>
      <c r="E95" s="104">
        <v>8</v>
      </c>
      <c r="F95" s="30" t="s">
        <v>211</v>
      </c>
      <c r="G95" s="25">
        <v>4200</v>
      </c>
      <c r="H95" s="25">
        <f t="shared" si="8"/>
        <v>3926.6137973999998</v>
      </c>
      <c r="I95" s="242">
        <f t="shared" si="6"/>
        <v>31412.910379199999</v>
      </c>
      <c r="J95" s="25">
        <v>950</v>
      </c>
      <c r="K95" s="25">
        <f t="shared" si="9"/>
        <v>888.16264464999995</v>
      </c>
      <c r="L95" s="30">
        <f t="shared" si="10"/>
        <v>7105.3011571999996</v>
      </c>
      <c r="M95" s="72">
        <f t="shared" si="7"/>
        <v>38518.211536399998</v>
      </c>
      <c r="N95" s="26"/>
      <c r="O95" s="921">
        <v>0.93490804699999996</v>
      </c>
    </row>
    <row r="96" spans="1:23" ht="18.95" customHeight="1">
      <c r="A96" s="651"/>
      <c r="B96" s="27" t="s">
        <v>1108</v>
      </c>
      <c r="C96" s="349" t="s">
        <v>1105</v>
      </c>
      <c r="D96" s="49"/>
      <c r="E96" s="104">
        <v>10.5</v>
      </c>
      <c r="F96" s="30" t="s">
        <v>211</v>
      </c>
      <c r="G96" s="25">
        <v>4200</v>
      </c>
      <c r="H96" s="25">
        <f t="shared" si="8"/>
        <v>3926.6137973999998</v>
      </c>
      <c r="I96" s="242">
        <f t="shared" si="6"/>
        <v>41229.444872699998</v>
      </c>
      <c r="J96" s="25">
        <v>950</v>
      </c>
      <c r="K96" s="25">
        <f t="shared" si="9"/>
        <v>888.16264464999995</v>
      </c>
      <c r="L96" s="30">
        <f t="shared" si="10"/>
        <v>9325.7077688249992</v>
      </c>
      <c r="M96" s="72">
        <f t="shared" si="7"/>
        <v>50555.152641524997</v>
      </c>
      <c r="N96" s="26"/>
      <c r="O96" s="921">
        <v>0.93490804699999996</v>
      </c>
    </row>
    <row r="97" spans="1:23" ht="18.95" customHeight="1">
      <c r="A97" s="651"/>
      <c r="B97" s="27" t="s">
        <v>1109</v>
      </c>
      <c r="C97" s="29" t="s">
        <v>1110</v>
      </c>
      <c r="D97" s="895"/>
      <c r="E97" s="104">
        <v>1</v>
      </c>
      <c r="F97" s="30" t="s">
        <v>349</v>
      </c>
      <c r="G97" s="25"/>
      <c r="H97" s="25">
        <f t="shared" si="8"/>
        <v>0</v>
      </c>
      <c r="I97" s="242">
        <f t="shared" si="6"/>
        <v>0</v>
      </c>
      <c r="J97" s="25"/>
      <c r="K97" s="25">
        <f t="shared" si="9"/>
        <v>0</v>
      </c>
      <c r="L97" s="30">
        <f t="shared" si="10"/>
        <v>0</v>
      </c>
      <c r="M97" s="25"/>
      <c r="N97" s="26"/>
      <c r="O97" s="921">
        <v>0.93490804699999996</v>
      </c>
    </row>
    <row r="98" spans="1:23" ht="18.95" customHeight="1">
      <c r="A98" s="905"/>
      <c r="B98" s="906" t="s">
        <v>1111</v>
      </c>
      <c r="C98" s="382" t="s">
        <v>1112</v>
      </c>
      <c r="D98" s="907" t="s">
        <v>1113</v>
      </c>
      <c r="E98" s="908">
        <v>5</v>
      </c>
      <c r="F98" s="384" t="s">
        <v>211</v>
      </c>
      <c r="G98" s="242">
        <v>7500</v>
      </c>
      <c r="H98" s="25">
        <f t="shared" si="8"/>
        <v>7011.8103524999997</v>
      </c>
      <c r="I98" s="242">
        <f t="shared" si="6"/>
        <v>35059.051762499999</v>
      </c>
      <c r="J98" s="242">
        <v>2000</v>
      </c>
      <c r="K98" s="25">
        <f t="shared" si="9"/>
        <v>1869.816094</v>
      </c>
      <c r="L98" s="30">
        <f t="shared" si="10"/>
        <v>9349.0804700000008</v>
      </c>
      <c r="M98" s="242">
        <f>I98+L98+L99</f>
        <v>51887.396608499999</v>
      </c>
      <c r="N98" s="384"/>
      <c r="O98" s="921">
        <v>0.93490804699999996</v>
      </c>
    </row>
    <row r="99" spans="1:23" s="887" customFormat="1" ht="18.95" customHeight="1">
      <c r="A99" s="905"/>
      <c r="B99" s="906" t="s">
        <v>1114</v>
      </c>
      <c r="C99" s="382"/>
      <c r="D99" s="907"/>
      <c r="E99" s="908"/>
      <c r="F99" s="384"/>
      <c r="G99" s="242"/>
      <c r="H99" s="25">
        <f t="shared" si="8"/>
        <v>0</v>
      </c>
      <c r="I99" s="242">
        <f t="shared" si="6"/>
        <v>0</v>
      </c>
      <c r="J99" s="242"/>
      <c r="K99" s="25">
        <f t="shared" si="9"/>
        <v>0</v>
      </c>
      <c r="L99" s="30">
        <f>8000*O99</f>
        <v>7479.2643760000001</v>
      </c>
      <c r="M99" s="242"/>
      <c r="N99" s="384"/>
      <c r="O99" s="921">
        <v>0.93490804699999996</v>
      </c>
      <c r="P99" s="204"/>
      <c r="Q99" s="204"/>
      <c r="R99" s="204"/>
      <c r="S99" s="204"/>
      <c r="T99" s="204"/>
      <c r="U99" s="888"/>
      <c r="V99" s="888"/>
      <c r="W99" s="888"/>
    </row>
    <row r="100" spans="1:23" s="887" customFormat="1" ht="18.95" customHeight="1">
      <c r="A100" s="905"/>
      <c r="B100" s="906" t="s">
        <v>1115</v>
      </c>
      <c r="C100" s="382" t="s">
        <v>1116</v>
      </c>
      <c r="D100" s="907" t="s">
        <v>1117</v>
      </c>
      <c r="E100" s="908">
        <v>5</v>
      </c>
      <c r="F100" s="384" t="s">
        <v>211</v>
      </c>
      <c r="G100" s="242">
        <v>100</v>
      </c>
      <c r="H100" s="242">
        <f t="shared" si="8"/>
        <v>93.490804699999998</v>
      </c>
      <c r="I100" s="242">
        <f t="shared" si="6"/>
        <v>467.45402350000001</v>
      </c>
      <c r="J100" s="242">
        <v>33</v>
      </c>
      <c r="K100" s="242">
        <f t="shared" si="9"/>
        <v>30.851965550999999</v>
      </c>
      <c r="L100" s="384">
        <f t="shared" si="10"/>
        <v>154.259827755</v>
      </c>
      <c r="M100" s="242">
        <f>I100+L100</f>
        <v>621.71385125500001</v>
      </c>
      <c r="N100" s="384" t="s">
        <v>151</v>
      </c>
      <c r="O100" s="921">
        <v>0.93490804699999996</v>
      </c>
      <c r="P100" s="204">
        <f>E100*J100</f>
        <v>165</v>
      </c>
      <c r="Q100" s="204"/>
      <c r="R100" s="204"/>
      <c r="S100" s="204"/>
      <c r="T100" s="204"/>
      <c r="U100" s="888"/>
      <c r="V100" s="888"/>
      <c r="W100" s="888"/>
    </row>
    <row r="101" spans="1:23" s="887" customFormat="1" ht="18.95" customHeight="1">
      <c r="A101" s="905"/>
      <c r="B101" s="381" t="s">
        <v>1028</v>
      </c>
      <c r="C101" s="382"/>
      <c r="D101" s="907"/>
      <c r="E101" s="908">
        <v>5</v>
      </c>
      <c r="F101" s="384" t="s">
        <v>286</v>
      </c>
      <c r="G101" s="242">
        <v>8000</v>
      </c>
      <c r="H101" s="25">
        <f t="shared" si="8"/>
        <v>7479.2643760000001</v>
      </c>
      <c r="I101" s="242">
        <f t="shared" si="6"/>
        <v>37396.321880000003</v>
      </c>
      <c r="J101" s="242"/>
      <c r="K101" s="25">
        <f t="shared" si="9"/>
        <v>0</v>
      </c>
      <c r="L101" s="30">
        <f t="shared" si="10"/>
        <v>0</v>
      </c>
      <c r="M101" s="242">
        <f>I101+L101</f>
        <v>37396.321880000003</v>
      </c>
      <c r="N101" s="384"/>
      <c r="O101" s="921">
        <v>0.93490804699999996</v>
      </c>
      <c r="P101" s="204"/>
      <c r="Q101" s="204"/>
      <c r="R101" s="204"/>
      <c r="S101" s="204"/>
      <c r="T101" s="204"/>
      <c r="U101" s="888"/>
      <c r="V101" s="888"/>
      <c r="W101" s="888"/>
    </row>
    <row r="102" spans="1:23" s="887" customFormat="1" ht="18.95" customHeight="1">
      <c r="A102" s="898"/>
      <c r="B102" s="899" t="s">
        <v>1118</v>
      </c>
      <c r="C102" s="900" t="s">
        <v>1119</v>
      </c>
      <c r="D102" s="901"/>
      <c r="E102" s="902"/>
      <c r="F102" s="903"/>
      <c r="G102" s="903"/>
      <c r="H102" s="903"/>
      <c r="I102" s="903"/>
      <c r="J102" s="903"/>
      <c r="K102" s="903"/>
      <c r="L102" s="903"/>
      <c r="M102" s="904"/>
      <c r="N102" s="903"/>
      <c r="O102" s="921">
        <v>0.93490804699999996</v>
      </c>
      <c r="P102" s="204"/>
      <c r="Q102" s="204"/>
      <c r="R102" s="204"/>
      <c r="S102" s="204"/>
      <c r="T102" s="204"/>
      <c r="U102" s="888"/>
      <c r="V102" s="888"/>
      <c r="W102" s="888"/>
    </row>
    <row r="103" spans="1:23" ht="18.95" customHeight="1">
      <c r="A103" s="651"/>
      <c r="B103" s="27" t="s">
        <v>1120</v>
      </c>
      <c r="C103" s="29" t="s">
        <v>1091</v>
      </c>
      <c r="D103" s="895"/>
      <c r="E103" s="104">
        <v>7.5</v>
      </c>
      <c r="F103" s="30" t="s">
        <v>211</v>
      </c>
      <c r="G103" s="25">
        <v>4200</v>
      </c>
      <c r="H103" s="25">
        <f t="shared" si="8"/>
        <v>3926.6137973999998</v>
      </c>
      <c r="I103" s="242">
        <f t="shared" si="6"/>
        <v>29449.603480499998</v>
      </c>
      <c r="J103" s="25">
        <v>950</v>
      </c>
      <c r="K103" s="25">
        <f t="shared" si="9"/>
        <v>888.16264464999995</v>
      </c>
      <c r="L103" s="30">
        <f t="shared" si="10"/>
        <v>6661.2198348749998</v>
      </c>
      <c r="M103" s="25">
        <f>I103+L103</f>
        <v>36110.823315374997</v>
      </c>
      <c r="N103" s="26"/>
      <c r="O103" s="921">
        <v>0.93490804699999996</v>
      </c>
    </row>
    <row r="104" spans="1:23" ht="18.95" customHeight="1">
      <c r="A104" s="651"/>
      <c r="B104" s="27" t="s">
        <v>1121</v>
      </c>
      <c r="C104" s="349" t="s">
        <v>1122</v>
      </c>
      <c r="D104" s="49"/>
      <c r="E104" s="104">
        <v>1</v>
      </c>
      <c r="F104" s="30" t="s">
        <v>211</v>
      </c>
      <c r="G104" s="25">
        <v>4200</v>
      </c>
      <c r="H104" s="25">
        <f t="shared" si="8"/>
        <v>3926.6137973999998</v>
      </c>
      <c r="I104" s="242">
        <f t="shared" si="6"/>
        <v>3926.6137973999998</v>
      </c>
      <c r="J104" s="25">
        <v>950</v>
      </c>
      <c r="K104" s="25">
        <f t="shared" si="9"/>
        <v>888.16264464999995</v>
      </c>
      <c r="L104" s="30">
        <f t="shared" si="10"/>
        <v>888.16264464999995</v>
      </c>
      <c r="M104" s="72">
        <f t="shared" ref="M104:M106" si="11">I104+L104</f>
        <v>4814.7764420499998</v>
      </c>
      <c r="N104" s="26"/>
      <c r="O104" s="921">
        <v>0.93490804699999996</v>
      </c>
    </row>
    <row r="105" spans="1:23" ht="18.95" customHeight="1">
      <c r="A105" s="651"/>
      <c r="B105" s="27" t="s">
        <v>1123</v>
      </c>
      <c r="C105" s="349" t="s">
        <v>1122</v>
      </c>
      <c r="D105" s="49"/>
      <c r="E105" s="104">
        <v>6</v>
      </c>
      <c r="F105" s="30" t="s">
        <v>211</v>
      </c>
      <c r="G105" s="25">
        <v>4200</v>
      </c>
      <c r="H105" s="25">
        <f t="shared" si="8"/>
        <v>3926.6137973999998</v>
      </c>
      <c r="I105" s="242">
        <f t="shared" si="6"/>
        <v>23559.6827844</v>
      </c>
      <c r="J105" s="25">
        <v>950</v>
      </c>
      <c r="K105" s="25">
        <f t="shared" si="9"/>
        <v>888.16264464999995</v>
      </c>
      <c r="L105" s="30">
        <f t="shared" si="10"/>
        <v>5328.9758678999997</v>
      </c>
      <c r="M105" s="72">
        <f t="shared" si="11"/>
        <v>28888.658652300001</v>
      </c>
      <c r="N105" s="26"/>
      <c r="O105" s="921">
        <v>0.93490804699999996</v>
      </c>
    </row>
    <row r="106" spans="1:23" ht="18.95" customHeight="1">
      <c r="A106" s="651"/>
      <c r="B106" s="27" t="s">
        <v>1124</v>
      </c>
      <c r="C106" s="349" t="s">
        <v>1122</v>
      </c>
      <c r="D106" s="49"/>
      <c r="E106" s="104">
        <v>6</v>
      </c>
      <c r="F106" s="30" t="s">
        <v>211</v>
      </c>
      <c r="G106" s="25">
        <v>4200</v>
      </c>
      <c r="H106" s="25">
        <f t="shared" si="8"/>
        <v>3926.6137973999998</v>
      </c>
      <c r="I106" s="242">
        <f t="shared" si="6"/>
        <v>23559.6827844</v>
      </c>
      <c r="J106" s="25">
        <v>950</v>
      </c>
      <c r="K106" s="25">
        <f t="shared" si="9"/>
        <v>888.16264464999995</v>
      </c>
      <c r="L106" s="30">
        <f t="shared" si="10"/>
        <v>5328.9758678999997</v>
      </c>
      <c r="M106" s="72">
        <f t="shared" si="11"/>
        <v>28888.658652300001</v>
      </c>
      <c r="N106" s="26"/>
      <c r="O106" s="921">
        <v>0.93490804699999996</v>
      </c>
    </row>
    <row r="107" spans="1:23" ht="18.95" customHeight="1">
      <c r="A107" s="651"/>
      <c r="B107" s="27" t="s">
        <v>1125</v>
      </c>
      <c r="C107" s="349" t="s">
        <v>1122</v>
      </c>
      <c r="D107" s="49"/>
      <c r="E107" s="104"/>
      <c r="F107" s="30"/>
      <c r="G107" s="25"/>
      <c r="H107" s="25">
        <f t="shared" si="8"/>
        <v>0</v>
      </c>
      <c r="I107" s="242">
        <f t="shared" si="6"/>
        <v>0</v>
      </c>
      <c r="J107" s="25"/>
      <c r="K107" s="25">
        <f t="shared" si="9"/>
        <v>0</v>
      </c>
      <c r="L107" s="30">
        <f t="shared" si="10"/>
        <v>0</v>
      </c>
      <c r="M107" s="72"/>
      <c r="N107" s="26"/>
      <c r="O107" s="921">
        <v>0.93490804699999996</v>
      </c>
    </row>
    <row r="108" spans="1:23" ht="18.95" customHeight="1">
      <c r="A108" s="905"/>
      <c r="B108" s="906" t="s">
        <v>1126</v>
      </c>
      <c r="C108" s="382" t="s">
        <v>1127</v>
      </c>
      <c r="D108" s="907" t="s">
        <v>1122</v>
      </c>
      <c r="E108" s="908">
        <v>20</v>
      </c>
      <c r="F108" s="384" t="s">
        <v>211</v>
      </c>
      <c r="G108" s="242">
        <v>4200</v>
      </c>
      <c r="H108" s="25">
        <f t="shared" si="8"/>
        <v>3926.6137973999998</v>
      </c>
      <c r="I108" s="242">
        <f t="shared" si="6"/>
        <v>78532.275947999995</v>
      </c>
      <c r="J108" s="242">
        <v>950</v>
      </c>
      <c r="K108" s="25">
        <f t="shared" si="9"/>
        <v>888.16264464999995</v>
      </c>
      <c r="L108" s="30">
        <f t="shared" si="10"/>
        <v>17763.252892999997</v>
      </c>
      <c r="M108" s="242">
        <f>I108+L108</f>
        <v>96295.528840999992</v>
      </c>
      <c r="N108" s="384"/>
      <c r="O108" s="921">
        <v>0.93490804699999996</v>
      </c>
    </row>
    <row r="109" spans="1:23" s="887" customFormat="1" ht="18.95" customHeight="1">
      <c r="A109" s="905"/>
      <c r="B109" s="906" t="s">
        <v>1128</v>
      </c>
      <c r="C109" s="382" t="s">
        <v>1129</v>
      </c>
      <c r="D109" s="914" t="s">
        <v>1130</v>
      </c>
      <c r="E109" s="908">
        <v>20</v>
      </c>
      <c r="F109" s="384" t="s">
        <v>211</v>
      </c>
      <c r="G109" s="242">
        <v>3045</v>
      </c>
      <c r="H109" s="25">
        <f t="shared" si="8"/>
        <v>2846.7950031149999</v>
      </c>
      <c r="I109" s="242">
        <f t="shared" si="6"/>
        <v>56935.900062299996</v>
      </c>
      <c r="J109" s="242">
        <v>100</v>
      </c>
      <c r="K109" s="25">
        <f t="shared" si="9"/>
        <v>93.490804699999998</v>
      </c>
      <c r="L109" s="30">
        <f t="shared" si="10"/>
        <v>1869.816094</v>
      </c>
      <c r="M109" s="242">
        <f>I109+L109</f>
        <v>58805.716156299997</v>
      </c>
      <c r="N109" s="384"/>
      <c r="O109" s="921">
        <v>0.93490804699999996</v>
      </c>
      <c r="P109" s="204"/>
      <c r="Q109" s="204"/>
      <c r="R109" s="204"/>
      <c r="S109" s="204"/>
      <c r="T109" s="204"/>
      <c r="U109" s="888"/>
      <c r="V109" s="888"/>
      <c r="W109" s="888"/>
    </row>
    <row r="110" spans="1:23" s="887" customFormat="1" ht="18.95" customHeight="1">
      <c r="A110" s="651"/>
      <c r="B110" s="27" t="s">
        <v>1131</v>
      </c>
      <c r="C110" s="1296" t="s">
        <v>1130</v>
      </c>
      <c r="D110" s="1297"/>
      <c r="E110" s="104"/>
      <c r="F110" s="30"/>
      <c r="G110" s="25"/>
      <c r="H110" s="25">
        <f t="shared" si="8"/>
        <v>0</v>
      </c>
      <c r="I110" s="242">
        <f t="shared" si="6"/>
        <v>0</v>
      </c>
      <c r="J110" s="25"/>
      <c r="K110" s="25">
        <f t="shared" si="9"/>
        <v>0</v>
      </c>
      <c r="L110" s="30">
        <f t="shared" si="10"/>
        <v>0</v>
      </c>
      <c r="M110" s="72"/>
      <c r="N110" s="26"/>
      <c r="O110" s="921">
        <v>0.93490804699999996</v>
      </c>
      <c r="P110" s="204"/>
      <c r="Q110" s="204"/>
      <c r="R110" s="204"/>
      <c r="S110" s="204"/>
      <c r="T110" s="204"/>
      <c r="U110" s="888"/>
      <c r="V110" s="888"/>
      <c r="W110" s="888"/>
    </row>
    <row r="111" spans="1:23" ht="18.95" customHeight="1">
      <c r="A111" s="905"/>
      <c r="B111" s="906" t="s">
        <v>1126</v>
      </c>
      <c r="C111" s="382" t="s">
        <v>1127</v>
      </c>
      <c r="D111" s="907" t="s">
        <v>1122</v>
      </c>
      <c r="E111" s="908">
        <v>7</v>
      </c>
      <c r="F111" s="384" t="s">
        <v>211</v>
      </c>
      <c r="G111" s="242">
        <v>4200</v>
      </c>
      <c r="H111" s="25">
        <f t="shared" si="8"/>
        <v>3926.6137973999998</v>
      </c>
      <c r="I111" s="242">
        <f t="shared" si="6"/>
        <v>27486.296581799998</v>
      </c>
      <c r="J111" s="242">
        <v>950</v>
      </c>
      <c r="K111" s="25">
        <f t="shared" si="9"/>
        <v>888.16264464999995</v>
      </c>
      <c r="L111" s="30">
        <f t="shared" si="10"/>
        <v>6217.1385125500001</v>
      </c>
      <c r="M111" s="242">
        <f>I111+L111</f>
        <v>33703.435094349996</v>
      </c>
      <c r="N111" s="384"/>
      <c r="O111" s="921">
        <v>0.93490804699999996</v>
      </c>
    </row>
    <row r="112" spans="1:23" s="887" customFormat="1" ht="18.95" customHeight="1">
      <c r="A112" s="905"/>
      <c r="B112" s="906" t="s">
        <v>1128</v>
      </c>
      <c r="C112" s="382" t="s">
        <v>1129</v>
      </c>
      <c r="D112" s="914" t="s">
        <v>1130</v>
      </c>
      <c r="E112" s="908">
        <v>8</v>
      </c>
      <c r="F112" s="384" t="s">
        <v>211</v>
      </c>
      <c r="G112" s="242">
        <v>2645</v>
      </c>
      <c r="H112" s="25">
        <f t="shared" si="8"/>
        <v>2472.8317843149998</v>
      </c>
      <c r="I112" s="242">
        <f t="shared" si="6"/>
        <v>19782.654274519999</v>
      </c>
      <c r="J112" s="242">
        <v>100</v>
      </c>
      <c r="K112" s="25">
        <f t="shared" si="9"/>
        <v>93.490804699999998</v>
      </c>
      <c r="L112" s="30">
        <f t="shared" si="10"/>
        <v>747.92643759999999</v>
      </c>
      <c r="M112" s="242">
        <f>I112+L112</f>
        <v>20530.580712119998</v>
      </c>
      <c r="N112" s="384"/>
      <c r="O112" s="921">
        <v>0.93490804699999996</v>
      </c>
      <c r="P112" s="204"/>
      <c r="Q112" s="204"/>
      <c r="R112" s="204"/>
      <c r="S112" s="204"/>
      <c r="T112" s="204"/>
      <c r="U112" s="888"/>
      <c r="V112" s="888"/>
      <c r="W112" s="888"/>
    </row>
    <row r="113" spans="1:23" s="887" customFormat="1" ht="18.95" customHeight="1">
      <c r="A113" s="651"/>
      <c r="B113" s="27" t="s">
        <v>1132</v>
      </c>
      <c r="C113" s="349" t="s">
        <v>1122</v>
      </c>
      <c r="D113" s="49"/>
      <c r="E113" s="104">
        <v>8</v>
      </c>
      <c r="F113" s="30" t="s">
        <v>211</v>
      </c>
      <c r="G113" s="25">
        <v>4200</v>
      </c>
      <c r="H113" s="25">
        <f t="shared" si="8"/>
        <v>3926.6137973999998</v>
      </c>
      <c r="I113" s="242">
        <f t="shared" si="6"/>
        <v>31412.910379199999</v>
      </c>
      <c r="J113" s="25">
        <v>950</v>
      </c>
      <c r="K113" s="25">
        <f t="shared" si="9"/>
        <v>888.16264464999995</v>
      </c>
      <c r="L113" s="30">
        <f t="shared" si="10"/>
        <v>7105.3011571999996</v>
      </c>
      <c r="M113" s="72">
        <f>I113+L113</f>
        <v>38518.211536399998</v>
      </c>
      <c r="N113" s="26"/>
      <c r="O113" s="921">
        <v>0.93490804699999996</v>
      </c>
      <c r="P113" s="204"/>
      <c r="Q113" s="204"/>
      <c r="R113" s="204"/>
      <c r="S113" s="204"/>
      <c r="T113" s="204"/>
      <c r="U113" s="888"/>
      <c r="V113" s="888"/>
      <c r="W113" s="888"/>
    </row>
    <row r="114" spans="1:23" ht="18.95" customHeight="1">
      <c r="A114" s="651"/>
      <c r="B114" s="27"/>
      <c r="C114" s="349"/>
      <c r="D114" s="49"/>
      <c r="E114" s="104"/>
      <c r="F114" s="30"/>
      <c r="G114" s="25"/>
      <c r="H114" s="25"/>
      <c r="I114" s="242"/>
      <c r="J114" s="25"/>
      <c r="K114" s="25"/>
      <c r="L114" s="30"/>
      <c r="M114" s="72"/>
      <c r="N114" s="26"/>
      <c r="O114" s="921">
        <v>0.93490804699999996</v>
      </c>
    </row>
    <row r="115" spans="1:23" ht="18.95" customHeight="1">
      <c r="A115" s="898"/>
      <c r="B115" s="899" t="s">
        <v>1133</v>
      </c>
      <c r="C115" s="900" t="s">
        <v>1134</v>
      </c>
      <c r="D115" s="901"/>
      <c r="E115" s="902"/>
      <c r="F115" s="903"/>
      <c r="G115" s="903"/>
      <c r="H115" s="903"/>
      <c r="I115" s="903"/>
      <c r="J115" s="903"/>
      <c r="K115" s="903"/>
      <c r="L115" s="904"/>
      <c r="M115" s="904"/>
      <c r="N115" s="903"/>
      <c r="O115" s="921">
        <v>0.93490804699999996</v>
      </c>
    </row>
    <row r="116" spans="1:23" ht="18.95" customHeight="1">
      <c r="A116" s="651"/>
      <c r="B116" s="27" t="s">
        <v>1135</v>
      </c>
      <c r="C116" s="1296" t="s">
        <v>1136</v>
      </c>
      <c r="D116" s="1297"/>
      <c r="E116" s="104">
        <v>14</v>
      </c>
      <c r="F116" s="30" t="s">
        <v>211</v>
      </c>
      <c r="G116" s="25">
        <v>4360</v>
      </c>
      <c r="H116" s="25">
        <f t="shared" si="8"/>
        <v>4076.1990849199997</v>
      </c>
      <c r="I116" s="242">
        <f t="shared" si="6"/>
        <v>57066.787188879993</v>
      </c>
      <c r="J116" s="25">
        <v>345</v>
      </c>
      <c r="K116" s="25">
        <f t="shared" si="9"/>
        <v>322.54327621499999</v>
      </c>
      <c r="L116" s="30">
        <f t="shared" ref="L116:L119" si="12">E116*K116</f>
        <v>4515.6058670100001</v>
      </c>
      <c r="M116" s="25">
        <f>I116+L116</f>
        <v>61582.393055889996</v>
      </c>
      <c r="N116" s="26"/>
      <c r="O116" s="921">
        <v>0.93490804699999996</v>
      </c>
    </row>
    <row r="117" spans="1:23" ht="18.95" customHeight="1">
      <c r="A117" s="651"/>
      <c r="B117" s="27" t="s">
        <v>1137</v>
      </c>
      <c r="C117" s="1296" t="s">
        <v>1136</v>
      </c>
      <c r="D117" s="1297"/>
      <c r="E117" s="104">
        <v>10</v>
      </c>
      <c r="F117" s="30" t="s">
        <v>211</v>
      </c>
      <c r="G117" s="25">
        <v>4360</v>
      </c>
      <c r="H117" s="25">
        <f t="shared" si="8"/>
        <v>4076.1990849199997</v>
      </c>
      <c r="I117" s="242">
        <f t="shared" si="6"/>
        <v>40761.990849199996</v>
      </c>
      <c r="J117" s="25">
        <v>345</v>
      </c>
      <c r="K117" s="25">
        <f t="shared" si="9"/>
        <v>322.54327621499999</v>
      </c>
      <c r="L117" s="30">
        <f t="shared" si="12"/>
        <v>3225.4327621499997</v>
      </c>
      <c r="M117" s="25">
        <f>I117+L117</f>
        <v>43987.423611349994</v>
      </c>
      <c r="N117" s="26"/>
      <c r="O117" s="921">
        <v>0.93490804699999996</v>
      </c>
    </row>
    <row r="118" spans="1:23" ht="18.95" customHeight="1">
      <c r="A118" s="651"/>
      <c r="B118" s="27" t="s">
        <v>1138</v>
      </c>
      <c r="C118" s="1296" t="s">
        <v>1139</v>
      </c>
      <c r="D118" s="1297"/>
      <c r="E118" s="104">
        <v>13</v>
      </c>
      <c r="F118" s="30" t="s">
        <v>211</v>
      </c>
      <c r="G118" s="25">
        <v>3220</v>
      </c>
      <c r="H118" s="25">
        <f t="shared" si="8"/>
        <v>3010.4039113399999</v>
      </c>
      <c r="I118" s="242">
        <f t="shared" si="6"/>
        <v>39135.25084742</v>
      </c>
      <c r="J118" s="25">
        <v>470</v>
      </c>
      <c r="K118" s="25">
        <f t="shared" si="9"/>
        <v>439.40678208999998</v>
      </c>
      <c r="L118" s="30">
        <f t="shared" si="12"/>
        <v>5712.2881671699997</v>
      </c>
      <c r="M118" s="72">
        <f>I118+L118</f>
        <v>44847.539014590002</v>
      </c>
      <c r="N118" s="26"/>
      <c r="O118" s="921">
        <v>0.93490804699999996</v>
      </c>
    </row>
    <row r="119" spans="1:23" ht="18.95" customHeight="1">
      <c r="A119" s="651"/>
      <c r="B119" s="27" t="s">
        <v>1140</v>
      </c>
      <c r="C119" s="1296" t="s">
        <v>1136</v>
      </c>
      <c r="D119" s="1297"/>
      <c r="E119" s="104">
        <v>13</v>
      </c>
      <c r="F119" s="30" t="s">
        <v>211</v>
      </c>
      <c r="G119" s="25">
        <v>4360</v>
      </c>
      <c r="H119" s="25">
        <f t="shared" si="8"/>
        <v>4076.1990849199997</v>
      </c>
      <c r="I119" s="242">
        <f t="shared" si="6"/>
        <v>52990.588103959999</v>
      </c>
      <c r="J119" s="25">
        <v>345</v>
      </c>
      <c r="K119" s="25">
        <f t="shared" si="9"/>
        <v>322.54327621499999</v>
      </c>
      <c r="L119" s="30">
        <f t="shared" si="12"/>
        <v>4193.0625907949998</v>
      </c>
      <c r="M119" s="25">
        <f>I119+L119</f>
        <v>57183.650694755001</v>
      </c>
      <c r="N119" s="26"/>
      <c r="O119" s="921">
        <v>0.93490804699999996</v>
      </c>
    </row>
    <row r="120" spans="1:23" ht="18.95" customHeight="1">
      <c r="A120" s="898"/>
      <c r="B120" s="899" t="s">
        <v>1141</v>
      </c>
      <c r="C120" s="900" t="s">
        <v>1134</v>
      </c>
      <c r="D120" s="901"/>
      <c r="E120" s="902"/>
      <c r="F120" s="903"/>
      <c r="G120" s="903"/>
      <c r="H120" s="903"/>
      <c r="I120" s="903"/>
      <c r="J120" s="903"/>
      <c r="K120" s="903"/>
      <c r="L120" s="903"/>
      <c r="M120" s="904"/>
      <c r="N120" s="903"/>
      <c r="O120" s="921">
        <v>0.93490804699999996</v>
      </c>
    </row>
    <row r="121" spans="1:23" ht="18.95" customHeight="1">
      <c r="A121" s="651"/>
      <c r="B121" s="27" t="s">
        <v>1142</v>
      </c>
      <c r="C121" s="1296" t="s">
        <v>1139</v>
      </c>
      <c r="D121" s="1297"/>
      <c r="E121" s="104">
        <v>13</v>
      </c>
      <c r="F121" s="30" t="s">
        <v>211</v>
      </c>
      <c r="G121" s="25">
        <v>3220</v>
      </c>
      <c r="H121" s="25">
        <f t="shared" si="8"/>
        <v>3010.4039113399999</v>
      </c>
      <c r="I121" s="242">
        <f t="shared" si="6"/>
        <v>39135.25084742</v>
      </c>
      <c r="J121" s="25">
        <v>470</v>
      </c>
      <c r="K121" s="25">
        <f t="shared" si="9"/>
        <v>439.40678208999998</v>
      </c>
      <c r="L121" s="30">
        <f t="shared" ref="L121:L124" si="13">E121*K121</f>
        <v>5712.2881671699997</v>
      </c>
      <c r="M121" s="72">
        <f t="shared" ref="M121:M124" si="14">I121+L121</f>
        <v>44847.539014590002</v>
      </c>
      <c r="N121" s="26"/>
      <c r="O121" s="921">
        <v>0.93490804699999996</v>
      </c>
    </row>
    <row r="122" spans="1:23" ht="18.95" customHeight="1">
      <c r="A122" s="651"/>
      <c r="B122" s="27" t="s">
        <v>1143</v>
      </c>
      <c r="C122" s="1296" t="s">
        <v>1136</v>
      </c>
      <c r="D122" s="1297"/>
      <c r="E122" s="104">
        <v>6</v>
      </c>
      <c r="F122" s="30" t="s">
        <v>211</v>
      </c>
      <c r="G122" s="25">
        <v>4360</v>
      </c>
      <c r="H122" s="25">
        <f t="shared" si="8"/>
        <v>4076.1990849199997</v>
      </c>
      <c r="I122" s="242">
        <f t="shared" si="6"/>
        <v>24457.194509519999</v>
      </c>
      <c r="J122" s="25">
        <v>345</v>
      </c>
      <c r="K122" s="25">
        <f t="shared" si="9"/>
        <v>322.54327621499999</v>
      </c>
      <c r="L122" s="30">
        <f t="shared" si="13"/>
        <v>1935.25965729</v>
      </c>
      <c r="M122" s="25">
        <f t="shared" si="14"/>
        <v>26392.454166809999</v>
      </c>
      <c r="N122" s="26"/>
      <c r="O122" s="921">
        <v>0.93490804699999996</v>
      </c>
    </row>
    <row r="123" spans="1:23" ht="18.95" customHeight="1">
      <c r="A123" s="651"/>
      <c r="B123" s="27" t="s">
        <v>1144</v>
      </c>
      <c r="C123" s="1296" t="s">
        <v>1136</v>
      </c>
      <c r="D123" s="1297"/>
      <c r="E123" s="104">
        <v>4</v>
      </c>
      <c r="F123" s="30" t="s">
        <v>211</v>
      </c>
      <c r="G123" s="25">
        <v>4360</v>
      </c>
      <c r="H123" s="25">
        <f t="shared" si="8"/>
        <v>4076.1990849199997</v>
      </c>
      <c r="I123" s="242">
        <f t="shared" si="6"/>
        <v>16304.796339679999</v>
      </c>
      <c r="J123" s="25">
        <v>345</v>
      </c>
      <c r="K123" s="25">
        <f t="shared" si="9"/>
        <v>322.54327621499999</v>
      </c>
      <c r="L123" s="30">
        <f t="shared" si="13"/>
        <v>1290.17310486</v>
      </c>
      <c r="M123" s="25">
        <f t="shared" si="14"/>
        <v>17594.969444539998</v>
      </c>
      <c r="N123" s="26"/>
      <c r="O123" s="921">
        <v>0.93490804699999996</v>
      </c>
    </row>
    <row r="124" spans="1:23" ht="18.95" customHeight="1">
      <c r="A124" s="651"/>
      <c r="B124" s="27" t="s">
        <v>1145</v>
      </c>
      <c r="C124" s="1296" t="s">
        <v>1139</v>
      </c>
      <c r="D124" s="1297"/>
      <c r="E124" s="104">
        <v>10</v>
      </c>
      <c r="F124" s="30" t="s">
        <v>211</v>
      </c>
      <c r="G124" s="25">
        <v>3220</v>
      </c>
      <c r="H124" s="25">
        <f t="shared" si="8"/>
        <v>3010.4039113399999</v>
      </c>
      <c r="I124" s="242">
        <f t="shared" si="6"/>
        <v>30104.039113399998</v>
      </c>
      <c r="J124" s="25">
        <v>470</v>
      </c>
      <c r="K124" s="25">
        <f t="shared" si="9"/>
        <v>439.40678208999998</v>
      </c>
      <c r="L124" s="30">
        <f t="shared" si="13"/>
        <v>4394.0678208999998</v>
      </c>
      <c r="M124" s="72">
        <f t="shared" si="14"/>
        <v>34498.106934299998</v>
      </c>
      <c r="N124" s="26"/>
      <c r="O124" s="921">
        <v>0.93490804699999996</v>
      </c>
    </row>
    <row r="125" spans="1:23" ht="18.95" customHeight="1">
      <c r="A125" s="898"/>
      <c r="B125" s="899" t="s">
        <v>1146</v>
      </c>
      <c r="C125" s="900" t="s">
        <v>1134</v>
      </c>
      <c r="D125" s="901"/>
      <c r="E125" s="902"/>
      <c r="F125" s="903"/>
      <c r="G125" s="903"/>
      <c r="H125" s="903"/>
      <c r="I125" s="903"/>
      <c r="J125" s="903"/>
      <c r="K125" s="903"/>
      <c r="L125" s="904"/>
      <c r="M125" s="904"/>
      <c r="N125" s="903"/>
      <c r="O125" s="921">
        <v>0.93490804699999996</v>
      </c>
    </row>
    <row r="126" spans="1:23" ht="18.95" customHeight="1">
      <c r="A126" s="651"/>
      <c r="B126" s="27" t="s">
        <v>1147</v>
      </c>
      <c r="C126" s="1296" t="s">
        <v>1139</v>
      </c>
      <c r="D126" s="1297"/>
      <c r="E126" s="104">
        <v>9</v>
      </c>
      <c r="F126" s="30" t="s">
        <v>211</v>
      </c>
      <c r="G126" s="25">
        <v>3220</v>
      </c>
      <c r="H126" s="25">
        <f t="shared" si="8"/>
        <v>3010.4039113399999</v>
      </c>
      <c r="I126" s="242">
        <f t="shared" si="6"/>
        <v>27093.635202059999</v>
      </c>
      <c r="J126" s="25">
        <v>470</v>
      </c>
      <c r="K126" s="25">
        <f t="shared" si="9"/>
        <v>439.40678208999998</v>
      </c>
      <c r="L126" s="30">
        <f t="shared" ref="L126:L129" si="15">E126*K126</f>
        <v>3954.6610388099998</v>
      </c>
      <c r="M126" s="25">
        <f t="shared" ref="M126:M129" si="16">I126+L126</f>
        <v>31048.296240869997</v>
      </c>
      <c r="N126" s="26"/>
      <c r="O126" s="921">
        <v>0.93490804699999996</v>
      </c>
    </row>
    <row r="127" spans="1:23" ht="18.95" customHeight="1">
      <c r="A127" s="651"/>
      <c r="B127" s="27" t="s">
        <v>1148</v>
      </c>
      <c r="C127" s="1296" t="s">
        <v>1136</v>
      </c>
      <c r="D127" s="1297"/>
      <c r="E127" s="104">
        <v>3</v>
      </c>
      <c r="F127" s="30" t="s">
        <v>211</v>
      </c>
      <c r="G127" s="25">
        <v>4360</v>
      </c>
      <c r="H127" s="25">
        <f t="shared" si="8"/>
        <v>4076.1990849199997</v>
      </c>
      <c r="I127" s="242">
        <f t="shared" si="6"/>
        <v>12228.597254759999</v>
      </c>
      <c r="J127" s="25">
        <v>345</v>
      </c>
      <c r="K127" s="25">
        <f t="shared" si="9"/>
        <v>322.54327621499999</v>
      </c>
      <c r="L127" s="30">
        <f t="shared" si="15"/>
        <v>967.62982864499998</v>
      </c>
      <c r="M127" s="72">
        <f t="shared" si="16"/>
        <v>13196.227083405</v>
      </c>
      <c r="N127" s="26"/>
      <c r="O127" s="921">
        <v>0.93490804699999996</v>
      </c>
    </row>
    <row r="128" spans="1:23" ht="18.95" customHeight="1">
      <c r="A128" s="651"/>
      <c r="B128" s="27" t="s">
        <v>1149</v>
      </c>
      <c r="C128" s="1296" t="s">
        <v>1136</v>
      </c>
      <c r="D128" s="1297"/>
      <c r="E128" s="104">
        <v>6</v>
      </c>
      <c r="F128" s="30" t="s">
        <v>211</v>
      </c>
      <c r="G128" s="25">
        <v>4360</v>
      </c>
      <c r="H128" s="25">
        <f t="shared" si="8"/>
        <v>4076.1990849199997</v>
      </c>
      <c r="I128" s="242">
        <f t="shared" si="6"/>
        <v>24457.194509519999</v>
      </c>
      <c r="J128" s="25">
        <v>345</v>
      </c>
      <c r="K128" s="25">
        <f t="shared" si="9"/>
        <v>322.54327621499999</v>
      </c>
      <c r="L128" s="30">
        <f t="shared" si="15"/>
        <v>1935.25965729</v>
      </c>
      <c r="M128" s="72">
        <f t="shared" si="16"/>
        <v>26392.454166809999</v>
      </c>
      <c r="N128" s="26"/>
      <c r="O128" s="921">
        <v>0.93490804699999996</v>
      </c>
    </row>
    <row r="129" spans="1:15" ht="18.95" customHeight="1">
      <c r="A129" s="651"/>
      <c r="B129" s="27" t="s">
        <v>1150</v>
      </c>
      <c r="C129" s="1296" t="s">
        <v>1136</v>
      </c>
      <c r="D129" s="1297"/>
      <c r="E129" s="104">
        <v>1</v>
      </c>
      <c r="F129" s="30" t="s">
        <v>211</v>
      </c>
      <c r="G129" s="25">
        <v>4360</v>
      </c>
      <c r="H129" s="25">
        <f t="shared" si="8"/>
        <v>4076.1990849199997</v>
      </c>
      <c r="I129" s="242">
        <f t="shared" si="6"/>
        <v>4076.1990849199997</v>
      </c>
      <c r="J129" s="25">
        <v>345</v>
      </c>
      <c r="K129" s="25">
        <f t="shared" si="9"/>
        <v>322.54327621499999</v>
      </c>
      <c r="L129" s="30">
        <f t="shared" si="15"/>
        <v>322.54327621499999</v>
      </c>
      <c r="M129" s="72">
        <f t="shared" si="16"/>
        <v>4398.7423611349996</v>
      </c>
      <c r="N129" s="26"/>
      <c r="O129" s="921">
        <v>0.93490804699999996</v>
      </c>
    </row>
    <row r="130" spans="1:15" ht="18.95" customHeight="1">
      <c r="A130" s="898"/>
      <c r="B130" s="899" t="s">
        <v>1151</v>
      </c>
      <c r="C130" s="900" t="s">
        <v>1134</v>
      </c>
      <c r="D130" s="901"/>
      <c r="E130" s="902"/>
      <c r="F130" s="903"/>
      <c r="G130" s="903"/>
      <c r="H130" s="903"/>
      <c r="I130" s="903"/>
      <c r="J130" s="903"/>
      <c r="K130" s="903"/>
      <c r="L130" s="904"/>
      <c r="M130" s="904"/>
      <c r="N130" s="903"/>
      <c r="O130" s="921">
        <v>0.93490804699999996</v>
      </c>
    </row>
    <row r="131" spans="1:15" ht="18.95" customHeight="1">
      <c r="A131" s="651"/>
      <c r="B131" s="27" t="s">
        <v>1152</v>
      </c>
      <c r="C131" s="1296" t="s">
        <v>1136</v>
      </c>
      <c r="D131" s="1297"/>
      <c r="E131" s="104">
        <v>8</v>
      </c>
      <c r="F131" s="30" t="s">
        <v>211</v>
      </c>
      <c r="G131" s="25">
        <v>4360</v>
      </c>
      <c r="H131" s="25">
        <f t="shared" si="8"/>
        <v>4076.1990849199997</v>
      </c>
      <c r="I131" s="242">
        <f t="shared" si="6"/>
        <v>32609.592679359997</v>
      </c>
      <c r="J131" s="25">
        <v>345</v>
      </c>
      <c r="K131" s="25">
        <f t="shared" si="9"/>
        <v>322.54327621499999</v>
      </c>
      <c r="L131" s="30">
        <f t="shared" ref="L131:L134" si="17">E131*K131</f>
        <v>2580.3462097199999</v>
      </c>
      <c r="M131" s="72">
        <f t="shared" ref="M131:M134" si="18">I131+L131</f>
        <v>35189.938889079996</v>
      </c>
      <c r="N131" s="26"/>
      <c r="O131" s="921">
        <v>0.93490804699999996</v>
      </c>
    </row>
    <row r="132" spans="1:15" ht="18.95" customHeight="1">
      <c r="A132" s="651"/>
      <c r="B132" s="27" t="s">
        <v>1153</v>
      </c>
      <c r="C132" s="1296" t="s">
        <v>1139</v>
      </c>
      <c r="D132" s="1297"/>
      <c r="E132" s="104">
        <v>10</v>
      </c>
      <c r="F132" s="30" t="s">
        <v>211</v>
      </c>
      <c r="G132" s="25">
        <v>3220</v>
      </c>
      <c r="H132" s="25">
        <f t="shared" si="8"/>
        <v>3010.4039113399999</v>
      </c>
      <c r="I132" s="242">
        <f t="shared" si="6"/>
        <v>30104.039113399998</v>
      </c>
      <c r="J132" s="25">
        <v>470</v>
      </c>
      <c r="K132" s="25">
        <f t="shared" si="9"/>
        <v>439.40678208999998</v>
      </c>
      <c r="L132" s="30">
        <f t="shared" si="17"/>
        <v>4394.0678208999998</v>
      </c>
      <c r="M132" s="25">
        <f t="shared" si="18"/>
        <v>34498.106934299998</v>
      </c>
      <c r="N132" s="26"/>
      <c r="O132" s="921">
        <v>0.93490804699999996</v>
      </c>
    </row>
    <row r="133" spans="1:15" ht="18.95" customHeight="1">
      <c r="A133" s="651"/>
      <c r="B133" s="27" t="s">
        <v>1154</v>
      </c>
      <c r="C133" s="1296" t="s">
        <v>1139</v>
      </c>
      <c r="D133" s="1297"/>
      <c r="E133" s="104">
        <v>11</v>
      </c>
      <c r="F133" s="30" t="s">
        <v>211</v>
      </c>
      <c r="G133" s="25">
        <v>3220</v>
      </c>
      <c r="H133" s="25">
        <f t="shared" si="8"/>
        <v>3010.4039113399999</v>
      </c>
      <c r="I133" s="242">
        <f t="shared" si="6"/>
        <v>33114.443024740001</v>
      </c>
      <c r="J133" s="25">
        <v>470</v>
      </c>
      <c r="K133" s="25">
        <f t="shared" si="9"/>
        <v>439.40678208999998</v>
      </c>
      <c r="L133" s="30">
        <f t="shared" si="17"/>
        <v>4833.4746029899998</v>
      </c>
      <c r="M133" s="25">
        <f t="shared" si="18"/>
        <v>37947.917627729999</v>
      </c>
      <c r="N133" s="26"/>
      <c r="O133" s="921">
        <v>0.93490804699999996</v>
      </c>
    </row>
    <row r="134" spans="1:15" ht="18.95" customHeight="1">
      <c r="A134" s="651"/>
      <c r="B134" s="27" t="s">
        <v>1155</v>
      </c>
      <c r="C134" s="1296" t="s">
        <v>1136</v>
      </c>
      <c r="D134" s="1297"/>
      <c r="E134" s="104">
        <v>1</v>
      </c>
      <c r="F134" s="30" t="s">
        <v>211</v>
      </c>
      <c r="G134" s="25">
        <v>4360</v>
      </c>
      <c r="H134" s="25">
        <f t="shared" si="8"/>
        <v>4076.1990849199997</v>
      </c>
      <c r="I134" s="242">
        <f t="shared" si="6"/>
        <v>4076.1990849199997</v>
      </c>
      <c r="J134" s="25">
        <v>345</v>
      </c>
      <c r="K134" s="25">
        <f t="shared" si="9"/>
        <v>322.54327621499999</v>
      </c>
      <c r="L134" s="30">
        <f t="shared" si="17"/>
        <v>322.54327621499999</v>
      </c>
      <c r="M134" s="72">
        <f t="shared" si="18"/>
        <v>4398.7423611349996</v>
      </c>
      <c r="N134" s="26"/>
      <c r="O134" s="921">
        <v>0.93490804699999996</v>
      </c>
    </row>
    <row r="135" spans="1:15" ht="18.95" customHeight="1">
      <c r="A135" s="898"/>
      <c r="B135" s="899" t="s">
        <v>1156</v>
      </c>
      <c r="C135" s="900" t="s">
        <v>908</v>
      </c>
      <c r="D135" s="901"/>
      <c r="E135" s="902"/>
      <c r="F135" s="903"/>
      <c r="G135" s="903"/>
      <c r="H135" s="903"/>
      <c r="I135" s="903"/>
      <c r="J135" s="903"/>
      <c r="K135" s="903"/>
      <c r="L135" s="904"/>
      <c r="M135" s="904"/>
      <c r="N135" s="903"/>
      <c r="O135" s="921">
        <v>0.93490804699999996</v>
      </c>
    </row>
    <row r="136" spans="1:15" ht="18.95" customHeight="1">
      <c r="A136" s="651"/>
      <c r="B136" s="27" t="s">
        <v>1157</v>
      </c>
      <c r="C136" s="1296" t="s">
        <v>1136</v>
      </c>
      <c r="D136" s="1297"/>
      <c r="E136" s="104">
        <v>18</v>
      </c>
      <c r="F136" s="30" t="s">
        <v>211</v>
      </c>
      <c r="G136" s="25">
        <v>4360</v>
      </c>
      <c r="H136" s="25">
        <f t="shared" si="8"/>
        <v>4076.1990849199997</v>
      </c>
      <c r="I136" s="242">
        <f t="shared" si="6"/>
        <v>73371.58352855999</v>
      </c>
      <c r="J136" s="25">
        <v>345</v>
      </c>
      <c r="K136" s="25">
        <f t="shared" si="9"/>
        <v>322.54327621499999</v>
      </c>
      <c r="L136" s="30">
        <f t="shared" ref="L136:L139" si="19">E136*K136</f>
        <v>5805.7789718699996</v>
      </c>
      <c r="M136" s="25">
        <f t="shared" ref="M136:M140" si="20">I136+L136</f>
        <v>79177.362500429983</v>
      </c>
      <c r="N136" s="26"/>
      <c r="O136" s="921">
        <v>0.93490804699999996</v>
      </c>
    </row>
    <row r="137" spans="1:15" ht="18.95" customHeight="1">
      <c r="A137" s="651"/>
      <c r="B137" s="27" t="s">
        <v>1158</v>
      </c>
      <c r="C137" s="1296" t="s">
        <v>1136</v>
      </c>
      <c r="D137" s="1297"/>
      <c r="E137" s="104">
        <v>15</v>
      </c>
      <c r="F137" s="30" t="s">
        <v>211</v>
      </c>
      <c r="G137" s="25">
        <v>4360</v>
      </c>
      <c r="H137" s="25">
        <f t="shared" si="8"/>
        <v>4076.1990849199997</v>
      </c>
      <c r="I137" s="242">
        <f t="shared" si="6"/>
        <v>61142.986273799994</v>
      </c>
      <c r="J137" s="25">
        <v>345</v>
      </c>
      <c r="K137" s="25">
        <f t="shared" si="9"/>
        <v>322.54327621499999</v>
      </c>
      <c r="L137" s="30">
        <f t="shared" si="19"/>
        <v>4838.1491432249995</v>
      </c>
      <c r="M137" s="25">
        <f t="shared" si="20"/>
        <v>65981.135417024998</v>
      </c>
      <c r="N137" s="26"/>
      <c r="O137" s="921">
        <v>0.93490804699999996</v>
      </c>
    </row>
    <row r="138" spans="1:15" ht="18.95" customHeight="1">
      <c r="A138" s="651"/>
      <c r="B138" s="27" t="s">
        <v>1159</v>
      </c>
      <c r="C138" s="1296" t="s">
        <v>1136</v>
      </c>
      <c r="D138" s="1297"/>
      <c r="E138" s="104">
        <v>15</v>
      </c>
      <c r="F138" s="30" t="s">
        <v>211</v>
      </c>
      <c r="G138" s="25">
        <v>4360</v>
      </c>
      <c r="H138" s="25">
        <f t="shared" si="8"/>
        <v>4076.1990849199997</v>
      </c>
      <c r="I138" s="242">
        <f t="shared" si="6"/>
        <v>61142.986273799994</v>
      </c>
      <c r="J138" s="25">
        <v>345</v>
      </c>
      <c r="K138" s="25">
        <f t="shared" si="9"/>
        <v>322.54327621499999</v>
      </c>
      <c r="L138" s="30">
        <f t="shared" si="19"/>
        <v>4838.1491432249995</v>
      </c>
      <c r="M138" s="25">
        <f t="shared" si="20"/>
        <v>65981.135417024998</v>
      </c>
      <c r="N138" s="26"/>
      <c r="O138" s="921">
        <v>0.93490804699999996</v>
      </c>
    </row>
    <row r="139" spans="1:15" ht="18.95" customHeight="1">
      <c r="A139" s="651"/>
      <c r="B139" s="27" t="s">
        <v>1160</v>
      </c>
      <c r="C139" s="1296" t="s">
        <v>1136</v>
      </c>
      <c r="D139" s="1297"/>
      <c r="E139" s="104">
        <v>5</v>
      </c>
      <c r="F139" s="30" t="s">
        <v>211</v>
      </c>
      <c r="G139" s="25">
        <v>4360</v>
      </c>
      <c r="H139" s="25">
        <f t="shared" si="8"/>
        <v>4076.1990849199997</v>
      </c>
      <c r="I139" s="242">
        <f t="shared" si="6"/>
        <v>20380.995424599998</v>
      </c>
      <c r="J139" s="25">
        <v>345</v>
      </c>
      <c r="K139" s="25">
        <f t="shared" si="9"/>
        <v>322.54327621499999</v>
      </c>
      <c r="L139" s="30">
        <f t="shared" si="19"/>
        <v>1612.7163810749998</v>
      </c>
      <c r="M139" s="25">
        <f t="shared" si="20"/>
        <v>21993.711805674997</v>
      </c>
      <c r="N139" s="26"/>
      <c r="O139" s="921">
        <v>0.93490804699999996</v>
      </c>
    </row>
    <row r="140" spans="1:15" ht="18.95" customHeight="1">
      <c r="A140" s="651"/>
      <c r="B140" s="27" t="s">
        <v>1161</v>
      </c>
      <c r="C140" s="349" t="s">
        <v>1162</v>
      </c>
      <c r="D140" s="49"/>
      <c r="E140" s="104">
        <v>2</v>
      </c>
      <c r="F140" s="30" t="s">
        <v>286</v>
      </c>
      <c r="G140" s="25">
        <v>16000</v>
      </c>
      <c r="H140" s="25">
        <f t="shared" si="8"/>
        <v>14958.528752</v>
      </c>
      <c r="I140" s="242">
        <f t="shared" si="6"/>
        <v>29917.057504</v>
      </c>
      <c r="J140" s="25">
        <v>0</v>
      </c>
      <c r="K140" s="25">
        <f t="shared" si="9"/>
        <v>0</v>
      </c>
      <c r="L140" s="30">
        <f t="shared" ref="L140" si="21">E140*J140</f>
        <v>0</v>
      </c>
      <c r="M140" s="72">
        <f t="shared" si="20"/>
        <v>29917.057504</v>
      </c>
      <c r="N140" s="26"/>
      <c r="O140" s="921">
        <v>0.93490804699999996</v>
      </c>
    </row>
    <row r="141" spans="1:15" ht="18.95" customHeight="1">
      <c r="A141" s="651"/>
      <c r="B141" s="27"/>
      <c r="C141" s="349"/>
      <c r="D141" s="49"/>
      <c r="E141" s="104"/>
      <c r="F141" s="30"/>
      <c r="G141" s="25"/>
      <c r="H141" s="25"/>
      <c r="I141" s="242"/>
      <c r="J141" s="25"/>
      <c r="K141" s="25"/>
      <c r="L141" s="30"/>
      <c r="M141" s="72"/>
      <c r="N141" s="26"/>
      <c r="O141" s="921">
        <v>0.93490804699999996</v>
      </c>
    </row>
    <row r="142" spans="1:15" ht="18.95" customHeight="1">
      <c r="A142" s="898"/>
      <c r="B142" s="899" t="s">
        <v>1163</v>
      </c>
      <c r="C142" s="900" t="s">
        <v>902</v>
      </c>
      <c r="D142" s="901"/>
      <c r="E142" s="902"/>
      <c r="F142" s="903"/>
      <c r="G142" s="903"/>
      <c r="H142" s="903"/>
      <c r="I142" s="903"/>
      <c r="J142" s="903"/>
      <c r="K142" s="903"/>
      <c r="L142" s="904"/>
      <c r="M142" s="904"/>
      <c r="N142" s="903"/>
      <c r="O142" s="921">
        <v>0.93490804699999996</v>
      </c>
    </row>
    <row r="143" spans="1:15" ht="18.95" customHeight="1">
      <c r="A143" s="651"/>
      <c r="B143" s="27" t="s">
        <v>1164</v>
      </c>
      <c r="C143" s="1296" t="s">
        <v>1165</v>
      </c>
      <c r="D143" s="1297"/>
      <c r="E143" s="104"/>
      <c r="F143" s="30"/>
      <c r="G143" s="25"/>
      <c r="H143" s="25"/>
      <c r="I143" s="242"/>
      <c r="J143" s="25"/>
      <c r="K143" s="25"/>
      <c r="L143" s="30"/>
      <c r="M143" s="72"/>
      <c r="N143" s="26"/>
      <c r="O143" s="921">
        <v>0.93490804699999996</v>
      </c>
    </row>
    <row r="144" spans="1:15" ht="18.95" customHeight="1">
      <c r="A144" s="651"/>
      <c r="B144" s="27"/>
      <c r="C144" s="644" t="s">
        <v>1166</v>
      </c>
      <c r="D144" s="682"/>
      <c r="E144" s="104"/>
      <c r="F144" s="30"/>
      <c r="G144" s="25"/>
      <c r="H144" s="25"/>
      <c r="I144" s="242"/>
      <c r="J144" s="25"/>
      <c r="K144" s="25"/>
      <c r="L144" s="30"/>
      <c r="M144" s="72"/>
      <c r="N144" s="26"/>
      <c r="O144" s="921">
        <v>0.93490804699999996</v>
      </c>
    </row>
    <row r="145" spans="1:23" ht="18.95" customHeight="1">
      <c r="A145" s="905"/>
      <c r="B145" s="381" t="s">
        <v>1127</v>
      </c>
      <c r="C145" s="382" t="s">
        <v>1105</v>
      </c>
      <c r="D145" s="927"/>
      <c r="E145" s="908">
        <v>7</v>
      </c>
      <c r="F145" s="384" t="s">
        <v>211</v>
      </c>
      <c r="G145" s="242">
        <v>4200</v>
      </c>
      <c r="H145" s="25">
        <f t="shared" si="8"/>
        <v>3926.6137973999998</v>
      </c>
      <c r="I145" s="242">
        <f t="shared" si="6"/>
        <v>27486.296581799998</v>
      </c>
      <c r="J145" s="242">
        <v>950</v>
      </c>
      <c r="K145" s="25">
        <f t="shared" si="9"/>
        <v>888.16264464999995</v>
      </c>
      <c r="L145" s="30">
        <f t="shared" ref="L145:L148" si="22">E145*K145</f>
        <v>6217.1385125500001</v>
      </c>
      <c r="M145" s="242">
        <f>I145+L145</f>
        <v>33703.435094349996</v>
      </c>
      <c r="N145" s="384"/>
      <c r="O145" s="921">
        <v>0.93490804699999996</v>
      </c>
    </row>
    <row r="146" spans="1:23" s="887" customFormat="1" ht="18.95" customHeight="1">
      <c r="A146" s="905"/>
      <c r="B146" s="381" t="s">
        <v>1167</v>
      </c>
      <c r="C146" s="382" t="s">
        <v>1168</v>
      </c>
      <c r="D146" s="927"/>
      <c r="E146" s="908">
        <v>11</v>
      </c>
      <c r="F146" s="384" t="s">
        <v>211</v>
      </c>
      <c r="G146" s="242">
        <v>5900</v>
      </c>
      <c r="H146" s="25">
        <f t="shared" si="8"/>
        <v>5515.9574772999995</v>
      </c>
      <c r="I146" s="242">
        <f t="shared" si="6"/>
        <v>60675.532250299992</v>
      </c>
      <c r="J146" s="242">
        <v>950</v>
      </c>
      <c r="K146" s="25">
        <f t="shared" si="9"/>
        <v>888.16264464999995</v>
      </c>
      <c r="L146" s="30">
        <f t="shared" si="22"/>
        <v>9769.7890911499999</v>
      </c>
      <c r="M146" s="242">
        <f>I146+L146</f>
        <v>70445.321341449991</v>
      </c>
      <c r="N146" s="384"/>
      <c r="O146" s="921">
        <v>0.93490804699999996</v>
      </c>
      <c r="P146" s="204"/>
      <c r="Q146" s="204"/>
      <c r="R146" s="204"/>
      <c r="S146" s="204"/>
      <c r="T146" s="204"/>
      <c r="U146" s="888"/>
      <c r="V146" s="888"/>
      <c r="W146" s="888"/>
    </row>
    <row r="147" spans="1:23" s="887" customFormat="1" ht="18.95" customHeight="1">
      <c r="A147" s="905"/>
      <c r="B147" s="906" t="s">
        <v>1169</v>
      </c>
      <c r="C147" s="382"/>
      <c r="D147" s="927"/>
      <c r="E147" s="908">
        <v>18</v>
      </c>
      <c r="F147" s="384" t="s">
        <v>211</v>
      </c>
      <c r="G147" s="242">
        <v>383</v>
      </c>
      <c r="H147" s="25">
        <f t="shared" si="8"/>
        <v>358.06978200099996</v>
      </c>
      <c r="I147" s="242">
        <f t="shared" si="6"/>
        <v>6445.2560760179995</v>
      </c>
      <c r="J147" s="242">
        <v>100</v>
      </c>
      <c r="K147" s="25">
        <f t="shared" si="9"/>
        <v>93.490804699999998</v>
      </c>
      <c r="L147" s="30">
        <f t="shared" si="22"/>
        <v>1682.8344846</v>
      </c>
      <c r="M147" s="242">
        <f>I147+L147</f>
        <v>8128.0905606179995</v>
      </c>
      <c r="N147" s="384"/>
      <c r="O147" s="921">
        <v>0.93490804699999996</v>
      </c>
      <c r="P147" s="204"/>
      <c r="Q147" s="204"/>
      <c r="R147" s="204"/>
      <c r="S147" s="204"/>
      <c r="T147" s="204"/>
      <c r="U147" s="888"/>
      <c r="V147" s="888"/>
      <c r="W147" s="888"/>
    </row>
    <row r="148" spans="1:23" s="887" customFormat="1" ht="18.95" customHeight="1">
      <c r="A148" s="905"/>
      <c r="B148" s="1298" t="s">
        <v>1170</v>
      </c>
      <c r="C148" s="1299"/>
      <c r="D148" s="1300"/>
      <c r="E148" s="908">
        <v>18</v>
      </c>
      <c r="F148" s="384" t="s">
        <v>211</v>
      </c>
      <c r="G148" s="242">
        <v>440</v>
      </c>
      <c r="H148" s="25">
        <f t="shared" si="8"/>
        <v>411.35954068000001</v>
      </c>
      <c r="I148" s="242">
        <f t="shared" si="6"/>
        <v>7404.4717322400002</v>
      </c>
      <c r="J148" s="242">
        <v>20</v>
      </c>
      <c r="K148" s="25">
        <f t="shared" si="9"/>
        <v>18.698160940000001</v>
      </c>
      <c r="L148" s="30">
        <f t="shared" si="22"/>
        <v>336.56689692000003</v>
      </c>
      <c r="M148" s="242">
        <f>I148+L148</f>
        <v>7741.0386291599998</v>
      </c>
      <c r="N148" s="384"/>
      <c r="O148" s="921">
        <v>0.93490804699999996</v>
      </c>
      <c r="P148" s="204"/>
      <c r="Q148" s="204"/>
      <c r="R148" s="204"/>
      <c r="S148" s="204"/>
      <c r="T148" s="204"/>
      <c r="U148" s="888"/>
      <c r="V148" s="888"/>
      <c r="W148" s="888"/>
    </row>
    <row r="149" spans="1:23" s="887" customFormat="1" ht="18.95" customHeight="1">
      <c r="A149" s="905"/>
      <c r="B149" s="906" t="s">
        <v>1171</v>
      </c>
      <c r="C149" s="928"/>
      <c r="D149" s="929"/>
      <c r="E149" s="908"/>
      <c r="F149" s="384"/>
      <c r="G149" s="242"/>
      <c r="H149" s="25"/>
      <c r="I149" s="242"/>
      <c r="J149" s="242"/>
      <c r="K149" s="25"/>
      <c r="L149" s="384"/>
      <c r="M149" s="242"/>
      <c r="N149" s="384"/>
      <c r="O149" s="921">
        <v>0.93490804699999996</v>
      </c>
      <c r="P149" s="204"/>
      <c r="Q149" s="204"/>
      <c r="R149" s="204"/>
      <c r="S149" s="204"/>
      <c r="T149" s="204"/>
      <c r="U149" s="888"/>
      <c r="V149" s="888"/>
      <c r="W149" s="888"/>
    </row>
    <row r="150" spans="1:23" s="887" customFormat="1" ht="18.95" customHeight="1">
      <c r="A150" s="651"/>
      <c r="B150" s="27" t="s">
        <v>1172</v>
      </c>
      <c r="C150" s="1301" t="s">
        <v>1173</v>
      </c>
      <c r="D150" s="1302"/>
      <c r="E150" s="104"/>
      <c r="F150" s="30"/>
      <c r="G150" s="25"/>
      <c r="H150" s="25"/>
      <c r="I150" s="242"/>
      <c r="J150" s="25"/>
      <c r="K150" s="25"/>
      <c r="L150" s="25"/>
      <c r="M150" s="25"/>
      <c r="N150" s="26"/>
      <c r="O150" s="921">
        <v>0.93490804699999996</v>
      </c>
      <c r="P150" s="204"/>
      <c r="Q150" s="204"/>
      <c r="R150" s="204"/>
      <c r="S150" s="204"/>
      <c r="T150" s="204"/>
      <c r="U150" s="888"/>
      <c r="V150" s="888"/>
      <c r="W150" s="888"/>
    </row>
    <row r="151" spans="1:23" ht="18.95" customHeight="1">
      <c r="A151" s="905"/>
      <c r="B151" s="381" t="s">
        <v>1127</v>
      </c>
      <c r="C151" s="382" t="s">
        <v>1105</v>
      </c>
      <c r="D151" s="927"/>
      <c r="E151" s="908">
        <v>12</v>
      </c>
      <c r="F151" s="384" t="s">
        <v>211</v>
      </c>
      <c r="G151" s="242">
        <v>4200</v>
      </c>
      <c r="H151" s="25">
        <f t="shared" si="8"/>
        <v>3926.6137973999998</v>
      </c>
      <c r="I151" s="242">
        <f t="shared" si="6"/>
        <v>47119.3655688</v>
      </c>
      <c r="J151" s="242">
        <v>950</v>
      </c>
      <c r="K151" s="25">
        <f t="shared" si="9"/>
        <v>888.16264464999995</v>
      </c>
      <c r="L151" s="30">
        <f t="shared" ref="L151:L154" si="23">E151*K151</f>
        <v>10657.951735799999</v>
      </c>
      <c r="M151" s="242">
        <f>I151+L151</f>
        <v>57777.317304600001</v>
      </c>
      <c r="N151" s="384"/>
      <c r="O151" s="921">
        <v>0.93490804699999996</v>
      </c>
    </row>
    <row r="152" spans="1:23" s="887" customFormat="1" ht="18.95" customHeight="1">
      <c r="A152" s="905"/>
      <c r="B152" s="381" t="s">
        <v>1167</v>
      </c>
      <c r="C152" s="382" t="s">
        <v>1168</v>
      </c>
      <c r="D152" s="927"/>
      <c r="E152" s="908">
        <v>19</v>
      </c>
      <c r="F152" s="384" t="s">
        <v>211</v>
      </c>
      <c r="G152" s="242">
        <v>5900</v>
      </c>
      <c r="H152" s="25">
        <f t="shared" si="8"/>
        <v>5515.9574772999995</v>
      </c>
      <c r="I152" s="242">
        <f t="shared" si="6"/>
        <v>104803.19206869999</v>
      </c>
      <c r="J152" s="242">
        <v>950</v>
      </c>
      <c r="K152" s="25">
        <f t="shared" si="9"/>
        <v>888.16264464999995</v>
      </c>
      <c r="L152" s="30">
        <f t="shared" si="23"/>
        <v>16875.090248349999</v>
      </c>
      <c r="M152" s="242">
        <f>I152+L152</f>
        <v>121678.28231704999</v>
      </c>
      <c r="N152" s="384"/>
      <c r="O152" s="921">
        <v>0.93490804699999996</v>
      </c>
      <c r="P152" s="204"/>
      <c r="Q152" s="204"/>
      <c r="R152" s="204"/>
      <c r="S152" s="204"/>
      <c r="T152" s="204"/>
      <c r="U152" s="888"/>
      <c r="V152" s="888"/>
      <c r="W152" s="888"/>
    </row>
    <row r="153" spans="1:23" s="887" customFormat="1" ht="18.95" customHeight="1">
      <c r="A153" s="905"/>
      <c r="B153" s="906" t="s">
        <v>1174</v>
      </c>
      <c r="C153" s="382"/>
      <c r="D153" s="927"/>
      <c r="E153" s="908">
        <v>31</v>
      </c>
      <c r="F153" s="384" t="s">
        <v>211</v>
      </c>
      <c r="G153" s="242">
        <v>383</v>
      </c>
      <c r="H153" s="25">
        <f t="shared" si="8"/>
        <v>358.06978200099996</v>
      </c>
      <c r="I153" s="242">
        <f t="shared" si="6"/>
        <v>11100.163242031</v>
      </c>
      <c r="J153" s="242">
        <v>100</v>
      </c>
      <c r="K153" s="25">
        <f t="shared" si="9"/>
        <v>93.490804699999998</v>
      </c>
      <c r="L153" s="30">
        <f t="shared" si="23"/>
        <v>2898.2149457</v>
      </c>
      <c r="M153" s="242">
        <f>I153+L153</f>
        <v>13998.378187730999</v>
      </c>
      <c r="N153" s="384"/>
      <c r="O153" s="921">
        <v>0.93490804699999996</v>
      </c>
      <c r="P153" s="204"/>
      <c r="Q153" s="204"/>
      <c r="R153" s="204"/>
      <c r="S153" s="204"/>
      <c r="T153" s="204"/>
      <c r="U153" s="888"/>
      <c r="V153" s="888"/>
      <c r="W153" s="888"/>
    </row>
    <row r="154" spans="1:23" s="887" customFormat="1" ht="18.95" customHeight="1">
      <c r="A154" s="905"/>
      <c r="B154" s="1298" t="s">
        <v>1175</v>
      </c>
      <c r="C154" s="1299"/>
      <c r="D154" s="1300"/>
      <c r="E154" s="908">
        <v>31</v>
      </c>
      <c r="F154" s="384" t="s">
        <v>211</v>
      </c>
      <c r="G154" s="242">
        <v>440</v>
      </c>
      <c r="H154" s="25">
        <f t="shared" si="8"/>
        <v>411.35954068000001</v>
      </c>
      <c r="I154" s="242">
        <f t="shared" si="6"/>
        <v>12752.145761080001</v>
      </c>
      <c r="J154" s="242">
        <v>20</v>
      </c>
      <c r="K154" s="25">
        <f t="shared" si="9"/>
        <v>18.698160940000001</v>
      </c>
      <c r="L154" s="30">
        <f t="shared" si="23"/>
        <v>579.64298914000005</v>
      </c>
      <c r="M154" s="242">
        <f>I154+L154</f>
        <v>13331.788750220001</v>
      </c>
      <c r="N154" s="384"/>
      <c r="O154" s="921">
        <v>0.93490804699999996</v>
      </c>
      <c r="P154" s="204"/>
      <c r="Q154" s="204"/>
      <c r="R154" s="204"/>
      <c r="S154" s="204"/>
      <c r="T154" s="204"/>
      <c r="U154" s="888"/>
      <c r="V154" s="888"/>
      <c r="W154" s="888"/>
    </row>
    <row r="155" spans="1:23" s="887" customFormat="1" ht="18.95" customHeight="1">
      <c r="A155" s="905"/>
      <c r="B155" s="906" t="s">
        <v>1171</v>
      </c>
      <c r="C155" s="928"/>
      <c r="D155" s="929"/>
      <c r="E155" s="908"/>
      <c r="F155" s="384"/>
      <c r="G155" s="242"/>
      <c r="H155" s="25"/>
      <c r="I155" s="242"/>
      <c r="J155" s="242"/>
      <c r="K155" s="25"/>
      <c r="L155" s="384"/>
      <c r="M155" s="242"/>
      <c r="N155" s="384"/>
      <c r="O155" s="921">
        <v>0.93490804699999996</v>
      </c>
      <c r="P155" s="204"/>
      <c r="Q155" s="204"/>
      <c r="R155" s="204"/>
      <c r="S155" s="204"/>
      <c r="T155" s="204"/>
      <c r="U155" s="888"/>
      <c r="V155" s="888"/>
      <c r="W155" s="888"/>
    </row>
    <row r="156" spans="1:23" s="887" customFormat="1" ht="18.95" customHeight="1">
      <c r="A156" s="44"/>
      <c r="B156" s="27" t="s">
        <v>1176</v>
      </c>
      <c r="C156" s="349" t="s">
        <v>1122</v>
      </c>
      <c r="D156" s="49"/>
      <c r="E156" s="104">
        <v>5</v>
      </c>
      <c r="F156" s="30" t="s">
        <v>211</v>
      </c>
      <c r="G156" s="25">
        <v>5023</v>
      </c>
      <c r="H156" s="25">
        <f t="shared" si="8"/>
        <v>4696.0431200809999</v>
      </c>
      <c r="I156" s="242">
        <f t="shared" si="6"/>
        <v>23480.215600404998</v>
      </c>
      <c r="J156" s="25">
        <v>1070</v>
      </c>
      <c r="K156" s="25">
        <f t="shared" si="9"/>
        <v>1000.3516102899999</v>
      </c>
      <c r="L156" s="30">
        <f t="shared" ref="L156:L169" si="24">E156*K156</f>
        <v>5001.7580514499996</v>
      </c>
      <c r="M156" s="72">
        <f t="shared" ref="M156" si="25">I156+L156</f>
        <v>28481.973651854998</v>
      </c>
      <c r="N156" s="26"/>
      <c r="O156" s="921">
        <v>0.93490804699999996</v>
      </c>
      <c r="P156" s="204"/>
      <c r="Q156" s="204"/>
      <c r="R156" s="204"/>
      <c r="S156" s="204"/>
      <c r="T156" s="204"/>
      <c r="U156" s="888"/>
      <c r="V156" s="888"/>
      <c r="W156" s="888"/>
    </row>
    <row r="157" spans="1:23" ht="18.95" customHeight="1">
      <c r="A157" s="44"/>
      <c r="B157" s="27" t="s">
        <v>1177</v>
      </c>
      <c r="C157" s="1301" t="s">
        <v>1173</v>
      </c>
      <c r="D157" s="1302"/>
      <c r="E157" s="104"/>
      <c r="F157" s="30"/>
      <c r="G157" s="25"/>
      <c r="H157" s="25"/>
      <c r="I157" s="242"/>
      <c r="J157" s="25"/>
      <c r="K157" s="25"/>
      <c r="L157" s="30"/>
      <c r="M157" s="25"/>
      <c r="N157" s="26"/>
      <c r="O157" s="921">
        <v>0.93490804699999996</v>
      </c>
    </row>
    <row r="158" spans="1:23" ht="18.95" customHeight="1">
      <c r="A158" s="930"/>
      <c r="B158" s="381" t="s">
        <v>1127</v>
      </c>
      <c r="C158" s="907" t="s">
        <v>1105</v>
      </c>
      <c r="D158" s="927"/>
      <c r="E158" s="908">
        <v>10</v>
      </c>
      <c r="F158" s="384" t="s">
        <v>211</v>
      </c>
      <c r="G158" s="242">
        <v>4200</v>
      </c>
      <c r="H158" s="25">
        <f t="shared" ref="H158:H220" si="26">G158*O158</f>
        <v>3926.6137973999998</v>
      </c>
      <c r="I158" s="242">
        <f t="shared" ref="I158:I169" si="27">E158*H158</f>
        <v>39266.137973999997</v>
      </c>
      <c r="J158" s="242">
        <v>950</v>
      </c>
      <c r="K158" s="25">
        <f t="shared" ref="K158:K220" si="28">J158*O158</f>
        <v>888.16264464999995</v>
      </c>
      <c r="L158" s="30">
        <f t="shared" si="24"/>
        <v>8881.6264464999986</v>
      </c>
      <c r="M158" s="242">
        <f>I158+L158</f>
        <v>48147.764420499996</v>
      </c>
      <c r="N158" s="384"/>
      <c r="O158" s="921">
        <v>0.93490804699999996</v>
      </c>
    </row>
    <row r="159" spans="1:23" s="887" customFormat="1" ht="18.95" customHeight="1">
      <c r="A159" s="930"/>
      <c r="B159" s="381" t="s">
        <v>1167</v>
      </c>
      <c r="C159" s="907" t="s">
        <v>1168</v>
      </c>
      <c r="D159" s="927"/>
      <c r="E159" s="908">
        <v>10</v>
      </c>
      <c r="F159" s="384" t="s">
        <v>211</v>
      </c>
      <c r="G159" s="242">
        <v>5900</v>
      </c>
      <c r="H159" s="25">
        <f t="shared" si="26"/>
        <v>5515.9574772999995</v>
      </c>
      <c r="I159" s="242">
        <f t="shared" si="27"/>
        <v>55159.574772999993</v>
      </c>
      <c r="J159" s="242">
        <v>950</v>
      </c>
      <c r="K159" s="25">
        <f t="shared" si="28"/>
        <v>888.16264464999995</v>
      </c>
      <c r="L159" s="30">
        <f t="shared" si="24"/>
        <v>8881.6264464999986</v>
      </c>
      <c r="M159" s="242">
        <f>I159+L159</f>
        <v>64041.201219499992</v>
      </c>
      <c r="N159" s="384"/>
      <c r="O159" s="921">
        <v>0.93490804699999996</v>
      </c>
      <c r="P159" s="204"/>
      <c r="Q159" s="204"/>
      <c r="R159" s="204"/>
      <c r="S159" s="204"/>
      <c r="T159" s="204"/>
      <c r="U159" s="888"/>
      <c r="V159" s="888"/>
      <c r="W159" s="888"/>
    </row>
    <row r="160" spans="1:23" s="887" customFormat="1" ht="18.95" customHeight="1">
      <c r="A160" s="930"/>
      <c r="B160" s="906" t="s">
        <v>1174</v>
      </c>
      <c r="C160" s="382"/>
      <c r="D160" s="927"/>
      <c r="E160" s="908">
        <v>20</v>
      </c>
      <c r="F160" s="384" t="s">
        <v>211</v>
      </c>
      <c r="G160" s="242">
        <v>383</v>
      </c>
      <c r="H160" s="25">
        <f t="shared" si="26"/>
        <v>358.06978200099996</v>
      </c>
      <c r="I160" s="242">
        <f t="shared" si="27"/>
        <v>7161.3956400199995</v>
      </c>
      <c r="J160" s="242">
        <v>100</v>
      </c>
      <c r="K160" s="25">
        <f t="shared" si="28"/>
        <v>93.490804699999998</v>
      </c>
      <c r="L160" s="30">
        <f t="shared" si="24"/>
        <v>1869.816094</v>
      </c>
      <c r="M160" s="242">
        <f>I160+L160</f>
        <v>9031.2117340200002</v>
      </c>
      <c r="N160" s="384"/>
      <c r="O160" s="921">
        <v>0.93490804699999996</v>
      </c>
      <c r="P160" s="204"/>
      <c r="Q160" s="204"/>
      <c r="R160" s="204"/>
      <c r="S160" s="204"/>
      <c r="T160" s="204"/>
      <c r="U160" s="888"/>
      <c r="V160" s="888"/>
      <c r="W160" s="888"/>
    </row>
    <row r="161" spans="1:23" s="887" customFormat="1" ht="18.95" customHeight="1">
      <c r="A161" s="930"/>
      <c r="B161" s="1298" t="s">
        <v>1175</v>
      </c>
      <c r="C161" s="1299"/>
      <c r="D161" s="1300"/>
      <c r="E161" s="908">
        <v>20</v>
      </c>
      <c r="F161" s="384" t="s">
        <v>211</v>
      </c>
      <c r="G161" s="242">
        <v>440</v>
      </c>
      <c r="H161" s="25">
        <f t="shared" si="26"/>
        <v>411.35954068000001</v>
      </c>
      <c r="I161" s="242">
        <f t="shared" si="27"/>
        <v>8227.1908136000002</v>
      </c>
      <c r="J161" s="242">
        <v>20</v>
      </c>
      <c r="K161" s="25">
        <f t="shared" si="28"/>
        <v>18.698160940000001</v>
      </c>
      <c r="L161" s="30">
        <f t="shared" si="24"/>
        <v>373.96321880000005</v>
      </c>
      <c r="M161" s="242">
        <f>I161+L161</f>
        <v>8601.1540323999998</v>
      </c>
      <c r="N161" s="384"/>
      <c r="O161" s="921">
        <v>0.93490804699999996</v>
      </c>
      <c r="P161" s="204"/>
      <c r="Q161" s="204"/>
      <c r="R161" s="204"/>
      <c r="S161" s="204"/>
      <c r="T161" s="204"/>
      <c r="U161" s="888"/>
      <c r="V161" s="888"/>
      <c r="W161" s="888"/>
    </row>
    <row r="162" spans="1:23" s="887" customFormat="1" ht="18.95" customHeight="1">
      <c r="A162" s="905"/>
      <c r="B162" s="906" t="s">
        <v>1171</v>
      </c>
      <c r="C162" s="928"/>
      <c r="D162" s="929"/>
      <c r="E162" s="908"/>
      <c r="F162" s="384"/>
      <c r="G162" s="242"/>
      <c r="H162" s="25"/>
      <c r="I162" s="242"/>
      <c r="J162" s="242"/>
      <c r="K162" s="25"/>
      <c r="L162" s="30"/>
      <c r="M162" s="242"/>
      <c r="N162" s="384"/>
      <c r="O162" s="921">
        <v>0.93490804699999996</v>
      </c>
      <c r="P162" s="204"/>
      <c r="Q162" s="204"/>
      <c r="R162" s="204"/>
      <c r="S162" s="204"/>
      <c r="T162" s="204"/>
      <c r="U162" s="888"/>
      <c r="V162" s="888"/>
      <c r="W162" s="888"/>
    </row>
    <row r="163" spans="1:23" s="887" customFormat="1" ht="18.95" customHeight="1">
      <c r="A163" s="651"/>
      <c r="B163" s="27" t="s">
        <v>1178</v>
      </c>
      <c r="C163" s="349" t="s">
        <v>1122</v>
      </c>
      <c r="D163" s="49"/>
      <c r="E163" s="104">
        <v>14</v>
      </c>
      <c r="F163" s="30" t="s">
        <v>211</v>
      </c>
      <c r="G163" s="25">
        <v>4200</v>
      </c>
      <c r="H163" s="25">
        <f t="shared" si="26"/>
        <v>3926.6137973999998</v>
      </c>
      <c r="I163" s="242">
        <f t="shared" si="27"/>
        <v>54972.593163599995</v>
      </c>
      <c r="J163" s="25">
        <v>0</v>
      </c>
      <c r="K163" s="25">
        <f t="shared" si="28"/>
        <v>0</v>
      </c>
      <c r="L163" s="30">
        <f t="shared" si="24"/>
        <v>0</v>
      </c>
      <c r="M163" s="72">
        <f>I163+L163</f>
        <v>54972.593163599995</v>
      </c>
      <c r="N163" s="26"/>
      <c r="O163" s="921">
        <v>0.93490804699999996</v>
      </c>
      <c r="P163" s="204"/>
      <c r="Q163" s="204"/>
      <c r="R163" s="204"/>
      <c r="S163" s="204"/>
      <c r="T163" s="204"/>
      <c r="U163" s="888"/>
      <c r="V163" s="888"/>
      <c r="W163" s="888"/>
    </row>
    <row r="164" spans="1:23" ht="18.95" customHeight="1">
      <c r="A164" s="651"/>
      <c r="B164" s="27" t="s">
        <v>1179</v>
      </c>
      <c r="C164" s="349" t="s">
        <v>1162</v>
      </c>
      <c r="D164" s="49"/>
      <c r="E164" s="104">
        <v>2</v>
      </c>
      <c r="F164" s="30" t="s">
        <v>286</v>
      </c>
      <c r="G164" s="25">
        <v>16000</v>
      </c>
      <c r="H164" s="25">
        <f t="shared" si="26"/>
        <v>14958.528752</v>
      </c>
      <c r="I164" s="242">
        <f t="shared" si="27"/>
        <v>29917.057504</v>
      </c>
      <c r="J164" s="25">
        <v>0</v>
      </c>
      <c r="K164" s="25">
        <f t="shared" si="28"/>
        <v>0</v>
      </c>
      <c r="L164" s="30">
        <f t="shared" si="24"/>
        <v>0</v>
      </c>
      <c r="M164" s="72">
        <f t="shared" ref="M164:M166" si="29">I164+L164</f>
        <v>29917.057504</v>
      </c>
      <c r="N164" s="26"/>
      <c r="O164" s="921">
        <v>0.93490804699999996</v>
      </c>
    </row>
    <row r="165" spans="1:23" ht="18.95" customHeight="1">
      <c r="A165" s="651"/>
      <c r="B165" s="27" t="s">
        <v>1180</v>
      </c>
      <c r="C165" s="349" t="s">
        <v>1162</v>
      </c>
      <c r="D165" s="49"/>
      <c r="E165" s="104">
        <v>8</v>
      </c>
      <c r="F165" s="30" t="s">
        <v>286</v>
      </c>
      <c r="G165" s="25">
        <v>16000</v>
      </c>
      <c r="H165" s="25">
        <f t="shared" si="26"/>
        <v>14958.528752</v>
      </c>
      <c r="I165" s="242">
        <f t="shared" si="27"/>
        <v>119668.230016</v>
      </c>
      <c r="J165" s="25">
        <v>0</v>
      </c>
      <c r="K165" s="25">
        <f t="shared" si="28"/>
        <v>0</v>
      </c>
      <c r="L165" s="30">
        <f t="shared" si="24"/>
        <v>0</v>
      </c>
      <c r="M165" s="72">
        <f t="shared" si="29"/>
        <v>119668.230016</v>
      </c>
      <c r="N165" s="26"/>
      <c r="O165" s="921">
        <v>0.93490804699999996</v>
      </c>
    </row>
    <row r="166" spans="1:23" ht="18.95" customHeight="1">
      <c r="A166" s="645"/>
      <c r="B166" s="27" t="s">
        <v>1181</v>
      </c>
      <c r="C166" s="349"/>
      <c r="D166" s="49"/>
      <c r="E166" s="104">
        <v>42</v>
      </c>
      <c r="F166" s="30" t="s">
        <v>211</v>
      </c>
      <c r="G166" s="25">
        <v>350</v>
      </c>
      <c r="H166" s="25">
        <f t="shared" si="26"/>
        <v>327.21781644999999</v>
      </c>
      <c r="I166" s="242">
        <f t="shared" si="27"/>
        <v>13743.148290899999</v>
      </c>
      <c r="J166" s="25">
        <v>150</v>
      </c>
      <c r="K166" s="25">
        <f t="shared" si="28"/>
        <v>140.23620704999999</v>
      </c>
      <c r="L166" s="30">
        <f t="shared" si="24"/>
        <v>5889.9206961</v>
      </c>
      <c r="M166" s="72">
        <f t="shared" si="29"/>
        <v>19633.068986999999</v>
      </c>
      <c r="N166" s="35"/>
      <c r="O166" s="921">
        <v>0.93490804699999996</v>
      </c>
    </row>
    <row r="167" spans="1:23" s="1" customFormat="1" ht="18.95" customHeight="1">
      <c r="A167" s="645"/>
      <c r="B167" s="302" t="s">
        <v>1182</v>
      </c>
      <c r="C167" s="9"/>
      <c r="D167" s="346"/>
      <c r="E167" s="896"/>
      <c r="F167" s="102"/>
      <c r="G167" s="34"/>
      <c r="H167" s="25"/>
      <c r="I167" s="242"/>
      <c r="J167" s="34"/>
      <c r="K167" s="25"/>
      <c r="L167" s="30"/>
      <c r="M167" s="34"/>
      <c r="N167" s="35"/>
      <c r="O167" s="921">
        <v>0.93490804699999996</v>
      </c>
      <c r="P167" s="206"/>
      <c r="Q167" s="206"/>
      <c r="R167" s="206"/>
      <c r="S167" s="206"/>
      <c r="T167" s="206"/>
      <c r="U167" s="206"/>
      <c r="V167" s="206"/>
      <c r="W167" s="206"/>
    </row>
    <row r="168" spans="1:23" s="1" customFormat="1" ht="18.95" customHeight="1">
      <c r="A168" s="905" t="s">
        <v>1183</v>
      </c>
      <c r="B168" s="381" t="s">
        <v>1184</v>
      </c>
      <c r="C168" s="382"/>
      <c r="D168" s="931"/>
      <c r="E168" s="908">
        <v>60</v>
      </c>
      <c r="F168" s="384" t="s">
        <v>286</v>
      </c>
      <c r="G168" s="242">
        <v>250</v>
      </c>
      <c r="H168" s="25">
        <f t="shared" si="26"/>
        <v>233.72701175</v>
      </c>
      <c r="I168" s="242">
        <f t="shared" si="27"/>
        <v>14023.620704999999</v>
      </c>
      <c r="J168" s="242"/>
      <c r="K168" s="25">
        <f t="shared" si="28"/>
        <v>0</v>
      </c>
      <c r="L168" s="30">
        <f t="shared" si="24"/>
        <v>0</v>
      </c>
      <c r="M168" s="242">
        <f>I168+L168</f>
        <v>14023.620704999999</v>
      </c>
      <c r="N168" s="384"/>
      <c r="O168" s="921">
        <v>0.93490804699999996</v>
      </c>
      <c r="P168" s="206"/>
      <c r="Q168" s="206"/>
      <c r="R168" s="206"/>
      <c r="S168" s="206"/>
      <c r="T168" s="206"/>
      <c r="U168" s="206"/>
      <c r="V168" s="206"/>
      <c r="W168" s="206"/>
    </row>
    <row r="169" spans="1:23" s="887" customFormat="1" ht="18.95" customHeight="1">
      <c r="A169" s="905" t="s">
        <v>1185</v>
      </c>
      <c r="B169" s="381" t="s">
        <v>1186</v>
      </c>
      <c r="C169" s="382"/>
      <c r="D169" s="931"/>
      <c r="E169" s="908">
        <v>19</v>
      </c>
      <c r="F169" s="384" t="s">
        <v>286</v>
      </c>
      <c r="G169" s="242">
        <v>250</v>
      </c>
      <c r="H169" s="25">
        <f t="shared" si="26"/>
        <v>233.72701175</v>
      </c>
      <c r="I169" s="242">
        <f t="shared" si="27"/>
        <v>4440.8132232500002</v>
      </c>
      <c r="J169" s="242"/>
      <c r="K169" s="25">
        <f t="shared" si="28"/>
        <v>0</v>
      </c>
      <c r="L169" s="30">
        <f t="shared" si="24"/>
        <v>0</v>
      </c>
      <c r="M169" s="242">
        <f>I169+L169</f>
        <v>4440.8132232500002</v>
      </c>
      <c r="N169" s="384"/>
      <c r="O169" s="921">
        <v>0.93490804699999996</v>
      </c>
      <c r="P169" s="204"/>
      <c r="Q169" s="204"/>
      <c r="R169" s="204"/>
      <c r="S169" s="204"/>
      <c r="T169" s="204"/>
      <c r="U169" s="888"/>
      <c r="V169" s="888"/>
      <c r="W169" s="888"/>
    </row>
    <row r="170" spans="1:23" s="887" customFormat="1" ht="18.95" customHeight="1">
      <c r="A170" s="925"/>
      <c r="B170" s="1293" t="s">
        <v>1187</v>
      </c>
      <c r="C170" s="1294"/>
      <c r="D170" s="1295"/>
      <c r="E170" s="902"/>
      <c r="F170" s="903"/>
      <c r="G170" s="903"/>
      <c r="H170" s="903"/>
      <c r="I170" s="904">
        <f>SUM(I93:I169)</f>
        <v>1886150.8073971837</v>
      </c>
      <c r="J170" s="904"/>
      <c r="K170" s="903"/>
      <c r="L170" s="904">
        <f>SUM(L93:L169)</f>
        <v>251719.31711451497</v>
      </c>
      <c r="M170" s="904">
        <f>SUM(M93:M169)</f>
        <v>2137870.1245116997</v>
      </c>
      <c r="N170" s="902"/>
      <c r="O170" s="921">
        <v>0.93490804699999996</v>
      </c>
      <c r="P170" s="204"/>
      <c r="Q170" s="204"/>
      <c r="R170" s="204"/>
      <c r="S170" s="204"/>
      <c r="T170" s="204"/>
      <c r="U170" s="888"/>
      <c r="V170" s="888"/>
      <c r="W170" s="888"/>
    </row>
    <row r="171" spans="1:23" ht="18.95" customHeight="1">
      <c r="A171" s="648">
        <v>3</v>
      </c>
      <c r="B171" s="302" t="s">
        <v>1002</v>
      </c>
      <c r="C171" s="221"/>
      <c r="D171" s="897"/>
      <c r="E171" s="896"/>
      <c r="F171" s="102"/>
      <c r="G171" s="34"/>
      <c r="H171" s="25"/>
      <c r="I171" s="34"/>
      <c r="J171" s="102"/>
      <c r="K171" s="25"/>
      <c r="L171" s="34"/>
      <c r="M171" s="35"/>
      <c r="N171" s="35"/>
      <c r="O171" s="921">
        <v>0.93490804699999996</v>
      </c>
    </row>
    <row r="172" spans="1:23" ht="18.95" customHeight="1">
      <c r="A172" s="898"/>
      <c r="B172" s="899" t="s">
        <v>1188</v>
      </c>
      <c r="C172" s="900" t="s">
        <v>1189</v>
      </c>
      <c r="D172" s="901"/>
      <c r="E172" s="902"/>
      <c r="F172" s="903"/>
      <c r="G172" s="903"/>
      <c r="H172" s="903"/>
      <c r="I172" s="903"/>
      <c r="J172" s="903"/>
      <c r="K172" s="903"/>
      <c r="L172" s="904"/>
      <c r="M172" s="904"/>
      <c r="N172" s="903"/>
      <c r="O172" s="921">
        <v>0.93490804699999996</v>
      </c>
    </row>
    <row r="173" spans="1:23" ht="18.95" customHeight="1">
      <c r="A173" s="651"/>
      <c r="B173" s="27" t="s">
        <v>1190</v>
      </c>
      <c r="C173" s="1296" t="s">
        <v>1191</v>
      </c>
      <c r="D173" s="1297"/>
      <c r="E173" s="104">
        <v>19</v>
      </c>
      <c r="F173" s="30" t="s">
        <v>211</v>
      </c>
      <c r="G173" s="25">
        <v>3540</v>
      </c>
      <c r="H173" s="25">
        <f t="shared" si="26"/>
        <v>3309.5744863800001</v>
      </c>
      <c r="I173" s="242">
        <f t="shared" ref="I173:I176" si="30">E173*H173</f>
        <v>62881.915241219998</v>
      </c>
      <c r="J173" s="25">
        <v>225</v>
      </c>
      <c r="K173" s="25">
        <f t="shared" si="28"/>
        <v>210.354310575</v>
      </c>
      <c r="L173" s="30">
        <f t="shared" ref="L173:L176" si="31">E173*K173</f>
        <v>3996.731900925</v>
      </c>
      <c r="M173" s="72">
        <f>I173+L173</f>
        <v>66878.647142144997</v>
      </c>
      <c r="N173" s="26"/>
      <c r="O173" s="921">
        <v>0.93490804699999996</v>
      </c>
    </row>
    <row r="174" spans="1:23" ht="18.95" customHeight="1">
      <c r="A174" s="651"/>
      <c r="B174" s="27"/>
      <c r="C174" s="575" t="s">
        <v>1192</v>
      </c>
      <c r="D174" s="682"/>
      <c r="E174" s="104"/>
      <c r="F174" s="30"/>
      <c r="G174" s="25"/>
      <c r="H174" s="25"/>
      <c r="I174" s="242"/>
      <c r="J174" s="25"/>
      <c r="K174" s="25"/>
      <c r="L174" s="30">
        <f t="shared" si="31"/>
        <v>0</v>
      </c>
      <c r="M174" s="72"/>
      <c r="N174" s="26"/>
      <c r="O174" s="921">
        <v>0.93490804699999996</v>
      </c>
    </row>
    <row r="175" spans="1:23" ht="18.95" customHeight="1">
      <c r="A175" s="651"/>
      <c r="B175" s="27"/>
      <c r="C175" s="575" t="s">
        <v>1193</v>
      </c>
      <c r="D175" s="682"/>
      <c r="E175" s="104"/>
      <c r="F175" s="30"/>
      <c r="G175" s="25"/>
      <c r="H175" s="25"/>
      <c r="I175" s="242"/>
      <c r="J175" s="25"/>
      <c r="K175" s="25"/>
      <c r="L175" s="30">
        <f t="shared" si="31"/>
        <v>0</v>
      </c>
      <c r="M175" s="72"/>
      <c r="N175" s="26"/>
      <c r="O175" s="921">
        <v>0.93490804699999996</v>
      </c>
    </row>
    <row r="176" spans="1:23" ht="18.95" customHeight="1">
      <c r="A176" s="651"/>
      <c r="B176" s="27" t="s">
        <v>1194</v>
      </c>
      <c r="C176" s="1296" t="s">
        <v>1195</v>
      </c>
      <c r="D176" s="1297"/>
      <c r="E176" s="104">
        <v>50</v>
      </c>
      <c r="F176" s="30" t="s">
        <v>211</v>
      </c>
      <c r="G176" s="25">
        <v>2400</v>
      </c>
      <c r="H176" s="25">
        <f t="shared" si="26"/>
        <v>2243.7793127999998</v>
      </c>
      <c r="I176" s="242">
        <f t="shared" si="30"/>
        <v>112188.96563999999</v>
      </c>
      <c r="J176" s="25">
        <v>350</v>
      </c>
      <c r="K176" s="25">
        <f t="shared" si="28"/>
        <v>327.21781644999999</v>
      </c>
      <c r="L176" s="30">
        <f t="shared" si="31"/>
        <v>16360.8908225</v>
      </c>
      <c r="M176" s="72">
        <f>I176+L176</f>
        <v>128549.8564625</v>
      </c>
      <c r="N176" s="26"/>
      <c r="O176" s="921">
        <v>0.93490804699999996</v>
      </c>
    </row>
    <row r="177" spans="1:16" ht="18.95" customHeight="1">
      <c r="A177" s="651"/>
      <c r="B177" s="27"/>
      <c r="C177" s="644" t="s">
        <v>1196</v>
      </c>
      <c r="D177" s="682"/>
      <c r="E177" s="104"/>
      <c r="F177" s="30"/>
      <c r="G177" s="25"/>
      <c r="H177" s="25"/>
      <c r="I177" s="25"/>
      <c r="J177" s="25"/>
      <c r="K177" s="25"/>
      <c r="L177" s="30"/>
      <c r="M177" s="72"/>
      <c r="N177" s="26"/>
      <c r="O177" s="921">
        <v>0.93490804699999996</v>
      </c>
    </row>
    <row r="178" spans="1:16" ht="18.95" customHeight="1">
      <c r="A178" s="898"/>
      <c r="B178" s="899" t="s">
        <v>1197</v>
      </c>
      <c r="C178" s="900" t="s">
        <v>1198</v>
      </c>
      <c r="D178" s="901"/>
      <c r="E178" s="902"/>
      <c r="F178" s="903"/>
      <c r="G178" s="903"/>
      <c r="H178" s="903"/>
      <c r="I178" s="903"/>
      <c r="J178" s="903"/>
      <c r="K178" s="903"/>
      <c r="L178" s="904"/>
      <c r="M178" s="904"/>
      <c r="N178" s="903"/>
      <c r="O178" s="921">
        <v>0.93490804699999996</v>
      </c>
    </row>
    <row r="179" spans="1:16" ht="18.95" customHeight="1">
      <c r="A179" s="651"/>
      <c r="B179" s="27" t="s">
        <v>1190</v>
      </c>
      <c r="C179" s="1296" t="s">
        <v>1191</v>
      </c>
      <c r="D179" s="1297"/>
      <c r="E179" s="104">
        <v>19</v>
      </c>
      <c r="F179" s="30" t="s">
        <v>211</v>
      </c>
      <c r="G179" s="25">
        <v>3540</v>
      </c>
      <c r="H179" s="25">
        <f t="shared" si="26"/>
        <v>3309.5744863800001</v>
      </c>
      <c r="I179" s="242">
        <f t="shared" ref="I179:I182" si="32">E179*H179</f>
        <v>62881.915241219998</v>
      </c>
      <c r="J179" s="25">
        <v>225</v>
      </c>
      <c r="K179" s="25">
        <f t="shared" si="28"/>
        <v>210.354310575</v>
      </c>
      <c r="L179" s="30">
        <f t="shared" ref="L179:L182" si="33">E179*K179</f>
        <v>3996.731900925</v>
      </c>
      <c r="M179" s="72">
        <f>I179+L179</f>
        <v>66878.647142144997</v>
      </c>
      <c r="N179" s="26"/>
      <c r="O179" s="921">
        <v>0.93490804699999996</v>
      </c>
      <c r="P179" s="918"/>
    </row>
    <row r="180" spans="1:16" ht="18.95" customHeight="1">
      <c r="A180" s="651"/>
      <c r="B180" s="27"/>
      <c r="C180" s="575" t="s">
        <v>1192</v>
      </c>
      <c r="D180" s="682"/>
      <c r="E180" s="104"/>
      <c r="F180" s="30"/>
      <c r="G180" s="25"/>
      <c r="H180" s="25"/>
      <c r="I180" s="242"/>
      <c r="J180" s="25"/>
      <c r="K180" s="25"/>
      <c r="L180" s="30"/>
      <c r="M180" s="72"/>
      <c r="N180" s="26"/>
      <c r="O180" s="921">
        <v>0.93490804699999996</v>
      </c>
    </row>
    <row r="181" spans="1:16" ht="18.95" customHeight="1">
      <c r="A181" s="651"/>
      <c r="B181" s="27"/>
      <c r="C181" s="575" t="s">
        <v>1193</v>
      </c>
      <c r="D181" s="682"/>
      <c r="E181" s="104"/>
      <c r="F181" s="30"/>
      <c r="G181" s="25"/>
      <c r="H181" s="25"/>
      <c r="I181" s="242"/>
      <c r="J181" s="25"/>
      <c r="K181" s="25"/>
      <c r="L181" s="30"/>
      <c r="M181" s="72"/>
      <c r="N181" s="26"/>
      <c r="O181" s="921">
        <v>0.93490804699999996</v>
      </c>
    </row>
    <row r="182" spans="1:16" ht="18.95" customHeight="1">
      <c r="A182" s="651"/>
      <c r="B182" s="27" t="s">
        <v>1194</v>
      </c>
      <c r="C182" s="1296" t="s">
        <v>1199</v>
      </c>
      <c r="D182" s="1297"/>
      <c r="E182" s="104">
        <v>50</v>
      </c>
      <c r="F182" s="30" t="s">
        <v>211</v>
      </c>
      <c r="G182" s="25">
        <v>2400</v>
      </c>
      <c r="H182" s="25">
        <f t="shared" si="26"/>
        <v>2243.7793127999998</v>
      </c>
      <c r="I182" s="242">
        <f t="shared" si="32"/>
        <v>112188.96563999999</v>
      </c>
      <c r="J182" s="25">
        <v>350</v>
      </c>
      <c r="K182" s="25">
        <f t="shared" si="28"/>
        <v>327.21781644999999</v>
      </c>
      <c r="L182" s="30">
        <f t="shared" si="33"/>
        <v>16360.8908225</v>
      </c>
      <c r="M182" s="72">
        <f>I182+L182</f>
        <v>128549.8564625</v>
      </c>
      <c r="N182" s="26"/>
      <c r="O182" s="921">
        <v>0.93490804699999996</v>
      </c>
    </row>
    <row r="183" spans="1:16" ht="18.95" customHeight="1">
      <c r="A183" s="651"/>
      <c r="B183" s="27"/>
      <c r="C183" s="575" t="s">
        <v>1200</v>
      </c>
      <c r="D183" s="682"/>
      <c r="E183" s="104"/>
      <c r="F183" s="30"/>
      <c r="G183" s="25"/>
      <c r="H183" s="25"/>
      <c r="I183" s="25"/>
      <c r="J183" s="25"/>
      <c r="K183" s="25"/>
      <c r="L183" s="30"/>
      <c r="M183" s="72"/>
      <c r="N183" s="26"/>
      <c r="O183" s="921">
        <v>0.93490804699999996</v>
      </c>
    </row>
    <row r="184" spans="1:16" ht="18.95" customHeight="1">
      <c r="A184" s="898"/>
      <c r="B184" s="899" t="s">
        <v>1201</v>
      </c>
      <c r="C184" s="900" t="s">
        <v>922</v>
      </c>
      <c r="D184" s="901"/>
      <c r="E184" s="902"/>
      <c r="F184" s="903"/>
      <c r="G184" s="903"/>
      <c r="H184" s="903"/>
      <c r="I184" s="903"/>
      <c r="J184" s="903"/>
      <c r="K184" s="903"/>
      <c r="L184" s="904"/>
      <c r="M184" s="904"/>
      <c r="N184" s="903"/>
      <c r="O184" s="921">
        <v>0.93490804699999996</v>
      </c>
    </row>
    <row r="185" spans="1:16" ht="18.95" customHeight="1">
      <c r="A185" s="648"/>
      <c r="B185" s="27" t="s">
        <v>1202</v>
      </c>
      <c r="C185" s="1296" t="s">
        <v>1203</v>
      </c>
      <c r="D185" s="1297"/>
      <c r="E185" s="104">
        <v>13</v>
      </c>
      <c r="F185" s="30" t="s">
        <v>211</v>
      </c>
      <c r="G185" s="25">
        <v>817</v>
      </c>
      <c r="H185" s="25">
        <f t="shared" si="26"/>
        <v>763.81987439900001</v>
      </c>
      <c r="I185" s="242">
        <f t="shared" ref="I185:I188" si="34">E185*H185</f>
        <v>9929.6583671869994</v>
      </c>
      <c r="J185" s="25">
        <v>95</v>
      </c>
      <c r="K185" s="25">
        <f t="shared" si="28"/>
        <v>88.816264465000003</v>
      </c>
      <c r="L185" s="30">
        <f t="shared" ref="L185:L188" si="35">E185*K185</f>
        <v>1154.6114380450001</v>
      </c>
      <c r="M185" s="72">
        <f>I185+L185</f>
        <v>11084.269805231999</v>
      </c>
      <c r="N185" s="35"/>
      <c r="O185" s="921">
        <v>0.93490804699999996</v>
      </c>
    </row>
    <row r="186" spans="1:16" ht="18.95" customHeight="1">
      <c r="A186" s="648"/>
      <c r="B186" s="27"/>
      <c r="C186" s="575" t="s">
        <v>1204</v>
      </c>
      <c r="D186" s="682"/>
      <c r="E186" s="104"/>
      <c r="F186" s="30"/>
      <c r="G186" s="25"/>
      <c r="H186" s="25"/>
      <c r="I186" s="242"/>
      <c r="J186" s="25"/>
      <c r="K186" s="25"/>
      <c r="L186" s="30"/>
      <c r="M186" s="72"/>
      <c r="N186" s="35"/>
      <c r="O186" s="921">
        <v>0.93490804699999996</v>
      </c>
    </row>
    <row r="187" spans="1:16" ht="18.95" customHeight="1">
      <c r="A187" s="651"/>
      <c r="B187" s="27" t="s">
        <v>1205</v>
      </c>
      <c r="C187" s="1296" t="s">
        <v>1206</v>
      </c>
      <c r="D187" s="1297"/>
      <c r="E187" s="104">
        <v>27</v>
      </c>
      <c r="F187" s="30" t="s">
        <v>211</v>
      </c>
      <c r="G187" s="25">
        <v>450</v>
      </c>
      <c r="H187" s="25">
        <f t="shared" si="26"/>
        <v>420.70862115</v>
      </c>
      <c r="I187" s="242">
        <f t="shared" si="34"/>
        <v>11359.132771050001</v>
      </c>
      <c r="J187" s="25">
        <v>100</v>
      </c>
      <c r="K187" s="25">
        <f t="shared" si="28"/>
        <v>93.490804699999998</v>
      </c>
      <c r="L187" s="30">
        <f t="shared" si="35"/>
        <v>2524.2517269</v>
      </c>
      <c r="M187" s="72">
        <f>I187+L187</f>
        <v>13883.384497950001</v>
      </c>
      <c r="N187" s="26"/>
      <c r="O187" s="921">
        <v>0.93490804699999996</v>
      </c>
    </row>
    <row r="188" spans="1:16" ht="18.95" customHeight="1">
      <c r="A188" s="651"/>
      <c r="B188" s="27" t="s">
        <v>1207</v>
      </c>
      <c r="C188" s="29" t="s">
        <v>1162</v>
      </c>
      <c r="D188" s="895"/>
      <c r="E188" s="104">
        <v>4</v>
      </c>
      <c r="F188" s="30" t="s">
        <v>286</v>
      </c>
      <c r="G188" s="25">
        <v>24000</v>
      </c>
      <c r="H188" s="25">
        <f t="shared" si="26"/>
        <v>22437.793127999998</v>
      </c>
      <c r="I188" s="242">
        <f t="shared" si="34"/>
        <v>89751.17251199999</v>
      </c>
      <c r="J188" s="25">
        <v>0</v>
      </c>
      <c r="K188" s="25">
        <f t="shared" si="28"/>
        <v>0</v>
      </c>
      <c r="L188" s="30">
        <f t="shared" si="35"/>
        <v>0</v>
      </c>
      <c r="M188" s="72">
        <f>I188+L188</f>
        <v>89751.17251199999</v>
      </c>
      <c r="N188" s="26"/>
      <c r="O188" s="921">
        <v>0.93490804699999996</v>
      </c>
    </row>
    <row r="189" spans="1:16" ht="18.95" customHeight="1">
      <c r="A189" s="898"/>
      <c r="B189" s="899" t="s">
        <v>1208</v>
      </c>
      <c r="C189" s="900" t="s">
        <v>1209</v>
      </c>
      <c r="D189" s="901"/>
      <c r="E189" s="902"/>
      <c r="F189" s="903"/>
      <c r="G189" s="903"/>
      <c r="H189" s="903"/>
      <c r="I189" s="903"/>
      <c r="J189" s="903"/>
      <c r="K189" s="903"/>
      <c r="L189" s="904"/>
      <c r="M189" s="904"/>
      <c r="N189" s="903"/>
      <c r="O189" s="921">
        <v>0.93490804699999996</v>
      </c>
    </row>
    <row r="190" spans="1:16" ht="18.95" customHeight="1">
      <c r="A190" s="651"/>
      <c r="B190" s="27" t="s">
        <v>1210</v>
      </c>
      <c r="C190" s="349" t="s">
        <v>1211</v>
      </c>
      <c r="D190" s="49"/>
      <c r="E190" s="104">
        <v>4</v>
      </c>
      <c r="F190" s="30" t="s">
        <v>286</v>
      </c>
      <c r="G190" s="25">
        <v>24000</v>
      </c>
      <c r="H190" s="25">
        <f t="shared" si="26"/>
        <v>22437.793127999998</v>
      </c>
      <c r="I190" s="242">
        <f t="shared" ref="I190:I197" si="36">E190*H190</f>
        <v>89751.17251199999</v>
      </c>
      <c r="J190" s="25"/>
      <c r="K190" s="25">
        <f t="shared" si="28"/>
        <v>0</v>
      </c>
      <c r="L190" s="30">
        <f>E190*J190</f>
        <v>0</v>
      </c>
      <c r="M190" s="72">
        <f>I190+L190</f>
        <v>89751.17251199999</v>
      </c>
      <c r="N190" s="26"/>
      <c r="O190" s="921">
        <v>0.93490804699999996</v>
      </c>
    </row>
    <row r="191" spans="1:16" ht="18.95" customHeight="1">
      <c r="A191" s="651"/>
      <c r="B191" s="27" t="s">
        <v>1210</v>
      </c>
      <c r="C191" s="349" t="s">
        <v>1212</v>
      </c>
      <c r="D191" s="49"/>
      <c r="E191" s="104">
        <v>1</v>
      </c>
      <c r="F191" s="30" t="s">
        <v>349</v>
      </c>
      <c r="G191" s="25"/>
      <c r="H191" s="25">
        <f t="shared" si="26"/>
        <v>0</v>
      </c>
      <c r="I191" s="242">
        <f t="shared" si="36"/>
        <v>0</v>
      </c>
      <c r="J191" s="25"/>
      <c r="K191" s="25">
        <f t="shared" si="28"/>
        <v>0</v>
      </c>
      <c r="L191" s="30"/>
      <c r="M191" s="72"/>
      <c r="N191" s="26"/>
      <c r="O191" s="921">
        <v>0.93490804699999996</v>
      </c>
    </row>
    <row r="192" spans="1:16" ht="18.95" customHeight="1">
      <c r="A192" s="905"/>
      <c r="B192" s="906" t="s">
        <v>1213</v>
      </c>
      <c r="C192" s="382" t="s">
        <v>1214</v>
      </c>
      <c r="D192" s="907" t="s">
        <v>1215</v>
      </c>
      <c r="E192" s="908">
        <v>3</v>
      </c>
      <c r="F192" s="384" t="s">
        <v>211</v>
      </c>
      <c r="G192" s="242">
        <v>250</v>
      </c>
      <c r="H192" s="25">
        <f t="shared" si="26"/>
        <v>233.72701175</v>
      </c>
      <c r="I192" s="242">
        <f t="shared" si="36"/>
        <v>701.18103525000004</v>
      </c>
      <c r="J192" s="242"/>
      <c r="K192" s="25">
        <f t="shared" si="28"/>
        <v>0</v>
      </c>
      <c r="L192" s="384">
        <f>E192*J192</f>
        <v>0</v>
      </c>
      <c r="M192" s="242">
        <f t="shared" ref="M192:M197" si="37">I192+L192</f>
        <v>701.18103525000004</v>
      </c>
      <c r="N192" s="384"/>
      <c r="O192" s="921">
        <v>0.93490804699999996</v>
      </c>
    </row>
    <row r="193" spans="1:23" s="887" customFormat="1" ht="18.95" customHeight="1">
      <c r="A193" s="905"/>
      <c r="B193" s="906" t="s">
        <v>1216</v>
      </c>
      <c r="C193" s="382" t="s">
        <v>1036</v>
      </c>
      <c r="D193" s="907" t="s">
        <v>1217</v>
      </c>
      <c r="E193" s="908">
        <v>3</v>
      </c>
      <c r="F193" s="384" t="s">
        <v>211</v>
      </c>
      <c r="G193" s="242">
        <v>1430</v>
      </c>
      <c r="H193" s="25">
        <f t="shared" si="26"/>
        <v>1336.9185072099999</v>
      </c>
      <c r="I193" s="242">
        <f t="shared" si="36"/>
        <v>4010.7555216299997</v>
      </c>
      <c r="J193" s="242"/>
      <c r="K193" s="25">
        <f t="shared" si="28"/>
        <v>0</v>
      </c>
      <c r="L193" s="384"/>
      <c r="M193" s="242">
        <f t="shared" si="37"/>
        <v>4010.7555216299997</v>
      </c>
      <c r="N193" s="384"/>
      <c r="O193" s="921">
        <v>0.93490804699999996</v>
      </c>
      <c r="P193" s="204"/>
      <c r="Q193" s="204"/>
      <c r="R193" s="204"/>
      <c r="S193" s="204"/>
      <c r="T193" s="204"/>
      <c r="U193" s="888"/>
      <c r="V193" s="888"/>
      <c r="W193" s="888"/>
    </row>
    <row r="194" spans="1:23" s="887" customFormat="1" ht="18.95" customHeight="1">
      <c r="A194" s="905"/>
      <c r="B194" s="906" t="s">
        <v>1218</v>
      </c>
      <c r="C194" s="382" t="s">
        <v>1214</v>
      </c>
      <c r="D194" s="907" t="s">
        <v>1215</v>
      </c>
      <c r="E194" s="908">
        <v>6</v>
      </c>
      <c r="F194" s="384" t="s">
        <v>286</v>
      </c>
      <c r="G194" s="242">
        <v>24000</v>
      </c>
      <c r="H194" s="25">
        <f t="shared" si="26"/>
        <v>22437.793127999998</v>
      </c>
      <c r="I194" s="242">
        <f t="shared" si="36"/>
        <v>134626.758768</v>
      </c>
      <c r="J194" s="242"/>
      <c r="K194" s="25">
        <f t="shared" si="28"/>
        <v>0</v>
      </c>
      <c r="L194" s="384">
        <f>E194*J194</f>
        <v>0</v>
      </c>
      <c r="M194" s="242">
        <f t="shared" si="37"/>
        <v>134626.758768</v>
      </c>
      <c r="N194" s="384"/>
      <c r="O194" s="921">
        <v>0.93490804699999996</v>
      </c>
      <c r="P194" s="204"/>
      <c r="Q194" s="204"/>
      <c r="R194" s="204"/>
      <c r="S194" s="204"/>
      <c r="T194" s="204"/>
      <c r="U194" s="888"/>
      <c r="V194" s="888"/>
      <c r="W194" s="888"/>
    </row>
    <row r="195" spans="1:23" s="887" customFormat="1" ht="18.95" customHeight="1">
      <c r="A195" s="905"/>
      <c r="B195" s="906" t="s">
        <v>1219</v>
      </c>
      <c r="C195" s="382" t="s">
        <v>1220</v>
      </c>
      <c r="D195" s="907" t="s">
        <v>1221</v>
      </c>
      <c r="E195" s="908">
        <v>9</v>
      </c>
      <c r="F195" s="384" t="s">
        <v>211</v>
      </c>
      <c r="G195" s="242">
        <v>1430</v>
      </c>
      <c r="H195" s="25">
        <f t="shared" si="26"/>
        <v>1336.9185072099999</v>
      </c>
      <c r="I195" s="242">
        <f t="shared" si="36"/>
        <v>12032.26656489</v>
      </c>
      <c r="J195" s="242"/>
      <c r="K195" s="25">
        <f t="shared" si="28"/>
        <v>0</v>
      </c>
      <c r="L195" s="384">
        <f>E195*J195</f>
        <v>0</v>
      </c>
      <c r="M195" s="242">
        <f t="shared" si="37"/>
        <v>12032.26656489</v>
      </c>
      <c r="N195" s="384"/>
      <c r="O195" s="921">
        <v>0.93490804699999996</v>
      </c>
      <c r="P195" s="204"/>
      <c r="Q195" s="204"/>
      <c r="R195" s="204"/>
      <c r="S195" s="204"/>
      <c r="T195" s="204"/>
      <c r="U195" s="888"/>
      <c r="V195" s="888"/>
      <c r="W195" s="888"/>
    </row>
    <row r="196" spans="1:23" s="887" customFormat="1" ht="18.95" customHeight="1">
      <c r="A196" s="905"/>
      <c r="B196" s="906" t="s">
        <v>1222</v>
      </c>
      <c r="C196" s="382" t="s">
        <v>1223</v>
      </c>
      <c r="D196" s="907"/>
      <c r="E196" s="908">
        <v>4</v>
      </c>
      <c r="F196" s="384" t="s">
        <v>286</v>
      </c>
      <c r="G196" s="242">
        <v>24000</v>
      </c>
      <c r="H196" s="25">
        <f t="shared" si="26"/>
        <v>22437.793127999998</v>
      </c>
      <c r="I196" s="242">
        <f t="shared" si="36"/>
        <v>89751.17251199999</v>
      </c>
      <c r="J196" s="242"/>
      <c r="K196" s="25">
        <f t="shared" si="28"/>
        <v>0</v>
      </c>
      <c r="L196" s="384">
        <f>E196*J196</f>
        <v>0</v>
      </c>
      <c r="M196" s="242">
        <f t="shared" si="37"/>
        <v>89751.17251199999</v>
      </c>
      <c r="N196" s="384"/>
      <c r="O196" s="921">
        <v>0.93490804699999996</v>
      </c>
      <c r="P196" s="204"/>
      <c r="Q196" s="204"/>
      <c r="R196" s="204"/>
      <c r="S196" s="204"/>
      <c r="T196" s="204"/>
      <c r="U196" s="888"/>
      <c r="V196" s="888"/>
      <c r="W196" s="888"/>
    </row>
    <row r="197" spans="1:23" s="887" customFormat="1" ht="18.95" customHeight="1">
      <c r="A197" s="905"/>
      <c r="B197" s="906" t="s">
        <v>1224</v>
      </c>
      <c r="C197" s="382"/>
      <c r="D197" s="907" t="s">
        <v>1225</v>
      </c>
      <c r="E197" s="908">
        <v>6</v>
      </c>
      <c r="F197" s="384" t="s">
        <v>211</v>
      </c>
      <c r="G197" s="242">
        <v>1000</v>
      </c>
      <c r="H197" s="25">
        <f t="shared" si="26"/>
        <v>934.90804700000001</v>
      </c>
      <c r="I197" s="242">
        <f t="shared" si="36"/>
        <v>5609.4482820000003</v>
      </c>
      <c r="J197" s="242"/>
      <c r="K197" s="25">
        <f t="shared" si="28"/>
        <v>0</v>
      </c>
      <c r="L197" s="384">
        <f>E197*J197</f>
        <v>0</v>
      </c>
      <c r="M197" s="242">
        <f t="shared" si="37"/>
        <v>5609.4482820000003</v>
      </c>
      <c r="N197" s="384"/>
      <c r="O197" s="921">
        <v>0.93490804699999996</v>
      </c>
      <c r="P197" s="204"/>
      <c r="Q197" s="204"/>
      <c r="R197" s="204"/>
      <c r="S197" s="204"/>
      <c r="T197" s="204"/>
      <c r="U197" s="888"/>
      <c r="V197" s="888"/>
      <c r="W197" s="888"/>
    </row>
    <row r="198" spans="1:23" s="887" customFormat="1" ht="18.95" customHeight="1">
      <c r="A198" s="905"/>
      <c r="B198" s="906"/>
      <c r="C198" s="382"/>
      <c r="D198" s="907"/>
      <c r="E198" s="908"/>
      <c r="F198" s="384"/>
      <c r="G198" s="242"/>
      <c r="H198" s="25"/>
      <c r="I198" s="242"/>
      <c r="J198" s="242"/>
      <c r="K198" s="25"/>
      <c r="L198" s="384"/>
      <c r="M198" s="242"/>
      <c r="N198" s="384"/>
      <c r="O198" s="921">
        <v>0.93490804699999996</v>
      </c>
      <c r="P198" s="204"/>
      <c r="Q198" s="204"/>
      <c r="R198" s="204"/>
      <c r="S198" s="204"/>
      <c r="T198" s="204"/>
      <c r="U198" s="888"/>
      <c r="V198" s="888"/>
      <c r="W198" s="888"/>
    </row>
    <row r="199" spans="1:23" s="887" customFormat="1" ht="18.95" customHeight="1">
      <c r="A199" s="898"/>
      <c r="B199" s="899" t="s">
        <v>1226</v>
      </c>
      <c r="C199" s="900" t="s">
        <v>1227</v>
      </c>
      <c r="D199" s="901"/>
      <c r="E199" s="902"/>
      <c r="F199" s="903"/>
      <c r="G199" s="903"/>
      <c r="H199" s="903"/>
      <c r="I199" s="903"/>
      <c r="J199" s="903"/>
      <c r="K199" s="903"/>
      <c r="L199" s="904"/>
      <c r="M199" s="904"/>
      <c r="N199" s="903"/>
      <c r="O199" s="921">
        <v>0.93490804699999996</v>
      </c>
      <c r="P199" s="204"/>
      <c r="Q199" s="204"/>
      <c r="R199" s="204"/>
      <c r="S199" s="204"/>
      <c r="T199" s="204"/>
      <c r="U199" s="888"/>
      <c r="V199" s="888"/>
      <c r="W199" s="888"/>
    </row>
    <row r="200" spans="1:23" ht="18.95" customHeight="1">
      <c r="A200" s="651"/>
      <c r="B200" s="27" t="s">
        <v>1228</v>
      </c>
      <c r="C200" s="349" t="s">
        <v>1211</v>
      </c>
      <c r="D200" s="49"/>
      <c r="E200" s="104">
        <v>4</v>
      </c>
      <c r="F200" s="30" t="s">
        <v>286</v>
      </c>
      <c r="G200" s="25">
        <v>24000</v>
      </c>
      <c r="H200" s="25">
        <f t="shared" si="26"/>
        <v>22437.793127999998</v>
      </c>
      <c r="I200" s="242">
        <f t="shared" ref="I200:I220" si="38">E200*H200</f>
        <v>89751.17251199999</v>
      </c>
      <c r="J200" s="25">
        <v>0</v>
      </c>
      <c r="K200" s="25">
        <f t="shared" si="28"/>
        <v>0</v>
      </c>
      <c r="L200" s="30">
        <f>E200*J200</f>
        <v>0</v>
      </c>
      <c r="M200" s="72">
        <f>I200+L200</f>
        <v>89751.17251199999</v>
      </c>
      <c r="N200" s="26"/>
      <c r="O200" s="921">
        <v>0.93490804699999996</v>
      </c>
    </row>
    <row r="201" spans="1:23" ht="18.95" customHeight="1">
      <c r="A201" s="651"/>
      <c r="B201" s="27" t="s">
        <v>1228</v>
      </c>
      <c r="C201" s="349" t="s">
        <v>1212</v>
      </c>
      <c r="D201" s="49"/>
      <c r="E201" s="104">
        <v>1</v>
      </c>
      <c r="F201" s="30" t="s">
        <v>349</v>
      </c>
      <c r="G201" s="25"/>
      <c r="H201" s="25">
        <f t="shared" si="26"/>
        <v>0</v>
      </c>
      <c r="I201" s="242">
        <f t="shared" si="38"/>
        <v>0</v>
      </c>
      <c r="J201" s="25"/>
      <c r="K201" s="25">
        <f t="shared" si="28"/>
        <v>0</v>
      </c>
      <c r="L201" s="30"/>
      <c r="M201" s="72"/>
      <c r="N201" s="26"/>
      <c r="O201" s="921">
        <v>0.93490804699999996</v>
      </c>
    </row>
    <row r="202" spans="1:23" ht="18.95" customHeight="1">
      <c r="A202" s="905"/>
      <c r="B202" s="906" t="s">
        <v>1213</v>
      </c>
      <c r="C202" s="382" t="s">
        <v>1214</v>
      </c>
      <c r="D202" s="907" t="s">
        <v>1215</v>
      </c>
      <c r="E202" s="908">
        <v>3</v>
      </c>
      <c r="F202" s="384" t="s">
        <v>211</v>
      </c>
      <c r="G202" s="242">
        <v>250</v>
      </c>
      <c r="H202" s="25">
        <f t="shared" si="26"/>
        <v>233.72701175</v>
      </c>
      <c r="I202" s="242">
        <f t="shared" si="38"/>
        <v>701.18103525000004</v>
      </c>
      <c r="J202" s="242"/>
      <c r="K202" s="25">
        <f t="shared" si="28"/>
        <v>0</v>
      </c>
      <c r="L202" s="384">
        <f>E202*J202</f>
        <v>0</v>
      </c>
      <c r="M202" s="242">
        <f t="shared" ref="M202:M207" si="39">I202+L202</f>
        <v>701.18103525000004</v>
      </c>
      <c r="N202" s="384"/>
      <c r="O202" s="921">
        <v>0.93490804699999996</v>
      </c>
    </row>
    <row r="203" spans="1:23" s="887" customFormat="1" ht="18.95" customHeight="1">
      <c r="A203" s="905"/>
      <c r="B203" s="906" t="s">
        <v>1216</v>
      </c>
      <c r="C203" s="382" t="s">
        <v>1036</v>
      </c>
      <c r="D203" s="907" t="s">
        <v>1217</v>
      </c>
      <c r="E203" s="908">
        <v>3</v>
      </c>
      <c r="F203" s="384" t="s">
        <v>211</v>
      </c>
      <c r="G203" s="242">
        <v>1430</v>
      </c>
      <c r="H203" s="25">
        <f t="shared" si="26"/>
        <v>1336.9185072099999</v>
      </c>
      <c r="I203" s="242">
        <f t="shared" si="38"/>
        <v>4010.7555216299997</v>
      </c>
      <c r="J203" s="242"/>
      <c r="K203" s="25">
        <f t="shared" si="28"/>
        <v>0</v>
      </c>
      <c r="L203" s="384"/>
      <c r="M203" s="242">
        <f t="shared" si="39"/>
        <v>4010.7555216299997</v>
      </c>
      <c r="N203" s="384"/>
      <c r="O203" s="921">
        <v>0.93490804699999996</v>
      </c>
      <c r="P203" s="204"/>
      <c r="Q203" s="204"/>
      <c r="R203" s="204"/>
      <c r="S203" s="204"/>
      <c r="T203" s="204"/>
      <c r="U203" s="888"/>
      <c r="V203" s="888"/>
      <c r="W203" s="888"/>
    </row>
    <row r="204" spans="1:23" s="887" customFormat="1" ht="18.95" customHeight="1">
      <c r="A204" s="905"/>
      <c r="B204" s="906" t="s">
        <v>1218</v>
      </c>
      <c r="C204" s="382" t="s">
        <v>1214</v>
      </c>
      <c r="D204" s="907" t="s">
        <v>1215</v>
      </c>
      <c r="E204" s="908">
        <v>6</v>
      </c>
      <c r="F204" s="384" t="s">
        <v>286</v>
      </c>
      <c r="G204" s="242">
        <v>24000</v>
      </c>
      <c r="H204" s="25">
        <f t="shared" si="26"/>
        <v>22437.793127999998</v>
      </c>
      <c r="I204" s="242">
        <f t="shared" si="38"/>
        <v>134626.758768</v>
      </c>
      <c r="J204" s="242"/>
      <c r="K204" s="25">
        <f t="shared" si="28"/>
        <v>0</v>
      </c>
      <c r="L204" s="384">
        <f>E204*J204</f>
        <v>0</v>
      </c>
      <c r="M204" s="242">
        <f t="shared" si="39"/>
        <v>134626.758768</v>
      </c>
      <c r="N204" s="384"/>
      <c r="O204" s="921">
        <v>0.93490804699999996</v>
      </c>
      <c r="P204" s="204"/>
      <c r="Q204" s="204"/>
      <c r="R204" s="204"/>
      <c r="S204" s="204"/>
      <c r="T204" s="204"/>
      <c r="U204" s="888"/>
      <c r="V204" s="888"/>
      <c r="W204" s="888"/>
    </row>
    <row r="205" spans="1:23" s="887" customFormat="1" ht="18.95" customHeight="1">
      <c r="A205" s="905"/>
      <c r="B205" s="906" t="s">
        <v>1219</v>
      </c>
      <c r="C205" s="382" t="s">
        <v>1220</v>
      </c>
      <c r="D205" s="907" t="s">
        <v>1221</v>
      </c>
      <c r="E205" s="908">
        <v>9</v>
      </c>
      <c r="F205" s="384" t="s">
        <v>211</v>
      </c>
      <c r="G205" s="242">
        <v>1430</v>
      </c>
      <c r="H205" s="25">
        <f t="shared" si="26"/>
        <v>1336.9185072099999</v>
      </c>
      <c r="I205" s="242">
        <f t="shared" si="38"/>
        <v>12032.26656489</v>
      </c>
      <c r="J205" s="242"/>
      <c r="K205" s="25">
        <f t="shared" si="28"/>
        <v>0</v>
      </c>
      <c r="L205" s="384">
        <f>E205*J205</f>
        <v>0</v>
      </c>
      <c r="M205" s="242">
        <f t="shared" si="39"/>
        <v>12032.26656489</v>
      </c>
      <c r="N205" s="384"/>
      <c r="O205" s="921">
        <v>0.93490804699999996</v>
      </c>
      <c r="P205" s="204"/>
      <c r="Q205" s="204"/>
      <c r="R205" s="204"/>
      <c r="S205" s="204"/>
      <c r="T205" s="204"/>
      <c r="U205" s="888"/>
      <c r="V205" s="888"/>
      <c r="W205" s="888"/>
    </row>
    <row r="206" spans="1:23" s="887" customFormat="1" ht="18.95" customHeight="1">
      <c r="A206" s="905"/>
      <c r="B206" s="906" t="s">
        <v>1222</v>
      </c>
      <c r="C206" s="382" t="s">
        <v>1223</v>
      </c>
      <c r="D206" s="907"/>
      <c r="E206" s="908">
        <v>4</v>
      </c>
      <c r="F206" s="384" t="s">
        <v>286</v>
      </c>
      <c r="G206" s="242">
        <v>24000</v>
      </c>
      <c r="H206" s="25">
        <f t="shared" si="26"/>
        <v>22437.793127999998</v>
      </c>
      <c r="I206" s="242">
        <f t="shared" si="38"/>
        <v>89751.17251199999</v>
      </c>
      <c r="J206" s="242"/>
      <c r="K206" s="25">
        <f t="shared" si="28"/>
        <v>0</v>
      </c>
      <c r="L206" s="384">
        <f>E206*J206</f>
        <v>0</v>
      </c>
      <c r="M206" s="242">
        <f t="shared" si="39"/>
        <v>89751.17251199999</v>
      </c>
      <c r="N206" s="384"/>
      <c r="O206" s="921">
        <v>0.93490804699999996</v>
      </c>
      <c r="P206" s="204"/>
      <c r="Q206" s="204"/>
      <c r="R206" s="204"/>
      <c r="S206" s="204"/>
      <c r="T206" s="204"/>
      <c r="U206" s="888"/>
      <c r="V206" s="888"/>
      <c r="W206" s="888"/>
    </row>
    <row r="207" spans="1:23" s="887" customFormat="1" ht="18.95" customHeight="1">
      <c r="A207" s="905"/>
      <c r="B207" s="906" t="s">
        <v>1224</v>
      </c>
      <c r="C207" s="382"/>
      <c r="D207" s="907" t="s">
        <v>1225</v>
      </c>
      <c r="E207" s="908">
        <v>5</v>
      </c>
      <c r="F207" s="384" t="s">
        <v>211</v>
      </c>
      <c r="G207" s="242">
        <v>1000</v>
      </c>
      <c r="H207" s="25">
        <f t="shared" si="26"/>
        <v>934.90804700000001</v>
      </c>
      <c r="I207" s="242">
        <f t="shared" si="38"/>
        <v>4674.5402350000004</v>
      </c>
      <c r="J207" s="242"/>
      <c r="K207" s="25">
        <f t="shared" si="28"/>
        <v>0</v>
      </c>
      <c r="L207" s="384">
        <f>E207*J207</f>
        <v>0</v>
      </c>
      <c r="M207" s="242">
        <f t="shared" si="39"/>
        <v>4674.5402350000004</v>
      </c>
      <c r="N207" s="384"/>
      <c r="O207" s="921">
        <v>0.93490804699999996</v>
      </c>
      <c r="P207" s="204"/>
      <c r="Q207" s="204"/>
      <c r="R207" s="204"/>
      <c r="S207" s="204"/>
      <c r="T207" s="204"/>
      <c r="U207" s="888"/>
      <c r="V207" s="888"/>
      <c r="W207" s="888"/>
    </row>
    <row r="208" spans="1:23" s="887" customFormat="1" ht="18.95" customHeight="1">
      <c r="A208" s="648"/>
      <c r="B208" s="302" t="s">
        <v>353</v>
      </c>
      <c r="C208" s="221"/>
      <c r="D208" s="897"/>
      <c r="E208" s="896"/>
      <c r="F208" s="102"/>
      <c r="G208" s="34"/>
      <c r="H208" s="25"/>
      <c r="I208" s="242"/>
      <c r="J208" s="34"/>
      <c r="K208" s="25"/>
      <c r="L208" s="34"/>
      <c r="M208" s="34"/>
      <c r="N208" s="35"/>
      <c r="O208" s="921">
        <v>0.93490804699999996</v>
      </c>
      <c r="P208" s="204"/>
      <c r="Q208" s="204"/>
      <c r="R208" s="204"/>
      <c r="S208" s="204"/>
      <c r="T208" s="204"/>
      <c r="U208" s="888"/>
      <c r="V208" s="888"/>
      <c r="W208" s="888"/>
    </row>
    <row r="209" spans="1:23" ht="18.95" customHeight="1">
      <c r="A209" s="651" t="s">
        <v>1229</v>
      </c>
      <c r="B209" s="27" t="s">
        <v>1230</v>
      </c>
      <c r="C209" s="29"/>
      <c r="D209" s="895"/>
      <c r="E209" s="104">
        <v>30</v>
      </c>
      <c r="F209" s="30" t="s">
        <v>286</v>
      </c>
      <c r="G209" s="25">
        <v>250</v>
      </c>
      <c r="H209" s="25">
        <f t="shared" si="26"/>
        <v>233.72701175</v>
      </c>
      <c r="I209" s="242">
        <f t="shared" si="38"/>
        <v>7011.8103524999997</v>
      </c>
      <c r="J209" s="25"/>
      <c r="K209" s="25">
        <f t="shared" si="28"/>
        <v>0</v>
      </c>
      <c r="L209" s="25"/>
      <c r="M209" s="25">
        <f>I209+L209</f>
        <v>7011.8103524999997</v>
      </c>
      <c r="N209" s="26"/>
      <c r="O209" s="921">
        <v>0.93490804699999996</v>
      </c>
    </row>
    <row r="210" spans="1:23" ht="18.95" customHeight="1">
      <c r="A210" s="898"/>
      <c r="B210" s="899" t="s">
        <v>1231</v>
      </c>
      <c r="C210" s="900" t="s">
        <v>1232</v>
      </c>
      <c r="D210" s="901"/>
      <c r="E210" s="902"/>
      <c r="F210" s="903"/>
      <c r="G210" s="903"/>
      <c r="H210" s="903"/>
      <c r="I210" s="903"/>
      <c r="J210" s="903"/>
      <c r="K210" s="903"/>
      <c r="L210" s="904"/>
      <c r="M210" s="904"/>
      <c r="N210" s="903"/>
      <c r="O210" s="921">
        <v>0.93490804699999996</v>
      </c>
    </row>
    <row r="211" spans="1:23" ht="18.95" customHeight="1">
      <c r="A211" s="651"/>
      <c r="B211" s="27" t="s">
        <v>1190</v>
      </c>
      <c r="C211" s="1296" t="s">
        <v>1191</v>
      </c>
      <c r="D211" s="1297"/>
      <c r="E211" s="104">
        <v>27.454999999999998</v>
      </c>
      <c r="F211" s="30" t="s">
        <v>211</v>
      </c>
      <c r="G211" s="25">
        <v>3541.66</v>
      </c>
      <c r="H211" s="25">
        <f t="shared" si="26"/>
        <v>3311.1264337380198</v>
      </c>
      <c r="I211" s="242">
        <f t="shared" si="38"/>
        <v>90906.976238277333</v>
      </c>
      <c r="J211" s="25">
        <v>225</v>
      </c>
      <c r="K211" s="25">
        <f t="shared" si="28"/>
        <v>210.354310575</v>
      </c>
      <c r="L211" s="30">
        <f t="shared" ref="L211:L216" si="40">E211*K211</f>
        <v>5775.277596836625</v>
      </c>
      <c r="M211" s="72">
        <f>I211+L211</f>
        <v>96682.253835113952</v>
      </c>
      <c r="N211" s="26"/>
      <c r="O211" s="921">
        <v>0.93490804699999996</v>
      </c>
    </row>
    <row r="212" spans="1:23" ht="18.95" customHeight="1">
      <c r="A212" s="651"/>
      <c r="B212" s="27"/>
      <c r="C212" s="575" t="s">
        <v>1192</v>
      </c>
      <c r="D212" s="682"/>
      <c r="E212" s="104"/>
      <c r="F212" s="30"/>
      <c r="G212" s="25"/>
      <c r="H212" s="25">
        <f t="shared" si="26"/>
        <v>0</v>
      </c>
      <c r="I212" s="242">
        <f t="shared" si="38"/>
        <v>0</v>
      </c>
      <c r="J212" s="25"/>
      <c r="K212" s="25">
        <f t="shared" si="28"/>
        <v>0</v>
      </c>
      <c r="L212" s="30">
        <f t="shared" si="40"/>
        <v>0</v>
      </c>
      <c r="M212" s="72"/>
      <c r="N212" s="26"/>
      <c r="O212" s="921">
        <v>0.93490804699999996</v>
      </c>
    </row>
    <row r="213" spans="1:23" ht="18.95" customHeight="1">
      <c r="A213" s="651"/>
      <c r="B213" s="27"/>
      <c r="C213" s="575" t="s">
        <v>1193</v>
      </c>
      <c r="D213" s="682"/>
      <c r="E213" s="104"/>
      <c r="F213" s="30"/>
      <c r="G213" s="25"/>
      <c r="H213" s="25">
        <f t="shared" si="26"/>
        <v>0</v>
      </c>
      <c r="I213" s="242">
        <f t="shared" si="38"/>
        <v>0</v>
      </c>
      <c r="J213" s="25"/>
      <c r="K213" s="25">
        <f t="shared" si="28"/>
        <v>0</v>
      </c>
      <c r="L213" s="30">
        <f t="shared" si="40"/>
        <v>0</v>
      </c>
      <c r="M213" s="72"/>
      <c r="N213" s="26"/>
      <c r="O213" s="921">
        <v>0.93490804699999996</v>
      </c>
    </row>
    <row r="214" spans="1:23" ht="18.95" customHeight="1">
      <c r="A214" s="651"/>
      <c r="B214" s="27" t="s">
        <v>1194</v>
      </c>
      <c r="C214" s="1296" t="s">
        <v>1199</v>
      </c>
      <c r="D214" s="1297"/>
      <c r="E214" s="104">
        <v>51.85</v>
      </c>
      <c r="F214" s="30" t="s">
        <v>211</v>
      </c>
      <c r="G214" s="25">
        <v>2400</v>
      </c>
      <c r="H214" s="25">
        <f t="shared" si="26"/>
        <v>2243.7793127999998</v>
      </c>
      <c r="I214" s="242">
        <f t="shared" si="38"/>
        <v>116339.95736868</v>
      </c>
      <c r="J214" s="25">
        <v>350</v>
      </c>
      <c r="K214" s="25">
        <f t="shared" si="28"/>
        <v>327.21781644999999</v>
      </c>
      <c r="L214" s="30">
        <f t="shared" si="40"/>
        <v>16966.243782932499</v>
      </c>
      <c r="M214" s="72">
        <f>I214+L214</f>
        <v>133306.20115161251</v>
      </c>
      <c r="N214" s="26"/>
      <c r="O214" s="921">
        <v>0.93490804699999996</v>
      </c>
    </row>
    <row r="215" spans="1:23" ht="18.95" customHeight="1">
      <c r="A215" s="651"/>
      <c r="B215" s="27"/>
      <c r="C215" s="575" t="s">
        <v>1200</v>
      </c>
      <c r="D215" s="682"/>
      <c r="E215" s="104"/>
      <c r="F215" s="30"/>
      <c r="G215" s="25"/>
      <c r="H215" s="25">
        <f t="shared" si="26"/>
        <v>0</v>
      </c>
      <c r="I215" s="242">
        <f t="shared" si="38"/>
        <v>0</v>
      </c>
      <c r="J215" s="25"/>
      <c r="K215" s="25">
        <f t="shared" si="28"/>
        <v>0</v>
      </c>
      <c r="L215" s="30">
        <f t="shared" si="40"/>
        <v>0</v>
      </c>
      <c r="M215" s="72"/>
      <c r="N215" s="26"/>
      <c r="O215" s="921">
        <v>0.93490804699999996</v>
      </c>
    </row>
    <row r="216" spans="1:23" ht="18.95" customHeight="1">
      <c r="A216" s="645"/>
      <c r="B216" s="302" t="s">
        <v>1181</v>
      </c>
      <c r="C216" s="9"/>
      <c r="D216" s="346"/>
      <c r="E216" s="104">
        <v>20</v>
      </c>
      <c r="F216" s="30" t="s">
        <v>286</v>
      </c>
      <c r="G216" s="25">
        <v>350</v>
      </c>
      <c r="H216" s="25">
        <f t="shared" si="26"/>
        <v>327.21781644999999</v>
      </c>
      <c r="I216" s="242">
        <f t="shared" si="38"/>
        <v>6544.3563290000002</v>
      </c>
      <c r="J216" s="25">
        <v>150</v>
      </c>
      <c r="K216" s="25">
        <f t="shared" si="28"/>
        <v>140.23620704999999</v>
      </c>
      <c r="L216" s="30">
        <f t="shared" si="40"/>
        <v>2804.7241409999997</v>
      </c>
      <c r="M216" s="72">
        <f>I216+L216</f>
        <v>9349.0804700000008</v>
      </c>
      <c r="N216" s="35"/>
      <c r="O216" s="921">
        <v>0.93490804699999996</v>
      </c>
    </row>
    <row r="217" spans="1:23" s="1" customFormat="1" ht="18.95" customHeight="1">
      <c r="A217" s="648"/>
      <c r="B217" s="302" t="s">
        <v>353</v>
      </c>
      <c r="C217" s="221"/>
      <c r="D217" s="897"/>
      <c r="E217" s="896"/>
      <c r="F217" s="102"/>
      <c r="G217" s="34"/>
      <c r="H217" s="25">
        <f t="shared" si="26"/>
        <v>0</v>
      </c>
      <c r="I217" s="242">
        <f t="shared" si="38"/>
        <v>0</v>
      </c>
      <c r="J217" s="34"/>
      <c r="K217" s="25">
        <f t="shared" si="28"/>
        <v>0</v>
      </c>
      <c r="L217" s="34"/>
      <c r="M217" s="34"/>
      <c r="N217" s="35"/>
      <c r="O217" s="921">
        <v>0.93490804699999996</v>
      </c>
      <c r="P217" s="206"/>
      <c r="Q217" s="206"/>
      <c r="R217" s="206"/>
      <c r="S217" s="206"/>
      <c r="T217" s="206"/>
      <c r="U217" s="206"/>
      <c r="V217" s="206"/>
      <c r="W217" s="206"/>
    </row>
    <row r="218" spans="1:23" s="1" customFormat="1" ht="18.95" customHeight="1">
      <c r="A218" s="651" t="s">
        <v>1233</v>
      </c>
      <c r="B218" s="27" t="s">
        <v>1234</v>
      </c>
      <c r="C218" s="29"/>
      <c r="D218" s="895"/>
      <c r="E218" s="104">
        <v>70</v>
      </c>
      <c r="F218" s="30" t="s">
        <v>286</v>
      </c>
      <c r="G218" s="25">
        <v>250</v>
      </c>
      <c r="H218" s="25">
        <f t="shared" si="26"/>
        <v>233.72701175</v>
      </c>
      <c r="I218" s="242">
        <f t="shared" si="38"/>
        <v>16360.8908225</v>
      </c>
      <c r="J218" s="25"/>
      <c r="K218" s="25">
        <f t="shared" si="28"/>
        <v>0</v>
      </c>
      <c r="L218" s="25"/>
      <c r="M218" s="25">
        <f>I218+L218</f>
        <v>16360.8908225</v>
      </c>
      <c r="N218" s="26"/>
      <c r="O218" s="921">
        <v>0.93490804699999996</v>
      </c>
      <c r="P218" s="206"/>
      <c r="Q218" s="206"/>
      <c r="R218" s="206"/>
      <c r="S218" s="206"/>
      <c r="T218" s="206"/>
      <c r="U218" s="206"/>
      <c r="V218" s="206"/>
      <c r="W218" s="206"/>
    </row>
    <row r="219" spans="1:23" ht="18.95" customHeight="1">
      <c r="A219" s="898"/>
      <c r="B219" s="899" t="s">
        <v>1235</v>
      </c>
      <c r="C219" s="900" t="s">
        <v>1236</v>
      </c>
      <c r="D219" s="901"/>
      <c r="E219" s="902"/>
      <c r="F219" s="903"/>
      <c r="G219" s="903"/>
      <c r="H219" s="903"/>
      <c r="I219" s="903"/>
      <c r="J219" s="903"/>
      <c r="K219" s="903"/>
      <c r="L219" s="904"/>
      <c r="M219" s="904"/>
      <c r="N219" s="903"/>
      <c r="O219" s="921">
        <v>0.93490804699999996</v>
      </c>
    </row>
    <row r="220" spans="1:23" ht="18.95" customHeight="1">
      <c r="A220" s="651"/>
      <c r="B220" s="27" t="s">
        <v>1237</v>
      </c>
      <c r="C220" s="349" t="s">
        <v>1238</v>
      </c>
      <c r="D220" s="49"/>
      <c r="E220" s="104">
        <v>10.199999999999999</v>
      </c>
      <c r="F220" s="30" t="s">
        <v>286</v>
      </c>
      <c r="G220" s="25">
        <v>40000</v>
      </c>
      <c r="H220" s="25">
        <f t="shared" si="26"/>
        <v>37396.321879999996</v>
      </c>
      <c r="I220" s="242">
        <f t="shared" si="38"/>
        <v>381442.48317599995</v>
      </c>
      <c r="J220" s="25">
        <v>0</v>
      </c>
      <c r="K220" s="25">
        <f t="shared" si="28"/>
        <v>0</v>
      </c>
      <c r="L220" s="30">
        <f>E220*J220</f>
        <v>0</v>
      </c>
      <c r="M220" s="72">
        <f>I220+L220</f>
        <v>381442.48317599995</v>
      </c>
      <c r="N220" s="26"/>
      <c r="O220" s="921">
        <v>0.93490804699999996</v>
      </c>
    </row>
    <row r="221" spans="1:23" ht="18.95" customHeight="1">
      <c r="A221" s="925"/>
      <c r="B221" s="1293" t="s">
        <v>1239</v>
      </c>
      <c r="C221" s="1294"/>
      <c r="D221" s="1295"/>
      <c r="E221" s="902"/>
      <c r="F221" s="903"/>
      <c r="G221" s="904"/>
      <c r="H221" s="903"/>
      <c r="I221" s="904">
        <f>SUM(I173:I220)</f>
        <v>1751818.8020441742</v>
      </c>
      <c r="J221" s="904"/>
      <c r="K221" s="903"/>
      <c r="L221" s="904">
        <f>SUM(L173:L220)</f>
        <v>69940.354132564127</v>
      </c>
      <c r="M221" s="904">
        <f>SUM(M173:M220)</f>
        <v>1821759.1561767382</v>
      </c>
      <c r="N221" s="902"/>
      <c r="O221" s="921">
        <v>0.93490804699999996</v>
      </c>
    </row>
    <row r="222" spans="1:23" ht="18.95" customHeight="1">
      <c r="A222" s="256"/>
      <c r="B222" s="256"/>
      <c r="C222" s="257"/>
      <c r="D222" s="258"/>
      <c r="E222" s="896"/>
      <c r="F222" s="102"/>
      <c r="G222" s="34"/>
      <c r="H222" s="25"/>
      <c r="I222" s="34"/>
      <c r="J222" s="34"/>
      <c r="K222" s="25"/>
      <c r="L222" s="34"/>
      <c r="M222" s="34"/>
      <c r="N222" s="415"/>
      <c r="O222" s="921">
        <v>0.93490804699999996</v>
      </c>
    </row>
    <row r="223" spans="1:23" ht="18.95" customHeight="1">
      <c r="A223" s="648">
        <v>4</v>
      </c>
      <c r="B223" s="302" t="s">
        <v>1003</v>
      </c>
      <c r="C223" s="221"/>
      <c r="D223" s="897"/>
      <c r="E223" s="896"/>
      <c r="F223" s="102"/>
      <c r="G223" s="34"/>
      <c r="H223" s="25"/>
      <c r="I223" s="34"/>
      <c r="J223" s="102"/>
      <c r="K223" s="25"/>
      <c r="L223" s="34"/>
      <c r="M223" s="35"/>
      <c r="N223" s="35"/>
      <c r="O223" s="921">
        <v>0.93490804699999996</v>
      </c>
    </row>
    <row r="224" spans="1:23" ht="18.95" customHeight="1">
      <c r="A224" s="648"/>
      <c r="B224" s="302" t="s">
        <v>1240</v>
      </c>
      <c r="C224" s="221"/>
      <c r="D224" s="897"/>
      <c r="E224" s="896"/>
      <c r="F224" s="102"/>
      <c r="G224" s="34"/>
      <c r="H224" s="25"/>
      <c r="I224" s="34"/>
      <c r="J224" s="102"/>
      <c r="K224" s="25"/>
      <c r="L224" s="34"/>
      <c r="M224" s="35"/>
      <c r="N224" s="35"/>
      <c r="O224" s="921">
        <v>0.93490804699999996</v>
      </c>
    </row>
    <row r="225" spans="1:15" ht="18.95" customHeight="1">
      <c r="A225" s="898"/>
      <c r="B225" s="932">
        <v>114</v>
      </c>
      <c r="C225" s="900" t="s">
        <v>1241</v>
      </c>
      <c r="D225" s="901"/>
      <c r="E225" s="902"/>
      <c r="F225" s="903"/>
      <c r="G225" s="903"/>
      <c r="H225" s="903"/>
      <c r="I225" s="903"/>
      <c r="J225" s="903"/>
      <c r="K225" s="903"/>
      <c r="L225" s="904"/>
      <c r="M225" s="904"/>
      <c r="N225" s="903"/>
      <c r="O225" s="921">
        <v>0.93490804699999996</v>
      </c>
    </row>
    <row r="226" spans="1:15" s="204" customFormat="1" ht="18.95" customHeight="1">
      <c r="A226" s="651"/>
      <c r="B226" s="27" t="s">
        <v>1242</v>
      </c>
      <c r="C226" s="1301" t="s">
        <v>1243</v>
      </c>
      <c r="D226" s="1302"/>
      <c r="E226" s="104">
        <v>22</v>
      </c>
      <c r="F226" s="30" t="s">
        <v>211</v>
      </c>
      <c r="G226" s="25">
        <v>5700</v>
      </c>
      <c r="H226" s="25">
        <f t="shared" ref="H226:H281" si="41">G226*O226</f>
        <v>5328.9758678999997</v>
      </c>
      <c r="I226" s="242">
        <f t="shared" ref="I226" si="42">E226*H226</f>
        <v>117237.4690938</v>
      </c>
      <c r="J226" s="25"/>
      <c r="K226" s="25">
        <f t="shared" ref="K226:K281" si="43">J226*O226</f>
        <v>0</v>
      </c>
      <c r="L226" s="30">
        <f>E226*J226</f>
        <v>0</v>
      </c>
      <c r="M226" s="72">
        <f>I226+L226</f>
        <v>117237.4690938</v>
      </c>
      <c r="N226" s="26"/>
      <c r="O226" s="921">
        <v>0.93490804699999996</v>
      </c>
    </row>
    <row r="227" spans="1:15" s="204" customFormat="1" ht="18.95" customHeight="1">
      <c r="A227" s="651"/>
      <c r="B227" s="27"/>
      <c r="C227" s="933" t="s">
        <v>1244</v>
      </c>
      <c r="D227" s="682"/>
      <c r="E227" s="104"/>
      <c r="F227" s="30"/>
      <c r="G227" s="25"/>
      <c r="H227" s="25"/>
      <c r="I227" s="25"/>
      <c r="J227" s="25"/>
      <c r="K227" s="25"/>
      <c r="L227" s="30"/>
      <c r="M227" s="72"/>
      <c r="N227" s="26"/>
      <c r="O227" s="921">
        <v>0.93490804699999996</v>
      </c>
    </row>
    <row r="228" spans="1:15" s="204" customFormat="1" ht="18.95" customHeight="1">
      <c r="A228" s="651"/>
      <c r="B228" s="27"/>
      <c r="C228" s="933"/>
      <c r="D228" s="682"/>
      <c r="E228" s="104"/>
      <c r="F228" s="30"/>
      <c r="G228" s="25"/>
      <c r="H228" s="25"/>
      <c r="I228" s="25"/>
      <c r="J228" s="25"/>
      <c r="K228" s="25"/>
      <c r="L228" s="30"/>
      <c r="M228" s="72"/>
      <c r="N228" s="26"/>
      <c r="O228" s="921">
        <v>0.93490804699999996</v>
      </c>
    </row>
    <row r="229" spans="1:15" s="204" customFormat="1" ht="18.95" customHeight="1">
      <c r="A229" s="651"/>
      <c r="B229" s="27" t="s">
        <v>1245</v>
      </c>
      <c r="C229" s="29" t="s">
        <v>1246</v>
      </c>
      <c r="D229" s="895"/>
      <c r="E229" s="104"/>
      <c r="F229" s="30"/>
      <c r="G229" s="25"/>
      <c r="H229" s="25"/>
      <c r="I229" s="25"/>
      <c r="J229" s="25"/>
      <c r="K229" s="25"/>
      <c r="L229" s="30"/>
      <c r="M229" s="72"/>
      <c r="N229" s="26"/>
      <c r="O229" s="921">
        <v>0.93490804699999996</v>
      </c>
    </row>
    <row r="230" spans="1:15" s="204" customFormat="1" ht="18.95" customHeight="1">
      <c r="A230" s="651"/>
      <c r="B230" s="287" t="s">
        <v>1247</v>
      </c>
      <c r="C230" s="29" t="s">
        <v>1248</v>
      </c>
      <c r="D230" s="46" t="s">
        <v>1249</v>
      </c>
      <c r="E230" s="104">
        <v>4.5</v>
      </c>
      <c r="F230" s="30" t="s">
        <v>211</v>
      </c>
      <c r="G230" s="25">
        <v>7500</v>
      </c>
      <c r="H230" s="25">
        <f t="shared" si="41"/>
        <v>7011.8103524999997</v>
      </c>
      <c r="I230" s="242">
        <f t="shared" ref="I230:I233" si="44">E230*H230</f>
        <v>31553.146586249997</v>
      </c>
      <c r="J230" s="25">
        <v>2000</v>
      </c>
      <c r="K230" s="25">
        <f t="shared" si="43"/>
        <v>1869.816094</v>
      </c>
      <c r="L230" s="30">
        <f t="shared" ref="L230" si="45">E230*K230</f>
        <v>8414.172423</v>
      </c>
      <c r="M230" s="72">
        <f>I230+L230+L231</f>
        <v>47446.58338525</v>
      </c>
      <c r="N230" s="26"/>
      <c r="O230" s="921">
        <v>0.93490804699999996</v>
      </c>
    </row>
    <row r="231" spans="1:15" s="204" customFormat="1" ht="18.95" customHeight="1">
      <c r="A231" s="651"/>
      <c r="B231" s="287" t="s">
        <v>1114</v>
      </c>
      <c r="C231" s="29"/>
      <c r="D231" s="46"/>
      <c r="E231" s="104"/>
      <c r="F231" s="30"/>
      <c r="G231" s="25"/>
      <c r="H231" s="25">
        <f t="shared" si="41"/>
        <v>0</v>
      </c>
      <c r="I231" s="242">
        <f t="shared" si="44"/>
        <v>0</v>
      </c>
      <c r="J231" s="25"/>
      <c r="K231" s="25">
        <f t="shared" si="43"/>
        <v>0</v>
      </c>
      <c r="L231" s="30">
        <f>8000*O231</f>
        <v>7479.2643760000001</v>
      </c>
      <c r="M231" s="72"/>
      <c r="N231" s="26"/>
      <c r="O231" s="921">
        <v>0.93490804699999996</v>
      </c>
    </row>
    <row r="232" spans="1:15" s="204" customFormat="1" ht="18.95" customHeight="1">
      <c r="A232" s="651"/>
      <c r="B232" s="287" t="s">
        <v>1250</v>
      </c>
      <c r="C232" s="29" t="s">
        <v>1251</v>
      </c>
      <c r="D232" s="46" t="s">
        <v>1252</v>
      </c>
      <c r="E232" s="104">
        <v>4.5</v>
      </c>
      <c r="F232" s="30" t="s">
        <v>286</v>
      </c>
      <c r="G232" s="25">
        <v>8000</v>
      </c>
      <c r="H232" s="25">
        <f t="shared" si="41"/>
        <v>7479.2643760000001</v>
      </c>
      <c r="I232" s="242">
        <f t="shared" si="44"/>
        <v>33656.689692</v>
      </c>
      <c r="J232" s="25"/>
      <c r="K232" s="25">
        <f t="shared" si="43"/>
        <v>0</v>
      </c>
      <c r="L232" s="30">
        <f>E232*J232</f>
        <v>0</v>
      </c>
      <c r="M232" s="72">
        <f>I232+L232</f>
        <v>33656.689692</v>
      </c>
      <c r="N232" s="26"/>
      <c r="O232" s="921">
        <v>0.93490804699999996</v>
      </c>
    </row>
    <row r="233" spans="1:15" s="204" customFormat="1" ht="18.95" customHeight="1">
      <c r="A233" s="651"/>
      <c r="B233" s="27" t="s">
        <v>1253</v>
      </c>
      <c r="C233" s="29" t="s">
        <v>1254</v>
      </c>
      <c r="D233" s="895"/>
      <c r="E233" s="104">
        <v>2.5</v>
      </c>
      <c r="F233" s="30" t="s">
        <v>286</v>
      </c>
      <c r="G233" s="25">
        <v>24000</v>
      </c>
      <c r="H233" s="25">
        <f t="shared" si="41"/>
        <v>22437.793127999998</v>
      </c>
      <c r="I233" s="242">
        <f t="shared" si="44"/>
        <v>56094.48281999999</v>
      </c>
      <c r="J233" s="25"/>
      <c r="K233" s="25">
        <f t="shared" si="43"/>
        <v>0</v>
      </c>
      <c r="L233" s="30">
        <f>E233*J233</f>
        <v>0</v>
      </c>
      <c r="M233" s="72">
        <f>I233+L233</f>
        <v>56094.48281999999</v>
      </c>
      <c r="N233" s="26"/>
      <c r="O233" s="921">
        <v>0.93490804699999996</v>
      </c>
    </row>
    <row r="234" spans="1:15" s="204" customFormat="1" ht="18.95" customHeight="1">
      <c r="A234" s="651"/>
      <c r="B234" s="348"/>
      <c r="C234" s="29" t="s">
        <v>1255</v>
      </c>
      <c r="D234" s="46"/>
      <c r="E234" s="104"/>
      <c r="F234" s="30"/>
      <c r="G234" s="25"/>
      <c r="H234" s="25"/>
      <c r="I234" s="25"/>
      <c r="J234" s="25"/>
      <c r="K234" s="25"/>
      <c r="L234" s="30"/>
      <c r="M234" s="72"/>
      <c r="N234" s="26"/>
      <c r="O234" s="921">
        <v>0.93490804699999996</v>
      </c>
    </row>
    <row r="235" spans="1:15" s="204" customFormat="1" ht="18.95" customHeight="1">
      <c r="A235" s="651"/>
      <c r="B235" s="348"/>
      <c r="C235" s="29"/>
      <c r="D235" s="46"/>
      <c r="E235" s="104"/>
      <c r="F235" s="30"/>
      <c r="G235" s="25"/>
      <c r="H235" s="25"/>
      <c r="I235" s="25"/>
      <c r="J235" s="25"/>
      <c r="K235" s="25"/>
      <c r="L235" s="30"/>
      <c r="M235" s="72"/>
      <c r="N235" s="26"/>
      <c r="O235" s="921">
        <v>0.93490804699999996</v>
      </c>
    </row>
    <row r="236" spans="1:15" s="204" customFormat="1" ht="18.95" customHeight="1">
      <c r="A236" s="648"/>
      <c r="B236" s="302" t="s">
        <v>1256</v>
      </c>
      <c r="C236" s="221"/>
      <c r="D236" s="897"/>
      <c r="E236" s="896"/>
      <c r="F236" s="102"/>
      <c r="G236" s="34"/>
      <c r="H236" s="25"/>
      <c r="I236" s="34"/>
      <c r="J236" s="102"/>
      <c r="K236" s="25"/>
      <c r="L236" s="34"/>
      <c r="M236" s="35"/>
      <c r="N236" s="35"/>
      <c r="O236" s="921">
        <v>0.93490804699999996</v>
      </c>
    </row>
    <row r="237" spans="1:15" s="204" customFormat="1" ht="18.95" customHeight="1">
      <c r="A237" s="898"/>
      <c r="B237" s="932">
        <v>104</v>
      </c>
      <c r="C237" s="900" t="s">
        <v>1257</v>
      </c>
      <c r="D237" s="901"/>
      <c r="E237" s="902"/>
      <c r="F237" s="903"/>
      <c r="G237" s="903"/>
      <c r="H237" s="903"/>
      <c r="I237" s="903"/>
      <c r="J237" s="903"/>
      <c r="K237" s="903"/>
      <c r="L237" s="904"/>
      <c r="M237" s="904"/>
      <c r="N237" s="903"/>
      <c r="O237" s="921">
        <v>0.93490804699999996</v>
      </c>
    </row>
    <row r="238" spans="1:15" s="204" customFormat="1" ht="18.95" customHeight="1">
      <c r="A238" s="651"/>
      <c r="B238" s="27" t="s">
        <v>1258</v>
      </c>
      <c r="C238" s="29" t="s">
        <v>1259</v>
      </c>
      <c r="D238" s="895"/>
      <c r="E238" s="104"/>
      <c r="F238" s="30"/>
      <c r="G238" s="72"/>
      <c r="H238" s="25"/>
      <c r="I238" s="72"/>
      <c r="J238" s="72"/>
      <c r="K238" s="25"/>
      <c r="L238" s="72"/>
      <c r="M238" s="72"/>
      <c r="N238" s="26"/>
      <c r="O238" s="921">
        <v>0.93490804699999996</v>
      </c>
    </row>
    <row r="239" spans="1:15" s="204" customFormat="1" ht="18.95" customHeight="1">
      <c r="A239" s="651"/>
      <c r="B239" s="287" t="s">
        <v>1260</v>
      </c>
      <c r="C239" s="29" t="s">
        <v>1261</v>
      </c>
      <c r="D239" s="46" t="s">
        <v>1262</v>
      </c>
      <c r="E239" s="104">
        <v>19</v>
      </c>
      <c r="F239" s="30" t="s">
        <v>211</v>
      </c>
      <c r="G239" s="25">
        <v>7500</v>
      </c>
      <c r="H239" s="25">
        <f t="shared" si="41"/>
        <v>7011.8103524999997</v>
      </c>
      <c r="I239" s="242">
        <f t="shared" ref="I239:I274" si="46">E239*H239</f>
        <v>133224.39669749999</v>
      </c>
      <c r="J239" s="25">
        <v>2000</v>
      </c>
      <c r="K239" s="25">
        <f t="shared" si="43"/>
        <v>1869.816094</v>
      </c>
      <c r="L239" s="30">
        <f t="shared" ref="L239" si="47">E239*K239</f>
        <v>35526.505786000002</v>
      </c>
      <c r="M239" s="72">
        <f>I239+L239+L240</f>
        <v>176230.16685949999</v>
      </c>
      <c r="N239" s="26"/>
      <c r="O239" s="921">
        <v>0.93490804699999996</v>
      </c>
    </row>
    <row r="240" spans="1:15" s="204" customFormat="1" ht="18.95" customHeight="1">
      <c r="A240" s="651"/>
      <c r="B240" s="287" t="s">
        <v>1114</v>
      </c>
      <c r="C240" s="29" t="s">
        <v>1248</v>
      </c>
      <c r="D240" s="46" t="s">
        <v>1249</v>
      </c>
      <c r="E240" s="104"/>
      <c r="F240" s="30"/>
      <c r="G240" s="25"/>
      <c r="H240" s="25">
        <f t="shared" si="41"/>
        <v>0</v>
      </c>
      <c r="I240" s="242">
        <f t="shared" si="46"/>
        <v>0</v>
      </c>
      <c r="J240" s="25"/>
      <c r="K240" s="25">
        <f t="shared" si="43"/>
        <v>0</v>
      </c>
      <c r="L240" s="30">
        <f>8000*O240</f>
        <v>7479.2643760000001</v>
      </c>
      <c r="M240" s="72"/>
      <c r="N240" s="26"/>
      <c r="O240" s="921">
        <v>0.93490804699999996</v>
      </c>
    </row>
    <row r="241" spans="1:15" s="204" customFormat="1" ht="18.95" customHeight="1">
      <c r="A241" s="651"/>
      <c r="B241" s="287" t="s">
        <v>1250</v>
      </c>
      <c r="C241" s="29" t="s">
        <v>1263</v>
      </c>
      <c r="D241" s="46" t="s">
        <v>1264</v>
      </c>
      <c r="E241" s="104">
        <v>19</v>
      </c>
      <c r="F241" s="30" t="s">
        <v>286</v>
      </c>
      <c r="G241" s="25">
        <v>8000</v>
      </c>
      <c r="H241" s="25">
        <f t="shared" si="41"/>
        <v>7479.2643760000001</v>
      </c>
      <c r="I241" s="242">
        <f t="shared" si="46"/>
        <v>142106.02314400001</v>
      </c>
      <c r="J241" s="25">
        <v>0</v>
      </c>
      <c r="K241" s="25">
        <f t="shared" si="43"/>
        <v>0</v>
      </c>
      <c r="L241" s="30">
        <f>E241*J241</f>
        <v>0</v>
      </c>
      <c r="M241" s="72">
        <f>I241+L241</f>
        <v>142106.02314400001</v>
      </c>
      <c r="N241" s="26"/>
      <c r="O241" s="921">
        <v>0.93490804699999996</v>
      </c>
    </row>
    <row r="242" spans="1:15" s="204" customFormat="1" ht="18.95" customHeight="1">
      <c r="A242" s="651"/>
      <c r="B242" s="287" t="s">
        <v>1041</v>
      </c>
      <c r="C242" s="1278" t="s">
        <v>1265</v>
      </c>
      <c r="D242" s="1279"/>
      <c r="E242" s="104">
        <v>1</v>
      </c>
      <c r="F242" s="30" t="s">
        <v>349</v>
      </c>
      <c r="G242" s="25">
        <v>27900</v>
      </c>
      <c r="H242" s="25">
        <f t="shared" si="41"/>
        <v>26083.934511299998</v>
      </c>
      <c r="I242" s="242">
        <f t="shared" si="46"/>
        <v>26083.934511299998</v>
      </c>
      <c r="J242" s="25"/>
      <c r="K242" s="25">
        <f t="shared" si="43"/>
        <v>0</v>
      </c>
      <c r="L242" s="30">
        <f>E242*J242</f>
        <v>0</v>
      </c>
      <c r="M242" s="72">
        <f>I242+L242</f>
        <v>26083.934511299998</v>
      </c>
      <c r="N242" s="26"/>
      <c r="O242" s="921">
        <v>0.93490804699999996</v>
      </c>
    </row>
    <row r="243" spans="1:15" s="204" customFormat="1" ht="18.95" customHeight="1">
      <c r="A243" s="651"/>
      <c r="B243" s="287"/>
      <c r="C243" s="355" t="s">
        <v>1266</v>
      </c>
      <c r="D243" s="356"/>
      <c r="E243" s="104"/>
      <c r="F243" s="30"/>
      <c r="G243" s="25"/>
      <c r="H243" s="25"/>
      <c r="I243" s="242"/>
      <c r="J243" s="25"/>
      <c r="K243" s="25"/>
      <c r="L243" s="30"/>
      <c r="M243" s="72"/>
      <c r="N243" s="26"/>
      <c r="O243" s="921">
        <v>0.93490804699999996</v>
      </c>
    </row>
    <row r="244" spans="1:15" s="204" customFormat="1" ht="18.95" customHeight="1">
      <c r="A244" s="651"/>
      <c r="B244" s="287" t="s">
        <v>1041</v>
      </c>
      <c r="C244" s="1278" t="s">
        <v>1086</v>
      </c>
      <c r="D244" s="1279"/>
      <c r="E244" s="104">
        <v>1</v>
      </c>
      <c r="F244" s="30" t="s">
        <v>349</v>
      </c>
      <c r="G244" s="25">
        <v>9900</v>
      </c>
      <c r="H244" s="25">
        <f t="shared" si="41"/>
        <v>9255.5896653</v>
      </c>
      <c r="I244" s="242">
        <f t="shared" si="46"/>
        <v>9255.5896653</v>
      </c>
      <c r="J244" s="25"/>
      <c r="K244" s="25">
        <f t="shared" si="43"/>
        <v>0</v>
      </c>
      <c r="L244" s="30">
        <f>E244*J244</f>
        <v>0</v>
      </c>
      <c r="M244" s="72">
        <f>I244+L244</f>
        <v>9255.5896653</v>
      </c>
      <c r="N244" s="26"/>
      <c r="O244" s="921">
        <v>0.93490804699999996</v>
      </c>
    </row>
    <row r="245" spans="1:15" s="204" customFormat="1" ht="18.95" customHeight="1">
      <c r="A245" s="651"/>
      <c r="B245" s="287"/>
      <c r="C245" s="355" t="s">
        <v>1267</v>
      </c>
      <c r="D245" s="356"/>
      <c r="E245" s="104"/>
      <c r="F245" s="30"/>
      <c r="G245" s="25"/>
      <c r="H245" s="25"/>
      <c r="I245" s="242"/>
      <c r="J245" s="25"/>
      <c r="K245" s="25"/>
      <c r="L245" s="30"/>
      <c r="M245" s="72"/>
      <c r="N245" s="26"/>
      <c r="O245" s="921">
        <v>0.93490804699999996</v>
      </c>
    </row>
    <row r="246" spans="1:15" s="204" customFormat="1" ht="18.95" customHeight="1">
      <c r="A246" s="651"/>
      <c r="B246" s="27" t="s">
        <v>1268</v>
      </c>
      <c r="C246" s="349" t="s">
        <v>1269</v>
      </c>
      <c r="D246" s="49"/>
      <c r="E246" s="104">
        <v>2</v>
      </c>
      <c r="F246" s="30" t="s">
        <v>349</v>
      </c>
      <c r="G246" s="25">
        <v>5990</v>
      </c>
      <c r="H246" s="25">
        <f t="shared" si="41"/>
        <v>5600.0992015299998</v>
      </c>
      <c r="I246" s="242">
        <f t="shared" si="46"/>
        <v>11200.19840306</v>
      </c>
      <c r="J246" s="25"/>
      <c r="K246" s="25">
        <f t="shared" si="43"/>
        <v>0</v>
      </c>
      <c r="L246" s="30">
        <f>E246*J246</f>
        <v>0</v>
      </c>
      <c r="M246" s="72">
        <f>I246+L246</f>
        <v>11200.19840306</v>
      </c>
      <c r="N246" s="26"/>
      <c r="O246" s="921">
        <v>0.93490804699999996</v>
      </c>
    </row>
    <row r="247" spans="1:15" s="204" customFormat="1" ht="18.95" customHeight="1">
      <c r="A247" s="651"/>
      <c r="B247" s="27" t="s">
        <v>1270</v>
      </c>
      <c r="C247" s="29"/>
      <c r="D247" s="49"/>
      <c r="E247" s="104">
        <v>1</v>
      </c>
      <c r="F247" s="30" t="s">
        <v>349</v>
      </c>
      <c r="G247" s="25">
        <v>128000</v>
      </c>
      <c r="H247" s="25">
        <f t="shared" si="41"/>
        <v>119668.230016</v>
      </c>
      <c r="I247" s="242">
        <f t="shared" si="46"/>
        <v>119668.230016</v>
      </c>
      <c r="J247" s="25"/>
      <c r="K247" s="25">
        <f t="shared" si="43"/>
        <v>0</v>
      </c>
      <c r="L247" s="30">
        <f>E247*J247</f>
        <v>0</v>
      </c>
      <c r="M247" s="72">
        <f>I247+L247</f>
        <v>119668.230016</v>
      </c>
      <c r="N247" s="26"/>
      <c r="O247" s="921">
        <v>0.93490804699999996</v>
      </c>
    </row>
    <row r="248" spans="1:15" s="204" customFormat="1" ht="18.95" customHeight="1">
      <c r="A248" s="651"/>
      <c r="B248" s="27" t="s">
        <v>1271</v>
      </c>
      <c r="C248" s="29" t="s">
        <v>1272</v>
      </c>
      <c r="D248" s="895"/>
      <c r="E248" s="104"/>
      <c r="F248" s="30"/>
      <c r="G248" s="25"/>
      <c r="H248" s="25"/>
      <c r="I248" s="242"/>
      <c r="J248" s="25"/>
      <c r="K248" s="25"/>
      <c r="L248" s="25"/>
      <c r="M248" s="25"/>
      <c r="N248" s="26"/>
      <c r="O248" s="921">
        <v>0.93490804699999996</v>
      </c>
    </row>
    <row r="249" spans="1:15" s="204" customFormat="1" ht="18.95" customHeight="1">
      <c r="A249" s="651"/>
      <c r="B249" s="287" t="s">
        <v>1273</v>
      </c>
      <c r="C249" s="29" t="s">
        <v>1274</v>
      </c>
      <c r="D249" s="46" t="s">
        <v>1275</v>
      </c>
      <c r="E249" s="104">
        <v>82</v>
      </c>
      <c r="F249" s="30" t="s">
        <v>286</v>
      </c>
      <c r="G249" s="25">
        <v>330</v>
      </c>
      <c r="H249" s="25">
        <f t="shared" si="41"/>
        <v>308.51965551000001</v>
      </c>
      <c r="I249" s="242">
        <f t="shared" si="46"/>
        <v>25298.611751820001</v>
      </c>
      <c r="J249" s="25"/>
      <c r="K249" s="25">
        <f t="shared" si="43"/>
        <v>0</v>
      </c>
      <c r="L249" s="30">
        <f>E249*J249</f>
        <v>0</v>
      </c>
      <c r="M249" s="72">
        <f>I249+L249</f>
        <v>25298.611751820001</v>
      </c>
      <c r="N249" s="26"/>
      <c r="O249" s="921">
        <v>0.93490804699999996</v>
      </c>
    </row>
    <row r="250" spans="1:15" s="204" customFormat="1" ht="18.95" customHeight="1">
      <c r="A250" s="651"/>
      <c r="B250" s="287" t="s">
        <v>1276</v>
      </c>
      <c r="C250" s="29" t="s">
        <v>1274</v>
      </c>
      <c r="D250" s="46" t="s">
        <v>1275</v>
      </c>
      <c r="E250" s="104">
        <v>83</v>
      </c>
      <c r="F250" s="30" t="s">
        <v>286</v>
      </c>
      <c r="G250" s="25">
        <v>660</v>
      </c>
      <c r="H250" s="25">
        <f t="shared" si="41"/>
        <v>617.03931102000001</v>
      </c>
      <c r="I250" s="242">
        <f t="shared" si="46"/>
        <v>51214.262814660004</v>
      </c>
      <c r="J250" s="25"/>
      <c r="K250" s="25">
        <f t="shared" si="43"/>
        <v>0</v>
      </c>
      <c r="L250" s="30">
        <f>E250*J250</f>
        <v>0</v>
      </c>
      <c r="M250" s="72">
        <f>I250+L250</f>
        <v>51214.262814660004</v>
      </c>
      <c r="N250" s="26"/>
      <c r="O250" s="921">
        <v>0.93490804699999996</v>
      </c>
    </row>
    <row r="251" spans="1:15" s="204" customFormat="1" ht="18.95" customHeight="1">
      <c r="A251" s="651"/>
      <c r="B251" s="287" t="s">
        <v>1277</v>
      </c>
      <c r="C251" s="29" t="s">
        <v>1274</v>
      </c>
      <c r="D251" s="46" t="s">
        <v>1275</v>
      </c>
      <c r="E251" s="104">
        <v>82</v>
      </c>
      <c r="F251" s="30" t="s">
        <v>286</v>
      </c>
      <c r="G251" s="25">
        <v>925</v>
      </c>
      <c r="H251" s="25">
        <f t="shared" si="41"/>
        <v>864.78994347499997</v>
      </c>
      <c r="I251" s="242">
        <f t="shared" si="46"/>
        <v>70912.775364949994</v>
      </c>
      <c r="J251" s="25"/>
      <c r="K251" s="25">
        <f t="shared" si="43"/>
        <v>0</v>
      </c>
      <c r="L251" s="30">
        <f>E251*J251</f>
        <v>0</v>
      </c>
      <c r="M251" s="72">
        <f>I251+L251</f>
        <v>70912.775364949994</v>
      </c>
      <c r="N251" s="26"/>
      <c r="O251" s="921">
        <v>0.93490804699999996</v>
      </c>
    </row>
    <row r="252" spans="1:15" s="204" customFormat="1" ht="18.95" customHeight="1">
      <c r="A252" s="898"/>
      <c r="B252" s="932">
        <v>105</v>
      </c>
      <c r="C252" s="900" t="s">
        <v>902</v>
      </c>
      <c r="D252" s="901"/>
      <c r="E252" s="902"/>
      <c r="F252" s="903"/>
      <c r="G252" s="903"/>
      <c r="H252" s="903"/>
      <c r="I252" s="903"/>
      <c r="J252" s="903"/>
      <c r="K252" s="903"/>
      <c r="L252" s="904"/>
      <c r="M252" s="904"/>
      <c r="N252" s="903"/>
      <c r="O252" s="921">
        <v>0.93490804699999996</v>
      </c>
    </row>
    <row r="253" spans="1:15" s="204" customFormat="1" ht="18.95" customHeight="1">
      <c r="A253" s="651"/>
      <c r="B253" s="27" t="s">
        <v>1278</v>
      </c>
      <c r="C253" s="29" t="s">
        <v>1279</v>
      </c>
      <c r="D253" s="895"/>
      <c r="E253" s="104">
        <v>22</v>
      </c>
      <c r="F253" s="30" t="s">
        <v>211</v>
      </c>
      <c r="G253" s="25">
        <v>3000</v>
      </c>
      <c r="H253" s="25">
        <f t="shared" si="41"/>
        <v>2804.7241409999997</v>
      </c>
      <c r="I253" s="242">
        <f t="shared" si="46"/>
        <v>61703.931101999995</v>
      </c>
      <c r="J253" s="25">
        <v>30</v>
      </c>
      <c r="K253" s="25">
        <f t="shared" si="43"/>
        <v>28.047241409999998</v>
      </c>
      <c r="L253" s="30">
        <f>E253*K253</f>
        <v>617.03931102000001</v>
      </c>
      <c r="M253" s="72">
        <f>I253+L253</f>
        <v>62320.970413019997</v>
      </c>
      <c r="N253" s="26"/>
      <c r="O253" s="921">
        <v>0.93490804699999996</v>
      </c>
    </row>
    <row r="254" spans="1:15" s="204" customFormat="1" ht="18.95" customHeight="1">
      <c r="A254" s="651"/>
      <c r="B254" s="27"/>
      <c r="C254" s="29"/>
      <c r="D254" s="895"/>
      <c r="E254" s="104"/>
      <c r="F254" s="30"/>
      <c r="G254" s="25"/>
      <c r="H254" s="25"/>
      <c r="I254" s="242"/>
      <c r="J254" s="25"/>
      <c r="K254" s="25"/>
      <c r="L254" s="30"/>
      <c r="M254" s="72"/>
      <c r="N254" s="26"/>
      <c r="O254" s="921">
        <v>0.93490804699999996</v>
      </c>
    </row>
    <row r="255" spans="1:15" s="204" customFormat="1" ht="18.95" customHeight="1">
      <c r="A255" s="651"/>
      <c r="B255" s="27" t="s">
        <v>1245</v>
      </c>
      <c r="C255" s="349"/>
      <c r="D255" s="895"/>
      <c r="E255" s="104"/>
      <c r="F255" s="30"/>
      <c r="G255" s="72"/>
      <c r="H255" s="25"/>
      <c r="I255" s="242"/>
      <c r="J255" s="72"/>
      <c r="K255" s="25"/>
      <c r="L255" s="72"/>
      <c r="M255" s="72"/>
      <c r="N255" s="26"/>
      <c r="O255" s="921">
        <v>0.93490804699999996</v>
      </c>
    </row>
    <row r="256" spans="1:15" s="204" customFormat="1" ht="18.95" customHeight="1">
      <c r="A256" s="651"/>
      <c r="B256" s="27" t="s">
        <v>1280</v>
      </c>
      <c r="C256" s="349"/>
      <c r="D256" s="895"/>
      <c r="E256" s="104"/>
      <c r="F256" s="30"/>
      <c r="G256" s="72"/>
      <c r="H256" s="25"/>
      <c r="I256" s="242"/>
      <c r="J256" s="72"/>
      <c r="K256" s="25"/>
      <c r="L256" s="72"/>
      <c r="M256" s="72"/>
      <c r="N256" s="26"/>
      <c r="O256" s="921">
        <v>0.93490804699999996</v>
      </c>
    </row>
    <row r="257" spans="1:15" s="204" customFormat="1" ht="18.95" customHeight="1">
      <c r="A257" s="651"/>
      <c r="B257" s="287" t="s">
        <v>1281</v>
      </c>
      <c r="C257" s="29" t="s">
        <v>1261</v>
      </c>
      <c r="D257" s="46" t="s">
        <v>1262</v>
      </c>
      <c r="E257" s="104">
        <v>1</v>
      </c>
      <c r="F257" s="30" t="s">
        <v>211</v>
      </c>
      <c r="G257" s="25">
        <v>7500</v>
      </c>
      <c r="H257" s="25">
        <f t="shared" si="41"/>
        <v>7011.8103524999997</v>
      </c>
      <c r="I257" s="242">
        <f t="shared" si="46"/>
        <v>7011.8103524999997</v>
      </c>
      <c r="J257" s="25">
        <v>2000</v>
      </c>
      <c r="K257" s="25">
        <f t="shared" si="43"/>
        <v>1869.816094</v>
      </c>
      <c r="L257" s="30">
        <f>E257*K257</f>
        <v>1869.816094</v>
      </c>
      <c r="M257" s="72">
        <f>I257+L257+L258</f>
        <v>16360.890822500001</v>
      </c>
      <c r="N257" s="26"/>
      <c r="O257" s="921">
        <v>0.93490804699999996</v>
      </c>
    </row>
    <row r="258" spans="1:15" s="204" customFormat="1" ht="18.95" customHeight="1">
      <c r="A258" s="651"/>
      <c r="B258" s="287" t="s">
        <v>1114</v>
      </c>
      <c r="C258" s="29" t="s">
        <v>1261</v>
      </c>
      <c r="D258" s="46" t="s">
        <v>1249</v>
      </c>
      <c r="E258" s="104"/>
      <c r="F258" s="30"/>
      <c r="G258" s="25"/>
      <c r="H258" s="25"/>
      <c r="I258" s="242"/>
      <c r="J258" s="25"/>
      <c r="K258" s="25"/>
      <c r="L258" s="30">
        <f>8000*O258</f>
        <v>7479.2643760000001</v>
      </c>
      <c r="M258" s="72"/>
      <c r="N258" s="26"/>
      <c r="O258" s="921">
        <v>0.93490804699999996</v>
      </c>
    </row>
    <row r="259" spans="1:15" s="204" customFormat="1" ht="18.95" customHeight="1">
      <c r="A259" s="651"/>
      <c r="B259" s="287" t="s">
        <v>1282</v>
      </c>
      <c r="C259" s="29" t="s">
        <v>1036</v>
      </c>
      <c r="D259" s="46" t="s">
        <v>1037</v>
      </c>
      <c r="E259" s="104">
        <v>5</v>
      </c>
      <c r="F259" s="30" t="s">
        <v>286</v>
      </c>
      <c r="G259" s="25">
        <v>8000</v>
      </c>
      <c r="H259" s="25">
        <f t="shared" si="41"/>
        <v>7479.2643760000001</v>
      </c>
      <c r="I259" s="242">
        <f t="shared" si="46"/>
        <v>37396.321880000003</v>
      </c>
      <c r="J259" s="25">
        <v>0</v>
      </c>
      <c r="K259" s="25">
        <f t="shared" si="43"/>
        <v>0</v>
      </c>
      <c r="L259" s="30">
        <f>E259*J259</f>
        <v>0</v>
      </c>
      <c r="M259" s="72">
        <f>I259+L259</f>
        <v>37396.321880000003</v>
      </c>
      <c r="N259" s="26"/>
      <c r="O259" s="921">
        <v>0.93490804699999996</v>
      </c>
    </row>
    <row r="260" spans="1:15" s="204" customFormat="1" ht="18.95" customHeight="1">
      <c r="A260" s="651"/>
      <c r="B260" s="287" t="s">
        <v>1041</v>
      </c>
      <c r="C260" s="1278" t="s">
        <v>1283</v>
      </c>
      <c r="D260" s="1279"/>
      <c r="E260" s="104">
        <v>1</v>
      </c>
      <c r="F260" s="30" t="s">
        <v>349</v>
      </c>
      <c r="G260" s="25">
        <v>7890</v>
      </c>
      <c r="H260" s="25">
        <f t="shared" si="41"/>
        <v>7376.4244908299997</v>
      </c>
      <c r="I260" s="242">
        <f t="shared" si="46"/>
        <v>7376.4244908299997</v>
      </c>
      <c r="J260" s="25"/>
      <c r="K260" s="25">
        <f t="shared" si="43"/>
        <v>0</v>
      </c>
      <c r="L260" s="30">
        <f>E260*J260</f>
        <v>0</v>
      </c>
      <c r="M260" s="72">
        <f>I260+L260</f>
        <v>7376.4244908299997</v>
      </c>
      <c r="N260" s="26"/>
      <c r="O260" s="921">
        <v>0.93490804699999996</v>
      </c>
    </row>
    <row r="261" spans="1:15" s="204" customFormat="1" ht="18.95" customHeight="1">
      <c r="A261" s="651"/>
      <c r="B261" s="287"/>
      <c r="C261" s="29" t="s">
        <v>1284</v>
      </c>
      <c r="D261" s="356"/>
      <c r="E261" s="104"/>
      <c r="F261" s="30"/>
      <c r="G261" s="25"/>
      <c r="H261" s="25"/>
      <c r="I261" s="242"/>
      <c r="J261" s="25"/>
      <c r="K261" s="25"/>
      <c r="L261" s="30"/>
      <c r="M261" s="72"/>
      <c r="N261" s="26"/>
      <c r="O261" s="921">
        <v>0.93490804699999996</v>
      </c>
    </row>
    <row r="262" spans="1:15" s="204" customFormat="1" ht="18.95" customHeight="1">
      <c r="A262" s="651"/>
      <c r="B262" s="27" t="s">
        <v>1285</v>
      </c>
      <c r="C262" s="29" t="s">
        <v>1286</v>
      </c>
      <c r="D262" s="49"/>
      <c r="E262" s="104">
        <v>1</v>
      </c>
      <c r="F262" s="30" t="s">
        <v>349</v>
      </c>
      <c r="G262" s="25">
        <v>8600</v>
      </c>
      <c r="H262" s="25">
        <f t="shared" si="41"/>
        <v>8040.2092041999995</v>
      </c>
      <c r="I262" s="242">
        <f t="shared" si="46"/>
        <v>8040.2092041999995</v>
      </c>
      <c r="J262" s="25"/>
      <c r="K262" s="25">
        <f t="shared" si="43"/>
        <v>0</v>
      </c>
      <c r="L262" s="30">
        <f>E262*J262</f>
        <v>0</v>
      </c>
      <c r="M262" s="72">
        <f>I262+L262</f>
        <v>8040.2092041999995</v>
      </c>
      <c r="N262" s="26"/>
      <c r="O262" s="921">
        <v>0.93490804699999996</v>
      </c>
    </row>
    <row r="263" spans="1:15" s="204" customFormat="1" ht="18.95" customHeight="1">
      <c r="A263" s="651"/>
      <c r="B263" s="27" t="s">
        <v>1287</v>
      </c>
      <c r="C263" s="349"/>
      <c r="D263" s="895"/>
      <c r="E263" s="104">
        <v>5</v>
      </c>
      <c r="F263" s="30" t="s">
        <v>286</v>
      </c>
      <c r="G263" s="25">
        <v>12000</v>
      </c>
      <c r="H263" s="25">
        <f t="shared" si="41"/>
        <v>11218.896563999999</v>
      </c>
      <c r="I263" s="242">
        <f t="shared" si="46"/>
        <v>56094.48281999999</v>
      </c>
      <c r="J263" s="25">
        <v>0</v>
      </c>
      <c r="K263" s="25">
        <f t="shared" si="43"/>
        <v>0</v>
      </c>
      <c r="L263" s="30">
        <f>E263*J263</f>
        <v>0</v>
      </c>
      <c r="M263" s="72">
        <f>I263+L263</f>
        <v>56094.48281999999</v>
      </c>
      <c r="N263" s="26"/>
      <c r="O263" s="921">
        <v>0.93490804699999996</v>
      </c>
    </row>
    <row r="264" spans="1:15" s="204" customFormat="1" ht="18.95" customHeight="1">
      <c r="A264" s="651"/>
      <c r="B264" s="27" t="s">
        <v>1253</v>
      </c>
      <c r="C264" s="29" t="s">
        <v>1288</v>
      </c>
      <c r="D264" s="895"/>
      <c r="E264" s="104"/>
      <c r="F264" s="30"/>
      <c r="G264" s="25"/>
      <c r="H264" s="25"/>
      <c r="I264" s="242"/>
      <c r="J264" s="25"/>
      <c r="K264" s="25"/>
      <c r="L264" s="25"/>
      <c r="M264" s="25"/>
      <c r="N264" s="26"/>
      <c r="O264" s="921">
        <v>0.93490804699999996</v>
      </c>
    </row>
    <row r="265" spans="1:15" s="204" customFormat="1" ht="18.95" customHeight="1">
      <c r="A265" s="651"/>
      <c r="B265" s="287" t="s">
        <v>1281</v>
      </c>
      <c r="C265" s="29" t="s">
        <v>1261</v>
      </c>
      <c r="D265" s="46" t="s">
        <v>1262</v>
      </c>
      <c r="E265" s="104">
        <v>3.2</v>
      </c>
      <c r="F265" s="30" t="s">
        <v>211</v>
      </c>
      <c r="G265" s="25">
        <v>7500</v>
      </c>
      <c r="H265" s="25">
        <f t="shared" si="41"/>
        <v>7011.8103524999997</v>
      </c>
      <c r="I265" s="242">
        <f t="shared" si="46"/>
        <v>22437.793128000001</v>
      </c>
      <c r="J265" s="25">
        <v>0</v>
      </c>
      <c r="K265" s="25">
        <f t="shared" si="43"/>
        <v>0</v>
      </c>
      <c r="L265" s="30">
        <f>E265*J265</f>
        <v>0</v>
      </c>
      <c r="M265" s="72">
        <f>I265+L265</f>
        <v>22437.793128000001</v>
      </c>
      <c r="N265" s="26"/>
      <c r="O265" s="921">
        <v>0.93490804699999996</v>
      </c>
    </row>
    <row r="266" spans="1:15" s="204" customFormat="1" ht="18.95" customHeight="1">
      <c r="A266" s="651"/>
      <c r="B266" s="287" t="s">
        <v>1114</v>
      </c>
      <c r="C266" s="29" t="s">
        <v>1261</v>
      </c>
      <c r="D266" s="46" t="s">
        <v>1262</v>
      </c>
      <c r="E266" s="104"/>
      <c r="F266" s="30"/>
      <c r="G266" s="25"/>
      <c r="H266" s="25"/>
      <c r="I266" s="242"/>
      <c r="J266" s="25"/>
      <c r="K266" s="25"/>
      <c r="L266" s="30"/>
      <c r="M266" s="72"/>
      <c r="N266" s="26"/>
      <c r="O266" s="921">
        <v>0.93490804699999996</v>
      </c>
    </row>
    <row r="267" spans="1:15" s="204" customFormat="1" ht="18.95" customHeight="1">
      <c r="A267" s="651"/>
      <c r="B267" s="287" t="s">
        <v>1289</v>
      </c>
      <c r="C267" s="29" t="s">
        <v>1036</v>
      </c>
      <c r="D267" s="46" t="s">
        <v>1037</v>
      </c>
      <c r="E267" s="104">
        <v>5</v>
      </c>
      <c r="F267" s="30" t="s">
        <v>286</v>
      </c>
      <c r="G267" s="25">
        <v>8000</v>
      </c>
      <c r="H267" s="25">
        <f t="shared" si="41"/>
        <v>7479.2643760000001</v>
      </c>
      <c r="I267" s="242">
        <f t="shared" si="46"/>
        <v>37396.321880000003</v>
      </c>
      <c r="J267" s="25">
        <v>0</v>
      </c>
      <c r="K267" s="25">
        <f t="shared" si="43"/>
        <v>0</v>
      </c>
      <c r="L267" s="30">
        <f>E267*J267</f>
        <v>0</v>
      </c>
      <c r="M267" s="72">
        <f>I267+L267</f>
        <v>37396.321880000003</v>
      </c>
      <c r="N267" s="26"/>
      <c r="O267" s="921">
        <v>0.93490804699999996</v>
      </c>
    </row>
    <row r="268" spans="1:15" s="204" customFormat="1" ht="18.95" customHeight="1">
      <c r="A268" s="651"/>
      <c r="B268" s="287" t="s">
        <v>1290</v>
      </c>
      <c r="C268" s="29" t="s">
        <v>1291</v>
      </c>
      <c r="D268" s="46" t="s">
        <v>1292</v>
      </c>
      <c r="E268" s="104">
        <v>1.2</v>
      </c>
      <c r="F268" s="30" t="s">
        <v>211</v>
      </c>
      <c r="G268" s="25"/>
      <c r="H268" s="25">
        <f t="shared" si="41"/>
        <v>0</v>
      </c>
      <c r="I268" s="242">
        <f t="shared" si="46"/>
        <v>0</v>
      </c>
      <c r="J268" s="25"/>
      <c r="K268" s="25">
        <f t="shared" si="43"/>
        <v>0</v>
      </c>
      <c r="L268" s="30"/>
      <c r="M268" s="72"/>
      <c r="N268" s="26"/>
      <c r="O268" s="921">
        <v>0.93490804699999996</v>
      </c>
    </row>
    <row r="269" spans="1:15" s="204" customFormat="1" ht="18.95" customHeight="1">
      <c r="A269" s="651"/>
      <c r="B269" s="27" t="s">
        <v>1293</v>
      </c>
      <c r="C269" s="29" t="s">
        <v>1294</v>
      </c>
      <c r="D269" s="895"/>
      <c r="E269" s="104">
        <v>11</v>
      </c>
      <c r="F269" s="30" t="s">
        <v>211</v>
      </c>
      <c r="G269" s="25">
        <v>3330</v>
      </c>
      <c r="H269" s="25">
        <f t="shared" si="41"/>
        <v>3113.2437965099998</v>
      </c>
      <c r="I269" s="242">
        <f t="shared" si="46"/>
        <v>34245.681761610002</v>
      </c>
      <c r="J269" s="25"/>
      <c r="K269" s="25">
        <f t="shared" si="43"/>
        <v>0</v>
      </c>
      <c r="L269" s="25">
        <f>E269*J269</f>
        <v>0</v>
      </c>
      <c r="M269" s="25">
        <f>I269+L269</f>
        <v>34245.681761610002</v>
      </c>
      <c r="N269" s="26"/>
      <c r="O269" s="921">
        <v>0.93490804699999996</v>
      </c>
    </row>
    <row r="270" spans="1:15" s="204" customFormat="1" ht="18.95" customHeight="1">
      <c r="A270" s="648"/>
      <c r="B270" s="302" t="s">
        <v>353</v>
      </c>
      <c r="C270" s="221"/>
      <c r="D270" s="897"/>
      <c r="E270" s="896"/>
      <c r="F270" s="102"/>
      <c r="G270" s="34"/>
      <c r="H270" s="25"/>
      <c r="I270" s="242"/>
      <c r="J270" s="34"/>
      <c r="K270" s="25"/>
      <c r="L270" s="34"/>
      <c r="M270" s="34"/>
      <c r="N270" s="35"/>
      <c r="O270" s="921">
        <v>0.93490804699999996</v>
      </c>
    </row>
    <row r="271" spans="1:15" s="204" customFormat="1" ht="18.95" customHeight="1">
      <c r="A271" s="651" t="s">
        <v>1295</v>
      </c>
      <c r="B271" s="27" t="s">
        <v>1296</v>
      </c>
      <c r="C271" s="29"/>
      <c r="D271" s="895"/>
      <c r="E271" s="104">
        <v>5.5</v>
      </c>
      <c r="F271" s="30" t="s">
        <v>286</v>
      </c>
      <c r="G271" s="676">
        <v>250</v>
      </c>
      <c r="H271" s="25">
        <f t="shared" si="41"/>
        <v>233.72701175</v>
      </c>
      <c r="I271" s="242">
        <f>E271*H271</f>
        <v>1285.498564625</v>
      </c>
      <c r="J271" s="676">
        <v>0</v>
      </c>
      <c r="K271" s="25">
        <f t="shared" si="43"/>
        <v>0</v>
      </c>
      <c r="L271" s="242">
        <v>0</v>
      </c>
      <c r="M271" s="242">
        <f>I271+L271</f>
        <v>1285.498564625</v>
      </c>
      <c r="N271" s="26" t="s">
        <v>151</v>
      </c>
      <c r="O271" s="921">
        <v>0.93490804699999996</v>
      </c>
    </row>
    <row r="272" spans="1:15" s="204" customFormat="1" ht="18.95" customHeight="1">
      <c r="A272" s="651"/>
      <c r="B272" s="302" t="s">
        <v>1181</v>
      </c>
      <c r="C272" s="349"/>
      <c r="D272" s="49"/>
      <c r="E272" s="896"/>
      <c r="F272" s="102"/>
      <c r="G272" s="34"/>
      <c r="H272" s="25"/>
      <c r="I272" s="242"/>
      <c r="J272" s="34"/>
      <c r="K272" s="25"/>
      <c r="L272" s="34"/>
      <c r="M272" s="34"/>
      <c r="N272" s="26"/>
      <c r="O272" s="921">
        <v>0.93490804699999996</v>
      </c>
    </row>
    <row r="273" spans="1:15" s="204" customFormat="1" ht="18.95" customHeight="1">
      <c r="A273" s="348"/>
      <c r="B273" s="651" t="s">
        <v>1297</v>
      </c>
      <c r="C273" s="29" t="s">
        <v>1298</v>
      </c>
      <c r="D273" s="46"/>
      <c r="E273" s="104">
        <v>10</v>
      </c>
      <c r="F273" s="30" t="s">
        <v>286</v>
      </c>
      <c r="G273" s="25">
        <v>350</v>
      </c>
      <c r="H273" s="25">
        <f t="shared" si="41"/>
        <v>327.21781644999999</v>
      </c>
      <c r="I273" s="242">
        <f t="shared" si="46"/>
        <v>3272.1781645000001</v>
      </c>
      <c r="J273" s="25">
        <v>150</v>
      </c>
      <c r="K273" s="25">
        <f t="shared" si="43"/>
        <v>140.23620704999999</v>
      </c>
      <c r="L273" s="30">
        <f t="shared" ref="L273:L274" si="48">E273*K273</f>
        <v>1402.3620704999998</v>
      </c>
      <c r="M273" s="72">
        <f>I273+L273</f>
        <v>4674.5402350000004</v>
      </c>
      <c r="N273" s="26"/>
      <c r="O273" s="921">
        <v>0.93490804699999996</v>
      </c>
    </row>
    <row r="274" spans="1:15" s="204" customFormat="1" ht="18.95" customHeight="1">
      <c r="A274" s="651"/>
      <c r="B274" s="348"/>
      <c r="C274" s="29" t="s">
        <v>1299</v>
      </c>
      <c r="D274" s="46"/>
      <c r="E274" s="104">
        <v>2</v>
      </c>
      <c r="F274" s="30" t="s">
        <v>286</v>
      </c>
      <c r="G274" s="25">
        <v>350</v>
      </c>
      <c r="H274" s="25">
        <f t="shared" si="41"/>
        <v>327.21781644999999</v>
      </c>
      <c r="I274" s="242">
        <f t="shared" si="46"/>
        <v>654.43563289999997</v>
      </c>
      <c r="J274" s="25">
        <v>150</v>
      </c>
      <c r="K274" s="25">
        <f t="shared" si="43"/>
        <v>140.23620704999999</v>
      </c>
      <c r="L274" s="30">
        <f t="shared" si="48"/>
        <v>280.47241409999998</v>
      </c>
      <c r="M274" s="72">
        <f>I274+L274</f>
        <v>934.9080469999999</v>
      </c>
      <c r="N274" s="26"/>
      <c r="O274" s="921">
        <v>0.93490804699999996</v>
      </c>
    </row>
    <row r="275" spans="1:15" s="204" customFormat="1" ht="18.95" customHeight="1">
      <c r="A275" s="651"/>
      <c r="B275" s="348"/>
      <c r="C275" s="29"/>
      <c r="D275" s="46"/>
      <c r="E275" s="104"/>
      <c r="F275" s="30"/>
      <c r="G275" s="25"/>
      <c r="H275" s="25"/>
      <c r="I275" s="25"/>
      <c r="J275" s="25"/>
      <c r="K275" s="25"/>
      <c r="L275" s="30"/>
      <c r="M275" s="72"/>
      <c r="N275" s="26"/>
      <c r="O275" s="921">
        <v>0.93490804699999996</v>
      </c>
    </row>
    <row r="276" spans="1:15" s="204" customFormat="1" ht="18.95" customHeight="1">
      <c r="A276" s="648"/>
      <c r="B276" s="302" t="s">
        <v>1300</v>
      </c>
      <c r="C276" s="221"/>
      <c r="D276" s="897"/>
      <c r="E276" s="896"/>
      <c r="F276" s="102"/>
      <c r="G276" s="34"/>
      <c r="H276" s="25"/>
      <c r="I276" s="34"/>
      <c r="J276" s="102"/>
      <c r="K276" s="25"/>
      <c r="L276" s="34"/>
      <c r="M276" s="35"/>
      <c r="N276" s="35"/>
      <c r="O276" s="921">
        <v>0.93490804699999996</v>
      </c>
    </row>
    <row r="277" spans="1:15" s="204" customFormat="1" ht="18.95" customHeight="1">
      <c r="A277" s="898"/>
      <c r="B277" s="932">
        <v>102</v>
      </c>
      <c r="C277" s="900" t="s">
        <v>1301</v>
      </c>
      <c r="D277" s="901"/>
      <c r="E277" s="902"/>
      <c r="F277" s="903"/>
      <c r="G277" s="903"/>
      <c r="H277" s="903"/>
      <c r="I277" s="903"/>
      <c r="J277" s="903"/>
      <c r="K277" s="903"/>
      <c r="L277" s="904"/>
      <c r="M277" s="904"/>
      <c r="N277" s="903"/>
      <c r="O277" s="921">
        <v>0.93490804699999996</v>
      </c>
    </row>
    <row r="278" spans="1:15" s="204" customFormat="1" ht="18.95" customHeight="1">
      <c r="A278" s="651"/>
      <c r="B278" s="27" t="s">
        <v>1302</v>
      </c>
      <c r="C278" s="29" t="s">
        <v>1303</v>
      </c>
      <c r="D278" s="895"/>
      <c r="E278" s="104"/>
      <c r="F278" s="30"/>
      <c r="G278" s="25"/>
      <c r="H278" s="25"/>
      <c r="I278" s="25"/>
      <c r="J278" s="25"/>
      <c r="K278" s="25"/>
      <c r="L278" s="30"/>
      <c r="M278" s="72"/>
      <c r="N278" s="26"/>
      <c r="O278" s="921">
        <v>0.93490804699999996</v>
      </c>
    </row>
    <row r="279" spans="1:15" s="204" customFormat="1" ht="18.95" customHeight="1">
      <c r="A279" s="651"/>
      <c r="B279" s="287" t="s">
        <v>1304</v>
      </c>
      <c r="C279" s="29" t="s">
        <v>1248</v>
      </c>
      <c r="D279" s="46" t="s">
        <v>1249</v>
      </c>
      <c r="E279" s="104">
        <v>12</v>
      </c>
      <c r="F279" s="30" t="s">
        <v>286</v>
      </c>
      <c r="G279" s="25">
        <v>7500</v>
      </c>
      <c r="H279" s="25">
        <f t="shared" si="41"/>
        <v>7011.8103524999997</v>
      </c>
      <c r="I279" s="242">
        <f t="shared" ref="I279:I281" si="49">E279*H279</f>
        <v>84141.724229999993</v>
      </c>
      <c r="J279" s="25">
        <v>2000</v>
      </c>
      <c r="K279" s="25">
        <f t="shared" si="43"/>
        <v>1869.816094</v>
      </c>
      <c r="L279" s="30">
        <f t="shared" ref="L279" si="50">E279*K279</f>
        <v>22437.793128000001</v>
      </c>
      <c r="M279" s="72">
        <f>I279+L279+L280</f>
        <v>114058.781734</v>
      </c>
      <c r="N279" s="26"/>
      <c r="O279" s="921">
        <v>0.93490804699999996</v>
      </c>
    </row>
    <row r="280" spans="1:15" s="204" customFormat="1" ht="18.95" customHeight="1">
      <c r="A280" s="651"/>
      <c r="B280" s="287" t="s">
        <v>1305</v>
      </c>
      <c r="C280" s="29" t="s">
        <v>1248</v>
      </c>
      <c r="D280" s="46" t="s">
        <v>1249</v>
      </c>
      <c r="E280" s="104"/>
      <c r="F280" s="30"/>
      <c r="G280" s="25"/>
      <c r="H280" s="25"/>
      <c r="I280" s="242"/>
      <c r="J280" s="25"/>
      <c r="K280" s="25"/>
      <c r="L280" s="30">
        <f>8000*O280</f>
        <v>7479.2643760000001</v>
      </c>
      <c r="M280" s="72"/>
      <c r="N280" s="26"/>
      <c r="O280" s="921">
        <v>0.93490804699999996</v>
      </c>
    </row>
    <row r="281" spans="1:15" ht="18.95" customHeight="1">
      <c r="A281" s="651"/>
      <c r="B281" s="287" t="s">
        <v>1250</v>
      </c>
      <c r="C281" s="29" t="s">
        <v>1263</v>
      </c>
      <c r="D281" s="46" t="s">
        <v>1264</v>
      </c>
      <c r="E281" s="104">
        <v>12</v>
      </c>
      <c r="F281" s="30" t="s">
        <v>286</v>
      </c>
      <c r="G281" s="25">
        <v>8000</v>
      </c>
      <c r="H281" s="25">
        <f t="shared" si="41"/>
        <v>7479.2643760000001</v>
      </c>
      <c r="I281" s="242">
        <f t="shared" si="49"/>
        <v>89751.172512000005</v>
      </c>
      <c r="J281" s="25">
        <v>0</v>
      </c>
      <c r="K281" s="25">
        <f t="shared" si="43"/>
        <v>0</v>
      </c>
      <c r="L281" s="30">
        <f>E281*J281</f>
        <v>0</v>
      </c>
      <c r="M281" s="72">
        <f>I281+L281</f>
        <v>89751.172512000005</v>
      </c>
      <c r="N281" s="26"/>
      <c r="O281" s="921">
        <v>0.93490804699999996</v>
      </c>
    </row>
    <row r="282" spans="1:15" ht="18.95" customHeight="1">
      <c r="A282" s="651"/>
      <c r="B282" s="287"/>
      <c r="C282" s="29"/>
      <c r="D282" s="46"/>
      <c r="E282" s="104"/>
      <c r="F282" s="30"/>
      <c r="G282" s="25"/>
      <c r="H282" s="25"/>
      <c r="I282" s="25"/>
      <c r="J282" s="25"/>
      <c r="K282" s="25"/>
      <c r="L282" s="30"/>
      <c r="M282" s="72"/>
      <c r="N282" s="26"/>
      <c r="O282" s="921">
        <v>0.93490804699999996</v>
      </c>
    </row>
    <row r="283" spans="1:15" ht="18.95" customHeight="1">
      <c r="A283" s="648"/>
      <c r="B283" s="302" t="s">
        <v>1306</v>
      </c>
      <c r="C283" s="221"/>
      <c r="D283" s="897"/>
      <c r="E283" s="896"/>
      <c r="F283" s="102"/>
      <c r="G283" s="34"/>
      <c r="H283" s="25"/>
      <c r="I283" s="34"/>
      <c r="J283" s="102"/>
      <c r="K283" s="25"/>
      <c r="L283" s="34"/>
      <c r="M283" s="35"/>
      <c r="N283" s="35"/>
      <c r="O283" s="921">
        <v>0.93490804699999996</v>
      </c>
    </row>
    <row r="284" spans="1:15" ht="18.95" customHeight="1">
      <c r="A284" s="898"/>
      <c r="B284" s="932">
        <v>310.10000000000002</v>
      </c>
      <c r="C284" s="900" t="s">
        <v>1307</v>
      </c>
      <c r="D284" s="901"/>
      <c r="E284" s="902"/>
      <c r="F284" s="903"/>
      <c r="G284" s="903"/>
      <c r="H284" s="903"/>
      <c r="I284" s="903"/>
      <c r="J284" s="903"/>
      <c r="K284" s="903"/>
      <c r="L284" s="904"/>
      <c r="M284" s="904"/>
      <c r="N284" s="903"/>
      <c r="O284" s="921">
        <v>0.93490804699999996</v>
      </c>
    </row>
    <row r="285" spans="1:15" ht="18.95" customHeight="1">
      <c r="A285" s="651"/>
      <c r="B285" s="27" t="s">
        <v>1308</v>
      </c>
      <c r="C285" s="29" t="s">
        <v>1309</v>
      </c>
      <c r="D285" s="46"/>
      <c r="E285" s="104"/>
      <c r="F285" s="30"/>
      <c r="G285" s="25"/>
      <c r="H285" s="25"/>
      <c r="I285" s="25"/>
      <c r="J285" s="25"/>
      <c r="K285" s="25"/>
      <c r="L285" s="25"/>
      <c r="M285" s="25"/>
      <c r="N285" s="26"/>
      <c r="O285" s="921">
        <v>0.93490804699999996</v>
      </c>
    </row>
    <row r="286" spans="1:15" ht="18.95" customHeight="1">
      <c r="A286" s="651"/>
      <c r="B286" s="287" t="s">
        <v>1310</v>
      </c>
      <c r="C286" s="29" t="s">
        <v>1311</v>
      </c>
      <c r="D286" s="46" t="s">
        <v>1312</v>
      </c>
      <c r="E286" s="104">
        <v>118</v>
      </c>
      <c r="F286" s="30" t="s">
        <v>286</v>
      </c>
      <c r="G286" s="25">
        <v>10000</v>
      </c>
      <c r="H286" s="25">
        <f t="shared" ref="H286:H349" si="51">G286*O286</f>
        <v>9349.080469999999</v>
      </c>
      <c r="I286" s="242">
        <f t="shared" ref="I286:I321" si="52">E286*H286</f>
        <v>1103191.4954599999</v>
      </c>
      <c r="J286" s="25"/>
      <c r="K286" s="25">
        <f t="shared" ref="K286:K349" si="53">J286*O286</f>
        <v>0</v>
      </c>
      <c r="L286" s="30"/>
      <c r="M286" s="72">
        <f>I286+L286</f>
        <v>1103191.4954599999</v>
      </c>
      <c r="N286" s="119"/>
      <c r="O286" s="921">
        <v>0.93490804699999996</v>
      </c>
    </row>
    <row r="287" spans="1:15" ht="18.95" customHeight="1">
      <c r="A287" s="651"/>
      <c r="B287" s="287" t="s">
        <v>1313</v>
      </c>
      <c r="C287" s="29"/>
      <c r="D287" s="46"/>
      <c r="E287" s="104">
        <v>14</v>
      </c>
      <c r="F287" s="30" t="s">
        <v>286</v>
      </c>
      <c r="G287" s="25">
        <v>10000</v>
      </c>
      <c r="H287" s="25">
        <f t="shared" si="51"/>
        <v>9349.080469999999</v>
      </c>
      <c r="I287" s="242">
        <f t="shared" si="52"/>
        <v>130887.12657999998</v>
      </c>
      <c r="J287" s="25"/>
      <c r="K287" s="25">
        <f t="shared" si="53"/>
        <v>0</v>
      </c>
      <c r="L287" s="30"/>
      <c r="M287" s="72">
        <f>I287+L287</f>
        <v>130887.12657999998</v>
      </c>
      <c r="N287" s="119"/>
      <c r="O287" s="921">
        <v>0.93490804699999996</v>
      </c>
    </row>
    <row r="288" spans="1:15" ht="18.95" customHeight="1">
      <c r="A288" s="651"/>
      <c r="B288" s="287" t="s">
        <v>1314</v>
      </c>
      <c r="C288" s="29" t="s">
        <v>1315</v>
      </c>
      <c r="D288" s="46" t="s">
        <v>1316</v>
      </c>
      <c r="E288" s="104">
        <v>94</v>
      </c>
      <c r="F288" s="30" t="s">
        <v>286</v>
      </c>
      <c r="G288" s="25">
        <v>3500</v>
      </c>
      <c r="H288" s="25">
        <f t="shared" si="51"/>
        <v>3272.1781645000001</v>
      </c>
      <c r="I288" s="242">
        <f t="shared" si="52"/>
        <v>307584.74746300001</v>
      </c>
      <c r="J288" s="25"/>
      <c r="K288" s="25">
        <f t="shared" si="53"/>
        <v>0</v>
      </c>
      <c r="L288" s="30"/>
      <c r="M288" s="72">
        <f>I288+L288</f>
        <v>307584.74746300001</v>
      </c>
      <c r="N288" s="119"/>
      <c r="O288" s="921">
        <v>0.93490804699999996</v>
      </c>
    </row>
    <row r="289" spans="1:15" ht="18.95" customHeight="1">
      <c r="A289" s="651"/>
      <c r="B289" s="287" t="s">
        <v>1317</v>
      </c>
      <c r="C289" s="29" t="s">
        <v>1311</v>
      </c>
      <c r="D289" s="46" t="s">
        <v>1312</v>
      </c>
      <c r="E289" s="104">
        <v>94</v>
      </c>
      <c r="F289" s="30" t="s">
        <v>211</v>
      </c>
      <c r="G289" s="25">
        <v>800</v>
      </c>
      <c r="H289" s="25">
        <f t="shared" si="51"/>
        <v>747.92643759999999</v>
      </c>
      <c r="I289" s="242">
        <f t="shared" si="52"/>
        <v>70305.085134399997</v>
      </c>
      <c r="J289" s="25"/>
      <c r="K289" s="25">
        <f t="shared" si="53"/>
        <v>0</v>
      </c>
      <c r="L289" s="30"/>
      <c r="M289" s="72">
        <f>I289+L289</f>
        <v>70305.085134399997</v>
      </c>
      <c r="N289" s="119"/>
      <c r="O289" s="921">
        <v>0.93490804699999996</v>
      </c>
    </row>
    <row r="290" spans="1:15" ht="18.95" customHeight="1">
      <c r="A290" s="651"/>
      <c r="B290" s="27" t="s">
        <v>1318</v>
      </c>
      <c r="C290" s="29" t="s">
        <v>1319</v>
      </c>
      <c r="D290" s="934"/>
      <c r="E290" s="104"/>
      <c r="F290" s="30"/>
      <c r="G290" s="25"/>
      <c r="H290" s="25"/>
      <c r="I290" s="242"/>
      <c r="J290" s="25"/>
      <c r="K290" s="25"/>
      <c r="L290" s="25"/>
      <c r="M290" s="25"/>
      <c r="N290" s="26"/>
      <c r="O290" s="921">
        <v>0.93490804699999996</v>
      </c>
    </row>
    <row r="291" spans="1:15" ht="18.95" customHeight="1">
      <c r="A291" s="651"/>
      <c r="B291" s="287" t="s">
        <v>1310</v>
      </c>
      <c r="C291" s="29" t="s">
        <v>1311</v>
      </c>
      <c r="D291" s="46" t="s">
        <v>1312</v>
      </c>
      <c r="E291" s="104">
        <v>49</v>
      </c>
      <c r="F291" s="30" t="s">
        <v>286</v>
      </c>
      <c r="G291" s="25">
        <v>10000</v>
      </c>
      <c r="H291" s="25">
        <f t="shared" si="51"/>
        <v>9349.080469999999</v>
      </c>
      <c r="I291" s="242">
        <f t="shared" si="52"/>
        <v>458104.94302999997</v>
      </c>
      <c r="J291" s="25"/>
      <c r="K291" s="25">
        <f t="shared" si="53"/>
        <v>0</v>
      </c>
      <c r="L291" s="30"/>
      <c r="M291" s="72">
        <f>I291+L291</f>
        <v>458104.94302999997</v>
      </c>
      <c r="N291" s="119"/>
      <c r="O291" s="921">
        <v>0.93490804699999996</v>
      </c>
    </row>
    <row r="292" spans="1:15" ht="18.95" customHeight="1">
      <c r="A292" s="651"/>
      <c r="B292" s="287" t="s">
        <v>1320</v>
      </c>
      <c r="C292" s="29" t="s">
        <v>1315</v>
      </c>
      <c r="D292" s="46" t="s">
        <v>1316</v>
      </c>
      <c r="E292" s="104">
        <v>42</v>
      </c>
      <c r="F292" s="30" t="s">
        <v>286</v>
      </c>
      <c r="G292" s="25">
        <v>3500</v>
      </c>
      <c r="H292" s="25">
        <f t="shared" si="51"/>
        <v>3272.1781645000001</v>
      </c>
      <c r="I292" s="242">
        <f t="shared" si="52"/>
        <v>137431.48290900001</v>
      </c>
      <c r="J292" s="25"/>
      <c r="K292" s="25">
        <f t="shared" si="53"/>
        <v>0</v>
      </c>
      <c r="L292" s="30"/>
      <c r="M292" s="72">
        <f>I292+L292</f>
        <v>137431.48290900001</v>
      </c>
      <c r="N292" s="119"/>
      <c r="O292" s="921">
        <v>0.93490804699999996</v>
      </c>
    </row>
    <row r="293" spans="1:15" ht="18.95" customHeight="1">
      <c r="A293" s="651"/>
      <c r="B293" s="287" t="s">
        <v>1317</v>
      </c>
      <c r="C293" s="29" t="s">
        <v>1311</v>
      </c>
      <c r="D293" s="46" t="s">
        <v>1312</v>
      </c>
      <c r="E293" s="104">
        <v>25</v>
      </c>
      <c r="F293" s="30" t="s">
        <v>211</v>
      </c>
      <c r="G293" s="25">
        <v>800</v>
      </c>
      <c r="H293" s="25">
        <f t="shared" si="51"/>
        <v>747.92643759999999</v>
      </c>
      <c r="I293" s="242">
        <f t="shared" si="52"/>
        <v>18698.160939999998</v>
      </c>
      <c r="J293" s="25"/>
      <c r="K293" s="25">
        <f t="shared" si="53"/>
        <v>0</v>
      </c>
      <c r="L293" s="30"/>
      <c r="M293" s="72">
        <f>I293+L293</f>
        <v>18698.160939999998</v>
      </c>
      <c r="N293" s="119"/>
      <c r="O293" s="921">
        <v>0.93490804699999996</v>
      </c>
    </row>
    <row r="294" spans="1:15" ht="18.95" customHeight="1">
      <c r="A294" s="651"/>
      <c r="B294" s="27" t="s">
        <v>1321</v>
      </c>
      <c r="C294" s="29" t="s">
        <v>1322</v>
      </c>
      <c r="D294" s="934"/>
      <c r="E294" s="104"/>
      <c r="F294" s="30"/>
      <c r="G294" s="25"/>
      <c r="H294" s="25"/>
      <c r="I294" s="242"/>
      <c r="J294" s="25"/>
      <c r="K294" s="25"/>
      <c r="L294" s="25"/>
      <c r="M294" s="25"/>
      <c r="N294" s="26"/>
      <c r="O294" s="921">
        <v>0.93490804699999996</v>
      </c>
    </row>
    <row r="295" spans="1:15" ht="18.95" customHeight="1">
      <c r="A295" s="651"/>
      <c r="B295" s="287" t="s">
        <v>1310</v>
      </c>
      <c r="C295" s="29" t="s">
        <v>1311</v>
      </c>
      <c r="D295" s="46" t="s">
        <v>1312</v>
      </c>
      <c r="E295" s="104">
        <v>40</v>
      </c>
      <c r="F295" s="30" t="s">
        <v>286</v>
      </c>
      <c r="G295" s="25">
        <v>10000</v>
      </c>
      <c r="H295" s="25">
        <f t="shared" si="51"/>
        <v>9349.080469999999</v>
      </c>
      <c r="I295" s="242">
        <f t="shared" si="52"/>
        <v>373963.21879999997</v>
      </c>
      <c r="J295" s="25"/>
      <c r="K295" s="25">
        <f t="shared" si="53"/>
        <v>0</v>
      </c>
      <c r="L295" s="30"/>
      <c r="M295" s="72">
        <f>I295+L295</f>
        <v>373963.21879999997</v>
      </c>
      <c r="N295" s="119"/>
      <c r="O295" s="921">
        <v>0.93490804699999996</v>
      </c>
    </row>
    <row r="296" spans="1:15" ht="18.95" customHeight="1">
      <c r="A296" s="651"/>
      <c r="B296" s="287" t="s">
        <v>1320</v>
      </c>
      <c r="C296" s="29" t="s">
        <v>1315</v>
      </c>
      <c r="D296" s="46" t="s">
        <v>1316</v>
      </c>
      <c r="E296" s="104">
        <v>28</v>
      </c>
      <c r="F296" s="30" t="s">
        <v>286</v>
      </c>
      <c r="G296" s="25">
        <v>3500</v>
      </c>
      <c r="H296" s="25">
        <f t="shared" si="51"/>
        <v>3272.1781645000001</v>
      </c>
      <c r="I296" s="242">
        <f t="shared" si="52"/>
        <v>91620.988605999999</v>
      </c>
      <c r="J296" s="25"/>
      <c r="K296" s="25">
        <f t="shared" si="53"/>
        <v>0</v>
      </c>
      <c r="L296" s="30"/>
      <c r="M296" s="72">
        <f>I296+L296</f>
        <v>91620.988605999999</v>
      </c>
      <c r="N296" s="119"/>
      <c r="O296" s="921">
        <v>0.93490804699999996</v>
      </c>
    </row>
    <row r="297" spans="1:15" ht="18.95" customHeight="1">
      <c r="A297" s="651"/>
      <c r="B297" s="287" t="s">
        <v>1317</v>
      </c>
      <c r="C297" s="29" t="s">
        <v>1311</v>
      </c>
      <c r="D297" s="46" t="s">
        <v>1312</v>
      </c>
      <c r="E297" s="104">
        <v>20</v>
      </c>
      <c r="F297" s="30" t="s">
        <v>211</v>
      </c>
      <c r="G297" s="25">
        <v>800</v>
      </c>
      <c r="H297" s="25">
        <f t="shared" si="51"/>
        <v>747.92643759999999</v>
      </c>
      <c r="I297" s="242">
        <f t="shared" si="52"/>
        <v>14958.528752</v>
      </c>
      <c r="J297" s="25"/>
      <c r="K297" s="25">
        <f t="shared" si="53"/>
        <v>0</v>
      </c>
      <c r="L297" s="30"/>
      <c r="M297" s="72">
        <f>I297+L297</f>
        <v>14958.528752</v>
      </c>
      <c r="N297" s="119"/>
      <c r="O297" s="921">
        <v>0.93490804699999996</v>
      </c>
    </row>
    <row r="298" spans="1:15" ht="18.95" customHeight="1">
      <c r="A298" s="651"/>
      <c r="B298" s="27" t="s">
        <v>1323</v>
      </c>
      <c r="C298" s="29" t="s">
        <v>1322</v>
      </c>
      <c r="D298" s="934"/>
      <c r="E298" s="104"/>
      <c r="F298" s="30"/>
      <c r="G298" s="25"/>
      <c r="H298" s="25"/>
      <c r="I298" s="242"/>
      <c r="J298" s="25"/>
      <c r="K298" s="25"/>
      <c r="L298" s="25"/>
      <c r="M298" s="25"/>
      <c r="N298" s="26"/>
      <c r="O298" s="921">
        <v>0.93490804699999996</v>
      </c>
    </row>
    <row r="299" spans="1:15" ht="18.95" customHeight="1">
      <c r="A299" s="651"/>
      <c r="B299" s="287" t="s">
        <v>1310</v>
      </c>
      <c r="C299" s="29" t="s">
        <v>1311</v>
      </c>
      <c r="D299" s="46" t="s">
        <v>1312</v>
      </c>
      <c r="E299" s="104">
        <v>32.5</v>
      </c>
      <c r="F299" s="30" t="s">
        <v>286</v>
      </c>
      <c r="G299" s="25">
        <v>10000</v>
      </c>
      <c r="H299" s="25">
        <f t="shared" si="51"/>
        <v>9349.080469999999</v>
      </c>
      <c r="I299" s="242">
        <f t="shared" si="52"/>
        <v>303845.11527499999</v>
      </c>
      <c r="J299" s="25"/>
      <c r="K299" s="25">
        <f t="shared" si="53"/>
        <v>0</v>
      </c>
      <c r="L299" s="30"/>
      <c r="M299" s="72">
        <f>I299+L299</f>
        <v>303845.11527499999</v>
      </c>
      <c r="N299" s="119"/>
      <c r="O299" s="921">
        <v>0.93490804699999996</v>
      </c>
    </row>
    <row r="300" spans="1:15" ht="18.95" customHeight="1">
      <c r="A300" s="651"/>
      <c r="B300" s="287" t="s">
        <v>1320</v>
      </c>
      <c r="C300" s="29" t="s">
        <v>1315</v>
      </c>
      <c r="D300" s="46" t="s">
        <v>1316</v>
      </c>
      <c r="E300" s="104">
        <v>20</v>
      </c>
      <c r="F300" s="30" t="s">
        <v>286</v>
      </c>
      <c r="G300" s="25">
        <v>3500</v>
      </c>
      <c r="H300" s="25">
        <f t="shared" si="51"/>
        <v>3272.1781645000001</v>
      </c>
      <c r="I300" s="242">
        <f t="shared" si="52"/>
        <v>65443.563290000006</v>
      </c>
      <c r="J300" s="25"/>
      <c r="K300" s="25">
        <f t="shared" si="53"/>
        <v>0</v>
      </c>
      <c r="L300" s="30"/>
      <c r="M300" s="72">
        <f>I300+L300</f>
        <v>65443.563290000006</v>
      </c>
      <c r="N300" s="119"/>
      <c r="O300" s="921">
        <v>0.93490804699999996</v>
      </c>
    </row>
    <row r="301" spans="1:15" ht="18.95" customHeight="1">
      <c r="A301" s="651"/>
      <c r="B301" s="287" t="s">
        <v>1324</v>
      </c>
      <c r="C301" s="29" t="s">
        <v>1311</v>
      </c>
      <c r="D301" s="46" t="s">
        <v>1312</v>
      </c>
      <c r="E301" s="104">
        <v>11</v>
      </c>
      <c r="F301" s="30" t="s">
        <v>211</v>
      </c>
      <c r="G301" s="25">
        <v>800</v>
      </c>
      <c r="H301" s="25">
        <f t="shared" si="51"/>
        <v>747.92643759999999</v>
      </c>
      <c r="I301" s="242">
        <f t="shared" si="52"/>
        <v>8227.1908136000002</v>
      </c>
      <c r="J301" s="25"/>
      <c r="K301" s="25">
        <f t="shared" si="53"/>
        <v>0</v>
      </c>
      <c r="L301" s="30"/>
      <c r="M301" s="72">
        <f>I301+L301</f>
        <v>8227.1908136000002</v>
      </c>
      <c r="N301" s="119"/>
      <c r="O301" s="921">
        <v>0.93490804699999996</v>
      </c>
    </row>
    <row r="302" spans="1:15" ht="18.95" customHeight="1">
      <c r="A302" s="651"/>
      <c r="B302" s="27" t="s">
        <v>1325</v>
      </c>
      <c r="C302" s="29" t="s">
        <v>1322</v>
      </c>
      <c r="D302" s="934"/>
      <c r="E302" s="104"/>
      <c r="F302" s="30"/>
      <c r="G302" s="25"/>
      <c r="H302" s="25"/>
      <c r="I302" s="242"/>
      <c r="J302" s="25"/>
      <c r="K302" s="25"/>
      <c r="L302" s="25"/>
      <c r="M302" s="25"/>
      <c r="N302" s="26"/>
      <c r="O302" s="921">
        <v>0.93490804699999996</v>
      </c>
    </row>
    <row r="303" spans="1:15" ht="18.95" customHeight="1">
      <c r="A303" s="651"/>
      <c r="B303" s="287" t="s">
        <v>1310</v>
      </c>
      <c r="C303" s="29" t="s">
        <v>1311</v>
      </c>
      <c r="D303" s="46" t="s">
        <v>1312</v>
      </c>
      <c r="E303" s="104">
        <v>39</v>
      </c>
      <c r="F303" s="30" t="s">
        <v>286</v>
      </c>
      <c r="G303" s="25">
        <v>10000</v>
      </c>
      <c r="H303" s="25">
        <f t="shared" si="51"/>
        <v>9349.080469999999</v>
      </c>
      <c r="I303" s="242">
        <f t="shared" si="52"/>
        <v>364614.13832999999</v>
      </c>
      <c r="J303" s="25"/>
      <c r="K303" s="25">
        <f t="shared" si="53"/>
        <v>0</v>
      </c>
      <c r="L303" s="30"/>
      <c r="M303" s="72">
        <f>I303+L303</f>
        <v>364614.13832999999</v>
      </c>
      <c r="N303" s="119"/>
      <c r="O303" s="921">
        <v>0.93490804699999996</v>
      </c>
    </row>
    <row r="304" spans="1:15" ht="18.95" customHeight="1">
      <c r="A304" s="651"/>
      <c r="B304" s="287" t="s">
        <v>1320</v>
      </c>
      <c r="C304" s="29" t="s">
        <v>1315</v>
      </c>
      <c r="D304" s="46" t="s">
        <v>1316</v>
      </c>
      <c r="E304" s="104">
        <v>20</v>
      </c>
      <c r="F304" s="30" t="s">
        <v>286</v>
      </c>
      <c r="G304" s="25">
        <v>3500</v>
      </c>
      <c r="H304" s="25">
        <f t="shared" si="51"/>
        <v>3272.1781645000001</v>
      </c>
      <c r="I304" s="242">
        <f t="shared" si="52"/>
        <v>65443.563290000006</v>
      </c>
      <c r="J304" s="25"/>
      <c r="K304" s="25">
        <f t="shared" si="53"/>
        <v>0</v>
      </c>
      <c r="L304" s="30"/>
      <c r="M304" s="72">
        <f>I304+L304</f>
        <v>65443.563290000006</v>
      </c>
      <c r="N304" s="119"/>
      <c r="O304" s="921">
        <v>0.93490804699999996</v>
      </c>
    </row>
    <row r="305" spans="1:15" ht="18.95" customHeight="1">
      <c r="A305" s="651"/>
      <c r="B305" s="287" t="s">
        <v>1324</v>
      </c>
      <c r="C305" s="29" t="s">
        <v>1311</v>
      </c>
      <c r="D305" s="46" t="s">
        <v>1312</v>
      </c>
      <c r="E305" s="104">
        <v>14</v>
      </c>
      <c r="F305" s="30" t="s">
        <v>211</v>
      </c>
      <c r="G305" s="25">
        <v>800</v>
      </c>
      <c r="H305" s="25">
        <f t="shared" si="51"/>
        <v>747.92643759999999</v>
      </c>
      <c r="I305" s="242">
        <f t="shared" si="52"/>
        <v>10470.9701264</v>
      </c>
      <c r="J305" s="25"/>
      <c r="K305" s="25">
        <f t="shared" si="53"/>
        <v>0</v>
      </c>
      <c r="L305" s="30"/>
      <c r="M305" s="72">
        <f>I305+L305</f>
        <v>10470.9701264</v>
      </c>
      <c r="N305" s="119"/>
      <c r="O305" s="921">
        <v>0.93490804699999996</v>
      </c>
    </row>
    <row r="306" spans="1:15" ht="18.95" customHeight="1">
      <c r="A306" s="651"/>
      <c r="B306" s="27" t="s">
        <v>1326</v>
      </c>
      <c r="C306" s="29" t="s">
        <v>1327</v>
      </c>
      <c r="D306" s="46"/>
      <c r="E306" s="104"/>
      <c r="F306" s="30"/>
      <c r="G306" s="25"/>
      <c r="H306" s="25"/>
      <c r="I306" s="242"/>
      <c r="J306" s="25"/>
      <c r="K306" s="25"/>
      <c r="L306" s="30"/>
      <c r="M306" s="72"/>
      <c r="N306" s="26"/>
      <c r="O306" s="921">
        <v>0.93490804699999996</v>
      </c>
    </row>
    <row r="307" spans="1:15" ht="18.95" customHeight="1">
      <c r="A307" s="651"/>
      <c r="B307" s="287" t="s">
        <v>1328</v>
      </c>
      <c r="C307" s="29" t="s">
        <v>1329</v>
      </c>
      <c r="D307" s="46" t="s">
        <v>1330</v>
      </c>
      <c r="E307" s="104">
        <v>9</v>
      </c>
      <c r="F307" s="30" t="s">
        <v>286</v>
      </c>
      <c r="G307" s="25">
        <v>18000</v>
      </c>
      <c r="H307" s="25">
        <f t="shared" si="51"/>
        <v>16828.344846</v>
      </c>
      <c r="I307" s="242">
        <f t="shared" si="52"/>
        <v>151455.10361399999</v>
      </c>
      <c r="J307" s="25"/>
      <c r="K307" s="25">
        <f t="shared" si="53"/>
        <v>0</v>
      </c>
      <c r="L307" s="30">
        <f t="shared" ref="L307:L313" si="54">E307*J307</f>
        <v>0</v>
      </c>
      <c r="M307" s="72">
        <f t="shared" ref="M307:M313" si="55">I307+L307</f>
        <v>151455.10361399999</v>
      </c>
      <c r="N307" s="26"/>
      <c r="O307" s="921">
        <v>0.93490804699999996</v>
      </c>
    </row>
    <row r="308" spans="1:15" ht="18.95" customHeight="1">
      <c r="A308" s="651"/>
      <c r="B308" s="287" t="s">
        <v>1328</v>
      </c>
      <c r="C308" s="29" t="s">
        <v>1329</v>
      </c>
      <c r="D308" s="46" t="s">
        <v>1330</v>
      </c>
      <c r="E308" s="104">
        <v>2.5</v>
      </c>
      <c r="F308" s="30" t="s">
        <v>286</v>
      </c>
      <c r="G308" s="25">
        <v>13000</v>
      </c>
      <c r="H308" s="25">
        <f t="shared" si="51"/>
        <v>12153.804611</v>
      </c>
      <c r="I308" s="242">
        <f t="shared" si="52"/>
        <v>30384.511527499999</v>
      </c>
      <c r="J308" s="25"/>
      <c r="K308" s="25">
        <f t="shared" si="53"/>
        <v>0</v>
      </c>
      <c r="L308" s="30">
        <f t="shared" si="54"/>
        <v>0</v>
      </c>
      <c r="M308" s="72">
        <f t="shared" si="55"/>
        <v>30384.511527499999</v>
      </c>
      <c r="N308" s="26"/>
      <c r="O308" s="921">
        <v>0.93490804699999996</v>
      </c>
    </row>
    <row r="309" spans="1:15" ht="18.95" customHeight="1">
      <c r="A309" s="651"/>
      <c r="B309" s="287" t="s">
        <v>1328</v>
      </c>
      <c r="C309" s="29" t="s">
        <v>1329</v>
      </c>
      <c r="D309" s="46" t="s">
        <v>1330</v>
      </c>
      <c r="E309" s="104">
        <v>2.5</v>
      </c>
      <c r="F309" s="30" t="s">
        <v>286</v>
      </c>
      <c r="G309" s="25">
        <v>10000</v>
      </c>
      <c r="H309" s="25">
        <f t="shared" si="51"/>
        <v>9349.080469999999</v>
      </c>
      <c r="I309" s="242">
        <f t="shared" si="52"/>
        <v>23372.701174999998</v>
      </c>
      <c r="J309" s="25"/>
      <c r="K309" s="25">
        <f t="shared" si="53"/>
        <v>0</v>
      </c>
      <c r="L309" s="30">
        <f t="shared" si="54"/>
        <v>0</v>
      </c>
      <c r="M309" s="72">
        <f t="shared" si="55"/>
        <v>23372.701174999998</v>
      </c>
      <c r="N309" s="26"/>
      <c r="O309" s="921">
        <v>0.93490804699999996</v>
      </c>
    </row>
    <row r="310" spans="1:15" ht="18.95" customHeight="1">
      <c r="A310" s="651"/>
      <c r="B310" s="287" t="s">
        <v>1328</v>
      </c>
      <c r="C310" s="29" t="s">
        <v>1329</v>
      </c>
      <c r="D310" s="46" t="s">
        <v>1330</v>
      </c>
      <c r="E310" s="104">
        <v>4.5</v>
      </c>
      <c r="F310" s="30" t="s">
        <v>286</v>
      </c>
      <c r="G310" s="25">
        <v>8000</v>
      </c>
      <c r="H310" s="25">
        <f t="shared" si="51"/>
        <v>7479.2643760000001</v>
      </c>
      <c r="I310" s="242">
        <f t="shared" si="52"/>
        <v>33656.689692</v>
      </c>
      <c r="J310" s="25"/>
      <c r="K310" s="25">
        <f t="shared" si="53"/>
        <v>0</v>
      </c>
      <c r="L310" s="30">
        <f t="shared" si="54"/>
        <v>0</v>
      </c>
      <c r="M310" s="72">
        <f t="shared" si="55"/>
        <v>33656.689692</v>
      </c>
      <c r="N310" s="26"/>
      <c r="O310" s="921">
        <v>0.93490804699999996</v>
      </c>
    </row>
    <row r="311" spans="1:15" ht="18.95" customHeight="1">
      <c r="A311" s="651"/>
      <c r="B311" s="287" t="s">
        <v>1328</v>
      </c>
      <c r="C311" s="29" t="s">
        <v>1329</v>
      </c>
      <c r="D311" s="46" t="s">
        <v>1330</v>
      </c>
      <c r="E311" s="104">
        <v>3.5</v>
      </c>
      <c r="F311" s="30" t="s">
        <v>286</v>
      </c>
      <c r="G311" s="25">
        <v>4000</v>
      </c>
      <c r="H311" s="25">
        <f t="shared" si="51"/>
        <v>3739.632188</v>
      </c>
      <c r="I311" s="242">
        <f t="shared" si="52"/>
        <v>13088.712658</v>
      </c>
      <c r="J311" s="25"/>
      <c r="K311" s="25">
        <f t="shared" si="53"/>
        <v>0</v>
      </c>
      <c r="L311" s="30">
        <f t="shared" si="54"/>
        <v>0</v>
      </c>
      <c r="M311" s="72">
        <f t="shared" si="55"/>
        <v>13088.712658</v>
      </c>
      <c r="N311" s="26"/>
      <c r="O311" s="921">
        <v>0.93490804699999996</v>
      </c>
    </row>
    <row r="312" spans="1:15" ht="18.95" customHeight="1">
      <c r="A312" s="651"/>
      <c r="B312" s="287" t="s">
        <v>1331</v>
      </c>
      <c r="C312" s="29" t="s">
        <v>1332</v>
      </c>
      <c r="D312" s="46" t="s">
        <v>1333</v>
      </c>
      <c r="E312" s="104">
        <v>59</v>
      </c>
      <c r="F312" s="30" t="s">
        <v>286</v>
      </c>
      <c r="G312" s="25">
        <v>3500</v>
      </c>
      <c r="H312" s="25">
        <f t="shared" si="51"/>
        <v>3272.1781645000001</v>
      </c>
      <c r="I312" s="242">
        <f t="shared" si="52"/>
        <v>193058.51170550002</v>
      </c>
      <c r="J312" s="25"/>
      <c r="K312" s="25">
        <f t="shared" si="53"/>
        <v>0</v>
      </c>
      <c r="L312" s="30">
        <f t="shared" si="54"/>
        <v>0</v>
      </c>
      <c r="M312" s="72">
        <f t="shared" si="55"/>
        <v>193058.51170550002</v>
      </c>
      <c r="N312" s="26"/>
      <c r="O312" s="921">
        <v>0.93490804699999996</v>
      </c>
    </row>
    <row r="313" spans="1:15" ht="18.95" customHeight="1">
      <c r="A313" s="651"/>
      <c r="B313" s="287" t="s">
        <v>1334</v>
      </c>
      <c r="C313" s="29"/>
      <c r="D313" s="46" t="s">
        <v>1335</v>
      </c>
      <c r="E313" s="104">
        <v>117</v>
      </c>
      <c r="F313" s="30" t="s">
        <v>286</v>
      </c>
      <c r="G313" s="25">
        <v>5000</v>
      </c>
      <c r="H313" s="25">
        <f t="shared" si="51"/>
        <v>4674.5402349999995</v>
      </c>
      <c r="I313" s="242">
        <f t="shared" si="52"/>
        <v>546921.20749499998</v>
      </c>
      <c r="J313" s="25"/>
      <c r="K313" s="25">
        <f t="shared" si="53"/>
        <v>0</v>
      </c>
      <c r="L313" s="30">
        <f t="shared" si="54"/>
        <v>0</v>
      </c>
      <c r="M313" s="72">
        <f t="shared" si="55"/>
        <v>546921.20749499998</v>
      </c>
      <c r="N313" s="26"/>
      <c r="O313" s="921">
        <v>0.93490804699999996</v>
      </c>
    </row>
    <row r="314" spans="1:15" ht="18.95" customHeight="1">
      <c r="A314" s="651"/>
      <c r="B314" s="27" t="s">
        <v>1326</v>
      </c>
      <c r="C314" s="29" t="s">
        <v>1327</v>
      </c>
      <c r="D314" s="46"/>
      <c r="E314" s="104"/>
      <c r="F314" s="30"/>
      <c r="G314" s="25"/>
      <c r="H314" s="25"/>
      <c r="I314" s="242"/>
      <c r="J314" s="25"/>
      <c r="K314" s="25"/>
      <c r="L314" s="30"/>
      <c r="M314" s="72"/>
      <c r="N314" s="26"/>
      <c r="O314" s="921">
        <v>0.93490804699999996</v>
      </c>
    </row>
    <row r="315" spans="1:15" ht="18.95" customHeight="1">
      <c r="A315" s="651"/>
      <c r="B315" s="287" t="s">
        <v>1328</v>
      </c>
      <c r="C315" s="29" t="s">
        <v>1329</v>
      </c>
      <c r="D315" s="46" t="s">
        <v>1330</v>
      </c>
      <c r="E315" s="104">
        <v>33</v>
      </c>
      <c r="F315" s="30" t="s">
        <v>286</v>
      </c>
      <c r="G315" s="25">
        <v>12000</v>
      </c>
      <c r="H315" s="25">
        <f t="shared" si="51"/>
        <v>11218.896563999999</v>
      </c>
      <c r="I315" s="242">
        <f t="shared" si="52"/>
        <v>370223.58661199996</v>
      </c>
      <c r="J315" s="25"/>
      <c r="K315" s="25">
        <f t="shared" si="53"/>
        <v>0</v>
      </c>
      <c r="L315" s="30">
        <f>E315*J315</f>
        <v>0</v>
      </c>
      <c r="M315" s="72">
        <f>I315+L315</f>
        <v>370223.58661199996</v>
      </c>
      <c r="N315" s="26"/>
      <c r="O315" s="921">
        <v>0.93490804699999996</v>
      </c>
    </row>
    <row r="316" spans="1:15" ht="18.95" customHeight="1">
      <c r="A316" s="651"/>
      <c r="B316" s="287" t="s">
        <v>1331</v>
      </c>
      <c r="C316" s="29" t="s">
        <v>1336</v>
      </c>
      <c r="D316" s="46" t="s">
        <v>1337</v>
      </c>
      <c r="E316" s="104">
        <v>87</v>
      </c>
      <c r="F316" s="30" t="s">
        <v>286</v>
      </c>
      <c r="G316" s="25">
        <v>3500</v>
      </c>
      <c r="H316" s="25">
        <f t="shared" si="51"/>
        <v>3272.1781645000001</v>
      </c>
      <c r="I316" s="242">
        <f t="shared" si="52"/>
        <v>284679.50031149999</v>
      </c>
      <c r="J316" s="25"/>
      <c r="K316" s="25">
        <f t="shared" si="53"/>
        <v>0</v>
      </c>
      <c r="L316" s="30">
        <f>E316*J316</f>
        <v>0</v>
      </c>
      <c r="M316" s="72">
        <f>I316+L316</f>
        <v>284679.50031149999</v>
      </c>
      <c r="N316" s="26"/>
      <c r="O316" s="921">
        <v>0.93490804699999996</v>
      </c>
    </row>
    <row r="317" spans="1:15" ht="18.95" customHeight="1">
      <c r="A317" s="651"/>
      <c r="B317" s="287" t="s">
        <v>1334</v>
      </c>
      <c r="C317" s="29" t="s">
        <v>1214</v>
      </c>
      <c r="D317" s="46" t="s">
        <v>1333</v>
      </c>
      <c r="E317" s="104">
        <v>198</v>
      </c>
      <c r="F317" s="30" t="s">
        <v>286</v>
      </c>
      <c r="G317" s="25">
        <v>5000</v>
      </c>
      <c r="H317" s="25">
        <f t="shared" si="51"/>
        <v>4674.5402349999995</v>
      </c>
      <c r="I317" s="242">
        <f t="shared" si="52"/>
        <v>925558.96652999986</v>
      </c>
      <c r="J317" s="25"/>
      <c r="K317" s="25">
        <f t="shared" si="53"/>
        <v>0</v>
      </c>
      <c r="L317" s="30">
        <f>E317*J317</f>
        <v>0</v>
      </c>
      <c r="M317" s="72">
        <f>I317+L317</f>
        <v>925558.96652999986</v>
      </c>
      <c r="N317" s="26"/>
      <c r="O317" s="921">
        <v>0.93490804699999996</v>
      </c>
    </row>
    <row r="318" spans="1:15" ht="18.95" customHeight="1">
      <c r="A318" s="648"/>
      <c r="B318" s="302" t="s">
        <v>353</v>
      </c>
      <c r="C318" s="221"/>
      <c r="D318" s="897"/>
      <c r="E318" s="896"/>
      <c r="F318" s="102"/>
      <c r="G318" s="34"/>
      <c r="H318" s="25"/>
      <c r="I318" s="242"/>
      <c r="J318" s="34"/>
      <c r="K318" s="25"/>
      <c r="L318" s="34"/>
      <c r="M318" s="34"/>
      <c r="N318" s="35"/>
      <c r="O318" s="921">
        <v>0.93490804699999996</v>
      </c>
    </row>
    <row r="319" spans="1:15" ht="18.95" customHeight="1">
      <c r="A319" s="651" t="s">
        <v>1338</v>
      </c>
      <c r="B319" s="27" t="s">
        <v>1339</v>
      </c>
      <c r="C319" s="29"/>
      <c r="D319" s="934"/>
      <c r="E319" s="104">
        <v>10</v>
      </c>
      <c r="F319" s="30" t="s">
        <v>286</v>
      </c>
      <c r="G319" s="25">
        <v>250</v>
      </c>
      <c r="H319" s="25">
        <f t="shared" si="51"/>
        <v>233.72701175</v>
      </c>
      <c r="I319" s="242">
        <f t="shared" si="52"/>
        <v>2337.2701175000002</v>
      </c>
      <c r="J319" s="25"/>
      <c r="K319" s="25">
        <f t="shared" si="53"/>
        <v>0</v>
      </c>
      <c r="L319" s="25"/>
      <c r="M319" s="25">
        <f>I319+L319</f>
        <v>2337.2701175000002</v>
      </c>
      <c r="N319" s="26"/>
      <c r="O319" s="921">
        <v>0.93490804699999996</v>
      </c>
    </row>
    <row r="320" spans="1:15" ht="18.95" customHeight="1">
      <c r="A320" s="648"/>
      <c r="B320" s="302" t="s">
        <v>1181</v>
      </c>
      <c r="C320" s="221"/>
      <c r="D320" s="897"/>
      <c r="E320" s="896"/>
      <c r="F320" s="102"/>
      <c r="G320" s="34"/>
      <c r="H320" s="25"/>
      <c r="I320" s="242"/>
      <c r="J320" s="34"/>
      <c r="K320" s="25"/>
      <c r="L320" s="34"/>
      <c r="M320" s="34"/>
      <c r="N320" s="35"/>
      <c r="O320" s="921">
        <v>0.93490804699999996</v>
      </c>
    </row>
    <row r="321" spans="1:17" ht="18.95" customHeight="1">
      <c r="A321" s="651"/>
      <c r="B321" s="27" t="s">
        <v>1340</v>
      </c>
      <c r="C321" s="29"/>
      <c r="D321" s="934"/>
      <c r="E321" s="104">
        <v>39</v>
      </c>
      <c r="F321" s="30" t="s">
        <v>286</v>
      </c>
      <c r="G321" s="25">
        <v>350</v>
      </c>
      <c r="H321" s="25">
        <f t="shared" si="51"/>
        <v>327.21781644999999</v>
      </c>
      <c r="I321" s="242">
        <f t="shared" si="52"/>
        <v>12761.49484155</v>
      </c>
      <c r="J321" s="25">
        <v>150</v>
      </c>
      <c r="K321" s="25">
        <f t="shared" si="53"/>
        <v>140.23620704999999</v>
      </c>
      <c r="L321" s="25">
        <f>E321*K321</f>
        <v>5469.21207495</v>
      </c>
      <c r="M321" s="25">
        <f>I321+L321</f>
        <v>18230.706916499999</v>
      </c>
      <c r="N321" s="26"/>
      <c r="O321" s="921">
        <v>0.93490804699999996</v>
      </c>
    </row>
    <row r="322" spans="1:17" ht="18.95" customHeight="1">
      <c r="A322" s="925"/>
      <c r="B322" s="1293" t="s">
        <v>1341</v>
      </c>
      <c r="C322" s="1294"/>
      <c r="D322" s="1295"/>
      <c r="E322" s="902"/>
      <c r="F322" s="903"/>
      <c r="G322" s="903"/>
      <c r="H322" s="903"/>
      <c r="I322" s="904">
        <f>SUM(I226:I321)</f>
        <v>7390602.3713627541</v>
      </c>
      <c r="J322" s="904"/>
      <c r="K322" s="903"/>
      <c r="L322" s="903"/>
      <c r="M322" s="903">
        <f>SUM(M226:M321)</f>
        <v>7496536.8021683237</v>
      </c>
      <c r="N322" s="902"/>
      <c r="O322" s="921">
        <v>0.93490804699999996</v>
      </c>
    </row>
    <row r="323" spans="1:17" ht="18.95" customHeight="1">
      <c r="A323" s="648">
        <v>5</v>
      </c>
      <c r="B323" s="302" t="s">
        <v>1004</v>
      </c>
      <c r="C323" s="221"/>
      <c r="D323" s="897"/>
      <c r="E323" s="896"/>
      <c r="F323" s="102"/>
      <c r="G323" s="34"/>
      <c r="H323" s="25">
        <f t="shared" si="51"/>
        <v>0</v>
      </c>
      <c r="I323" s="34"/>
      <c r="J323" s="102"/>
      <c r="K323" s="25">
        <f t="shared" si="53"/>
        <v>0</v>
      </c>
      <c r="L323" s="34"/>
      <c r="M323" s="35"/>
      <c r="N323" s="35"/>
      <c r="O323" s="921">
        <v>0.93490804699999996</v>
      </c>
    </row>
    <row r="324" spans="1:17" ht="18.95" customHeight="1">
      <c r="A324" s="898"/>
      <c r="B324" s="932">
        <v>115</v>
      </c>
      <c r="C324" s="900" t="s">
        <v>1342</v>
      </c>
      <c r="D324" s="901"/>
      <c r="E324" s="902"/>
      <c r="F324" s="903"/>
      <c r="G324" s="903"/>
      <c r="H324" s="903"/>
      <c r="I324" s="903"/>
      <c r="J324" s="903"/>
      <c r="K324" s="903"/>
      <c r="L324" s="904"/>
      <c r="M324" s="904"/>
      <c r="N324" s="903"/>
      <c r="O324" s="921">
        <v>0.93490804699999996</v>
      </c>
    </row>
    <row r="325" spans="1:17" ht="18.95" customHeight="1">
      <c r="A325" s="898"/>
      <c r="B325" s="932">
        <v>115</v>
      </c>
      <c r="C325" s="900" t="s">
        <v>1343</v>
      </c>
      <c r="D325" s="901"/>
      <c r="E325" s="902"/>
      <c r="F325" s="903"/>
      <c r="G325" s="903"/>
      <c r="H325" s="903"/>
      <c r="I325" s="903"/>
      <c r="J325" s="903"/>
      <c r="K325" s="903"/>
      <c r="L325" s="904"/>
      <c r="M325" s="904"/>
      <c r="N325" s="903"/>
      <c r="O325" s="921">
        <v>0.93490804699999996</v>
      </c>
    </row>
    <row r="326" spans="1:17" ht="18.95" customHeight="1">
      <c r="A326" s="44"/>
      <c r="B326" s="29" t="s">
        <v>1344</v>
      </c>
      <c r="C326" s="1296" t="s">
        <v>1345</v>
      </c>
      <c r="D326" s="1297"/>
      <c r="E326" s="104">
        <v>8.5</v>
      </c>
      <c r="F326" s="30" t="s">
        <v>211</v>
      </c>
      <c r="G326" s="25">
        <v>3330</v>
      </c>
      <c r="H326" s="25">
        <f t="shared" si="51"/>
        <v>3113.2437965099998</v>
      </c>
      <c r="I326" s="242">
        <f t="shared" ref="I326" si="56">E326*H326</f>
        <v>26462.572270334997</v>
      </c>
      <c r="J326" s="25"/>
      <c r="K326" s="25">
        <f t="shared" si="53"/>
        <v>0</v>
      </c>
      <c r="L326" s="30">
        <f>E326*J326</f>
        <v>0</v>
      </c>
      <c r="M326" s="72">
        <f>I326+L326</f>
        <v>26462.572270334997</v>
      </c>
      <c r="N326" s="26"/>
      <c r="O326" s="921">
        <v>0.93490804699999996</v>
      </c>
    </row>
    <row r="327" spans="1:17" ht="18.95" customHeight="1">
      <c r="A327" s="44"/>
      <c r="B327" s="29"/>
      <c r="C327" s="575" t="s">
        <v>1346</v>
      </c>
      <c r="D327" s="682"/>
      <c r="E327" s="104"/>
      <c r="F327" s="30"/>
      <c r="G327" s="25"/>
      <c r="H327" s="25"/>
      <c r="I327" s="25"/>
      <c r="J327" s="25"/>
      <c r="K327" s="25"/>
      <c r="L327" s="30"/>
      <c r="M327" s="72"/>
      <c r="N327" s="26"/>
      <c r="O327" s="921">
        <v>0.93490804699999996</v>
      </c>
    </row>
    <row r="328" spans="1:17" ht="18.95" customHeight="1">
      <c r="A328" s="935"/>
      <c r="B328" s="936">
        <v>116</v>
      </c>
      <c r="C328" s="900" t="s">
        <v>1347</v>
      </c>
      <c r="D328" s="901"/>
      <c r="E328" s="902"/>
      <c r="F328" s="903"/>
      <c r="G328" s="903"/>
      <c r="H328" s="903"/>
      <c r="I328" s="903"/>
      <c r="J328" s="903"/>
      <c r="K328" s="903"/>
      <c r="L328" s="904"/>
      <c r="M328" s="904"/>
      <c r="N328" s="903"/>
      <c r="O328" s="921">
        <v>0.93490804699999996</v>
      </c>
    </row>
    <row r="329" spans="1:17" ht="18.95" customHeight="1">
      <c r="A329" s="44"/>
      <c r="B329" s="29" t="s">
        <v>1348</v>
      </c>
      <c r="C329" s="349"/>
      <c r="D329" s="895"/>
      <c r="E329" s="104"/>
      <c r="F329" s="30"/>
      <c r="G329" s="25"/>
      <c r="H329" s="25"/>
      <c r="I329" s="25"/>
      <c r="J329" s="25"/>
      <c r="K329" s="25"/>
      <c r="L329" s="30"/>
      <c r="M329" s="72"/>
      <c r="N329" s="26"/>
      <c r="O329" s="921">
        <v>0.93490804699999996</v>
      </c>
    </row>
    <row r="330" spans="1:17" s="204" customFormat="1" ht="18.95" customHeight="1">
      <c r="A330" s="44"/>
      <c r="B330" s="575" t="s">
        <v>1349</v>
      </c>
      <c r="C330" s="29" t="s">
        <v>1350</v>
      </c>
      <c r="D330" s="46" t="s">
        <v>1351</v>
      </c>
      <c r="E330" s="104">
        <v>109</v>
      </c>
      <c r="F330" s="30" t="s">
        <v>211</v>
      </c>
      <c r="G330" s="25">
        <v>5000</v>
      </c>
      <c r="H330" s="25">
        <f t="shared" si="51"/>
        <v>4674.5402349999995</v>
      </c>
      <c r="I330" s="242">
        <f t="shared" ref="I330:I334" si="57">E330*H330</f>
        <v>509524.88561499992</v>
      </c>
      <c r="J330" s="25"/>
      <c r="K330" s="25">
        <f t="shared" si="53"/>
        <v>0</v>
      </c>
      <c r="L330" s="30">
        <f>E330*J330</f>
        <v>0</v>
      </c>
      <c r="M330" s="72">
        <f>I330+L330</f>
        <v>509524.88561499992</v>
      </c>
      <c r="N330" s="26"/>
      <c r="O330" s="921">
        <v>0.93490804699999996</v>
      </c>
    </row>
    <row r="331" spans="1:17" s="204" customFormat="1" ht="18.95" customHeight="1">
      <c r="A331" s="44"/>
      <c r="B331" s="575" t="s">
        <v>1352</v>
      </c>
      <c r="C331" s="29" t="s">
        <v>1353</v>
      </c>
      <c r="D331" s="46" t="s">
        <v>1354</v>
      </c>
      <c r="E331" s="104">
        <v>19</v>
      </c>
      <c r="F331" s="30" t="s">
        <v>211</v>
      </c>
      <c r="G331" s="25">
        <v>2150</v>
      </c>
      <c r="H331" s="25">
        <f t="shared" si="51"/>
        <v>2010.0523010499999</v>
      </c>
      <c r="I331" s="242">
        <f t="shared" si="57"/>
        <v>38190.993719949998</v>
      </c>
      <c r="J331" s="25">
        <v>500</v>
      </c>
      <c r="K331" s="25">
        <f t="shared" si="53"/>
        <v>467.45402350000001</v>
      </c>
      <c r="L331" s="30">
        <f>E331*K331</f>
        <v>8881.6264465000004</v>
      </c>
      <c r="M331" s="72">
        <f>I331+L331</f>
        <v>47072.620166449997</v>
      </c>
      <c r="N331" s="26"/>
      <c r="O331" s="921">
        <v>0.93490804699999996</v>
      </c>
    </row>
    <row r="332" spans="1:17" s="204" customFormat="1" ht="18.95" customHeight="1">
      <c r="A332" s="44"/>
      <c r="B332" s="29" t="s">
        <v>1355</v>
      </c>
      <c r="C332" s="29" t="s">
        <v>1260</v>
      </c>
      <c r="D332" s="895"/>
      <c r="E332" s="104"/>
      <c r="F332" s="30"/>
      <c r="G332" s="25"/>
      <c r="H332" s="25"/>
      <c r="I332" s="242"/>
      <c r="J332" s="25"/>
      <c r="K332" s="25"/>
      <c r="L332" s="30"/>
      <c r="M332" s="72"/>
      <c r="N332" s="26"/>
      <c r="O332" s="921">
        <v>0.93490804699999996</v>
      </c>
    </row>
    <row r="333" spans="1:17" s="204" customFormat="1" ht="18.95" customHeight="1">
      <c r="A333" s="44"/>
      <c r="B333" s="575" t="s">
        <v>1260</v>
      </c>
      <c r="C333" s="29" t="s">
        <v>1053</v>
      </c>
      <c r="D333" s="46" t="s">
        <v>1040</v>
      </c>
      <c r="E333" s="104">
        <v>6.5</v>
      </c>
      <c r="F333" s="30" t="s">
        <v>211</v>
      </c>
      <c r="G333" s="25">
        <v>9700</v>
      </c>
      <c r="H333" s="25">
        <f t="shared" si="51"/>
        <v>9068.6080559000002</v>
      </c>
      <c r="I333" s="242">
        <f t="shared" si="57"/>
        <v>58945.952363349999</v>
      </c>
      <c r="J333" s="25">
        <v>0</v>
      </c>
      <c r="K333" s="25">
        <f t="shared" si="53"/>
        <v>0</v>
      </c>
      <c r="L333" s="30">
        <f>E333*J333</f>
        <v>0</v>
      </c>
      <c r="M333" s="72">
        <f>I333+L333</f>
        <v>58945.952363349999</v>
      </c>
      <c r="N333" s="26"/>
      <c r="O333" s="921">
        <v>0.93490804699999996</v>
      </c>
      <c r="P333" s="203"/>
      <c r="Q333" s="203"/>
    </row>
    <row r="334" spans="1:17" s="204" customFormat="1" ht="18.95" customHeight="1">
      <c r="A334" s="651"/>
      <c r="B334" s="287" t="s">
        <v>1356</v>
      </c>
      <c r="C334" s="29"/>
      <c r="D334" s="46"/>
      <c r="E334" s="104">
        <v>4</v>
      </c>
      <c r="F334" s="30" t="s">
        <v>286</v>
      </c>
      <c r="G334" s="25">
        <v>8000</v>
      </c>
      <c r="H334" s="25">
        <f t="shared" si="51"/>
        <v>7479.2643760000001</v>
      </c>
      <c r="I334" s="242">
        <f t="shared" si="57"/>
        <v>29917.057504</v>
      </c>
      <c r="J334" s="25"/>
      <c r="K334" s="25">
        <f t="shared" si="53"/>
        <v>0</v>
      </c>
      <c r="L334" s="30">
        <f>E334*J334</f>
        <v>0</v>
      </c>
      <c r="M334" s="72">
        <f>I334+L334</f>
        <v>29917.057504</v>
      </c>
      <c r="N334" s="26"/>
      <c r="O334" s="921">
        <v>0.93490804699999996</v>
      </c>
    </row>
    <row r="335" spans="1:17" s="204" customFormat="1" ht="18.95" customHeight="1">
      <c r="A335" s="898"/>
      <c r="B335" s="932">
        <v>117</v>
      </c>
      <c r="C335" s="900" t="s">
        <v>1236</v>
      </c>
      <c r="D335" s="901"/>
      <c r="E335" s="902"/>
      <c r="F335" s="903"/>
      <c r="G335" s="903"/>
      <c r="H335" s="903"/>
      <c r="I335" s="903"/>
      <c r="J335" s="903"/>
      <c r="K335" s="903"/>
      <c r="L335" s="904"/>
      <c r="M335" s="904"/>
      <c r="N335" s="903"/>
      <c r="O335" s="921">
        <v>0.93490804699999996</v>
      </c>
    </row>
    <row r="336" spans="1:17" s="204" customFormat="1" ht="18.95" customHeight="1">
      <c r="A336" s="898"/>
      <c r="B336" s="932">
        <v>118</v>
      </c>
      <c r="C336" s="900" t="s">
        <v>937</v>
      </c>
      <c r="D336" s="901"/>
      <c r="E336" s="902"/>
      <c r="F336" s="903"/>
      <c r="G336" s="903"/>
      <c r="H336" s="903"/>
      <c r="I336" s="903"/>
      <c r="J336" s="903"/>
      <c r="K336" s="903"/>
      <c r="L336" s="904"/>
      <c r="M336" s="904"/>
      <c r="N336" s="903"/>
      <c r="O336" s="921">
        <v>0.93490804699999996</v>
      </c>
    </row>
    <row r="337" spans="1:18" s="204" customFormat="1" ht="18.95" customHeight="1">
      <c r="A337" s="648"/>
      <c r="B337" s="937" t="s">
        <v>1357</v>
      </c>
      <c r="C337" s="221"/>
      <c r="D337" s="897"/>
      <c r="E337" s="896"/>
      <c r="F337" s="102"/>
      <c r="G337" s="34"/>
      <c r="H337" s="25"/>
      <c r="I337" s="34"/>
      <c r="J337" s="34"/>
      <c r="K337" s="25"/>
      <c r="L337" s="34"/>
      <c r="M337" s="34"/>
      <c r="N337" s="35"/>
      <c r="O337" s="921">
        <v>0.93490804699999996</v>
      </c>
    </row>
    <row r="338" spans="1:18" s="204" customFormat="1" ht="18.95" customHeight="1">
      <c r="A338" s="648"/>
      <c r="B338" s="27" t="s">
        <v>1358</v>
      </c>
      <c r="C338" s="1278" t="s">
        <v>1359</v>
      </c>
      <c r="D338" s="1279"/>
      <c r="E338" s="104">
        <v>31</v>
      </c>
      <c r="F338" s="30" t="s">
        <v>211</v>
      </c>
      <c r="G338" s="25">
        <v>3640</v>
      </c>
      <c r="H338" s="25">
        <f t="shared" si="51"/>
        <v>3403.06529108</v>
      </c>
      <c r="I338" s="242">
        <f t="shared" ref="I338:I372" si="58">E338*H338</f>
        <v>105495.02402348</v>
      </c>
      <c r="J338" s="25">
        <v>1575</v>
      </c>
      <c r="K338" s="25">
        <f t="shared" si="53"/>
        <v>1472.480174025</v>
      </c>
      <c r="L338" s="25">
        <f>E338*K338</f>
        <v>45646.885394775003</v>
      </c>
      <c r="M338" s="25">
        <f t="shared" ref="M338:M351" si="59">I338+L338</f>
        <v>151141.909418255</v>
      </c>
      <c r="N338" s="35"/>
      <c r="O338" s="921">
        <v>0.93490804699999996</v>
      </c>
    </row>
    <row r="339" spans="1:18" s="204" customFormat="1" ht="18.95" customHeight="1">
      <c r="A339" s="648"/>
      <c r="B339" s="27"/>
      <c r="C339" s="29" t="s">
        <v>1360</v>
      </c>
      <c r="D339" s="356"/>
      <c r="E339" s="104"/>
      <c r="F339" s="30"/>
      <c r="G339" s="25"/>
      <c r="H339" s="25"/>
      <c r="I339" s="242"/>
      <c r="J339" s="25"/>
      <c r="K339" s="25"/>
      <c r="L339" s="25"/>
      <c r="M339" s="25"/>
      <c r="N339" s="35"/>
      <c r="O339" s="921">
        <v>0.93490804699999996</v>
      </c>
    </row>
    <row r="340" spans="1:18" s="204" customFormat="1" ht="18.95" customHeight="1">
      <c r="A340" s="648"/>
      <c r="B340" s="27"/>
      <c r="C340" s="29"/>
      <c r="D340" s="356"/>
      <c r="E340" s="104"/>
      <c r="F340" s="30"/>
      <c r="G340" s="25"/>
      <c r="H340" s="25"/>
      <c r="I340" s="242"/>
      <c r="J340" s="25"/>
      <c r="K340" s="25"/>
      <c r="L340" s="25"/>
      <c r="M340" s="25"/>
      <c r="N340" s="35"/>
      <c r="O340" s="921">
        <v>0.93490804699999996</v>
      </c>
    </row>
    <row r="341" spans="1:18" s="204" customFormat="1" ht="18.95" customHeight="1">
      <c r="A341" s="648"/>
      <c r="B341" s="27" t="s">
        <v>1361</v>
      </c>
      <c r="C341" s="1278" t="s">
        <v>1362</v>
      </c>
      <c r="D341" s="1279"/>
      <c r="E341" s="104">
        <v>52</v>
      </c>
      <c r="F341" s="30" t="s">
        <v>211</v>
      </c>
      <c r="G341" s="25">
        <v>3590</v>
      </c>
      <c r="H341" s="25">
        <f t="shared" si="51"/>
        <v>3356.31988873</v>
      </c>
      <c r="I341" s="242">
        <f t="shared" si="58"/>
        <v>174528.63421396</v>
      </c>
      <c r="J341" s="25">
        <v>1075</v>
      </c>
      <c r="K341" s="25">
        <f t="shared" si="53"/>
        <v>1005.0261505249999</v>
      </c>
      <c r="L341" s="25">
        <f t="shared" ref="L341:L372" si="60">E341*K341</f>
        <v>52261.359827299995</v>
      </c>
      <c r="M341" s="25">
        <f t="shared" si="59"/>
        <v>226789.99404125998</v>
      </c>
      <c r="N341" s="35"/>
      <c r="O341" s="921">
        <v>0.93490804699999996</v>
      </c>
    </row>
    <row r="342" spans="1:18" s="204" customFormat="1" ht="18.95" customHeight="1">
      <c r="A342" s="220"/>
      <c r="B342" s="29" t="s">
        <v>1363</v>
      </c>
      <c r="C342" s="1278" t="s">
        <v>1364</v>
      </c>
      <c r="D342" s="1279"/>
      <c r="E342" s="104"/>
      <c r="F342" s="30"/>
      <c r="G342" s="25"/>
      <c r="H342" s="25"/>
      <c r="I342" s="242"/>
      <c r="J342" s="25"/>
      <c r="K342" s="25"/>
      <c r="L342" s="25"/>
      <c r="M342" s="25"/>
      <c r="N342" s="35"/>
      <c r="O342" s="921">
        <v>0.93490804699999996</v>
      </c>
    </row>
    <row r="343" spans="1:18" s="204" customFormat="1" ht="18.95" customHeight="1">
      <c r="A343" s="220"/>
      <c r="B343" s="29"/>
      <c r="C343" s="29" t="s">
        <v>1365</v>
      </c>
      <c r="D343" s="356"/>
      <c r="E343" s="104"/>
      <c r="F343" s="30"/>
      <c r="G343" s="25"/>
      <c r="H343" s="25"/>
      <c r="I343" s="242"/>
      <c r="J343" s="25"/>
      <c r="K343" s="25"/>
      <c r="L343" s="25"/>
      <c r="M343" s="25"/>
      <c r="N343" s="35"/>
      <c r="O343" s="921">
        <v>0.93490804699999996</v>
      </c>
    </row>
    <row r="344" spans="1:18" s="204" customFormat="1" ht="18.95" customHeight="1">
      <c r="A344" s="44"/>
      <c r="B344" s="1303" t="s">
        <v>1366</v>
      </c>
      <c r="C344" s="1304"/>
      <c r="D344" s="1305"/>
      <c r="E344" s="104">
        <v>43</v>
      </c>
      <c r="F344" s="30" t="s">
        <v>211</v>
      </c>
      <c r="G344" s="25">
        <v>3060</v>
      </c>
      <c r="H344" s="25">
        <f t="shared" si="51"/>
        <v>2860.8186238200001</v>
      </c>
      <c r="I344" s="242">
        <f t="shared" si="58"/>
        <v>123015.20082426</v>
      </c>
      <c r="J344" s="25">
        <v>750</v>
      </c>
      <c r="K344" s="25">
        <f t="shared" si="53"/>
        <v>701.18103524999992</v>
      </c>
      <c r="L344" s="25">
        <f t="shared" si="60"/>
        <v>30150.784515749998</v>
      </c>
      <c r="M344" s="72">
        <f>I344+L344</f>
        <v>153165.98534001</v>
      </c>
      <c r="N344" s="26"/>
      <c r="O344" s="921">
        <v>0.93490804699999996</v>
      </c>
    </row>
    <row r="345" spans="1:18" s="204" customFormat="1" ht="18.95" customHeight="1">
      <c r="A345" s="44"/>
      <c r="B345" s="940" t="s">
        <v>1367</v>
      </c>
      <c r="C345" s="938"/>
      <c r="D345" s="939"/>
      <c r="E345" s="104"/>
      <c r="F345" s="30"/>
      <c r="G345" s="25"/>
      <c r="H345" s="25"/>
      <c r="I345" s="242"/>
      <c r="J345" s="25"/>
      <c r="K345" s="25"/>
      <c r="L345" s="25"/>
      <c r="M345" s="72"/>
      <c r="N345" s="26"/>
      <c r="O345" s="921">
        <v>0.93490804699999996</v>
      </c>
      <c r="R345" s="1286"/>
    </row>
    <row r="346" spans="1:18" s="204" customFormat="1" ht="18.95" customHeight="1">
      <c r="A346" s="44"/>
      <c r="B346" s="1304" t="s">
        <v>1368</v>
      </c>
      <c r="C346" s="1304"/>
      <c r="D346" s="1305"/>
      <c r="E346" s="104">
        <v>43</v>
      </c>
      <c r="F346" s="30" t="s">
        <v>211</v>
      </c>
      <c r="G346" s="25">
        <v>90</v>
      </c>
      <c r="H346" s="25">
        <f t="shared" si="51"/>
        <v>84.141724229999994</v>
      </c>
      <c r="I346" s="242">
        <f t="shared" si="58"/>
        <v>3618.0941418899997</v>
      </c>
      <c r="J346" s="25">
        <v>225</v>
      </c>
      <c r="K346" s="25">
        <f t="shared" si="53"/>
        <v>210.354310575</v>
      </c>
      <c r="L346" s="25">
        <f t="shared" si="60"/>
        <v>9045.2353547250004</v>
      </c>
      <c r="M346" s="72">
        <f>I346+L346</f>
        <v>12663.329496615001</v>
      </c>
      <c r="N346" s="26"/>
      <c r="O346" s="921">
        <v>0.93490804699999996</v>
      </c>
      <c r="R346" s="1286"/>
    </row>
    <row r="347" spans="1:18" s="204" customFormat="1" ht="18.95" customHeight="1">
      <c r="A347" s="44"/>
      <c r="B347" s="1304" t="s">
        <v>1369</v>
      </c>
      <c r="C347" s="1304"/>
      <c r="D347" s="1305"/>
      <c r="E347" s="104">
        <v>21.5</v>
      </c>
      <c r="F347" s="30" t="s">
        <v>211</v>
      </c>
      <c r="G347" s="25">
        <v>75000</v>
      </c>
      <c r="H347" s="25">
        <f t="shared" si="51"/>
        <v>70118.103524999999</v>
      </c>
      <c r="I347" s="242">
        <f t="shared" si="58"/>
        <v>1507539.2257874999</v>
      </c>
      <c r="J347" s="25">
        <v>0</v>
      </c>
      <c r="K347" s="25">
        <f t="shared" si="53"/>
        <v>0</v>
      </c>
      <c r="L347" s="25">
        <f t="shared" si="60"/>
        <v>0</v>
      </c>
      <c r="M347" s="72">
        <f>I347+L347</f>
        <v>1507539.2257874999</v>
      </c>
      <c r="N347" s="26"/>
      <c r="O347" s="921">
        <v>0.93490804699999996</v>
      </c>
      <c r="R347" s="1286"/>
    </row>
    <row r="348" spans="1:18" s="204" customFormat="1" ht="18.95" customHeight="1">
      <c r="A348" s="220"/>
      <c r="B348" s="29" t="s">
        <v>1370</v>
      </c>
      <c r="C348" s="1278" t="s">
        <v>1371</v>
      </c>
      <c r="D348" s="1279"/>
      <c r="E348" s="104">
        <v>85</v>
      </c>
      <c r="F348" s="30" t="s">
        <v>211</v>
      </c>
      <c r="G348" s="25">
        <v>3610</v>
      </c>
      <c r="H348" s="25">
        <f t="shared" si="51"/>
        <v>3375.01804967</v>
      </c>
      <c r="I348" s="242">
        <f t="shared" si="58"/>
        <v>286876.53422194999</v>
      </c>
      <c r="J348" s="25">
        <v>1075</v>
      </c>
      <c r="K348" s="25">
        <f t="shared" si="53"/>
        <v>1005.0261505249999</v>
      </c>
      <c r="L348" s="25">
        <f t="shared" si="60"/>
        <v>85427.222794624991</v>
      </c>
      <c r="M348" s="25">
        <f t="shared" si="59"/>
        <v>372303.75701657496</v>
      </c>
      <c r="N348" s="35"/>
      <c r="O348" s="921">
        <v>0.93490804699999996</v>
      </c>
      <c r="R348" s="1286"/>
    </row>
    <row r="349" spans="1:18" s="204" customFormat="1" ht="18.95" customHeight="1">
      <c r="A349" s="220"/>
      <c r="B349" s="29" t="s">
        <v>1372</v>
      </c>
      <c r="C349" s="1278" t="s">
        <v>1373</v>
      </c>
      <c r="D349" s="1279"/>
      <c r="E349" s="104">
        <v>45</v>
      </c>
      <c r="F349" s="30" t="s">
        <v>211</v>
      </c>
      <c r="G349" s="25">
        <v>4730</v>
      </c>
      <c r="H349" s="25">
        <f t="shared" si="51"/>
        <v>4422.1150623100002</v>
      </c>
      <c r="I349" s="242">
        <f t="shared" si="58"/>
        <v>198995.17780395001</v>
      </c>
      <c r="J349" s="25">
        <v>1375</v>
      </c>
      <c r="K349" s="25">
        <f t="shared" si="53"/>
        <v>1285.498564625</v>
      </c>
      <c r="L349" s="25">
        <f t="shared" si="60"/>
        <v>57847.435408124999</v>
      </c>
      <c r="M349" s="25">
        <f t="shared" si="59"/>
        <v>256842.613212075</v>
      </c>
      <c r="N349" s="35"/>
      <c r="O349" s="921">
        <v>0.93490804699999996</v>
      </c>
    </row>
    <row r="350" spans="1:18" ht="18.95" customHeight="1">
      <c r="A350" s="648"/>
      <c r="B350" s="27" t="s">
        <v>1374</v>
      </c>
      <c r="C350" s="1278" t="s">
        <v>1375</v>
      </c>
      <c r="D350" s="1279"/>
      <c r="E350" s="104">
        <v>35</v>
      </c>
      <c r="F350" s="30" t="s">
        <v>211</v>
      </c>
      <c r="G350" s="25">
        <v>3410</v>
      </c>
      <c r="H350" s="25">
        <f t="shared" ref="H350:H413" si="61">G350*O350</f>
        <v>3188.0364402699997</v>
      </c>
      <c r="I350" s="242">
        <f t="shared" si="58"/>
        <v>111581.27540945</v>
      </c>
      <c r="J350" s="25">
        <v>1075</v>
      </c>
      <c r="K350" s="25">
        <f t="shared" ref="K350:K413" si="62">J350*O350</f>
        <v>1005.0261505249999</v>
      </c>
      <c r="L350" s="25">
        <f t="shared" si="60"/>
        <v>35175.915268375</v>
      </c>
      <c r="M350" s="25">
        <f t="shared" si="59"/>
        <v>146757.19067782501</v>
      </c>
      <c r="N350" s="35"/>
      <c r="O350" s="921">
        <v>0.93490804699999996</v>
      </c>
    </row>
    <row r="351" spans="1:18" ht="18.95" customHeight="1">
      <c r="A351" s="220"/>
      <c r="B351" s="29" t="s">
        <v>1376</v>
      </c>
      <c r="C351" s="1278" t="s">
        <v>1377</v>
      </c>
      <c r="D351" s="1279"/>
      <c r="E351" s="104">
        <v>28</v>
      </c>
      <c r="F351" s="30" t="s">
        <v>211</v>
      </c>
      <c r="G351" s="25">
        <v>2470</v>
      </c>
      <c r="H351" s="25">
        <f t="shared" si="61"/>
        <v>2309.2228760899998</v>
      </c>
      <c r="I351" s="242">
        <f t="shared" si="58"/>
        <v>64658.240530519994</v>
      </c>
      <c r="J351" s="25">
        <v>975</v>
      </c>
      <c r="K351" s="25">
        <f t="shared" si="62"/>
        <v>911.53534582499992</v>
      </c>
      <c r="L351" s="25">
        <f t="shared" si="60"/>
        <v>25522.989683099997</v>
      </c>
      <c r="M351" s="25">
        <f t="shared" si="59"/>
        <v>90181.230213619987</v>
      </c>
      <c r="N351" s="35"/>
      <c r="O351" s="921">
        <v>0.93490804699999996</v>
      </c>
    </row>
    <row r="352" spans="1:18" ht="19.350000000000001" customHeight="1">
      <c r="A352" s="220"/>
      <c r="B352" s="29"/>
      <c r="C352" s="29" t="s">
        <v>1378</v>
      </c>
      <c r="D352" s="356"/>
      <c r="E352" s="104"/>
      <c r="F352" s="30"/>
      <c r="G352" s="25"/>
      <c r="H352" s="25"/>
      <c r="I352" s="242"/>
      <c r="J352" s="25"/>
      <c r="K352" s="25"/>
      <c r="L352" s="25"/>
      <c r="M352" s="25"/>
      <c r="N352" s="35"/>
      <c r="O352" s="921">
        <v>0.93490804699999996</v>
      </c>
    </row>
    <row r="353" spans="1:18" ht="18.95" customHeight="1">
      <c r="A353" s="220"/>
      <c r="B353" s="941" t="s">
        <v>1379</v>
      </c>
      <c r="C353" s="221"/>
      <c r="D353" s="897"/>
      <c r="E353" s="896"/>
      <c r="F353" s="102"/>
      <c r="G353" s="34"/>
      <c r="H353" s="25"/>
      <c r="I353" s="242"/>
      <c r="J353" s="34"/>
      <c r="K353" s="25"/>
      <c r="L353" s="25"/>
      <c r="M353" s="34"/>
      <c r="N353" s="35"/>
      <c r="O353" s="921">
        <v>0.93490804699999996</v>
      </c>
    </row>
    <row r="354" spans="1:18" ht="18.95" customHeight="1">
      <c r="A354" s="44"/>
      <c r="B354" s="942" t="s">
        <v>1380</v>
      </c>
      <c r="C354" s="349"/>
      <c r="D354" s="943"/>
      <c r="E354" s="104">
        <v>20</v>
      </c>
      <c r="F354" s="30" t="s">
        <v>286</v>
      </c>
      <c r="G354" s="25">
        <v>350</v>
      </c>
      <c r="H354" s="25">
        <f t="shared" si="61"/>
        <v>327.21781644999999</v>
      </c>
      <c r="I354" s="242">
        <f t="shared" si="58"/>
        <v>6544.3563290000002</v>
      </c>
      <c r="J354" s="25">
        <v>150</v>
      </c>
      <c r="K354" s="25">
        <f t="shared" si="62"/>
        <v>140.23620704999999</v>
      </c>
      <c r="L354" s="25">
        <f t="shared" si="60"/>
        <v>2804.7241409999997</v>
      </c>
      <c r="M354" s="72">
        <f>I354+L354</f>
        <v>9349.0804700000008</v>
      </c>
      <c r="N354" s="26"/>
      <c r="O354" s="921">
        <v>0.93490804699999996</v>
      </c>
    </row>
    <row r="355" spans="1:18" ht="18.95" customHeight="1">
      <c r="A355" s="44"/>
      <c r="B355" s="942" t="s">
        <v>1381</v>
      </c>
      <c r="C355" s="349"/>
      <c r="D355" s="943"/>
      <c r="E355" s="104">
        <v>30</v>
      </c>
      <c r="F355" s="30" t="s">
        <v>286</v>
      </c>
      <c r="G355" s="25">
        <v>350</v>
      </c>
      <c r="H355" s="25">
        <f t="shared" si="61"/>
        <v>327.21781644999999</v>
      </c>
      <c r="I355" s="242">
        <f t="shared" si="58"/>
        <v>9816.5344934999994</v>
      </c>
      <c r="J355" s="25">
        <v>150</v>
      </c>
      <c r="K355" s="25">
        <f t="shared" si="62"/>
        <v>140.23620704999999</v>
      </c>
      <c r="L355" s="25">
        <f t="shared" si="60"/>
        <v>4207.0862115</v>
      </c>
      <c r="M355" s="72">
        <f>I355+L355</f>
        <v>14023.620704999999</v>
      </c>
      <c r="N355" s="26"/>
      <c r="O355" s="921">
        <v>0.93490804699999996</v>
      </c>
      <c r="R355" s="203"/>
    </row>
    <row r="356" spans="1:18" ht="18.95" customHeight="1">
      <c r="A356" s="44"/>
      <c r="B356" s="942" t="s">
        <v>1382</v>
      </c>
      <c r="C356" s="349"/>
      <c r="D356" s="943"/>
      <c r="E356" s="104">
        <v>80</v>
      </c>
      <c r="F356" s="30" t="s">
        <v>286</v>
      </c>
      <c r="G356" s="25">
        <v>350</v>
      </c>
      <c r="H356" s="25">
        <f t="shared" si="61"/>
        <v>327.21781644999999</v>
      </c>
      <c r="I356" s="242">
        <f t="shared" si="58"/>
        <v>26177.425316000001</v>
      </c>
      <c r="J356" s="25">
        <v>150</v>
      </c>
      <c r="K356" s="25">
        <f t="shared" si="62"/>
        <v>140.23620704999999</v>
      </c>
      <c r="L356" s="25">
        <f t="shared" si="60"/>
        <v>11218.896563999999</v>
      </c>
      <c r="M356" s="72">
        <f>I356+L356</f>
        <v>37396.321880000003</v>
      </c>
      <c r="N356" s="26"/>
      <c r="O356" s="921">
        <v>0.93490804699999996</v>
      </c>
      <c r="R356" s="203"/>
    </row>
    <row r="357" spans="1:18" ht="18.95" customHeight="1">
      <c r="A357" s="44"/>
      <c r="B357" s="942" t="s">
        <v>1383</v>
      </c>
      <c r="C357" s="349"/>
      <c r="D357" s="943"/>
      <c r="E357" s="104">
        <v>135</v>
      </c>
      <c r="F357" s="30" t="s">
        <v>286</v>
      </c>
      <c r="G357" s="25">
        <v>350</v>
      </c>
      <c r="H357" s="25">
        <f t="shared" si="61"/>
        <v>327.21781644999999</v>
      </c>
      <c r="I357" s="242">
        <f t="shared" si="58"/>
        <v>44174.405220749999</v>
      </c>
      <c r="J357" s="25">
        <v>150</v>
      </c>
      <c r="K357" s="25">
        <f t="shared" si="62"/>
        <v>140.23620704999999</v>
      </c>
      <c r="L357" s="25">
        <f t="shared" si="60"/>
        <v>18931.887951749999</v>
      </c>
      <c r="M357" s="72">
        <f>I357+L357</f>
        <v>63106.293172499994</v>
      </c>
      <c r="N357" s="26"/>
      <c r="O357" s="921">
        <v>0.93490804699999996</v>
      </c>
      <c r="R357" s="203"/>
    </row>
    <row r="358" spans="1:18" ht="18.95" customHeight="1">
      <c r="A358" s="220"/>
      <c r="B358" s="941" t="s">
        <v>353</v>
      </c>
      <c r="C358" s="221"/>
      <c r="D358" s="897"/>
      <c r="E358" s="896"/>
      <c r="F358" s="102"/>
      <c r="G358" s="34"/>
      <c r="H358" s="25"/>
      <c r="I358" s="242"/>
      <c r="J358" s="34"/>
      <c r="K358" s="25"/>
      <c r="L358" s="25"/>
      <c r="M358" s="34"/>
      <c r="N358" s="35"/>
      <c r="O358" s="921">
        <v>0.93490804699999996</v>
      </c>
      <c r="R358" s="203"/>
    </row>
    <row r="359" spans="1:18" ht="18.95" customHeight="1">
      <c r="A359" s="44" t="s">
        <v>1384</v>
      </c>
      <c r="B359" s="944" t="s">
        <v>1385</v>
      </c>
      <c r="C359" s="945"/>
      <c r="D359" s="943"/>
      <c r="E359" s="104">
        <v>39</v>
      </c>
      <c r="F359" s="30" t="s">
        <v>286</v>
      </c>
      <c r="G359" s="25">
        <v>250</v>
      </c>
      <c r="H359" s="25">
        <f t="shared" si="61"/>
        <v>233.72701175</v>
      </c>
      <c r="I359" s="242">
        <f t="shared" si="58"/>
        <v>9115.3534582499997</v>
      </c>
      <c r="J359" s="25"/>
      <c r="K359" s="25">
        <f t="shared" si="62"/>
        <v>0</v>
      </c>
      <c r="L359" s="25">
        <f t="shared" si="60"/>
        <v>0</v>
      </c>
      <c r="M359" s="72">
        <f>I359+L359</f>
        <v>9115.3534582499997</v>
      </c>
      <c r="N359" s="26"/>
      <c r="O359" s="921">
        <v>0.93490804699999996</v>
      </c>
    </row>
    <row r="360" spans="1:18" ht="18.95" customHeight="1">
      <c r="A360" s="651" t="s">
        <v>1233</v>
      </c>
      <c r="B360" s="714" t="s">
        <v>1386</v>
      </c>
      <c r="C360" s="945"/>
      <c r="D360" s="943"/>
      <c r="E360" s="104">
        <v>60</v>
      </c>
      <c r="F360" s="30" t="s">
        <v>286</v>
      </c>
      <c r="G360" s="25">
        <v>250</v>
      </c>
      <c r="H360" s="25">
        <f t="shared" si="61"/>
        <v>233.72701175</v>
      </c>
      <c r="I360" s="242">
        <f t="shared" si="58"/>
        <v>14023.620704999999</v>
      </c>
      <c r="J360" s="25"/>
      <c r="K360" s="25">
        <f t="shared" si="62"/>
        <v>0</v>
      </c>
      <c r="L360" s="25">
        <f t="shared" si="60"/>
        <v>0</v>
      </c>
      <c r="M360" s="72">
        <f t="shared" ref="M360:M366" si="63">I360+L360</f>
        <v>14023.620704999999</v>
      </c>
      <c r="N360" s="26"/>
      <c r="O360" s="921">
        <v>0.93490804699999996</v>
      </c>
      <c r="R360" s="203"/>
    </row>
    <row r="361" spans="1:18" ht="18.95" customHeight="1">
      <c r="A361" s="651" t="s">
        <v>1229</v>
      </c>
      <c r="B361" s="714" t="s">
        <v>1387</v>
      </c>
      <c r="C361" s="945"/>
      <c r="D361" s="943"/>
      <c r="E361" s="104">
        <v>15</v>
      </c>
      <c r="F361" s="30" t="s">
        <v>286</v>
      </c>
      <c r="G361" s="25">
        <v>250</v>
      </c>
      <c r="H361" s="25">
        <f t="shared" si="61"/>
        <v>233.72701175</v>
      </c>
      <c r="I361" s="242">
        <f t="shared" si="58"/>
        <v>3505.9051762499998</v>
      </c>
      <c r="J361" s="25"/>
      <c r="K361" s="25">
        <f t="shared" si="62"/>
        <v>0</v>
      </c>
      <c r="L361" s="25">
        <f t="shared" si="60"/>
        <v>0</v>
      </c>
      <c r="M361" s="72">
        <f t="shared" si="63"/>
        <v>3505.9051762499998</v>
      </c>
      <c r="N361" s="26"/>
      <c r="O361" s="921">
        <v>0.93490804699999996</v>
      </c>
      <c r="R361" s="203"/>
    </row>
    <row r="362" spans="1:18" ht="18.95" customHeight="1">
      <c r="A362" s="651" t="s">
        <v>1388</v>
      </c>
      <c r="B362" s="714" t="s">
        <v>1389</v>
      </c>
      <c r="C362" s="945"/>
      <c r="D362" s="943"/>
      <c r="E362" s="104">
        <v>9</v>
      </c>
      <c r="F362" s="30" t="s">
        <v>286</v>
      </c>
      <c r="G362" s="25">
        <v>250</v>
      </c>
      <c r="H362" s="25">
        <f t="shared" si="61"/>
        <v>233.72701175</v>
      </c>
      <c r="I362" s="242">
        <f t="shared" si="58"/>
        <v>2103.54310575</v>
      </c>
      <c r="J362" s="25"/>
      <c r="K362" s="25">
        <f t="shared" si="62"/>
        <v>0</v>
      </c>
      <c r="L362" s="25">
        <f t="shared" si="60"/>
        <v>0</v>
      </c>
      <c r="M362" s="72">
        <f t="shared" si="63"/>
        <v>2103.54310575</v>
      </c>
      <c r="N362" s="26"/>
      <c r="O362" s="921">
        <v>0.93490804699999996</v>
      </c>
      <c r="R362" s="203"/>
    </row>
    <row r="363" spans="1:18" ht="18.95" customHeight="1">
      <c r="A363" s="651" t="s">
        <v>1390</v>
      </c>
      <c r="B363" s="714" t="s">
        <v>1391</v>
      </c>
      <c r="C363" s="945"/>
      <c r="D363" s="943"/>
      <c r="E363" s="104">
        <v>5</v>
      </c>
      <c r="F363" s="30" t="s">
        <v>286</v>
      </c>
      <c r="G363" s="25">
        <v>250</v>
      </c>
      <c r="H363" s="25">
        <f t="shared" si="61"/>
        <v>233.72701175</v>
      </c>
      <c r="I363" s="242">
        <f t="shared" si="58"/>
        <v>1168.6350587500001</v>
      </c>
      <c r="J363" s="25"/>
      <c r="K363" s="25">
        <f t="shared" si="62"/>
        <v>0</v>
      </c>
      <c r="L363" s="25">
        <f t="shared" si="60"/>
        <v>0</v>
      </c>
      <c r="M363" s="72">
        <f t="shared" si="63"/>
        <v>1168.6350587500001</v>
      </c>
      <c r="N363" s="26"/>
      <c r="O363" s="921">
        <v>0.93490804699999996</v>
      </c>
      <c r="R363" s="203"/>
    </row>
    <row r="364" spans="1:18" ht="18.95" customHeight="1">
      <c r="A364" s="651" t="s">
        <v>1392</v>
      </c>
      <c r="B364" s="714" t="s">
        <v>1393</v>
      </c>
      <c r="C364" s="945"/>
      <c r="D364" s="943"/>
      <c r="E364" s="104">
        <v>42</v>
      </c>
      <c r="F364" s="30" t="s">
        <v>286</v>
      </c>
      <c r="G364" s="25">
        <v>250</v>
      </c>
      <c r="H364" s="25">
        <f t="shared" si="61"/>
        <v>233.72701175</v>
      </c>
      <c r="I364" s="242">
        <f t="shared" si="58"/>
        <v>9816.5344934999994</v>
      </c>
      <c r="J364" s="25"/>
      <c r="K364" s="25">
        <f t="shared" si="62"/>
        <v>0</v>
      </c>
      <c r="L364" s="25">
        <f t="shared" si="60"/>
        <v>0</v>
      </c>
      <c r="M364" s="72">
        <f t="shared" si="63"/>
        <v>9816.5344934999994</v>
      </c>
      <c r="N364" s="26"/>
      <c r="O364" s="921">
        <v>0.93490804699999996</v>
      </c>
      <c r="R364" s="203"/>
    </row>
    <row r="365" spans="1:18" ht="18.95" customHeight="1">
      <c r="A365" s="651" t="s">
        <v>1394</v>
      </c>
      <c r="B365" s="714" t="s">
        <v>1395</v>
      </c>
      <c r="C365" s="945"/>
      <c r="D365" s="943"/>
      <c r="E365" s="104">
        <v>18</v>
      </c>
      <c r="F365" s="30" t="s">
        <v>286</v>
      </c>
      <c r="G365" s="25">
        <v>250</v>
      </c>
      <c r="H365" s="25">
        <f t="shared" si="61"/>
        <v>233.72701175</v>
      </c>
      <c r="I365" s="242">
        <f t="shared" si="58"/>
        <v>4207.0862115</v>
      </c>
      <c r="J365" s="25"/>
      <c r="K365" s="25">
        <f t="shared" si="62"/>
        <v>0</v>
      </c>
      <c r="L365" s="25">
        <f t="shared" si="60"/>
        <v>0</v>
      </c>
      <c r="M365" s="72">
        <f t="shared" si="63"/>
        <v>4207.0862115</v>
      </c>
      <c r="N365" s="26"/>
      <c r="O365" s="921">
        <v>0.93490804699999996</v>
      </c>
      <c r="R365" s="203"/>
    </row>
    <row r="366" spans="1:18" ht="18.95" customHeight="1">
      <c r="A366" s="651" t="s">
        <v>1396</v>
      </c>
      <c r="B366" s="714" t="s">
        <v>1389</v>
      </c>
      <c r="C366" s="945"/>
      <c r="D366" s="943"/>
      <c r="E366" s="104">
        <v>10</v>
      </c>
      <c r="F366" s="30" t="s">
        <v>286</v>
      </c>
      <c r="G366" s="25">
        <v>250</v>
      </c>
      <c r="H366" s="25">
        <f t="shared" si="61"/>
        <v>233.72701175</v>
      </c>
      <c r="I366" s="242">
        <f t="shared" si="58"/>
        <v>2337.2701175000002</v>
      </c>
      <c r="J366" s="25"/>
      <c r="K366" s="25">
        <f t="shared" si="62"/>
        <v>0</v>
      </c>
      <c r="L366" s="25">
        <f t="shared" si="60"/>
        <v>0</v>
      </c>
      <c r="M366" s="72">
        <f t="shared" si="63"/>
        <v>2337.2701175000002</v>
      </c>
      <c r="N366" s="26"/>
      <c r="O366" s="921">
        <v>0.93490804699999996</v>
      </c>
      <c r="R366" s="203"/>
    </row>
    <row r="367" spans="1:18" ht="18.95" customHeight="1">
      <c r="A367" s="651"/>
      <c r="B367" s="714"/>
      <c r="C367" s="945"/>
      <c r="D367" s="943"/>
      <c r="E367" s="104"/>
      <c r="F367" s="30"/>
      <c r="G367" s="25"/>
      <c r="H367" s="25"/>
      <c r="I367" s="242"/>
      <c r="J367" s="25"/>
      <c r="K367" s="25"/>
      <c r="L367" s="25"/>
      <c r="M367" s="72"/>
      <c r="N367" s="26"/>
      <c r="O367" s="921">
        <v>0.93490804699999996</v>
      </c>
      <c r="R367" s="203"/>
    </row>
    <row r="368" spans="1:18" ht="18.95" customHeight="1">
      <c r="A368" s="648"/>
      <c r="B368" s="946" t="s">
        <v>1397</v>
      </c>
      <c r="C368" s="221"/>
      <c r="D368" s="897"/>
      <c r="E368" s="896"/>
      <c r="F368" s="102"/>
      <c r="G368" s="34"/>
      <c r="H368" s="25"/>
      <c r="I368" s="242"/>
      <c r="J368" s="34"/>
      <c r="K368" s="25"/>
      <c r="L368" s="25"/>
      <c r="M368" s="34"/>
      <c r="N368" s="35"/>
      <c r="O368" s="921">
        <v>0.93490804699999996</v>
      </c>
      <c r="R368" s="203"/>
    </row>
    <row r="369" spans="1:23" ht="18.95" customHeight="1">
      <c r="A369" s="947"/>
      <c r="B369" s="1306" t="s">
        <v>1398</v>
      </c>
      <c r="C369" s="1278"/>
      <c r="D369" s="1279"/>
      <c r="E369" s="948">
        <v>143</v>
      </c>
      <c r="F369" s="677" t="s">
        <v>286</v>
      </c>
      <c r="G369" s="949">
        <v>250</v>
      </c>
      <c r="H369" s="25">
        <f t="shared" si="61"/>
        <v>233.72701175</v>
      </c>
      <c r="I369" s="242">
        <f t="shared" si="58"/>
        <v>33422.962680249999</v>
      </c>
      <c r="J369" s="949">
        <v>150</v>
      </c>
      <c r="K369" s="25">
        <f t="shared" si="62"/>
        <v>140.23620704999999</v>
      </c>
      <c r="L369" s="25">
        <f t="shared" si="60"/>
        <v>20053.777608149998</v>
      </c>
      <c r="M369" s="568">
        <f>I369+L369</f>
        <v>53476.740288399997</v>
      </c>
      <c r="N369" s="950"/>
      <c r="O369" s="921">
        <v>0.93490804699999996</v>
      </c>
    </row>
    <row r="370" spans="1:23" s="890" customFormat="1" ht="18.95" customHeight="1">
      <c r="A370" s="651"/>
      <c r="B370" s="1306" t="s">
        <v>1399</v>
      </c>
      <c r="C370" s="1278"/>
      <c r="D370" s="1279"/>
      <c r="E370" s="104">
        <v>28</v>
      </c>
      <c r="F370" s="30" t="s">
        <v>286</v>
      </c>
      <c r="G370" s="25">
        <v>250</v>
      </c>
      <c r="H370" s="25">
        <f t="shared" si="61"/>
        <v>233.72701175</v>
      </c>
      <c r="I370" s="242">
        <f t="shared" si="58"/>
        <v>6544.3563290000002</v>
      </c>
      <c r="J370" s="25">
        <v>150</v>
      </c>
      <c r="K370" s="25">
        <f t="shared" si="62"/>
        <v>140.23620704999999</v>
      </c>
      <c r="L370" s="25">
        <f t="shared" si="60"/>
        <v>3926.6137973999998</v>
      </c>
      <c r="M370" s="72">
        <f>I370+L370</f>
        <v>10470.9701264</v>
      </c>
      <c r="N370" s="26"/>
      <c r="O370" s="921">
        <v>0.93490804699999996</v>
      </c>
      <c r="P370" s="951"/>
      <c r="Q370" s="951"/>
      <c r="S370" s="951"/>
      <c r="T370" s="951"/>
      <c r="U370" s="951"/>
      <c r="V370" s="951"/>
      <c r="W370" s="951"/>
    </row>
    <row r="371" spans="1:23" ht="18.95" customHeight="1">
      <c r="A371" s="651"/>
      <c r="B371" s="1306" t="s">
        <v>1400</v>
      </c>
      <c r="C371" s="1278"/>
      <c r="D371" s="1279"/>
      <c r="E371" s="104">
        <v>10</v>
      </c>
      <c r="F371" s="30" t="s">
        <v>286</v>
      </c>
      <c r="G371" s="25">
        <v>250</v>
      </c>
      <c r="H371" s="25">
        <f t="shared" si="61"/>
        <v>233.72701175</v>
      </c>
      <c r="I371" s="242">
        <f t="shared" si="58"/>
        <v>2337.2701175000002</v>
      </c>
      <c r="J371" s="25">
        <v>150</v>
      </c>
      <c r="K371" s="25">
        <f t="shared" si="62"/>
        <v>140.23620704999999</v>
      </c>
      <c r="L371" s="25">
        <f t="shared" si="60"/>
        <v>1402.3620704999998</v>
      </c>
      <c r="M371" s="72">
        <f>I371+L371</f>
        <v>3739.632188</v>
      </c>
      <c r="N371" s="26"/>
      <c r="O371" s="921">
        <v>0.93490804699999996</v>
      </c>
      <c r="R371" s="203"/>
    </row>
    <row r="372" spans="1:23" ht="18.95" customHeight="1">
      <c r="A372" s="651"/>
      <c r="B372" s="1306" t="s">
        <v>1401</v>
      </c>
      <c r="C372" s="1278"/>
      <c r="D372" s="1279"/>
      <c r="E372" s="104">
        <v>15</v>
      </c>
      <c r="F372" s="30" t="s">
        <v>286</v>
      </c>
      <c r="G372" s="25">
        <v>250</v>
      </c>
      <c r="H372" s="25">
        <f t="shared" si="61"/>
        <v>233.72701175</v>
      </c>
      <c r="I372" s="242">
        <f t="shared" si="58"/>
        <v>3505.9051762499998</v>
      </c>
      <c r="J372" s="25">
        <v>150</v>
      </c>
      <c r="K372" s="25">
        <f t="shared" si="62"/>
        <v>140.23620704999999</v>
      </c>
      <c r="L372" s="25">
        <f t="shared" si="60"/>
        <v>2103.54310575</v>
      </c>
      <c r="M372" s="72">
        <f>I372+L372</f>
        <v>5609.4482819999994</v>
      </c>
      <c r="N372" s="26"/>
      <c r="O372" s="921">
        <v>0.93490804699999996</v>
      </c>
      <c r="R372" s="203"/>
    </row>
    <row r="373" spans="1:23" ht="18.95" customHeight="1">
      <c r="A373" s="651"/>
      <c r="B373" s="27"/>
      <c r="C373" s="29"/>
      <c r="D373" s="895"/>
      <c r="E373" s="104"/>
      <c r="F373" s="30"/>
      <c r="G373" s="25"/>
      <c r="H373" s="25"/>
      <c r="I373" s="25"/>
      <c r="J373" s="25"/>
      <c r="K373" s="25"/>
      <c r="L373" s="30"/>
      <c r="M373" s="72"/>
      <c r="N373" s="26"/>
      <c r="O373" s="921">
        <v>0.93490804699999996</v>
      </c>
      <c r="R373" s="203"/>
    </row>
    <row r="374" spans="1:23" ht="18.95" customHeight="1">
      <c r="A374" s="925"/>
      <c r="B374" s="1293" t="s">
        <v>1402</v>
      </c>
      <c r="C374" s="1294"/>
      <c r="D374" s="1295"/>
      <c r="E374" s="902"/>
      <c r="F374" s="903"/>
      <c r="G374" s="903"/>
      <c r="H374" s="903"/>
      <c r="I374" s="904">
        <f>SUM(I324:I372)</f>
        <v>3418150.0324183437</v>
      </c>
      <c r="J374" s="904"/>
      <c r="K374" s="903"/>
      <c r="L374" s="904">
        <f>SUM(L324:L372)</f>
        <v>414608.34614332498</v>
      </c>
      <c r="M374" s="904">
        <f>SUM(M324:M372)</f>
        <v>3832758.3785616695</v>
      </c>
      <c r="N374" s="902"/>
      <c r="O374" s="921">
        <v>0.93490804699999996</v>
      </c>
    </row>
    <row r="375" spans="1:23" ht="18.95" customHeight="1">
      <c r="A375" s="648">
        <v>6</v>
      </c>
      <c r="B375" s="302" t="s">
        <v>1005</v>
      </c>
      <c r="C375" s="221"/>
      <c r="D375" s="897"/>
      <c r="E375" s="896"/>
      <c r="F375" s="102"/>
      <c r="G375" s="102"/>
      <c r="H375" s="102"/>
      <c r="I375" s="34"/>
      <c r="J375" s="102"/>
      <c r="K375" s="102"/>
      <c r="L375" s="34"/>
      <c r="M375" s="35"/>
      <c r="N375" s="35"/>
      <c r="O375" s="921">
        <v>0.93490804699999996</v>
      </c>
    </row>
    <row r="376" spans="1:23" ht="18.95" customHeight="1">
      <c r="A376" s="898"/>
      <c r="B376" s="932">
        <v>203</v>
      </c>
      <c r="C376" s="900" t="s">
        <v>1403</v>
      </c>
      <c r="D376" s="901"/>
      <c r="E376" s="902"/>
      <c r="F376" s="903"/>
      <c r="G376" s="903"/>
      <c r="H376" s="903"/>
      <c r="I376" s="904"/>
      <c r="J376" s="904"/>
      <c r="K376" s="903"/>
      <c r="L376" s="904"/>
      <c r="M376" s="904"/>
      <c r="N376" s="903"/>
      <c r="O376" s="921">
        <v>0.93490804699999996</v>
      </c>
    </row>
    <row r="377" spans="1:23" ht="18.95" customHeight="1">
      <c r="A377" s="651"/>
      <c r="B377" s="27" t="s">
        <v>1404</v>
      </c>
      <c r="C377" s="29" t="s">
        <v>1405</v>
      </c>
      <c r="D377" s="895"/>
      <c r="E377" s="896"/>
      <c r="F377" s="102"/>
      <c r="G377" s="25"/>
      <c r="H377" s="25">
        <f t="shared" si="61"/>
        <v>0</v>
      </c>
      <c r="I377" s="25"/>
      <c r="J377" s="25"/>
      <c r="K377" s="25">
        <f t="shared" si="62"/>
        <v>0</v>
      </c>
      <c r="L377" s="30"/>
      <c r="M377" s="72"/>
      <c r="N377" s="26"/>
      <c r="O377" s="921">
        <v>0.93490804699999996</v>
      </c>
    </row>
    <row r="378" spans="1:23" ht="18.95" customHeight="1">
      <c r="A378" s="651"/>
      <c r="B378" s="287" t="s">
        <v>1247</v>
      </c>
      <c r="C378" s="29" t="s">
        <v>1406</v>
      </c>
      <c r="D378" s="46" t="s">
        <v>1407</v>
      </c>
      <c r="E378" s="104">
        <v>3.5</v>
      </c>
      <c r="F378" s="30" t="s">
        <v>211</v>
      </c>
      <c r="G378" s="25">
        <v>5500</v>
      </c>
      <c r="H378" s="25">
        <f t="shared" si="61"/>
        <v>5141.9942584999999</v>
      </c>
      <c r="I378" s="242">
        <f t="shared" ref="I378:I384" si="64">E378*H378</f>
        <v>17996.979904749998</v>
      </c>
      <c r="J378" s="25">
        <v>3500</v>
      </c>
      <c r="K378" s="25">
        <f t="shared" si="62"/>
        <v>3272.1781645000001</v>
      </c>
      <c r="L378" s="25">
        <f t="shared" ref="L378:L382" si="65">E378*K378</f>
        <v>11452.62357575</v>
      </c>
      <c r="M378" s="72">
        <f t="shared" ref="M378:M384" si="66">I378+L378</f>
        <v>29449.603480499998</v>
      </c>
      <c r="N378" s="26"/>
      <c r="O378" s="921">
        <v>0.93490804699999996</v>
      </c>
    </row>
    <row r="379" spans="1:23" ht="18.95" customHeight="1">
      <c r="A379" s="651"/>
      <c r="B379" s="287" t="s">
        <v>1408</v>
      </c>
      <c r="C379" s="29"/>
      <c r="D379" s="46"/>
      <c r="E379" s="104">
        <v>4</v>
      </c>
      <c r="F379" s="30" t="s">
        <v>286</v>
      </c>
      <c r="G379" s="25">
        <v>1650</v>
      </c>
      <c r="H379" s="25">
        <f t="shared" si="61"/>
        <v>1542.5982775499999</v>
      </c>
      <c r="I379" s="242">
        <f t="shared" si="64"/>
        <v>6170.3931101999997</v>
      </c>
      <c r="J379" s="25"/>
      <c r="K379" s="25">
        <f t="shared" si="62"/>
        <v>0</v>
      </c>
      <c r="L379" s="25">
        <f t="shared" si="65"/>
        <v>0</v>
      </c>
      <c r="M379" s="72">
        <f t="shared" si="66"/>
        <v>6170.3931101999997</v>
      </c>
      <c r="N379" s="26"/>
      <c r="O379" s="921">
        <v>0.93490804699999996</v>
      </c>
    </row>
    <row r="380" spans="1:23" ht="18.95" customHeight="1">
      <c r="A380" s="651"/>
      <c r="B380" s="27" t="s">
        <v>1409</v>
      </c>
      <c r="C380" s="29" t="s">
        <v>1410</v>
      </c>
      <c r="D380" s="895"/>
      <c r="E380" s="104">
        <v>20</v>
      </c>
      <c r="F380" s="30" t="s">
        <v>286</v>
      </c>
      <c r="G380" s="25">
        <v>16000</v>
      </c>
      <c r="H380" s="25">
        <f t="shared" si="61"/>
        <v>14958.528752</v>
      </c>
      <c r="I380" s="242">
        <f t="shared" si="64"/>
        <v>299170.57504000003</v>
      </c>
      <c r="J380" s="25"/>
      <c r="K380" s="25">
        <f t="shared" si="62"/>
        <v>0</v>
      </c>
      <c r="L380" s="25">
        <f t="shared" si="65"/>
        <v>0</v>
      </c>
      <c r="M380" s="72">
        <f t="shared" si="66"/>
        <v>299170.57504000003</v>
      </c>
      <c r="N380" s="26"/>
      <c r="O380" s="921">
        <v>0.93490804699999996</v>
      </c>
    </row>
    <row r="381" spans="1:23" ht="18.95" customHeight="1">
      <c r="A381" s="651"/>
      <c r="B381" s="27" t="s">
        <v>1411</v>
      </c>
      <c r="C381" s="29" t="s">
        <v>1412</v>
      </c>
      <c r="D381" s="895"/>
      <c r="E381" s="104">
        <v>5</v>
      </c>
      <c r="F381" s="30" t="s">
        <v>286</v>
      </c>
      <c r="G381" s="25">
        <v>8000</v>
      </c>
      <c r="H381" s="25">
        <f t="shared" si="61"/>
        <v>7479.2643760000001</v>
      </c>
      <c r="I381" s="242">
        <f t="shared" si="64"/>
        <v>37396.321880000003</v>
      </c>
      <c r="J381" s="25"/>
      <c r="K381" s="25">
        <f t="shared" si="62"/>
        <v>0</v>
      </c>
      <c r="L381" s="25">
        <f t="shared" si="65"/>
        <v>0</v>
      </c>
      <c r="M381" s="72">
        <f t="shared" si="66"/>
        <v>37396.321880000003</v>
      </c>
      <c r="N381" s="26"/>
      <c r="O381" s="921">
        <v>0.93490804699999996</v>
      </c>
    </row>
    <row r="382" spans="1:23" ht="18.95" customHeight="1">
      <c r="A382" s="651"/>
      <c r="B382" s="27" t="s">
        <v>1413</v>
      </c>
      <c r="C382" s="29" t="s">
        <v>1414</v>
      </c>
      <c r="D382" s="46"/>
      <c r="E382" s="104">
        <v>9</v>
      </c>
      <c r="F382" s="30" t="s">
        <v>286</v>
      </c>
      <c r="G382" s="25">
        <v>12000</v>
      </c>
      <c r="H382" s="25">
        <f t="shared" si="61"/>
        <v>11218.896563999999</v>
      </c>
      <c r="I382" s="242">
        <f t="shared" si="64"/>
        <v>100970.06907599999</v>
      </c>
      <c r="J382" s="25"/>
      <c r="K382" s="25">
        <f t="shared" si="62"/>
        <v>0</v>
      </c>
      <c r="L382" s="25">
        <f t="shared" si="65"/>
        <v>0</v>
      </c>
      <c r="M382" s="72">
        <f t="shared" si="66"/>
        <v>100970.06907599999</v>
      </c>
      <c r="N382" s="26"/>
      <c r="O382" s="921">
        <v>0.93490804699999996</v>
      </c>
    </row>
    <row r="383" spans="1:23" ht="18.95" customHeight="1">
      <c r="A383" s="651"/>
      <c r="B383" s="27" t="s">
        <v>1413</v>
      </c>
      <c r="C383" s="29" t="s">
        <v>1415</v>
      </c>
      <c r="D383" s="46"/>
      <c r="E383" s="104">
        <v>13.5</v>
      </c>
      <c r="F383" s="30" t="s">
        <v>286</v>
      </c>
      <c r="G383" s="25">
        <v>12000</v>
      </c>
      <c r="H383" s="25">
        <f t="shared" si="61"/>
        <v>11218.896563999999</v>
      </c>
      <c r="I383" s="242">
        <f t="shared" si="64"/>
        <v>151455.10361399999</v>
      </c>
      <c r="J383" s="25"/>
      <c r="K383" s="25">
        <f t="shared" si="62"/>
        <v>0</v>
      </c>
      <c r="L383" s="30">
        <f t="shared" ref="L383:L384" si="67">E383*J383</f>
        <v>0</v>
      </c>
      <c r="M383" s="72">
        <f t="shared" si="66"/>
        <v>151455.10361399999</v>
      </c>
      <c r="N383" s="26"/>
      <c r="O383" s="921">
        <v>0.93490804699999996</v>
      </c>
    </row>
    <row r="384" spans="1:23" s="204" customFormat="1" ht="18.95" customHeight="1">
      <c r="A384" s="651"/>
      <c r="B384" s="27" t="s">
        <v>1413</v>
      </c>
      <c r="C384" s="29" t="s">
        <v>1416</v>
      </c>
      <c r="D384" s="46"/>
      <c r="E384" s="104">
        <v>9</v>
      </c>
      <c r="F384" s="30" t="s">
        <v>286</v>
      </c>
      <c r="G384" s="25">
        <v>12000</v>
      </c>
      <c r="H384" s="25">
        <f t="shared" si="61"/>
        <v>11218.896563999999</v>
      </c>
      <c r="I384" s="242">
        <f t="shared" si="64"/>
        <v>100970.06907599999</v>
      </c>
      <c r="J384" s="25"/>
      <c r="K384" s="25">
        <f t="shared" si="62"/>
        <v>0</v>
      </c>
      <c r="L384" s="30">
        <f t="shared" si="67"/>
        <v>0</v>
      </c>
      <c r="M384" s="72">
        <f t="shared" si="66"/>
        <v>100970.06907599999</v>
      </c>
      <c r="N384" s="26"/>
      <c r="O384" s="921">
        <v>0.93490804699999996</v>
      </c>
    </row>
    <row r="385" spans="1:15" s="204" customFormat="1" ht="18.95" customHeight="1">
      <c r="A385" s="898"/>
      <c r="B385" s="932">
        <v>204</v>
      </c>
      <c r="C385" s="900" t="s">
        <v>902</v>
      </c>
      <c r="D385" s="901"/>
      <c r="E385" s="902"/>
      <c r="F385" s="903"/>
      <c r="G385" s="903"/>
      <c r="H385" s="903"/>
      <c r="I385" s="903"/>
      <c r="J385" s="903"/>
      <c r="K385" s="903"/>
      <c r="L385" s="904"/>
      <c r="M385" s="904"/>
      <c r="N385" s="903"/>
      <c r="O385" s="921">
        <v>0.93490804699999996</v>
      </c>
    </row>
    <row r="386" spans="1:15" s="204" customFormat="1" ht="18.95" customHeight="1">
      <c r="A386" s="651"/>
      <c r="B386" s="27" t="s">
        <v>1417</v>
      </c>
      <c r="C386" s="29" t="s">
        <v>1418</v>
      </c>
      <c r="D386" s="895"/>
      <c r="E386" s="104"/>
      <c r="F386" s="30"/>
      <c r="G386" s="25"/>
      <c r="H386" s="25"/>
      <c r="I386" s="25"/>
      <c r="J386" s="25"/>
      <c r="K386" s="25"/>
      <c r="L386" s="30"/>
      <c r="M386" s="72"/>
      <c r="N386" s="26"/>
      <c r="O386" s="921">
        <v>0.93490804699999996</v>
      </c>
    </row>
    <row r="387" spans="1:15" s="204" customFormat="1" ht="18.95" customHeight="1">
      <c r="A387" s="651"/>
      <c r="B387" s="287" t="s">
        <v>1334</v>
      </c>
      <c r="C387" s="29" t="s">
        <v>1036</v>
      </c>
      <c r="D387" s="46" t="s">
        <v>1037</v>
      </c>
      <c r="E387" s="104">
        <v>32</v>
      </c>
      <c r="F387" s="30" t="s">
        <v>286</v>
      </c>
      <c r="G387" s="25">
        <v>8000</v>
      </c>
      <c r="H387" s="25">
        <f t="shared" si="61"/>
        <v>7479.2643760000001</v>
      </c>
      <c r="I387" s="242">
        <f t="shared" ref="I387:I390" si="68">E387*H387</f>
        <v>239336.460032</v>
      </c>
      <c r="J387" s="25"/>
      <c r="K387" s="25">
        <f t="shared" si="62"/>
        <v>0</v>
      </c>
      <c r="L387" s="30">
        <f>E387*J387</f>
        <v>0</v>
      </c>
      <c r="M387" s="72">
        <f>I387+L387</f>
        <v>239336.460032</v>
      </c>
      <c r="N387" s="26"/>
      <c r="O387" s="921">
        <v>0.93490804699999996</v>
      </c>
    </row>
    <row r="388" spans="1:15" s="204" customFormat="1" ht="18.95" customHeight="1">
      <c r="A388" s="651"/>
      <c r="B388" s="287" t="s">
        <v>1334</v>
      </c>
      <c r="C388" s="29" t="s">
        <v>1036</v>
      </c>
      <c r="D388" s="46" t="s">
        <v>1037</v>
      </c>
      <c r="E388" s="104">
        <v>7</v>
      </c>
      <c r="F388" s="30" t="s">
        <v>286</v>
      </c>
      <c r="G388" s="25">
        <v>24000</v>
      </c>
      <c r="H388" s="25">
        <f t="shared" si="61"/>
        <v>22437.793127999998</v>
      </c>
      <c r="I388" s="242">
        <f t="shared" si="68"/>
        <v>157064.55189599999</v>
      </c>
      <c r="J388" s="25"/>
      <c r="K388" s="25">
        <f t="shared" si="62"/>
        <v>0</v>
      </c>
      <c r="L388" s="30">
        <f>E388*J388</f>
        <v>0</v>
      </c>
      <c r="M388" s="72">
        <f>I388+L388</f>
        <v>157064.55189599999</v>
      </c>
      <c r="N388" s="26"/>
      <c r="O388" s="921">
        <v>0.93490804699999996</v>
      </c>
    </row>
    <row r="389" spans="1:15" s="204" customFormat="1" ht="18.95" customHeight="1">
      <c r="A389" s="651"/>
      <c r="B389" s="27" t="s">
        <v>1419</v>
      </c>
      <c r="C389" s="29"/>
      <c r="D389" s="895"/>
      <c r="E389" s="104"/>
      <c r="F389" s="30"/>
      <c r="G389" s="72"/>
      <c r="H389" s="25">
        <f t="shared" si="61"/>
        <v>0</v>
      </c>
      <c r="I389" s="242">
        <f t="shared" si="68"/>
        <v>0</v>
      </c>
      <c r="J389" s="72"/>
      <c r="K389" s="25">
        <f t="shared" si="62"/>
        <v>0</v>
      </c>
      <c r="L389" s="72"/>
      <c r="M389" s="72"/>
      <c r="N389" s="26"/>
      <c r="O389" s="921">
        <v>0.93490804699999996</v>
      </c>
    </row>
    <row r="390" spans="1:15" s="204" customFormat="1" ht="18.95" customHeight="1">
      <c r="A390" s="651"/>
      <c r="B390" s="27" t="s">
        <v>1420</v>
      </c>
      <c r="C390" s="29" t="s">
        <v>1421</v>
      </c>
      <c r="D390" s="895"/>
      <c r="E390" s="104">
        <v>29</v>
      </c>
      <c r="F390" s="30" t="s">
        <v>211</v>
      </c>
      <c r="G390" s="72">
        <v>100</v>
      </c>
      <c r="H390" s="25">
        <f t="shared" si="61"/>
        <v>93.490804699999998</v>
      </c>
      <c r="I390" s="242">
        <f t="shared" si="68"/>
        <v>2711.2333362999998</v>
      </c>
      <c r="J390" s="72">
        <v>50</v>
      </c>
      <c r="K390" s="25">
        <f t="shared" si="62"/>
        <v>46.745402349999999</v>
      </c>
      <c r="L390" s="72">
        <f>E390*K390</f>
        <v>1355.6166681499999</v>
      </c>
      <c r="M390" s="72">
        <f>I390+L390</f>
        <v>4066.8500044499997</v>
      </c>
      <c r="N390" s="26"/>
      <c r="O390" s="921">
        <v>0.93490804699999996</v>
      </c>
    </row>
    <row r="391" spans="1:15" s="204" customFormat="1" ht="18.95" customHeight="1">
      <c r="A391" s="898"/>
      <c r="B391" s="932">
        <v>205</v>
      </c>
      <c r="C391" s="900" t="s">
        <v>953</v>
      </c>
      <c r="D391" s="901"/>
      <c r="E391" s="902"/>
      <c r="F391" s="903"/>
      <c r="G391" s="903"/>
      <c r="H391" s="903"/>
      <c r="I391" s="903"/>
      <c r="J391" s="903"/>
      <c r="K391" s="903"/>
      <c r="L391" s="904"/>
      <c r="M391" s="904"/>
      <c r="N391" s="903"/>
      <c r="O391" s="921">
        <v>0.93490804699999996</v>
      </c>
    </row>
    <row r="392" spans="1:15" s="204" customFormat="1" ht="18.95" customHeight="1">
      <c r="A392" s="651"/>
      <c r="B392" s="27" t="s">
        <v>1422</v>
      </c>
      <c r="C392" s="29"/>
      <c r="D392" s="895"/>
      <c r="E392" s="104"/>
      <c r="F392" s="30"/>
      <c r="G392" s="25"/>
      <c r="H392" s="25"/>
      <c r="I392" s="25"/>
      <c r="J392" s="25"/>
      <c r="K392" s="25"/>
      <c r="L392" s="25"/>
      <c r="M392" s="25"/>
      <c r="N392" s="26"/>
      <c r="O392" s="921">
        <v>0.93490804699999996</v>
      </c>
    </row>
    <row r="393" spans="1:15" s="204" customFormat="1" ht="18.95" customHeight="1">
      <c r="A393" s="651"/>
      <c r="B393" s="287" t="s">
        <v>1423</v>
      </c>
      <c r="C393" s="29" t="s">
        <v>1424</v>
      </c>
      <c r="D393" s="46" t="s">
        <v>1425</v>
      </c>
      <c r="E393" s="104">
        <v>1</v>
      </c>
      <c r="F393" s="30" t="s">
        <v>349</v>
      </c>
      <c r="G393" s="25">
        <v>80000</v>
      </c>
      <c r="H393" s="25">
        <f t="shared" si="61"/>
        <v>74792.643759999992</v>
      </c>
      <c r="I393" s="242">
        <f t="shared" ref="I393:I405" si="69">E393*H393</f>
        <v>74792.643759999992</v>
      </c>
      <c r="J393" s="25">
        <v>80000</v>
      </c>
      <c r="K393" s="25">
        <f t="shared" si="62"/>
        <v>74792.643759999992</v>
      </c>
      <c r="L393" s="30">
        <f>E393*K393</f>
        <v>74792.643759999992</v>
      </c>
      <c r="M393" s="72">
        <f t="shared" ref="M393:M399" si="70">I393+L393</f>
        <v>149585.28751999998</v>
      </c>
      <c r="N393" s="26"/>
      <c r="O393" s="921">
        <v>0.93490804699999996</v>
      </c>
    </row>
    <row r="394" spans="1:15" s="204" customFormat="1" ht="18.95" customHeight="1">
      <c r="A394" s="651"/>
      <c r="B394" s="287" t="s">
        <v>1423</v>
      </c>
      <c r="C394" s="29" t="s">
        <v>1426</v>
      </c>
      <c r="D394" s="46" t="s">
        <v>1427</v>
      </c>
      <c r="E394" s="104">
        <v>26</v>
      </c>
      <c r="F394" s="30" t="s">
        <v>286</v>
      </c>
      <c r="G394" s="25">
        <v>8000</v>
      </c>
      <c r="H394" s="25">
        <f t="shared" si="61"/>
        <v>7479.2643760000001</v>
      </c>
      <c r="I394" s="242">
        <f t="shared" si="69"/>
        <v>194460.87377599999</v>
      </c>
      <c r="J394" s="25"/>
      <c r="K394" s="25">
        <f t="shared" si="62"/>
        <v>0</v>
      </c>
      <c r="L394" s="30">
        <f t="shared" ref="L394:L405" si="71">E394*K394</f>
        <v>0</v>
      </c>
      <c r="M394" s="72">
        <f t="shared" si="70"/>
        <v>194460.87377599999</v>
      </c>
      <c r="N394" s="26"/>
      <c r="O394" s="921">
        <v>0.93490804699999996</v>
      </c>
    </row>
    <row r="395" spans="1:15" s="204" customFormat="1" ht="18.95" customHeight="1">
      <c r="A395" s="651"/>
      <c r="B395" s="287"/>
      <c r="C395" s="29"/>
      <c r="D395" s="46"/>
      <c r="E395" s="104"/>
      <c r="F395" s="30"/>
      <c r="G395" s="25"/>
      <c r="H395" s="25"/>
      <c r="I395" s="242"/>
      <c r="J395" s="25"/>
      <c r="K395" s="25"/>
      <c r="L395" s="30"/>
      <c r="M395" s="72"/>
      <c r="N395" s="26"/>
      <c r="O395" s="921">
        <v>0.93490804699999996</v>
      </c>
    </row>
    <row r="396" spans="1:15" s="204" customFormat="1" ht="18.95" customHeight="1">
      <c r="A396" s="651"/>
      <c r="B396" s="287" t="s">
        <v>1428</v>
      </c>
      <c r="C396" s="29" t="s">
        <v>1036</v>
      </c>
      <c r="D396" s="46" t="s">
        <v>1037</v>
      </c>
      <c r="E396" s="104">
        <v>9.5</v>
      </c>
      <c r="F396" s="30" t="s">
        <v>286</v>
      </c>
      <c r="G396" s="25">
        <v>24000</v>
      </c>
      <c r="H396" s="25">
        <f t="shared" si="61"/>
        <v>22437.793127999998</v>
      </c>
      <c r="I396" s="242">
        <f t="shared" si="69"/>
        <v>213159.03471599997</v>
      </c>
      <c r="J396" s="25"/>
      <c r="K396" s="25">
        <f t="shared" si="62"/>
        <v>0</v>
      </c>
      <c r="L396" s="30">
        <f t="shared" si="71"/>
        <v>0</v>
      </c>
      <c r="M396" s="72">
        <f t="shared" si="70"/>
        <v>213159.03471599997</v>
      </c>
      <c r="N396" s="26"/>
      <c r="O396" s="921">
        <v>0.93490804699999996</v>
      </c>
    </row>
    <row r="397" spans="1:15" s="204" customFormat="1" ht="18.95" customHeight="1">
      <c r="A397" s="651"/>
      <c r="B397" s="287" t="s">
        <v>1428</v>
      </c>
      <c r="C397" s="29" t="s">
        <v>1036</v>
      </c>
      <c r="D397" s="46" t="s">
        <v>1037</v>
      </c>
      <c r="E397" s="104">
        <v>14.5</v>
      </c>
      <c r="F397" s="30" t="s">
        <v>286</v>
      </c>
      <c r="G397" s="25">
        <v>8000</v>
      </c>
      <c r="H397" s="25">
        <f t="shared" si="61"/>
        <v>7479.2643760000001</v>
      </c>
      <c r="I397" s="242">
        <f t="shared" si="69"/>
        <v>108449.33345200001</v>
      </c>
      <c r="J397" s="25"/>
      <c r="K397" s="25">
        <f t="shared" si="62"/>
        <v>0</v>
      </c>
      <c r="L397" s="30">
        <f t="shared" si="71"/>
        <v>0</v>
      </c>
      <c r="M397" s="72">
        <f t="shared" si="70"/>
        <v>108449.33345200001</v>
      </c>
      <c r="N397" s="26"/>
      <c r="O397" s="921">
        <v>0.93490804699999996</v>
      </c>
    </row>
    <row r="398" spans="1:15" s="204" customFormat="1" ht="18.95" customHeight="1">
      <c r="A398" s="651"/>
      <c r="B398" s="287" t="s">
        <v>1429</v>
      </c>
      <c r="C398" s="29" t="s">
        <v>1430</v>
      </c>
      <c r="D398" s="46" t="s">
        <v>1431</v>
      </c>
      <c r="E398" s="104">
        <v>31</v>
      </c>
      <c r="F398" s="30" t="s">
        <v>211</v>
      </c>
      <c r="G398" s="25">
        <v>5300</v>
      </c>
      <c r="H398" s="25">
        <f t="shared" si="61"/>
        <v>4955.0126491000001</v>
      </c>
      <c r="I398" s="242">
        <f t="shared" si="69"/>
        <v>153605.39212209999</v>
      </c>
      <c r="J398" s="25"/>
      <c r="K398" s="25">
        <f t="shared" si="62"/>
        <v>0</v>
      </c>
      <c r="L398" s="30">
        <f t="shared" si="71"/>
        <v>0</v>
      </c>
      <c r="M398" s="72">
        <f t="shared" si="70"/>
        <v>153605.39212209999</v>
      </c>
      <c r="N398" s="26"/>
      <c r="O398" s="921">
        <v>0.93490804699999996</v>
      </c>
    </row>
    <row r="399" spans="1:15" ht="18.95" customHeight="1">
      <c r="A399" s="651"/>
      <c r="B399" s="287" t="s">
        <v>1432</v>
      </c>
      <c r="C399" s="29"/>
      <c r="D399" s="46"/>
      <c r="E399" s="104">
        <v>7</v>
      </c>
      <c r="F399" s="30" t="s">
        <v>286</v>
      </c>
      <c r="G399" s="25">
        <v>20000</v>
      </c>
      <c r="H399" s="25">
        <f t="shared" si="61"/>
        <v>18698.160939999998</v>
      </c>
      <c r="I399" s="242">
        <f t="shared" si="69"/>
        <v>130887.12657999998</v>
      </c>
      <c r="J399" s="25"/>
      <c r="K399" s="25">
        <f t="shared" si="62"/>
        <v>0</v>
      </c>
      <c r="L399" s="30">
        <f t="shared" si="71"/>
        <v>0</v>
      </c>
      <c r="M399" s="72">
        <f t="shared" si="70"/>
        <v>130887.12657999998</v>
      </c>
      <c r="N399" s="26"/>
      <c r="O399" s="921">
        <v>0.93490804699999996</v>
      </c>
    </row>
    <row r="400" spans="1:15" ht="18.95" customHeight="1">
      <c r="A400" s="651"/>
      <c r="B400" s="27" t="s">
        <v>1419</v>
      </c>
      <c r="C400" s="29"/>
      <c r="D400" s="895"/>
      <c r="E400" s="104"/>
      <c r="F400" s="30"/>
      <c r="G400" s="25"/>
      <c r="H400" s="25"/>
      <c r="I400" s="242"/>
      <c r="J400" s="25"/>
      <c r="K400" s="25"/>
      <c r="L400" s="30"/>
      <c r="M400" s="25"/>
      <c r="N400" s="26"/>
      <c r="O400" s="921">
        <v>0.93490804699999996</v>
      </c>
    </row>
    <row r="401" spans="1:23" ht="18.95" customHeight="1">
      <c r="A401" s="651"/>
      <c r="B401" s="27" t="s">
        <v>1420</v>
      </c>
      <c r="C401" s="29" t="s">
        <v>1421</v>
      </c>
      <c r="D401" s="895"/>
      <c r="E401" s="104">
        <v>39</v>
      </c>
      <c r="F401" s="30" t="s">
        <v>211</v>
      </c>
      <c r="G401" s="25">
        <v>100</v>
      </c>
      <c r="H401" s="25">
        <f t="shared" si="61"/>
        <v>93.490804699999998</v>
      </c>
      <c r="I401" s="242">
        <f t="shared" si="69"/>
        <v>3646.1413833000001</v>
      </c>
      <c r="J401" s="25">
        <v>50</v>
      </c>
      <c r="K401" s="25">
        <f t="shared" si="62"/>
        <v>46.745402349999999</v>
      </c>
      <c r="L401" s="30">
        <f t="shared" si="71"/>
        <v>1823.0706916500001</v>
      </c>
      <c r="M401" s="72">
        <f>I401+L401</f>
        <v>5469.21207495</v>
      </c>
      <c r="N401" s="26"/>
      <c r="O401" s="921">
        <v>0.93490804699999996</v>
      </c>
    </row>
    <row r="402" spans="1:23" ht="18.95" customHeight="1">
      <c r="A402" s="645"/>
      <c r="B402" s="302" t="s">
        <v>1433</v>
      </c>
      <c r="C402" s="221"/>
      <c r="D402" s="897"/>
      <c r="E402" s="104"/>
      <c r="F402" s="30"/>
      <c r="G402" s="34"/>
      <c r="H402" s="25"/>
      <c r="I402" s="242"/>
      <c r="J402" s="34"/>
      <c r="K402" s="25"/>
      <c r="L402" s="30"/>
      <c r="M402" s="126"/>
      <c r="N402" s="35"/>
      <c r="O402" s="921">
        <v>0.93490804699999996</v>
      </c>
    </row>
    <row r="403" spans="1:23" s="1" customFormat="1" ht="18.95" customHeight="1">
      <c r="A403" s="651"/>
      <c r="B403" s="348"/>
      <c r="C403" s="29" t="s">
        <v>1434</v>
      </c>
      <c r="D403" s="46"/>
      <c r="E403" s="104">
        <v>141</v>
      </c>
      <c r="F403" s="30" t="s">
        <v>286</v>
      </c>
      <c r="G403" s="25">
        <v>200</v>
      </c>
      <c r="H403" s="25">
        <f t="shared" si="61"/>
        <v>186.9816094</v>
      </c>
      <c r="I403" s="242">
        <f t="shared" si="69"/>
        <v>26364.406925399999</v>
      </c>
      <c r="J403" s="25"/>
      <c r="K403" s="25">
        <f t="shared" si="62"/>
        <v>0</v>
      </c>
      <c r="L403" s="30">
        <f t="shared" si="71"/>
        <v>0</v>
      </c>
      <c r="M403" s="72">
        <f>I403+L403</f>
        <v>26364.406925399999</v>
      </c>
      <c r="N403" s="26"/>
      <c r="O403" s="921">
        <v>0.93490804699999996</v>
      </c>
      <c r="P403" s="206"/>
      <c r="Q403" s="206"/>
      <c r="R403" s="206"/>
      <c r="S403" s="206"/>
      <c r="T403" s="206"/>
      <c r="U403" s="206"/>
      <c r="V403" s="206"/>
      <c r="W403" s="206"/>
    </row>
    <row r="404" spans="1:23" ht="18.95" customHeight="1">
      <c r="A404" s="651"/>
      <c r="B404" s="348"/>
      <c r="C404" s="29" t="s">
        <v>1435</v>
      </c>
      <c r="D404" s="46"/>
      <c r="E404" s="104">
        <v>21</v>
      </c>
      <c r="F404" s="30" t="s">
        <v>286</v>
      </c>
      <c r="G404" s="25">
        <v>250</v>
      </c>
      <c r="H404" s="25">
        <f t="shared" si="61"/>
        <v>233.72701175</v>
      </c>
      <c r="I404" s="242">
        <f t="shared" si="69"/>
        <v>4908.2672467499997</v>
      </c>
      <c r="J404" s="25"/>
      <c r="K404" s="25">
        <f t="shared" si="62"/>
        <v>0</v>
      </c>
      <c r="L404" s="30">
        <f t="shared" si="71"/>
        <v>0</v>
      </c>
      <c r="M404" s="72">
        <f>I404+L404</f>
        <v>4908.2672467499997</v>
      </c>
      <c r="N404" s="26"/>
      <c r="O404" s="921">
        <v>0.93490804699999996</v>
      </c>
    </row>
    <row r="405" spans="1:23" ht="18.95" customHeight="1">
      <c r="A405" s="651"/>
      <c r="B405" s="348"/>
      <c r="C405" s="29" t="s">
        <v>1436</v>
      </c>
      <c r="D405" s="46"/>
      <c r="E405" s="104">
        <v>62</v>
      </c>
      <c r="F405" s="30" t="s">
        <v>286</v>
      </c>
      <c r="G405" s="25">
        <v>300</v>
      </c>
      <c r="H405" s="25">
        <f t="shared" si="61"/>
        <v>280.47241409999998</v>
      </c>
      <c r="I405" s="242">
        <f t="shared" si="69"/>
        <v>17389.289674199998</v>
      </c>
      <c r="J405" s="25"/>
      <c r="K405" s="25">
        <f t="shared" si="62"/>
        <v>0</v>
      </c>
      <c r="L405" s="30">
        <f t="shared" si="71"/>
        <v>0</v>
      </c>
      <c r="M405" s="72">
        <f>I405+L405</f>
        <v>17389.289674199998</v>
      </c>
      <c r="N405" s="26"/>
      <c r="O405" s="921">
        <v>0.93490804699999996</v>
      </c>
    </row>
    <row r="406" spans="1:23" ht="18.95" customHeight="1">
      <c r="A406" s="925"/>
      <c r="B406" s="1293" t="s">
        <v>1437</v>
      </c>
      <c r="C406" s="1294"/>
      <c r="D406" s="1295"/>
      <c r="E406" s="902"/>
      <c r="F406" s="903"/>
      <c r="G406" s="903"/>
      <c r="H406" s="903"/>
      <c r="I406" s="904">
        <f>SUM(I376:I405)</f>
        <v>2040904.2666009997</v>
      </c>
      <c r="J406" s="904"/>
      <c r="K406" s="903"/>
      <c r="L406" s="904">
        <f>SUM(L376:L405)</f>
        <v>89423.954695549997</v>
      </c>
      <c r="M406" s="904">
        <f>SUM(M376:M405)</f>
        <v>2130328.2212965502</v>
      </c>
      <c r="N406" s="902"/>
      <c r="O406" s="921">
        <v>0.93490804699999996</v>
      </c>
    </row>
    <row r="407" spans="1:23" ht="18.95" customHeight="1">
      <c r="A407" s="648">
        <v>7</v>
      </c>
      <c r="B407" s="302" t="s">
        <v>1006</v>
      </c>
      <c r="C407" s="221"/>
      <c r="D407" s="897"/>
      <c r="E407" s="896"/>
      <c r="F407" s="102"/>
      <c r="G407" s="102"/>
      <c r="H407" s="102"/>
      <c r="I407" s="34"/>
      <c r="J407" s="102"/>
      <c r="K407" s="102"/>
      <c r="L407" s="34"/>
      <c r="M407" s="35"/>
      <c r="N407" s="35"/>
      <c r="O407" s="921">
        <v>0.93490804699999996</v>
      </c>
    </row>
    <row r="408" spans="1:23" ht="18.95" customHeight="1">
      <c r="A408" s="898"/>
      <c r="B408" s="932">
        <v>214</v>
      </c>
      <c r="C408" s="900" t="s">
        <v>1343</v>
      </c>
      <c r="D408" s="901"/>
      <c r="E408" s="902"/>
      <c r="F408" s="903"/>
      <c r="G408" s="903"/>
      <c r="H408" s="903"/>
      <c r="I408" s="904"/>
      <c r="J408" s="904"/>
      <c r="K408" s="903"/>
      <c r="L408" s="904"/>
      <c r="M408" s="904"/>
      <c r="N408" s="903"/>
      <c r="O408" s="921">
        <v>0.93490804699999996</v>
      </c>
    </row>
    <row r="409" spans="1:23" ht="18.95" customHeight="1">
      <c r="A409" s="648"/>
      <c r="B409" s="27" t="s">
        <v>1438</v>
      </c>
      <c r="C409" s="221"/>
      <c r="D409" s="897"/>
      <c r="E409" s="896"/>
      <c r="F409" s="102"/>
      <c r="G409" s="34"/>
      <c r="H409" s="25"/>
      <c r="I409" s="34"/>
      <c r="J409" s="34"/>
      <c r="K409" s="25"/>
      <c r="L409" s="34"/>
      <c r="M409" s="34"/>
      <c r="N409" s="35"/>
      <c r="O409" s="921">
        <v>0.93490804699999996</v>
      </c>
    </row>
    <row r="410" spans="1:23" ht="18.95" customHeight="1">
      <c r="A410" s="651"/>
      <c r="B410" s="27" t="s">
        <v>1439</v>
      </c>
      <c r="C410" s="1278" t="s">
        <v>1440</v>
      </c>
      <c r="D410" s="1279"/>
      <c r="E410" s="104">
        <v>8.5</v>
      </c>
      <c r="F410" s="30" t="s">
        <v>211</v>
      </c>
      <c r="G410" s="25">
        <v>3330</v>
      </c>
      <c r="H410" s="25">
        <f t="shared" si="61"/>
        <v>3113.2437965099998</v>
      </c>
      <c r="I410" s="242">
        <f t="shared" ref="I410:I413" si="72">E410*H410</f>
        <v>26462.572270334997</v>
      </c>
      <c r="J410" s="25"/>
      <c r="K410" s="25">
        <f t="shared" si="62"/>
        <v>0</v>
      </c>
      <c r="L410" s="30">
        <f>E410*J410</f>
        <v>0</v>
      </c>
      <c r="M410" s="72">
        <f>I410+L410</f>
        <v>26462.572270334997</v>
      </c>
      <c r="N410" s="26"/>
      <c r="O410" s="921">
        <v>0.93490804699999996</v>
      </c>
    </row>
    <row r="411" spans="1:23" ht="18.95" customHeight="1">
      <c r="A411" s="651"/>
      <c r="B411" s="27" t="s">
        <v>1278</v>
      </c>
      <c r="C411" s="29" t="s">
        <v>1441</v>
      </c>
      <c r="D411" s="46"/>
      <c r="E411" s="104"/>
      <c r="F411" s="30"/>
      <c r="G411" s="72"/>
      <c r="H411" s="25">
        <f t="shared" si="61"/>
        <v>0</v>
      </c>
      <c r="I411" s="242">
        <f t="shared" si="72"/>
        <v>0</v>
      </c>
      <c r="J411" s="72"/>
      <c r="K411" s="25">
        <f t="shared" si="62"/>
        <v>0</v>
      </c>
      <c r="L411" s="72"/>
      <c r="M411" s="72"/>
      <c r="N411" s="26"/>
      <c r="O411" s="921">
        <v>0.93490804699999996</v>
      </c>
    </row>
    <row r="412" spans="1:23" ht="18.95" customHeight="1">
      <c r="A412" s="651"/>
      <c r="B412" s="348" t="s">
        <v>1349</v>
      </c>
      <c r="C412" s="29" t="s">
        <v>1034</v>
      </c>
      <c r="D412" s="46" t="s">
        <v>1442</v>
      </c>
      <c r="E412" s="104">
        <v>35</v>
      </c>
      <c r="F412" s="30" t="s">
        <v>211</v>
      </c>
      <c r="G412" s="25">
        <v>3330</v>
      </c>
      <c r="H412" s="25">
        <f t="shared" si="61"/>
        <v>3113.2437965099998</v>
      </c>
      <c r="I412" s="242">
        <f t="shared" si="72"/>
        <v>108963.53287785</v>
      </c>
      <c r="J412" s="25"/>
      <c r="K412" s="25">
        <f t="shared" si="62"/>
        <v>0</v>
      </c>
      <c r="L412" s="30">
        <f>E412*J412</f>
        <v>0</v>
      </c>
      <c r="M412" s="72">
        <f>I412+L412</f>
        <v>108963.53287785</v>
      </c>
      <c r="N412" s="26"/>
      <c r="O412" s="921">
        <v>0.93490804699999996</v>
      </c>
    </row>
    <row r="413" spans="1:23" ht="18.95" customHeight="1">
      <c r="A413" s="651"/>
      <c r="B413" s="348" t="s">
        <v>1352</v>
      </c>
      <c r="C413" s="29" t="s">
        <v>1353</v>
      </c>
      <c r="D413" s="46" t="s">
        <v>1354</v>
      </c>
      <c r="E413" s="104">
        <v>30</v>
      </c>
      <c r="F413" s="30" t="s">
        <v>211</v>
      </c>
      <c r="G413" s="25">
        <v>7230</v>
      </c>
      <c r="H413" s="25">
        <f t="shared" si="61"/>
        <v>6759.3851798099995</v>
      </c>
      <c r="I413" s="242">
        <f t="shared" si="72"/>
        <v>202781.5553943</v>
      </c>
      <c r="J413" s="25">
        <v>183</v>
      </c>
      <c r="K413" s="25">
        <f t="shared" si="62"/>
        <v>171.088172601</v>
      </c>
      <c r="L413" s="30">
        <f t="shared" ref="L413" si="73">E413*K413</f>
        <v>5132.6451780299994</v>
      </c>
      <c r="M413" s="72">
        <f>I413+L413</f>
        <v>207914.20057233001</v>
      </c>
      <c r="N413" s="26"/>
      <c r="O413" s="921">
        <v>0.93490804699999996</v>
      </c>
    </row>
    <row r="414" spans="1:23" ht="18.95" customHeight="1">
      <c r="A414" s="256"/>
      <c r="B414" s="1275" t="s">
        <v>1443</v>
      </c>
      <c r="C414" s="1276"/>
      <c r="D414" s="1277"/>
      <c r="E414" s="896"/>
      <c r="F414" s="102"/>
      <c r="G414" s="34"/>
      <c r="H414" s="25"/>
      <c r="I414" s="34">
        <f>SUM(I408:I413)</f>
        <v>338207.66054248495</v>
      </c>
      <c r="J414" s="34"/>
      <c r="K414" s="25"/>
      <c r="L414" s="34">
        <f>SUM(L408:L413)</f>
        <v>5132.6451780299994</v>
      </c>
      <c r="M414" s="34">
        <f>SUM(M408:M413)</f>
        <v>343340.30572051497</v>
      </c>
      <c r="N414" s="415"/>
      <c r="O414" s="921">
        <v>0.93490804699999996</v>
      </c>
    </row>
    <row r="415" spans="1:23" s="204" customFormat="1" ht="18.95" customHeight="1">
      <c r="A415" s="256"/>
      <c r="B415" s="256"/>
      <c r="C415" s="257"/>
      <c r="D415" s="258"/>
      <c r="E415" s="896"/>
      <c r="F415" s="102"/>
      <c r="G415" s="34"/>
      <c r="H415" s="25"/>
      <c r="I415" s="34"/>
      <c r="J415" s="34"/>
      <c r="K415" s="25"/>
      <c r="L415" s="34"/>
      <c r="M415" s="34"/>
      <c r="N415" s="415"/>
      <c r="O415" s="921">
        <v>0.93490804699999996</v>
      </c>
    </row>
    <row r="416" spans="1:23" s="204" customFormat="1" ht="18.95" customHeight="1">
      <c r="A416" s="648">
        <v>8</v>
      </c>
      <c r="B416" s="302" t="s">
        <v>1007</v>
      </c>
      <c r="C416" s="221"/>
      <c r="D416" s="897"/>
      <c r="E416" s="896"/>
      <c r="F416" s="102"/>
      <c r="G416" s="34"/>
      <c r="H416" s="25"/>
      <c r="I416" s="34"/>
      <c r="J416" s="102"/>
      <c r="K416" s="25"/>
      <c r="L416" s="34"/>
      <c r="M416" s="35"/>
      <c r="N416" s="35"/>
      <c r="O416" s="921">
        <v>0.93490804699999996</v>
      </c>
    </row>
    <row r="417" spans="1:15" s="204" customFormat="1" ht="18.95" customHeight="1">
      <c r="A417" s="898"/>
      <c r="B417" s="932">
        <v>301</v>
      </c>
      <c r="C417" s="900" t="s">
        <v>1444</v>
      </c>
      <c r="D417" s="901"/>
      <c r="E417" s="902"/>
      <c r="F417" s="903"/>
      <c r="G417" s="903"/>
      <c r="H417" s="903"/>
      <c r="I417" s="903"/>
      <c r="J417" s="903"/>
      <c r="K417" s="903"/>
      <c r="L417" s="904"/>
      <c r="M417" s="904"/>
      <c r="N417" s="903"/>
      <c r="O417" s="921">
        <v>0.93490804699999996</v>
      </c>
    </row>
    <row r="418" spans="1:15" s="204" customFormat="1" ht="18.95" customHeight="1">
      <c r="A418" s="651"/>
      <c r="B418" s="27" t="s">
        <v>1445</v>
      </c>
      <c r="C418" s="29" t="s">
        <v>1348</v>
      </c>
      <c r="D418" s="46"/>
      <c r="E418" s="104">
        <v>31</v>
      </c>
      <c r="F418" s="30" t="s">
        <v>211</v>
      </c>
      <c r="G418" s="25">
        <v>817</v>
      </c>
      <c r="H418" s="25">
        <f t="shared" ref="H418:H477" si="74">G418*O418</f>
        <v>763.81987439900001</v>
      </c>
      <c r="I418" s="242">
        <f t="shared" ref="I418:I481" si="75">E418*H418</f>
        <v>23678.416106369001</v>
      </c>
      <c r="J418" s="25">
        <v>95</v>
      </c>
      <c r="K418" s="25">
        <f t="shared" ref="K418:K477" si="76">J418*O418</f>
        <v>88.816264465000003</v>
      </c>
      <c r="L418" s="30">
        <f>E418*K418</f>
        <v>2753.304198415</v>
      </c>
      <c r="M418" s="72">
        <f>I418+L418</f>
        <v>26431.720304784001</v>
      </c>
      <c r="N418" s="26"/>
      <c r="O418" s="921">
        <v>0.93490804699999996</v>
      </c>
    </row>
    <row r="419" spans="1:15" s="204" customFormat="1" ht="18.95" customHeight="1">
      <c r="A419" s="651"/>
      <c r="B419" s="27" t="s">
        <v>1446</v>
      </c>
      <c r="C419" s="29" t="s">
        <v>1447</v>
      </c>
      <c r="D419" s="46"/>
      <c r="E419" s="104">
        <v>60</v>
      </c>
      <c r="F419" s="30" t="s">
        <v>211</v>
      </c>
      <c r="G419" s="25">
        <v>817</v>
      </c>
      <c r="H419" s="25">
        <f t="shared" si="74"/>
        <v>763.81987439900001</v>
      </c>
      <c r="I419" s="242">
        <f t="shared" si="75"/>
        <v>45829.192463940002</v>
      </c>
      <c r="J419" s="25">
        <v>95</v>
      </c>
      <c r="K419" s="25">
        <f t="shared" si="76"/>
        <v>88.816264465000003</v>
      </c>
      <c r="L419" s="30">
        <f t="shared" ref="L419:L422" si="77">E419*K419</f>
        <v>5328.9758679000006</v>
      </c>
      <c r="M419" s="72">
        <f>I419+L419</f>
        <v>51158.168331840003</v>
      </c>
      <c r="N419" s="26"/>
      <c r="O419" s="921">
        <v>0.93490804699999996</v>
      </c>
    </row>
    <row r="420" spans="1:15" s="204" customFormat="1" ht="18.95" customHeight="1">
      <c r="A420" s="651"/>
      <c r="B420" s="27" t="s">
        <v>1448</v>
      </c>
      <c r="C420" s="29" t="s">
        <v>1449</v>
      </c>
      <c r="D420" s="46"/>
      <c r="E420" s="104">
        <v>10</v>
      </c>
      <c r="F420" s="30" t="s">
        <v>211</v>
      </c>
      <c r="G420" s="25">
        <v>817</v>
      </c>
      <c r="H420" s="25">
        <f t="shared" si="74"/>
        <v>763.81987439900001</v>
      </c>
      <c r="I420" s="242">
        <f t="shared" si="75"/>
        <v>7638.1987439900004</v>
      </c>
      <c r="J420" s="25">
        <v>95</v>
      </c>
      <c r="K420" s="25">
        <f t="shared" si="76"/>
        <v>88.816264465000003</v>
      </c>
      <c r="L420" s="30">
        <f t="shared" si="77"/>
        <v>888.16264465000006</v>
      </c>
      <c r="M420" s="72">
        <f>I420+L420</f>
        <v>8526.3613886399999</v>
      </c>
      <c r="N420" s="26"/>
      <c r="O420" s="921">
        <v>0.93490804699999996</v>
      </c>
    </row>
    <row r="421" spans="1:15" s="204" customFormat="1" ht="18.95" customHeight="1">
      <c r="A421" s="651"/>
      <c r="B421" s="27" t="s">
        <v>1450</v>
      </c>
      <c r="C421" s="29" t="s">
        <v>1451</v>
      </c>
      <c r="D421" s="46"/>
      <c r="E421" s="104">
        <v>5</v>
      </c>
      <c r="F421" s="30" t="s">
        <v>211</v>
      </c>
      <c r="G421" s="25">
        <v>1000</v>
      </c>
      <c r="H421" s="25">
        <f t="shared" si="74"/>
        <v>934.90804700000001</v>
      </c>
      <c r="I421" s="242">
        <f t="shared" si="75"/>
        <v>4674.5402350000004</v>
      </c>
      <c r="J421" s="25">
        <v>95</v>
      </c>
      <c r="K421" s="25">
        <f t="shared" si="76"/>
        <v>88.816264465000003</v>
      </c>
      <c r="L421" s="30">
        <f t="shared" si="77"/>
        <v>444.08132232500003</v>
      </c>
      <c r="M421" s="72">
        <f>I421+L421</f>
        <v>5118.6215573250001</v>
      </c>
      <c r="N421" s="26"/>
      <c r="O421" s="921">
        <v>0.93490804699999996</v>
      </c>
    </row>
    <row r="422" spans="1:15" s="204" customFormat="1" ht="18.95" customHeight="1">
      <c r="A422" s="651"/>
      <c r="B422" s="27" t="s">
        <v>1452</v>
      </c>
      <c r="C422" s="29" t="s">
        <v>1453</v>
      </c>
      <c r="D422" s="46"/>
      <c r="E422" s="104">
        <v>21</v>
      </c>
      <c r="F422" s="30" t="s">
        <v>211</v>
      </c>
      <c r="G422" s="25">
        <v>817</v>
      </c>
      <c r="H422" s="25">
        <f t="shared" si="74"/>
        <v>763.81987439900001</v>
      </c>
      <c r="I422" s="242">
        <f t="shared" si="75"/>
        <v>16040.217362379</v>
      </c>
      <c r="J422" s="25">
        <v>95</v>
      </c>
      <c r="K422" s="25">
        <f t="shared" si="76"/>
        <v>88.816264465000003</v>
      </c>
      <c r="L422" s="30">
        <f t="shared" si="77"/>
        <v>1865.141553765</v>
      </c>
      <c r="M422" s="72">
        <f>I422+L422</f>
        <v>17905.358916144</v>
      </c>
      <c r="N422" s="26"/>
      <c r="O422" s="921">
        <v>0.93490804699999996</v>
      </c>
    </row>
    <row r="423" spans="1:15" s="204" customFormat="1" ht="18.95" customHeight="1">
      <c r="A423" s="651"/>
      <c r="B423" s="27"/>
      <c r="C423" s="29"/>
      <c r="D423" s="46"/>
      <c r="E423" s="104"/>
      <c r="F423" s="30"/>
      <c r="G423" s="25"/>
      <c r="H423" s="25"/>
      <c r="I423" s="242"/>
      <c r="J423" s="25"/>
      <c r="K423" s="25"/>
      <c r="L423" s="30"/>
      <c r="M423" s="72"/>
      <c r="N423" s="26"/>
      <c r="O423" s="921">
        <v>0.93490804699999996</v>
      </c>
    </row>
    <row r="424" spans="1:15" s="204" customFormat="1" ht="18.95" customHeight="1">
      <c r="A424" s="651"/>
      <c r="B424" s="27"/>
      <c r="C424" s="29"/>
      <c r="D424" s="46"/>
      <c r="E424" s="104"/>
      <c r="F424" s="30"/>
      <c r="G424" s="25"/>
      <c r="H424" s="25"/>
      <c r="I424" s="242"/>
      <c r="J424" s="25"/>
      <c r="K424" s="25"/>
      <c r="L424" s="30"/>
      <c r="M424" s="72"/>
      <c r="N424" s="26"/>
      <c r="O424" s="921">
        <v>0.93490804699999996</v>
      </c>
    </row>
    <row r="425" spans="1:15" s="204" customFormat="1" ht="18.95" customHeight="1">
      <c r="A425" s="651"/>
      <c r="B425" s="27" t="s">
        <v>1454</v>
      </c>
      <c r="C425" s="29" t="s">
        <v>1327</v>
      </c>
      <c r="D425" s="46"/>
      <c r="E425" s="104"/>
      <c r="F425" s="30"/>
      <c r="G425" s="25"/>
      <c r="H425" s="25"/>
      <c r="I425" s="242"/>
      <c r="J425" s="25"/>
      <c r="K425" s="25"/>
      <c r="L425" s="25"/>
      <c r="M425" s="25"/>
      <c r="N425" s="26"/>
      <c r="O425" s="921">
        <v>0.93490804699999996</v>
      </c>
    </row>
    <row r="426" spans="1:15" s="204" customFormat="1" ht="18.95" customHeight="1">
      <c r="A426" s="651"/>
      <c r="B426" s="27" t="s">
        <v>1454</v>
      </c>
      <c r="C426" s="952" t="s">
        <v>1455</v>
      </c>
      <c r="D426" s="46"/>
      <c r="E426" s="104"/>
      <c r="F426" s="30"/>
      <c r="G426" s="25"/>
      <c r="H426" s="25"/>
      <c r="I426" s="242"/>
      <c r="J426" s="25"/>
      <c r="K426" s="25"/>
      <c r="L426" s="30"/>
      <c r="M426" s="25"/>
      <c r="N426" s="26"/>
      <c r="O426" s="921">
        <v>0.93490804699999996</v>
      </c>
    </row>
    <row r="427" spans="1:15" s="204" customFormat="1" ht="18.95" customHeight="1">
      <c r="A427" s="651"/>
      <c r="B427" s="287" t="s">
        <v>1324</v>
      </c>
      <c r="C427" s="29" t="s">
        <v>1329</v>
      </c>
      <c r="D427" s="46" t="s">
        <v>1330</v>
      </c>
      <c r="E427" s="104">
        <v>45</v>
      </c>
      <c r="F427" s="30" t="s">
        <v>286</v>
      </c>
      <c r="G427" s="25">
        <v>10000</v>
      </c>
      <c r="H427" s="25">
        <f t="shared" si="74"/>
        <v>9349.080469999999</v>
      </c>
      <c r="I427" s="242">
        <f t="shared" si="75"/>
        <v>420708.62114999996</v>
      </c>
      <c r="J427" s="25"/>
      <c r="K427" s="25">
        <f t="shared" si="76"/>
        <v>0</v>
      </c>
      <c r="L427" s="30">
        <f>E427*J427</f>
        <v>0</v>
      </c>
      <c r="M427" s="72">
        <f>I427+L427</f>
        <v>420708.62114999996</v>
      </c>
      <c r="N427" s="26"/>
      <c r="O427" s="921">
        <v>0.93490804699999996</v>
      </c>
    </row>
    <row r="428" spans="1:15" s="204" customFormat="1" ht="18.95" customHeight="1">
      <c r="A428" s="651"/>
      <c r="B428" s="287" t="s">
        <v>1456</v>
      </c>
      <c r="C428" s="29" t="s">
        <v>1332</v>
      </c>
      <c r="D428" s="46" t="s">
        <v>1333</v>
      </c>
      <c r="E428" s="104">
        <v>97</v>
      </c>
      <c r="F428" s="30" t="s">
        <v>286</v>
      </c>
      <c r="G428" s="25">
        <v>3500</v>
      </c>
      <c r="H428" s="25">
        <f t="shared" si="74"/>
        <v>3272.1781645000001</v>
      </c>
      <c r="I428" s="242">
        <f t="shared" si="75"/>
        <v>317401.28195650002</v>
      </c>
      <c r="J428" s="25"/>
      <c r="K428" s="25">
        <f t="shared" si="76"/>
        <v>0</v>
      </c>
      <c r="L428" s="30">
        <f>E428*J428</f>
        <v>0</v>
      </c>
      <c r="M428" s="72">
        <f>I428+L428</f>
        <v>317401.28195650002</v>
      </c>
      <c r="N428" s="26"/>
      <c r="O428" s="921">
        <v>0.93490804699999996</v>
      </c>
    </row>
    <row r="429" spans="1:15" s="204" customFormat="1" ht="18.95" customHeight="1">
      <c r="A429" s="651"/>
      <c r="B429" s="287" t="s">
        <v>1061</v>
      </c>
      <c r="C429" s="29"/>
      <c r="D429" s="46" t="s">
        <v>1335</v>
      </c>
      <c r="E429" s="104">
        <v>222</v>
      </c>
      <c r="F429" s="30" t="s">
        <v>286</v>
      </c>
      <c r="G429" s="25">
        <v>5000</v>
      </c>
      <c r="H429" s="25">
        <f t="shared" si="74"/>
        <v>4674.5402349999995</v>
      </c>
      <c r="I429" s="242">
        <f t="shared" si="75"/>
        <v>1037747.9321699999</v>
      </c>
      <c r="J429" s="25"/>
      <c r="K429" s="25">
        <f t="shared" si="76"/>
        <v>0</v>
      </c>
      <c r="L429" s="30">
        <f>E429*J429</f>
        <v>0</v>
      </c>
      <c r="M429" s="72">
        <f>I429+L429</f>
        <v>1037747.9321699999</v>
      </c>
      <c r="N429" s="26"/>
      <c r="O429" s="921">
        <v>0.93490804699999996</v>
      </c>
    </row>
    <row r="430" spans="1:15" ht="18.95" customHeight="1">
      <c r="A430" s="651"/>
      <c r="B430" s="27" t="s">
        <v>1454</v>
      </c>
      <c r="C430" s="952" t="s">
        <v>1457</v>
      </c>
      <c r="D430" s="46"/>
      <c r="E430" s="104"/>
      <c r="F430" s="30"/>
      <c r="G430" s="25"/>
      <c r="H430" s="25"/>
      <c r="I430" s="242"/>
      <c r="J430" s="25"/>
      <c r="K430" s="25"/>
      <c r="L430" s="30"/>
      <c r="M430" s="25"/>
      <c r="N430" s="26"/>
      <c r="O430" s="921">
        <v>0.93490804699999996</v>
      </c>
    </row>
    <row r="431" spans="1:15" ht="18.95" customHeight="1">
      <c r="A431" s="651"/>
      <c r="B431" s="287" t="s">
        <v>1324</v>
      </c>
      <c r="C431" s="29" t="s">
        <v>1329</v>
      </c>
      <c r="D431" s="46" t="s">
        <v>1330</v>
      </c>
      <c r="E431" s="104">
        <v>11</v>
      </c>
      <c r="F431" s="30" t="s">
        <v>286</v>
      </c>
      <c r="G431" s="25">
        <v>10000</v>
      </c>
      <c r="H431" s="25">
        <f t="shared" si="74"/>
        <v>9349.080469999999</v>
      </c>
      <c r="I431" s="242">
        <f t="shared" si="75"/>
        <v>102839.88516999999</v>
      </c>
      <c r="J431" s="25"/>
      <c r="K431" s="25">
        <f t="shared" si="76"/>
        <v>0</v>
      </c>
      <c r="L431" s="30">
        <f>E431*J431</f>
        <v>0</v>
      </c>
      <c r="M431" s="72">
        <f>I431+L431</f>
        <v>102839.88516999999</v>
      </c>
      <c r="N431" s="26"/>
      <c r="O431" s="921">
        <v>0.93490804699999996</v>
      </c>
    </row>
    <row r="432" spans="1:15" ht="18.95" customHeight="1">
      <c r="A432" s="651"/>
      <c r="B432" s="287" t="s">
        <v>1456</v>
      </c>
      <c r="C432" s="29" t="s">
        <v>1332</v>
      </c>
      <c r="D432" s="46" t="s">
        <v>1333</v>
      </c>
      <c r="E432" s="104">
        <v>101</v>
      </c>
      <c r="F432" s="30" t="s">
        <v>286</v>
      </c>
      <c r="G432" s="25">
        <v>3500</v>
      </c>
      <c r="H432" s="25">
        <f t="shared" si="74"/>
        <v>3272.1781645000001</v>
      </c>
      <c r="I432" s="242">
        <f t="shared" si="75"/>
        <v>330489.99461450003</v>
      </c>
      <c r="J432" s="25"/>
      <c r="K432" s="25">
        <f t="shared" si="76"/>
        <v>0</v>
      </c>
      <c r="L432" s="30">
        <f>E432*J432</f>
        <v>0</v>
      </c>
      <c r="M432" s="72">
        <f>I432+L432</f>
        <v>330489.99461450003</v>
      </c>
      <c r="N432" s="26"/>
      <c r="O432" s="921">
        <v>0.93490804699999996</v>
      </c>
    </row>
    <row r="433" spans="1:23" ht="18.95" customHeight="1">
      <c r="A433" s="651"/>
      <c r="B433" s="287" t="s">
        <v>1061</v>
      </c>
      <c r="C433" s="29"/>
      <c r="D433" s="46" t="s">
        <v>1335</v>
      </c>
      <c r="E433" s="104">
        <v>122</v>
      </c>
      <c r="F433" s="30" t="s">
        <v>286</v>
      </c>
      <c r="G433" s="25">
        <v>5000</v>
      </c>
      <c r="H433" s="25">
        <f t="shared" si="74"/>
        <v>4674.5402349999995</v>
      </c>
      <c r="I433" s="242">
        <f t="shared" si="75"/>
        <v>570293.90866999992</v>
      </c>
      <c r="J433" s="25"/>
      <c r="K433" s="25">
        <f t="shared" si="76"/>
        <v>0</v>
      </c>
      <c r="L433" s="30">
        <f>E433*J433</f>
        <v>0</v>
      </c>
      <c r="M433" s="72">
        <f>I433+L433</f>
        <v>570293.90866999992</v>
      </c>
      <c r="N433" s="26"/>
      <c r="O433" s="921">
        <v>0.93490804699999996</v>
      </c>
    </row>
    <row r="434" spans="1:23" ht="18.95" customHeight="1">
      <c r="A434" s="651"/>
      <c r="B434" s="27" t="s">
        <v>1454</v>
      </c>
      <c r="C434" s="952" t="s">
        <v>1458</v>
      </c>
      <c r="D434" s="46"/>
      <c r="E434" s="104"/>
      <c r="F434" s="30"/>
      <c r="G434" s="25"/>
      <c r="H434" s="25"/>
      <c r="I434" s="242"/>
      <c r="J434" s="25"/>
      <c r="K434" s="25"/>
      <c r="L434" s="30"/>
      <c r="M434" s="25"/>
      <c r="N434" s="26"/>
      <c r="O434" s="921">
        <v>0.93490804699999996</v>
      </c>
    </row>
    <row r="435" spans="1:23" ht="18.95" customHeight="1">
      <c r="A435" s="651"/>
      <c r="B435" s="287" t="s">
        <v>1324</v>
      </c>
      <c r="C435" s="29" t="s">
        <v>1329</v>
      </c>
      <c r="D435" s="46" t="s">
        <v>1330</v>
      </c>
      <c r="E435" s="104">
        <v>22</v>
      </c>
      <c r="F435" s="30" t="s">
        <v>286</v>
      </c>
      <c r="G435" s="25">
        <v>13000</v>
      </c>
      <c r="H435" s="25">
        <f t="shared" si="74"/>
        <v>12153.804611</v>
      </c>
      <c r="I435" s="242">
        <f t="shared" si="75"/>
        <v>267383.70144199999</v>
      </c>
      <c r="J435" s="25"/>
      <c r="K435" s="25">
        <f t="shared" si="76"/>
        <v>0</v>
      </c>
      <c r="L435" s="30">
        <f>E435*J435</f>
        <v>0</v>
      </c>
      <c r="M435" s="72">
        <f>I435+L435</f>
        <v>267383.70144199999</v>
      </c>
      <c r="N435" s="26"/>
      <c r="O435" s="921">
        <v>0.93490804699999996</v>
      </c>
    </row>
    <row r="436" spans="1:23" ht="18.95" customHeight="1">
      <c r="A436" s="651"/>
      <c r="B436" s="287" t="s">
        <v>1456</v>
      </c>
      <c r="C436" s="29" t="s">
        <v>1332</v>
      </c>
      <c r="D436" s="46" t="s">
        <v>1333</v>
      </c>
      <c r="E436" s="104">
        <v>72</v>
      </c>
      <c r="F436" s="30" t="s">
        <v>286</v>
      </c>
      <c r="G436" s="25">
        <v>3500</v>
      </c>
      <c r="H436" s="25">
        <f t="shared" si="74"/>
        <v>3272.1781645000001</v>
      </c>
      <c r="I436" s="242">
        <f t="shared" si="75"/>
        <v>235596.82784400001</v>
      </c>
      <c r="J436" s="25"/>
      <c r="K436" s="25">
        <f t="shared" si="76"/>
        <v>0</v>
      </c>
      <c r="L436" s="30">
        <f>E436*J436</f>
        <v>0</v>
      </c>
      <c r="M436" s="72">
        <f>I436+L436</f>
        <v>235596.82784400001</v>
      </c>
      <c r="N436" s="26"/>
      <c r="O436" s="921">
        <v>0.93490804699999996</v>
      </c>
    </row>
    <row r="437" spans="1:23" ht="18.95" customHeight="1">
      <c r="A437" s="645"/>
      <c r="B437" s="27" t="s">
        <v>1459</v>
      </c>
      <c r="C437" s="952" t="s">
        <v>1460</v>
      </c>
      <c r="D437" s="953"/>
      <c r="E437" s="896"/>
      <c r="F437" s="102"/>
      <c r="G437" s="34"/>
      <c r="H437" s="25"/>
      <c r="I437" s="242"/>
      <c r="J437" s="34"/>
      <c r="K437" s="25"/>
      <c r="L437" s="102"/>
      <c r="M437" s="25"/>
      <c r="N437" s="35"/>
      <c r="O437" s="921">
        <v>0.93490804699999996</v>
      </c>
    </row>
    <row r="438" spans="1:23" s="1" customFormat="1" ht="18.95" customHeight="1">
      <c r="A438" s="651"/>
      <c r="B438" s="287" t="s">
        <v>1324</v>
      </c>
      <c r="C438" s="29" t="s">
        <v>1329</v>
      </c>
      <c r="D438" s="46" t="s">
        <v>1330</v>
      </c>
      <c r="E438" s="104">
        <v>60</v>
      </c>
      <c r="F438" s="30" t="s">
        <v>286</v>
      </c>
      <c r="G438" s="25">
        <v>10000</v>
      </c>
      <c r="H438" s="25">
        <f t="shared" si="74"/>
        <v>9349.080469999999</v>
      </c>
      <c r="I438" s="242">
        <f t="shared" si="75"/>
        <v>560944.82819999999</v>
      </c>
      <c r="J438" s="25"/>
      <c r="K438" s="25">
        <f t="shared" si="76"/>
        <v>0</v>
      </c>
      <c r="L438" s="30">
        <f>E438*J438</f>
        <v>0</v>
      </c>
      <c r="M438" s="72">
        <f>I438+L438</f>
        <v>560944.82819999999</v>
      </c>
      <c r="N438" s="26"/>
      <c r="O438" s="921">
        <v>0.93490804699999996</v>
      </c>
      <c r="P438" s="206"/>
      <c r="Q438" s="206"/>
      <c r="R438" s="206"/>
      <c r="S438" s="206"/>
      <c r="T438" s="206"/>
      <c r="U438" s="206"/>
      <c r="V438" s="206"/>
      <c r="W438" s="206"/>
    </row>
    <row r="439" spans="1:23" ht="18.95" customHeight="1">
      <c r="A439" s="651"/>
      <c r="B439" s="287" t="s">
        <v>1456</v>
      </c>
      <c r="C439" s="29" t="s">
        <v>1332</v>
      </c>
      <c r="D439" s="46" t="s">
        <v>1333</v>
      </c>
      <c r="E439" s="104">
        <v>127</v>
      </c>
      <c r="F439" s="30" t="s">
        <v>286</v>
      </c>
      <c r="G439" s="25">
        <v>3500</v>
      </c>
      <c r="H439" s="25">
        <f t="shared" si="74"/>
        <v>3272.1781645000001</v>
      </c>
      <c r="I439" s="242">
        <f t="shared" si="75"/>
        <v>415566.62689150003</v>
      </c>
      <c r="J439" s="25"/>
      <c r="K439" s="25">
        <f t="shared" si="76"/>
        <v>0</v>
      </c>
      <c r="L439" s="30">
        <f>E439*J439</f>
        <v>0</v>
      </c>
      <c r="M439" s="72">
        <f>I439+L439</f>
        <v>415566.62689150003</v>
      </c>
      <c r="N439" s="26"/>
      <c r="O439" s="921">
        <v>0.93490804699999996</v>
      </c>
    </row>
    <row r="440" spans="1:23" ht="18.95" customHeight="1">
      <c r="A440" s="651"/>
      <c r="B440" s="287" t="s">
        <v>1061</v>
      </c>
      <c r="C440" s="29"/>
      <c r="D440" s="46" t="s">
        <v>1335</v>
      </c>
      <c r="E440" s="104">
        <v>360</v>
      </c>
      <c r="F440" s="30" t="s">
        <v>286</v>
      </c>
      <c r="G440" s="25">
        <v>5000</v>
      </c>
      <c r="H440" s="25">
        <f t="shared" si="74"/>
        <v>4674.5402349999995</v>
      </c>
      <c r="I440" s="242">
        <f t="shared" si="75"/>
        <v>1682834.4845999999</v>
      </c>
      <c r="J440" s="25"/>
      <c r="K440" s="25">
        <f t="shared" si="76"/>
        <v>0</v>
      </c>
      <c r="L440" s="30">
        <f>E440*J440</f>
        <v>0</v>
      </c>
      <c r="M440" s="72">
        <f>I440+L440</f>
        <v>1682834.4845999999</v>
      </c>
      <c r="N440" s="26"/>
      <c r="O440" s="921">
        <v>0.93490804699999996</v>
      </c>
    </row>
    <row r="441" spans="1:23" ht="18.95" customHeight="1">
      <c r="A441" s="651"/>
      <c r="B441" s="27" t="s">
        <v>1459</v>
      </c>
      <c r="C441" s="952" t="s">
        <v>1461</v>
      </c>
      <c r="D441" s="46"/>
      <c r="E441" s="104"/>
      <c r="F441" s="30"/>
      <c r="G441" s="25"/>
      <c r="H441" s="25"/>
      <c r="I441" s="242"/>
      <c r="J441" s="25"/>
      <c r="K441" s="25"/>
      <c r="L441" s="30"/>
      <c r="M441" s="25"/>
      <c r="N441" s="26"/>
      <c r="O441" s="921">
        <v>0.93490804699999996</v>
      </c>
    </row>
    <row r="442" spans="1:23" ht="18.95" customHeight="1">
      <c r="A442" s="651"/>
      <c r="B442" s="287" t="s">
        <v>1324</v>
      </c>
      <c r="C442" s="29" t="s">
        <v>1329</v>
      </c>
      <c r="D442" s="46" t="s">
        <v>1330</v>
      </c>
      <c r="E442" s="104">
        <v>46</v>
      </c>
      <c r="F442" s="30" t="s">
        <v>286</v>
      </c>
      <c r="G442" s="25">
        <v>10000</v>
      </c>
      <c r="H442" s="25">
        <f t="shared" si="74"/>
        <v>9349.080469999999</v>
      </c>
      <c r="I442" s="242">
        <f t="shared" si="75"/>
        <v>430057.70161999995</v>
      </c>
      <c r="J442" s="25"/>
      <c r="K442" s="25">
        <f t="shared" si="76"/>
        <v>0</v>
      </c>
      <c r="L442" s="30">
        <f t="shared" ref="L442:L450" si="78">E442*J442</f>
        <v>0</v>
      </c>
      <c r="M442" s="72">
        <f t="shared" ref="M442:M450" si="79">I442+L442</f>
        <v>430057.70161999995</v>
      </c>
      <c r="N442" s="26"/>
      <c r="O442" s="921">
        <v>0.93490804699999996</v>
      </c>
    </row>
    <row r="443" spans="1:23" ht="18.95" customHeight="1">
      <c r="A443" s="651"/>
      <c r="B443" s="287" t="s">
        <v>1456</v>
      </c>
      <c r="C443" s="29" t="s">
        <v>1332</v>
      </c>
      <c r="D443" s="46" t="s">
        <v>1333</v>
      </c>
      <c r="E443" s="104">
        <v>100</v>
      </c>
      <c r="F443" s="30" t="s">
        <v>286</v>
      </c>
      <c r="G443" s="25">
        <v>3500</v>
      </c>
      <c r="H443" s="25">
        <f t="shared" si="74"/>
        <v>3272.1781645000001</v>
      </c>
      <c r="I443" s="242">
        <f t="shared" si="75"/>
        <v>327217.81644999998</v>
      </c>
      <c r="J443" s="25"/>
      <c r="K443" s="25">
        <f t="shared" si="76"/>
        <v>0</v>
      </c>
      <c r="L443" s="30">
        <f t="shared" si="78"/>
        <v>0</v>
      </c>
      <c r="M443" s="72">
        <f t="shared" si="79"/>
        <v>327217.81644999998</v>
      </c>
      <c r="N443" s="26"/>
      <c r="O443" s="921">
        <v>0.93490804699999996</v>
      </c>
    </row>
    <row r="444" spans="1:23" ht="18.95" customHeight="1">
      <c r="A444" s="651"/>
      <c r="B444" s="287" t="s">
        <v>1061</v>
      </c>
      <c r="C444" s="29"/>
      <c r="D444" s="46" t="s">
        <v>1335</v>
      </c>
      <c r="E444" s="104">
        <v>274</v>
      </c>
      <c r="F444" s="30" t="s">
        <v>286</v>
      </c>
      <c r="G444" s="25">
        <v>5000</v>
      </c>
      <c r="H444" s="25">
        <f t="shared" si="74"/>
        <v>4674.5402349999995</v>
      </c>
      <c r="I444" s="242">
        <f t="shared" si="75"/>
        <v>1280824.0243899999</v>
      </c>
      <c r="J444" s="25"/>
      <c r="K444" s="25">
        <f t="shared" si="76"/>
        <v>0</v>
      </c>
      <c r="L444" s="30">
        <f t="shared" si="78"/>
        <v>0</v>
      </c>
      <c r="M444" s="72">
        <f t="shared" si="79"/>
        <v>1280824.0243899999</v>
      </c>
      <c r="N444" s="26"/>
      <c r="O444" s="921">
        <v>0.93490804699999996</v>
      </c>
    </row>
    <row r="445" spans="1:23" ht="18.95" customHeight="1">
      <c r="A445" s="651"/>
      <c r="B445" s="27" t="s">
        <v>1462</v>
      </c>
      <c r="C445" s="952" t="s">
        <v>1463</v>
      </c>
      <c r="D445" s="46"/>
      <c r="E445" s="104"/>
      <c r="F445" s="30"/>
      <c r="G445" s="25"/>
      <c r="H445" s="25"/>
      <c r="I445" s="242"/>
      <c r="J445" s="25"/>
      <c r="K445" s="25"/>
      <c r="L445" s="30"/>
      <c r="M445" s="72"/>
      <c r="N445" s="26"/>
      <c r="O445" s="921">
        <v>0.93490804699999996</v>
      </c>
    </row>
    <row r="446" spans="1:23" s="204" customFormat="1" ht="18.95" customHeight="1">
      <c r="A446" s="651"/>
      <c r="B446" s="287" t="s">
        <v>1324</v>
      </c>
      <c r="C446" s="29" t="s">
        <v>1329</v>
      </c>
      <c r="D446" s="46" t="s">
        <v>1330</v>
      </c>
      <c r="E446" s="104">
        <v>6</v>
      </c>
      <c r="F446" s="30" t="s">
        <v>211</v>
      </c>
      <c r="G446" s="25">
        <v>20000</v>
      </c>
      <c r="H446" s="25">
        <f t="shared" si="74"/>
        <v>18698.160939999998</v>
      </c>
      <c r="I446" s="242">
        <f t="shared" si="75"/>
        <v>112188.96563999998</v>
      </c>
      <c r="J446" s="25"/>
      <c r="K446" s="25">
        <f t="shared" si="76"/>
        <v>0</v>
      </c>
      <c r="L446" s="30">
        <f t="shared" si="78"/>
        <v>0</v>
      </c>
      <c r="M446" s="72">
        <f t="shared" si="79"/>
        <v>112188.96563999998</v>
      </c>
      <c r="N446" s="26"/>
      <c r="O446" s="921">
        <v>0.93490804699999996</v>
      </c>
    </row>
    <row r="447" spans="1:23" s="204" customFormat="1" ht="18.95" customHeight="1">
      <c r="A447" s="651"/>
      <c r="B447" s="287" t="s">
        <v>1456</v>
      </c>
      <c r="C447" s="29" t="s">
        <v>1464</v>
      </c>
      <c r="D447" s="46" t="s">
        <v>1333</v>
      </c>
      <c r="E447" s="104">
        <v>19</v>
      </c>
      <c r="F447" s="30" t="s">
        <v>286</v>
      </c>
      <c r="G447" s="25">
        <v>3500</v>
      </c>
      <c r="H447" s="25">
        <f t="shared" si="74"/>
        <v>3272.1781645000001</v>
      </c>
      <c r="I447" s="242">
        <f t="shared" si="75"/>
        <v>62171.385125500005</v>
      </c>
      <c r="J447" s="25"/>
      <c r="K447" s="25">
        <f t="shared" si="76"/>
        <v>0</v>
      </c>
      <c r="L447" s="30">
        <f t="shared" si="78"/>
        <v>0</v>
      </c>
      <c r="M447" s="72">
        <f t="shared" si="79"/>
        <v>62171.385125500005</v>
      </c>
      <c r="N447" s="26"/>
      <c r="O447" s="921">
        <v>0.93490804699999996</v>
      </c>
      <c r="P447" s="203"/>
      <c r="Q447" s="203"/>
    </row>
    <row r="448" spans="1:23" s="204" customFormat="1" ht="18.95" customHeight="1">
      <c r="A448" s="651"/>
      <c r="B448" s="27" t="s">
        <v>1465</v>
      </c>
      <c r="C448" s="952" t="s">
        <v>1466</v>
      </c>
      <c r="D448" s="46"/>
      <c r="E448" s="104">
        <v>10</v>
      </c>
      <c r="F448" s="30" t="s">
        <v>286</v>
      </c>
      <c r="G448" s="25">
        <v>16000</v>
      </c>
      <c r="H448" s="25">
        <f t="shared" si="74"/>
        <v>14958.528752</v>
      </c>
      <c r="I448" s="242">
        <f t="shared" si="75"/>
        <v>149585.28752000001</v>
      </c>
      <c r="J448" s="25"/>
      <c r="K448" s="25">
        <f t="shared" si="76"/>
        <v>0</v>
      </c>
      <c r="L448" s="30">
        <f t="shared" si="78"/>
        <v>0</v>
      </c>
      <c r="M448" s="72">
        <f t="shared" si="79"/>
        <v>149585.28752000001</v>
      </c>
      <c r="N448" s="26"/>
      <c r="O448" s="921">
        <v>0.93490804699999996</v>
      </c>
    </row>
    <row r="449" spans="1:15" s="204" customFormat="1" ht="18.95" customHeight="1">
      <c r="A449" s="651"/>
      <c r="B449" s="27" t="s">
        <v>1467</v>
      </c>
      <c r="C449" s="952" t="s">
        <v>1468</v>
      </c>
      <c r="D449" s="46"/>
      <c r="E449" s="104">
        <v>3.2</v>
      </c>
      <c r="F449" s="30" t="s">
        <v>286</v>
      </c>
      <c r="G449" s="25">
        <v>20000</v>
      </c>
      <c r="H449" s="25">
        <f t="shared" si="74"/>
        <v>18698.160939999998</v>
      </c>
      <c r="I449" s="242">
        <f t="shared" si="75"/>
        <v>59834.115007999993</v>
      </c>
      <c r="J449" s="25"/>
      <c r="K449" s="25">
        <f t="shared" si="76"/>
        <v>0</v>
      </c>
      <c r="L449" s="30">
        <f t="shared" si="78"/>
        <v>0</v>
      </c>
      <c r="M449" s="72">
        <f t="shared" si="79"/>
        <v>59834.115007999993</v>
      </c>
      <c r="N449" s="26"/>
      <c r="O449" s="921">
        <v>0.93490804699999996</v>
      </c>
    </row>
    <row r="450" spans="1:15" s="204" customFormat="1" ht="18.95" customHeight="1">
      <c r="A450" s="651"/>
      <c r="B450" s="27" t="s">
        <v>1469</v>
      </c>
      <c r="C450" s="952" t="s">
        <v>1470</v>
      </c>
      <c r="D450" s="46"/>
      <c r="E450" s="104">
        <v>2.7</v>
      </c>
      <c r="F450" s="30" t="s">
        <v>286</v>
      </c>
      <c r="G450" s="25">
        <v>20000</v>
      </c>
      <c r="H450" s="25">
        <f t="shared" si="74"/>
        <v>18698.160939999998</v>
      </c>
      <c r="I450" s="242">
        <f t="shared" si="75"/>
        <v>50485.034538</v>
      </c>
      <c r="J450" s="25"/>
      <c r="K450" s="25">
        <f t="shared" si="76"/>
        <v>0</v>
      </c>
      <c r="L450" s="30">
        <f t="shared" si="78"/>
        <v>0</v>
      </c>
      <c r="M450" s="72">
        <f t="shared" si="79"/>
        <v>50485.034538</v>
      </c>
      <c r="N450" s="26"/>
      <c r="O450" s="921">
        <v>0.93490804699999996</v>
      </c>
    </row>
    <row r="451" spans="1:15" s="204" customFormat="1" ht="18.95" customHeight="1">
      <c r="A451" s="651"/>
      <c r="B451" s="27"/>
      <c r="C451" s="952"/>
      <c r="D451" s="46"/>
      <c r="E451" s="104"/>
      <c r="F451" s="30"/>
      <c r="G451" s="25"/>
      <c r="H451" s="25"/>
      <c r="I451" s="242"/>
      <c r="J451" s="25"/>
      <c r="K451" s="25"/>
      <c r="L451" s="30"/>
      <c r="M451" s="72"/>
      <c r="N451" s="26"/>
      <c r="O451" s="921">
        <v>0.93490804699999996</v>
      </c>
    </row>
    <row r="452" spans="1:15" s="204" customFormat="1" ht="18.95" customHeight="1">
      <c r="A452" s="651"/>
      <c r="B452" s="27" t="s">
        <v>1471</v>
      </c>
      <c r="C452" s="952" t="s">
        <v>1472</v>
      </c>
      <c r="D452" s="46" t="s">
        <v>1473</v>
      </c>
      <c r="E452" s="104"/>
      <c r="F452" s="30"/>
      <c r="G452" s="25"/>
      <c r="H452" s="25"/>
      <c r="I452" s="242"/>
      <c r="J452" s="25"/>
      <c r="K452" s="25"/>
      <c r="L452" s="30"/>
      <c r="M452" s="25"/>
      <c r="N452" s="26"/>
      <c r="O452" s="921">
        <v>0.93490804699999996</v>
      </c>
    </row>
    <row r="453" spans="1:15" s="204" customFormat="1" ht="18.95" customHeight="1">
      <c r="A453" s="651"/>
      <c r="B453" s="287" t="s">
        <v>1324</v>
      </c>
      <c r="C453" s="29" t="s">
        <v>1329</v>
      </c>
      <c r="D453" s="46" t="s">
        <v>1330</v>
      </c>
      <c r="E453" s="104">
        <v>4.5</v>
      </c>
      <c r="F453" s="30" t="s">
        <v>286</v>
      </c>
      <c r="G453" s="25">
        <v>10000</v>
      </c>
      <c r="H453" s="25">
        <f t="shared" si="74"/>
        <v>9349.080469999999</v>
      </c>
      <c r="I453" s="242">
        <f t="shared" si="75"/>
        <v>42070.862114999996</v>
      </c>
      <c r="J453" s="25"/>
      <c r="K453" s="25">
        <f t="shared" si="76"/>
        <v>0</v>
      </c>
      <c r="L453" s="30">
        <f>E453*J453</f>
        <v>0</v>
      </c>
      <c r="M453" s="72">
        <f>I453+L453</f>
        <v>42070.862114999996</v>
      </c>
      <c r="N453" s="26"/>
      <c r="O453" s="921">
        <v>0.93490804699999996</v>
      </c>
    </row>
    <row r="454" spans="1:15" s="204" customFormat="1" ht="18.95" customHeight="1">
      <c r="A454" s="651"/>
      <c r="B454" s="287" t="s">
        <v>1456</v>
      </c>
      <c r="C454" s="29" t="s">
        <v>1332</v>
      </c>
      <c r="D454" s="46" t="s">
        <v>1333</v>
      </c>
      <c r="E454" s="104">
        <v>24</v>
      </c>
      <c r="F454" s="30" t="s">
        <v>286</v>
      </c>
      <c r="G454" s="25">
        <v>3500</v>
      </c>
      <c r="H454" s="25">
        <f t="shared" si="74"/>
        <v>3272.1781645000001</v>
      </c>
      <c r="I454" s="242">
        <f t="shared" si="75"/>
        <v>78532.275947999995</v>
      </c>
      <c r="J454" s="25"/>
      <c r="K454" s="25">
        <f t="shared" si="76"/>
        <v>0</v>
      </c>
      <c r="L454" s="30">
        <f>E454*J454</f>
        <v>0</v>
      </c>
      <c r="M454" s="72">
        <f>I454+L454</f>
        <v>78532.275947999995</v>
      </c>
      <c r="N454" s="26"/>
      <c r="O454" s="921">
        <v>0.93490804699999996</v>
      </c>
    </row>
    <row r="455" spans="1:15" s="204" customFormat="1" ht="18.95" customHeight="1">
      <c r="A455" s="651"/>
      <c r="B455" s="287" t="s">
        <v>1061</v>
      </c>
      <c r="C455" s="29"/>
      <c r="D455" s="46" t="s">
        <v>1335</v>
      </c>
      <c r="E455" s="104">
        <v>27</v>
      </c>
      <c r="F455" s="30" t="s">
        <v>286</v>
      </c>
      <c r="G455" s="25">
        <v>5000</v>
      </c>
      <c r="H455" s="25">
        <f t="shared" si="74"/>
        <v>4674.5402349999995</v>
      </c>
      <c r="I455" s="242">
        <f t="shared" si="75"/>
        <v>126212.58634499999</v>
      </c>
      <c r="J455" s="25"/>
      <c r="K455" s="25">
        <f t="shared" si="76"/>
        <v>0</v>
      </c>
      <c r="L455" s="30">
        <f>E455*J455</f>
        <v>0</v>
      </c>
      <c r="M455" s="72">
        <f>I455+L455</f>
        <v>126212.58634499999</v>
      </c>
      <c r="N455" s="26"/>
      <c r="O455" s="921">
        <v>0.93490804699999996</v>
      </c>
    </row>
    <row r="456" spans="1:15" s="204" customFormat="1" ht="18.95" customHeight="1">
      <c r="A456" s="651"/>
      <c r="B456" s="27" t="s">
        <v>1474</v>
      </c>
      <c r="C456" s="29" t="s">
        <v>1475</v>
      </c>
      <c r="D456" s="46"/>
      <c r="E456" s="104"/>
      <c r="F456" s="30"/>
      <c r="G456" s="25"/>
      <c r="H456" s="25"/>
      <c r="I456" s="242"/>
      <c r="J456" s="25"/>
      <c r="K456" s="25"/>
      <c r="L456" s="30"/>
      <c r="M456" s="72"/>
      <c r="N456" s="26"/>
      <c r="O456" s="921">
        <v>0.93490804699999996</v>
      </c>
    </row>
    <row r="457" spans="1:15" s="204" customFormat="1" ht="18.95" customHeight="1">
      <c r="A457" s="651"/>
      <c r="B457" s="287" t="s">
        <v>1456</v>
      </c>
      <c r="C457" s="29" t="s">
        <v>1332</v>
      </c>
      <c r="D457" s="46" t="s">
        <v>1333</v>
      </c>
      <c r="E457" s="104">
        <v>50.4</v>
      </c>
      <c r="F457" s="30" t="s">
        <v>286</v>
      </c>
      <c r="G457" s="25">
        <v>3500</v>
      </c>
      <c r="H457" s="25">
        <f t="shared" si="74"/>
        <v>3272.1781645000001</v>
      </c>
      <c r="I457" s="242">
        <f t="shared" si="75"/>
        <v>164917.77949079999</v>
      </c>
      <c r="J457" s="25"/>
      <c r="K457" s="25">
        <f t="shared" si="76"/>
        <v>0</v>
      </c>
      <c r="L457" s="30">
        <f>E457*J457</f>
        <v>0</v>
      </c>
      <c r="M457" s="72">
        <f>I457+L457</f>
        <v>164917.77949079999</v>
      </c>
      <c r="N457" s="26"/>
      <c r="O457" s="921">
        <v>0.93490804699999996</v>
      </c>
    </row>
    <row r="458" spans="1:15" s="204" customFormat="1" ht="18.95" customHeight="1">
      <c r="A458" s="651"/>
      <c r="B458" s="287" t="s">
        <v>1061</v>
      </c>
      <c r="C458" s="29"/>
      <c r="D458" s="46" t="s">
        <v>1476</v>
      </c>
      <c r="E458" s="104">
        <v>140.5</v>
      </c>
      <c r="F458" s="30" t="s">
        <v>286</v>
      </c>
      <c r="G458" s="25">
        <v>3000</v>
      </c>
      <c r="H458" s="25">
        <f t="shared" si="74"/>
        <v>2804.7241409999997</v>
      </c>
      <c r="I458" s="242">
        <f t="shared" si="75"/>
        <v>394063.74181049998</v>
      </c>
      <c r="J458" s="25"/>
      <c r="K458" s="25">
        <f t="shared" si="76"/>
        <v>0</v>
      </c>
      <c r="L458" s="30">
        <f>E458*J458</f>
        <v>0</v>
      </c>
      <c r="M458" s="72">
        <f>I458+L458</f>
        <v>394063.74181049998</v>
      </c>
      <c r="N458" s="26"/>
      <c r="O458" s="921">
        <v>0.93490804699999996</v>
      </c>
    </row>
    <row r="459" spans="1:15" s="204" customFormat="1" ht="18.95" customHeight="1">
      <c r="A459" s="651"/>
      <c r="B459" s="27" t="s">
        <v>1477</v>
      </c>
      <c r="C459" s="29" t="s">
        <v>1478</v>
      </c>
      <c r="D459" s="46"/>
      <c r="E459" s="104"/>
      <c r="F459" s="30"/>
      <c r="G459" s="25"/>
      <c r="H459" s="25"/>
      <c r="I459" s="242"/>
      <c r="J459" s="25"/>
      <c r="K459" s="25"/>
      <c r="L459" s="30"/>
      <c r="M459" s="72"/>
      <c r="N459" s="26"/>
      <c r="O459" s="921">
        <v>0.93490804699999996</v>
      </c>
    </row>
    <row r="460" spans="1:15" s="204" customFormat="1" ht="18.95" customHeight="1">
      <c r="A460" s="651"/>
      <c r="B460" s="287" t="s">
        <v>1456</v>
      </c>
      <c r="C460" s="29"/>
      <c r="D460" s="46" t="s">
        <v>1333</v>
      </c>
      <c r="E460" s="104">
        <v>274</v>
      </c>
      <c r="F460" s="30" t="s">
        <v>286</v>
      </c>
      <c r="G460" s="25">
        <v>3500</v>
      </c>
      <c r="H460" s="25">
        <f t="shared" si="74"/>
        <v>3272.1781645000001</v>
      </c>
      <c r="I460" s="242">
        <f t="shared" si="75"/>
        <v>896576.81707300001</v>
      </c>
      <c r="J460" s="25"/>
      <c r="K460" s="25">
        <f t="shared" si="76"/>
        <v>0</v>
      </c>
      <c r="L460" s="30">
        <f>E460*J460</f>
        <v>0</v>
      </c>
      <c r="M460" s="72">
        <f>I460+L460</f>
        <v>896576.81707300001</v>
      </c>
      <c r="N460" s="26"/>
      <c r="O460" s="921">
        <v>0.93490804699999996</v>
      </c>
    </row>
    <row r="461" spans="1:15" s="204" customFormat="1" ht="18.95" customHeight="1">
      <c r="A461" s="651"/>
      <c r="B461" s="287" t="s">
        <v>1061</v>
      </c>
      <c r="C461" s="29"/>
      <c r="D461" s="46" t="s">
        <v>1476</v>
      </c>
      <c r="E461" s="104">
        <v>243</v>
      </c>
      <c r="F461" s="30" t="s">
        <v>286</v>
      </c>
      <c r="G461" s="25">
        <v>3000</v>
      </c>
      <c r="H461" s="25">
        <f t="shared" si="74"/>
        <v>2804.7241409999997</v>
      </c>
      <c r="I461" s="242">
        <f t="shared" si="75"/>
        <v>681547.96626299992</v>
      </c>
      <c r="J461" s="25"/>
      <c r="K461" s="25">
        <f t="shared" si="76"/>
        <v>0</v>
      </c>
      <c r="L461" s="30">
        <f>E461*J461</f>
        <v>0</v>
      </c>
      <c r="M461" s="72">
        <f>I461+L461</f>
        <v>681547.96626299992</v>
      </c>
      <c r="N461" s="26"/>
      <c r="O461" s="921">
        <v>0.93490804699999996</v>
      </c>
    </row>
    <row r="462" spans="1:15" s="204" customFormat="1" ht="18.95" customHeight="1">
      <c r="A462" s="651"/>
      <c r="B462" s="27" t="s">
        <v>1479</v>
      </c>
      <c r="C462" s="29" t="s">
        <v>1110</v>
      </c>
      <c r="D462" s="46"/>
      <c r="E462" s="104"/>
      <c r="F462" s="30"/>
      <c r="G462" s="25"/>
      <c r="H462" s="25"/>
      <c r="I462" s="242"/>
      <c r="J462" s="25"/>
      <c r="K462" s="25"/>
      <c r="L462" s="25"/>
      <c r="M462" s="25"/>
      <c r="N462" s="26"/>
      <c r="O462" s="921">
        <v>0.93490804699999996</v>
      </c>
    </row>
    <row r="463" spans="1:15" s="204" customFormat="1" ht="18.95" customHeight="1">
      <c r="A463" s="651"/>
      <c r="B463" s="287" t="s">
        <v>1480</v>
      </c>
      <c r="C463" s="29" t="s">
        <v>1112</v>
      </c>
      <c r="D463" s="46" t="s">
        <v>1249</v>
      </c>
      <c r="E463" s="104">
        <v>25.5</v>
      </c>
      <c r="F463" s="30" t="s">
        <v>211</v>
      </c>
      <c r="G463" s="25">
        <v>7500</v>
      </c>
      <c r="H463" s="25">
        <f t="shared" si="74"/>
        <v>7011.8103524999997</v>
      </c>
      <c r="I463" s="242">
        <f t="shared" si="75"/>
        <v>178801.16398874999</v>
      </c>
      <c r="J463" s="25">
        <v>2000</v>
      </c>
      <c r="K463" s="25">
        <f t="shared" si="76"/>
        <v>1869.816094</v>
      </c>
      <c r="L463" s="30">
        <f t="shared" ref="L463:L466" si="80">E463*K463</f>
        <v>47680.310397000001</v>
      </c>
      <c r="M463" s="72">
        <f>I463+L463+L464</f>
        <v>233960.73876174999</v>
      </c>
      <c r="N463" s="26"/>
      <c r="O463" s="921">
        <v>0.93490804699999996</v>
      </c>
    </row>
    <row r="464" spans="1:15" s="204" customFormat="1" ht="18.95" customHeight="1">
      <c r="A464" s="651"/>
      <c r="B464" s="287" t="s">
        <v>1114</v>
      </c>
      <c r="C464" s="29" t="s">
        <v>1112</v>
      </c>
      <c r="D464" s="46" t="s">
        <v>1249</v>
      </c>
      <c r="E464" s="104"/>
      <c r="F464" s="30"/>
      <c r="G464" s="25"/>
      <c r="H464" s="25">
        <f t="shared" si="74"/>
        <v>0</v>
      </c>
      <c r="I464" s="242">
        <f t="shared" si="75"/>
        <v>0</v>
      </c>
      <c r="J464" s="25"/>
      <c r="K464" s="25">
        <f t="shared" si="76"/>
        <v>0</v>
      </c>
      <c r="L464" s="30">
        <f>8000*O464</f>
        <v>7479.2643760000001</v>
      </c>
      <c r="M464" s="72"/>
      <c r="N464" s="26"/>
      <c r="O464" s="921">
        <v>0.93490804699999996</v>
      </c>
    </row>
    <row r="465" spans="1:15" s="204" customFormat="1" ht="18.95" customHeight="1">
      <c r="A465" s="651"/>
      <c r="B465" s="287" t="s">
        <v>1281</v>
      </c>
      <c r="C465" s="29"/>
      <c r="D465" s="46" t="s">
        <v>1481</v>
      </c>
      <c r="E465" s="104"/>
      <c r="F465" s="30"/>
      <c r="G465" s="25"/>
      <c r="H465" s="25"/>
      <c r="I465" s="242"/>
      <c r="J465" s="25"/>
      <c r="K465" s="25"/>
      <c r="L465" s="30"/>
      <c r="M465" s="72"/>
      <c r="N465" s="26"/>
      <c r="O465" s="921">
        <v>0.93490804699999996</v>
      </c>
    </row>
    <row r="466" spans="1:15" s="204" customFormat="1" ht="18.95" customHeight="1">
      <c r="A466" s="651"/>
      <c r="B466" s="287" t="s">
        <v>1028</v>
      </c>
      <c r="C466" s="29" t="s">
        <v>1251</v>
      </c>
      <c r="D466" s="46" t="s">
        <v>1482</v>
      </c>
      <c r="E466" s="104">
        <v>19.5</v>
      </c>
      <c r="F466" s="30" t="s">
        <v>286</v>
      </c>
      <c r="G466" s="25">
        <v>8000</v>
      </c>
      <c r="H466" s="25">
        <f t="shared" si="74"/>
        <v>7479.2643760000001</v>
      </c>
      <c r="I466" s="242">
        <f t="shared" si="75"/>
        <v>145845.65533199999</v>
      </c>
      <c r="J466" s="25"/>
      <c r="K466" s="25">
        <f t="shared" si="76"/>
        <v>0</v>
      </c>
      <c r="L466" s="30">
        <f t="shared" si="80"/>
        <v>0</v>
      </c>
      <c r="M466" s="72">
        <f>I466+L466</f>
        <v>145845.65533199999</v>
      </c>
      <c r="N466" s="26"/>
      <c r="O466" s="921">
        <v>0.93490804699999996</v>
      </c>
    </row>
    <row r="467" spans="1:15" s="204" customFormat="1" ht="18.95" customHeight="1">
      <c r="A467" s="651"/>
      <c r="B467" s="27" t="s">
        <v>1483</v>
      </c>
      <c r="C467" s="29" t="s">
        <v>1484</v>
      </c>
      <c r="D467" s="46"/>
      <c r="E467" s="104"/>
      <c r="F467" s="30"/>
      <c r="G467" s="72"/>
      <c r="H467" s="25"/>
      <c r="I467" s="242"/>
      <c r="J467" s="72"/>
      <c r="K467" s="25"/>
      <c r="L467" s="30"/>
      <c r="M467" s="72"/>
      <c r="N467" s="26"/>
      <c r="O467" s="921">
        <v>0.93490804699999996</v>
      </c>
    </row>
    <row r="468" spans="1:15" s="204" customFormat="1" ht="18.95" customHeight="1">
      <c r="A468" s="651"/>
      <c r="B468" s="287" t="s">
        <v>1485</v>
      </c>
      <c r="C468" s="29" t="s">
        <v>1329</v>
      </c>
      <c r="D468" s="46" t="s">
        <v>1330</v>
      </c>
      <c r="E468" s="104">
        <v>2</v>
      </c>
      <c r="F468" s="30" t="s">
        <v>286</v>
      </c>
      <c r="G468" s="25">
        <v>118264</v>
      </c>
      <c r="H468" s="25">
        <f t="shared" si="74"/>
        <v>110565.96527040799</v>
      </c>
      <c r="I468" s="242">
        <f t="shared" si="75"/>
        <v>221131.93054081599</v>
      </c>
      <c r="J468" s="25"/>
      <c r="K468" s="25">
        <f t="shared" si="76"/>
        <v>0</v>
      </c>
      <c r="L468" s="30"/>
      <c r="M468" s="72">
        <f>I468+L468</f>
        <v>221131.93054081599</v>
      </c>
      <c r="N468" s="26"/>
      <c r="O468" s="921">
        <v>0.93490804699999996</v>
      </c>
    </row>
    <row r="469" spans="1:15" s="204" customFormat="1" ht="18.95" customHeight="1">
      <c r="A469" s="651"/>
      <c r="B469" s="287" t="s">
        <v>1486</v>
      </c>
      <c r="C469" s="29"/>
      <c r="D469" s="46"/>
      <c r="E469" s="104">
        <v>28.5</v>
      </c>
      <c r="F469" s="30" t="s">
        <v>286</v>
      </c>
      <c r="G469" s="25">
        <v>5000</v>
      </c>
      <c r="H469" s="25">
        <f t="shared" si="74"/>
        <v>4674.5402349999995</v>
      </c>
      <c r="I469" s="242">
        <f t="shared" si="75"/>
        <v>133224.39669749999</v>
      </c>
      <c r="J469" s="25"/>
      <c r="K469" s="25">
        <f t="shared" si="76"/>
        <v>0</v>
      </c>
      <c r="L469" s="30">
        <f>E469*J469</f>
        <v>0</v>
      </c>
      <c r="M469" s="72">
        <f>I469+L469</f>
        <v>133224.39669749999</v>
      </c>
      <c r="N469" s="26"/>
      <c r="O469" s="921">
        <v>0.93490804699999996</v>
      </c>
    </row>
    <row r="470" spans="1:15" s="204" customFormat="1" ht="18.95" customHeight="1">
      <c r="A470" s="651"/>
      <c r="B470" s="27" t="s">
        <v>1487</v>
      </c>
      <c r="C470" s="29" t="s">
        <v>1488</v>
      </c>
      <c r="D470" s="46"/>
      <c r="E470" s="104">
        <v>15.5</v>
      </c>
      <c r="F470" s="30" t="s">
        <v>286</v>
      </c>
      <c r="G470" s="25">
        <v>8000</v>
      </c>
      <c r="H470" s="25">
        <f t="shared" si="74"/>
        <v>7479.2643760000001</v>
      </c>
      <c r="I470" s="242">
        <f t="shared" si="75"/>
        <v>115928.597828</v>
      </c>
      <c r="J470" s="25"/>
      <c r="K470" s="25">
        <f t="shared" si="76"/>
        <v>0</v>
      </c>
      <c r="L470" s="30"/>
      <c r="M470" s="72">
        <f>I470+L470</f>
        <v>115928.597828</v>
      </c>
      <c r="N470" s="26"/>
      <c r="O470" s="921">
        <v>0.93490804699999996</v>
      </c>
    </row>
    <row r="471" spans="1:15" s="204" customFormat="1" ht="18.95" customHeight="1">
      <c r="A471" s="651"/>
      <c r="B471" s="27" t="s">
        <v>1489</v>
      </c>
      <c r="C471" s="29" t="s">
        <v>1490</v>
      </c>
      <c r="D471" s="46"/>
      <c r="E471" s="104">
        <v>19</v>
      </c>
      <c r="F471" s="30" t="s">
        <v>286</v>
      </c>
      <c r="G471" s="25">
        <v>4000</v>
      </c>
      <c r="H471" s="25">
        <f t="shared" si="74"/>
        <v>3739.632188</v>
      </c>
      <c r="I471" s="242">
        <f t="shared" si="75"/>
        <v>71053.011572000003</v>
      </c>
      <c r="J471" s="25"/>
      <c r="K471" s="25">
        <f t="shared" si="76"/>
        <v>0</v>
      </c>
      <c r="L471" s="30">
        <f>E471*J471</f>
        <v>0</v>
      </c>
      <c r="M471" s="72">
        <f>I471+L471</f>
        <v>71053.011572000003</v>
      </c>
      <c r="N471" s="26"/>
      <c r="O471" s="921">
        <v>0.93490804699999996</v>
      </c>
    </row>
    <row r="472" spans="1:15" s="204" customFormat="1" ht="18.95" customHeight="1">
      <c r="A472" s="651"/>
      <c r="B472" s="27" t="s">
        <v>1491</v>
      </c>
      <c r="C472" s="29" t="s">
        <v>1492</v>
      </c>
      <c r="D472" s="46"/>
      <c r="E472" s="104">
        <v>1.85</v>
      </c>
      <c r="F472" s="30" t="s">
        <v>286</v>
      </c>
      <c r="G472" s="25">
        <v>12000</v>
      </c>
      <c r="H472" s="25">
        <f t="shared" si="74"/>
        <v>11218.896563999999</v>
      </c>
      <c r="I472" s="242">
        <f t="shared" si="75"/>
        <v>20754.958643399998</v>
      </c>
      <c r="J472" s="25"/>
      <c r="K472" s="25">
        <f t="shared" si="76"/>
        <v>0</v>
      </c>
      <c r="L472" s="30">
        <f>E472*J472</f>
        <v>0</v>
      </c>
      <c r="M472" s="72">
        <f>I472+L472</f>
        <v>20754.958643399998</v>
      </c>
      <c r="N472" s="26"/>
      <c r="O472" s="921">
        <v>0.93490804699999996</v>
      </c>
    </row>
    <row r="473" spans="1:15" s="204" customFormat="1" ht="18.95" customHeight="1">
      <c r="A473" s="898"/>
      <c r="B473" s="932">
        <v>318</v>
      </c>
      <c r="C473" s="900" t="s">
        <v>964</v>
      </c>
      <c r="D473" s="901"/>
      <c r="E473" s="902"/>
      <c r="F473" s="903"/>
      <c r="G473" s="903"/>
      <c r="H473" s="903"/>
      <c r="I473" s="903"/>
      <c r="J473" s="903"/>
      <c r="K473" s="903"/>
      <c r="L473" s="904"/>
      <c r="M473" s="904"/>
      <c r="N473" s="903"/>
      <c r="O473" s="921">
        <v>0.93490804699999996</v>
      </c>
    </row>
    <row r="474" spans="1:15" s="204" customFormat="1" ht="18.95" customHeight="1">
      <c r="A474" s="651"/>
      <c r="B474" s="27" t="s">
        <v>1493</v>
      </c>
      <c r="C474" s="29" t="s">
        <v>1494</v>
      </c>
      <c r="D474" s="46"/>
      <c r="E474" s="104">
        <v>35</v>
      </c>
      <c r="F474" s="30" t="s">
        <v>211</v>
      </c>
      <c r="G474" s="25">
        <v>817</v>
      </c>
      <c r="H474" s="25">
        <f t="shared" si="74"/>
        <v>763.81987439900001</v>
      </c>
      <c r="I474" s="242">
        <f t="shared" si="75"/>
        <v>26733.695603964999</v>
      </c>
      <c r="J474" s="25">
        <v>95</v>
      </c>
      <c r="K474" s="25">
        <f t="shared" si="76"/>
        <v>88.816264465000003</v>
      </c>
      <c r="L474" s="30">
        <f t="shared" ref="L474:L478" si="81">E474*K474</f>
        <v>3108.569256275</v>
      </c>
      <c r="M474" s="72">
        <f>I474+L474</f>
        <v>29842.26486024</v>
      </c>
      <c r="N474" s="26"/>
      <c r="O474" s="921">
        <v>0.93490804699999996</v>
      </c>
    </row>
    <row r="475" spans="1:15" s="204" customFormat="1" ht="18.95" customHeight="1">
      <c r="A475" s="651"/>
      <c r="B475" s="27" t="s">
        <v>1495</v>
      </c>
      <c r="C475" s="29" t="s">
        <v>1494</v>
      </c>
      <c r="D475" s="46"/>
      <c r="E475" s="104">
        <v>21</v>
      </c>
      <c r="F475" s="30" t="s">
        <v>211</v>
      </c>
      <c r="G475" s="25">
        <v>817</v>
      </c>
      <c r="H475" s="25">
        <f t="shared" si="74"/>
        <v>763.81987439900001</v>
      </c>
      <c r="I475" s="242">
        <f t="shared" si="75"/>
        <v>16040.217362379</v>
      </c>
      <c r="J475" s="25">
        <v>95</v>
      </c>
      <c r="K475" s="25">
        <f t="shared" si="76"/>
        <v>88.816264465000003</v>
      </c>
      <c r="L475" s="30">
        <f t="shared" si="81"/>
        <v>1865.141553765</v>
      </c>
      <c r="M475" s="72">
        <f>I475+L475</f>
        <v>17905.358916144</v>
      </c>
      <c r="N475" s="26"/>
      <c r="O475" s="921">
        <v>0.93490804699999996</v>
      </c>
    </row>
    <row r="476" spans="1:15" s="204" customFormat="1" ht="18.95" customHeight="1">
      <c r="A476" s="651"/>
      <c r="B476" s="27" t="s">
        <v>1496</v>
      </c>
      <c r="C476" s="29" t="s">
        <v>1494</v>
      </c>
      <c r="D476" s="46"/>
      <c r="E476" s="104">
        <v>12</v>
      </c>
      <c r="F476" s="30" t="s">
        <v>211</v>
      </c>
      <c r="G476" s="25">
        <v>817</v>
      </c>
      <c r="H476" s="25">
        <f t="shared" si="74"/>
        <v>763.81987439900001</v>
      </c>
      <c r="I476" s="242">
        <f t="shared" si="75"/>
        <v>9165.8384927879997</v>
      </c>
      <c r="J476" s="25">
        <v>95</v>
      </c>
      <c r="K476" s="25">
        <f t="shared" si="76"/>
        <v>88.816264465000003</v>
      </c>
      <c r="L476" s="30">
        <f t="shared" si="81"/>
        <v>1065.79517358</v>
      </c>
      <c r="M476" s="72">
        <f>I476+L476</f>
        <v>10231.633666367999</v>
      </c>
      <c r="N476" s="26"/>
      <c r="O476" s="921">
        <v>0.93490804699999996</v>
      </c>
    </row>
    <row r="477" spans="1:15" s="204" customFormat="1" ht="18.95" customHeight="1">
      <c r="A477" s="651"/>
      <c r="B477" s="27" t="s">
        <v>1497</v>
      </c>
      <c r="C477" s="29" t="s">
        <v>1498</v>
      </c>
      <c r="D477" s="46"/>
      <c r="E477" s="104">
        <v>10</v>
      </c>
      <c r="F477" s="30" t="s">
        <v>286</v>
      </c>
      <c r="G477" s="25">
        <v>8000</v>
      </c>
      <c r="H477" s="25">
        <f t="shared" si="74"/>
        <v>7479.2643760000001</v>
      </c>
      <c r="I477" s="242">
        <f t="shared" si="75"/>
        <v>74792.643760000006</v>
      </c>
      <c r="J477" s="25"/>
      <c r="K477" s="25">
        <f t="shared" si="76"/>
        <v>0</v>
      </c>
      <c r="L477" s="30">
        <f t="shared" si="81"/>
        <v>0</v>
      </c>
      <c r="M477" s="72">
        <f>I477+L477</f>
        <v>74792.643760000006</v>
      </c>
      <c r="N477" s="26"/>
      <c r="O477" s="921">
        <v>0.93490804699999996</v>
      </c>
    </row>
    <row r="478" spans="1:15" s="204" customFormat="1" ht="18.95" customHeight="1">
      <c r="A478" s="651"/>
      <c r="B478" s="27" t="s">
        <v>1499</v>
      </c>
      <c r="C478" s="29" t="s">
        <v>1500</v>
      </c>
      <c r="D478" s="46"/>
      <c r="E478" s="104">
        <v>7</v>
      </c>
      <c r="F478" s="30" t="s">
        <v>286</v>
      </c>
      <c r="G478" s="25">
        <v>8000</v>
      </c>
      <c r="H478" s="25">
        <f t="shared" ref="H478:H541" si="82">G478*O478</f>
        <v>7479.2643760000001</v>
      </c>
      <c r="I478" s="242">
        <f t="shared" si="75"/>
        <v>52354.850632000001</v>
      </c>
      <c r="J478" s="25"/>
      <c r="K478" s="25">
        <f t="shared" ref="K478:K541" si="83">J478*O478</f>
        <v>0</v>
      </c>
      <c r="L478" s="30">
        <f t="shared" si="81"/>
        <v>0</v>
      </c>
      <c r="M478" s="72">
        <f>I478+L478</f>
        <v>52354.850632000001</v>
      </c>
      <c r="N478" s="26"/>
      <c r="O478" s="921">
        <v>0.93490804699999996</v>
      </c>
    </row>
    <row r="479" spans="1:15" s="204" customFormat="1" ht="18.95" customHeight="1">
      <c r="A479" s="651"/>
      <c r="B479" s="27"/>
      <c r="C479" s="29"/>
      <c r="D479" s="46"/>
      <c r="E479" s="104"/>
      <c r="F479" s="30"/>
      <c r="G479" s="25"/>
      <c r="H479" s="25"/>
      <c r="I479" s="242"/>
      <c r="J479" s="25"/>
      <c r="K479" s="25"/>
      <c r="L479" s="30"/>
      <c r="M479" s="72"/>
      <c r="N479" s="26"/>
      <c r="O479" s="921">
        <v>0.93490804699999996</v>
      </c>
    </row>
    <row r="480" spans="1:15" s="204" customFormat="1" ht="18.95" customHeight="1">
      <c r="A480" s="898"/>
      <c r="B480" s="932">
        <v>319</v>
      </c>
      <c r="C480" s="900" t="s">
        <v>1501</v>
      </c>
      <c r="D480" s="901"/>
      <c r="E480" s="902"/>
      <c r="F480" s="903"/>
      <c r="G480" s="903"/>
      <c r="H480" s="903"/>
      <c r="I480" s="903"/>
      <c r="J480" s="903"/>
      <c r="K480" s="903"/>
      <c r="L480" s="904"/>
      <c r="M480" s="904"/>
      <c r="N480" s="903"/>
      <c r="O480" s="921">
        <v>0.93490804699999996</v>
      </c>
    </row>
    <row r="481" spans="1:15" s="204" customFormat="1" ht="18.95" customHeight="1">
      <c r="A481" s="651"/>
      <c r="B481" s="27" t="s">
        <v>1502</v>
      </c>
      <c r="C481" s="29" t="s">
        <v>1494</v>
      </c>
      <c r="D481" s="46"/>
      <c r="E481" s="104">
        <v>6</v>
      </c>
      <c r="F481" s="30" t="s">
        <v>211</v>
      </c>
      <c r="G481" s="25">
        <v>817</v>
      </c>
      <c r="H481" s="25">
        <f t="shared" si="82"/>
        <v>763.81987439900001</v>
      </c>
      <c r="I481" s="242">
        <f t="shared" si="75"/>
        <v>4582.9192463939999</v>
      </c>
      <c r="J481" s="25">
        <v>95</v>
      </c>
      <c r="K481" s="25">
        <f t="shared" si="83"/>
        <v>88.816264465000003</v>
      </c>
      <c r="L481" s="30">
        <f t="shared" ref="L481:L486" si="84">E481*K481</f>
        <v>532.89758678999999</v>
      </c>
      <c r="M481" s="72">
        <f>I481+L481</f>
        <v>5115.8168331839997</v>
      </c>
      <c r="N481" s="26"/>
      <c r="O481" s="921">
        <v>0.93490804699999996</v>
      </c>
    </row>
    <row r="482" spans="1:15" s="204" customFormat="1" ht="18.95" customHeight="1">
      <c r="A482" s="651"/>
      <c r="B482" s="27" t="s">
        <v>1503</v>
      </c>
      <c r="C482" s="29" t="s">
        <v>1494</v>
      </c>
      <c r="D482" s="46"/>
      <c r="E482" s="104">
        <v>9</v>
      </c>
      <c r="F482" s="30" t="s">
        <v>211</v>
      </c>
      <c r="G482" s="25">
        <v>817</v>
      </c>
      <c r="H482" s="25">
        <f t="shared" si="82"/>
        <v>763.81987439900001</v>
      </c>
      <c r="I482" s="242">
        <f t="shared" ref="I482:I486" si="85">E482*H482</f>
        <v>6874.3788695909998</v>
      </c>
      <c r="J482" s="25">
        <v>95</v>
      </c>
      <c r="K482" s="25">
        <f t="shared" si="83"/>
        <v>88.816264465000003</v>
      </c>
      <c r="L482" s="30">
        <f t="shared" si="84"/>
        <v>799.34638018500004</v>
      </c>
      <c r="M482" s="72">
        <f>I482+L482</f>
        <v>7673.7252497760001</v>
      </c>
      <c r="N482" s="26"/>
      <c r="O482" s="921">
        <v>0.93490804699999996</v>
      </c>
    </row>
    <row r="483" spans="1:15" s="204" customFormat="1" ht="18.95" customHeight="1">
      <c r="A483" s="651"/>
      <c r="B483" s="27" t="s">
        <v>1504</v>
      </c>
      <c r="C483" s="29" t="s">
        <v>1494</v>
      </c>
      <c r="D483" s="46"/>
      <c r="E483" s="104">
        <v>14</v>
      </c>
      <c r="F483" s="30" t="s">
        <v>211</v>
      </c>
      <c r="G483" s="25">
        <v>817</v>
      </c>
      <c r="H483" s="25">
        <f t="shared" si="82"/>
        <v>763.81987439900001</v>
      </c>
      <c r="I483" s="242">
        <f t="shared" si="85"/>
        <v>10693.478241586001</v>
      </c>
      <c r="J483" s="25">
        <v>95</v>
      </c>
      <c r="K483" s="25">
        <f t="shared" si="83"/>
        <v>88.816264465000003</v>
      </c>
      <c r="L483" s="30">
        <f t="shared" si="84"/>
        <v>1243.42770251</v>
      </c>
      <c r="M483" s="72">
        <f>I483+L483</f>
        <v>11936.905944096001</v>
      </c>
      <c r="N483" s="26"/>
      <c r="O483" s="921">
        <v>0.93490804699999996</v>
      </c>
    </row>
    <row r="484" spans="1:15" s="204" customFormat="1" ht="18.95" customHeight="1">
      <c r="A484" s="898"/>
      <c r="B484" s="932">
        <v>320</v>
      </c>
      <c r="C484" s="900" t="s">
        <v>1505</v>
      </c>
      <c r="D484" s="901"/>
      <c r="E484" s="902"/>
      <c r="F484" s="903"/>
      <c r="G484" s="903"/>
      <c r="H484" s="903"/>
      <c r="I484" s="903"/>
      <c r="J484" s="903"/>
      <c r="K484" s="903"/>
      <c r="L484" s="904"/>
      <c r="M484" s="904"/>
      <c r="N484" s="903"/>
      <c r="O484" s="921">
        <v>0.93490804699999996</v>
      </c>
    </row>
    <row r="485" spans="1:15" s="204" customFormat="1" ht="18.95" customHeight="1">
      <c r="A485" s="651"/>
      <c r="B485" s="27" t="s">
        <v>1506</v>
      </c>
      <c r="C485" s="29" t="s">
        <v>1494</v>
      </c>
      <c r="D485" s="46"/>
      <c r="E485" s="104">
        <v>5</v>
      </c>
      <c r="F485" s="30" t="s">
        <v>211</v>
      </c>
      <c r="G485" s="25">
        <v>817</v>
      </c>
      <c r="H485" s="25">
        <f t="shared" si="82"/>
        <v>763.81987439900001</v>
      </c>
      <c r="I485" s="242">
        <f t="shared" si="85"/>
        <v>3819.0993719950002</v>
      </c>
      <c r="J485" s="25">
        <v>95</v>
      </c>
      <c r="K485" s="25">
        <f t="shared" si="83"/>
        <v>88.816264465000003</v>
      </c>
      <c r="L485" s="30">
        <f t="shared" si="84"/>
        <v>444.08132232500003</v>
      </c>
      <c r="M485" s="72">
        <f>I485+L485</f>
        <v>4263.1806943199999</v>
      </c>
      <c r="N485" s="26"/>
      <c r="O485" s="921">
        <v>0.93490804699999996</v>
      </c>
    </row>
    <row r="486" spans="1:15" s="204" customFormat="1" ht="18.95" customHeight="1">
      <c r="A486" s="651"/>
      <c r="B486" s="27" t="s">
        <v>1507</v>
      </c>
      <c r="C486" s="29" t="s">
        <v>1494</v>
      </c>
      <c r="D486" s="46"/>
      <c r="E486" s="104">
        <v>13</v>
      </c>
      <c r="F486" s="30" t="s">
        <v>211</v>
      </c>
      <c r="G486" s="25">
        <v>817</v>
      </c>
      <c r="H486" s="25">
        <f t="shared" si="82"/>
        <v>763.81987439900001</v>
      </c>
      <c r="I486" s="242">
        <f t="shared" si="85"/>
        <v>9929.6583671869994</v>
      </c>
      <c r="J486" s="25">
        <v>95</v>
      </c>
      <c r="K486" s="25">
        <f t="shared" si="83"/>
        <v>88.816264465000003</v>
      </c>
      <c r="L486" s="30">
        <f t="shared" si="84"/>
        <v>1154.6114380450001</v>
      </c>
      <c r="M486" s="72">
        <f>I486+L486</f>
        <v>11084.269805231999</v>
      </c>
      <c r="N486" s="26"/>
      <c r="O486" s="921">
        <v>0.93490804699999996</v>
      </c>
    </row>
    <row r="487" spans="1:15" s="204" customFormat="1" ht="18.95" customHeight="1">
      <c r="A487" s="925"/>
      <c r="B487" s="1293" t="s">
        <v>1508</v>
      </c>
      <c r="C487" s="1294"/>
      <c r="D487" s="1295"/>
      <c r="E487" s="902"/>
      <c r="F487" s="903"/>
      <c r="G487" s="903"/>
      <c r="H487" s="903"/>
      <c r="I487" s="904">
        <f>SUM(I417:I486)</f>
        <v>11997681.511507334</v>
      </c>
      <c r="J487" s="904"/>
      <c r="K487" s="903"/>
      <c r="L487" s="904">
        <f>SUM(L417:L486)</f>
        <v>76653.110773530017</v>
      </c>
      <c r="M487" s="904">
        <f>SUM(M417:M486)</f>
        <v>12074334.62228086</v>
      </c>
      <c r="N487" s="902"/>
      <c r="O487" s="921">
        <v>0.93490804699999996</v>
      </c>
    </row>
    <row r="488" spans="1:15" s="204" customFormat="1" ht="18.95" customHeight="1">
      <c r="A488" s="256"/>
      <c r="B488" s="256"/>
      <c r="C488" s="257"/>
      <c r="D488" s="258"/>
      <c r="E488" s="896"/>
      <c r="F488" s="102"/>
      <c r="G488" s="102"/>
      <c r="H488" s="102"/>
      <c r="I488" s="34"/>
      <c r="J488" s="34"/>
      <c r="K488" s="102"/>
      <c r="L488" s="34"/>
      <c r="M488" s="34"/>
      <c r="N488" s="415"/>
      <c r="O488" s="921">
        <v>0.93490804699999996</v>
      </c>
    </row>
    <row r="489" spans="1:15" s="204" customFormat="1" ht="18.95" customHeight="1">
      <c r="A489" s="648">
        <v>9</v>
      </c>
      <c r="B489" s="302" t="s">
        <v>1008</v>
      </c>
      <c r="C489" s="221"/>
      <c r="D489" s="897"/>
      <c r="E489" s="896"/>
      <c r="F489" s="102"/>
      <c r="G489" s="102"/>
      <c r="H489" s="102"/>
      <c r="I489" s="34"/>
      <c r="J489" s="102"/>
      <c r="K489" s="102"/>
      <c r="L489" s="34"/>
      <c r="M489" s="35"/>
      <c r="N489" s="35"/>
      <c r="O489" s="921">
        <v>0.93490804699999996</v>
      </c>
    </row>
    <row r="490" spans="1:15" s="204" customFormat="1" ht="18.95" customHeight="1">
      <c r="A490" s="648"/>
      <c r="B490" s="302" t="s">
        <v>1509</v>
      </c>
      <c r="C490" s="221"/>
      <c r="D490" s="897"/>
      <c r="E490" s="896"/>
      <c r="F490" s="102"/>
      <c r="G490" s="102"/>
      <c r="H490" s="102"/>
      <c r="I490" s="34"/>
      <c r="J490" s="102"/>
      <c r="K490" s="102"/>
      <c r="L490" s="34"/>
      <c r="M490" s="35"/>
      <c r="N490" s="35"/>
      <c r="O490" s="921">
        <v>0.93490804699999996</v>
      </c>
    </row>
    <row r="491" spans="1:15" s="204" customFormat="1" ht="18.95" customHeight="1">
      <c r="A491" s="898"/>
      <c r="B491" s="932">
        <v>311</v>
      </c>
      <c r="C491" s="900" t="s">
        <v>1510</v>
      </c>
      <c r="D491" s="901"/>
      <c r="E491" s="902"/>
      <c r="F491" s="903"/>
      <c r="G491" s="903"/>
      <c r="H491" s="903"/>
      <c r="I491" s="904"/>
      <c r="J491" s="904"/>
      <c r="K491" s="903"/>
      <c r="L491" s="904"/>
      <c r="M491" s="904"/>
      <c r="N491" s="903"/>
      <c r="O491" s="921">
        <v>0.93490804699999996</v>
      </c>
    </row>
    <row r="492" spans="1:15" s="204" customFormat="1" ht="18.95" customHeight="1">
      <c r="A492" s="651"/>
      <c r="B492" s="27" t="s">
        <v>1511</v>
      </c>
      <c r="C492" s="29" t="s">
        <v>1512</v>
      </c>
      <c r="D492" s="895" t="s">
        <v>1513</v>
      </c>
      <c r="E492" s="104">
        <v>2.7</v>
      </c>
      <c r="F492" s="30" t="s">
        <v>286</v>
      </c>
      <c r="G492" s="25">
        <v>24000</v>
      </c>
      <c r="H492" s="25">
        <f t="shared" si="82"/>
        <v>22437.793127999998</v>
      </c>
      <c r="I492" s="242">
        <f t="shared" ref="I492:I493" si="86">E492*H492</f>
        <v>60582.0414456</v>
      </c>
      <c r="J492" s="25"/>
      <c r="K492" s="25">
        <f t="shared" si="83"/>
        <v>0</v>
      </c>
      <c r="L492" s="30">
        <f>E492*J492</f>
        <v>0</v>
      </c>
      <c r="M492" s="72">
        <f>I492+L492</f>
        <v>60582.0414456</v>
      </c>
      <c r="N492" s="26"/>
      <c r="O492" s="921">
        <v>0.93490804699999996</v>
      </c>
    </row>
    <row r="493" spans="1:15" s="204" customFormat="1" ht="18.95" customHeight="1">
      <c r="A493" s="651"/>
      <c r="B493" s="27" t="s">
        <v>1514</v>
      </c>
      <c r="C493" s="29" t="s">
        <v>1512</v>
      </c>
      <c r="D493" s="895" t="s">
        <v>1515</v>
      </c>
      <c r="E493" s="104">
        <v>5.77</v>
      </c>
      <c r="F493" s="30" t="s">
        <v>286</v>
      </c>
      <c r="G493" s="25">
        <v>24000</v>
      </c>
      <c r="H493" s="25">
        <f t="shared" si="82"/>
        <v>22437.793127999998</v>
      </c>
      <c r="I493" s="242">
        <f t="shared" si="86"/>
        <v>129466.06634855998</v>
      </c>
      <c r="J493" s="25"/>
      <c r="K493" s="25">
        <f t="shared" si="83"/>
        <v>0</v>
      </c>
      <c r="L493" s="30">
        <f>E493*J493</f>
        <v>0</v>
      </c>
      <c r="M493" s="72">
        <f>I493+L493</f>
        <v>129466.06634855998</v>
      </c>
      <c r="N493" s="26"/>
      <c r="O493" s="921">
        <v>0.93490804699999996</v>
      </c>
    </row>
    <row r="494" spans="1:15" s="204" customFormat="1" ht="18.95" customHeight="1">
      <c r="A494" s="898"/>
      <c r="B494" s="932">
        <v>312</v>
      </c>
      <c r="C494" s="900" t="s">
        <v>973</v>
      </c>
      <c r="D494" s="901"/>
      <c r="E494" s="902"/>
      <c r="F494" s="903"/>
      <c r="G494" s="903"/>
      <c r="H494" s="903"/>
      <c r="I494" s="903"/>
      <c r="J494" s="903"/>
      <c r="K494" s="903"/>
      <c r="L494" s="904"/>
      <c r="M494" s="904"/>
      <c r="N494" s="904"/>
      <c r="O494" s="921">
        <v>0.93490804699999996</v>
      </c>
    </row>
    <row r="495" spans="1:15" s="204" customFormat="1" ht="18.95" customHeight="1">
      <c r="A495" s="651"/>
      <c r="B495" s="348" t="s">
        <v>1516</v>
      </c>
      <c r="C495" s="29"/>
      <c r="D495" s="46"/>
      <c r="E495" s="104">
        <v>1.6</v>
      </c>
      <c r="F495" s="30" t="s">
        <v>286</v>
      </c>
      <c r="G495" s="25">
        <v>8000</v>
      </c>
      <c r="H495" s="25">
        <f t="shared" si="82"/>
        <v>7479.2643760000001</v>
      </c>
      <c r="I495" s="242">
        <f t="shared" ref="I495:I534" si="87">E495*H495</f>
        <v>11966.823001600002</v>
      </c>
      <c r="J495" s="25"/>
      <c r="K495" s="25">
        <f t="shared" si="83"/>
        <v>0</v>
      </c>
      <c r="L495" s="30">
        <f>E495*J495</f>
        <v>0</v>
      </c>
      <c r="M495" s="72">
        <f>I495+L495</f>
        <v>11966.823001600002</v>
      </c>
      <c r="N495" s="26"/>
      <c r="O495" s="921">
        <v>0.93490804699999996</v>
      </c>
    </row>
    <row r="496" spans="1:15" s="204" customFormat="1" ht="18.95" customHeight="1">
      <c r="A496" s="651"/>
      <c r="B496" s="27" t="s">
        <v>1517</v>
      </c>
      <c r="C496" s="29" t="s">
        <v>1518</v>
      </c>
      <c r="D496" s="895"/>
      <c r="E496" s="104"/>
      <c r="F496" s="30"/>
      <c r="G496" s="25"/>
      <c r="H496" s="25"/>
      <c r="I496" s="242"/>
      <c r="J496" s="25"/>
      <c r="K496" s="25"/>
      <c r="L496" s="25"/>
      <c r="M496" s="25"/>
      <c r="N496" s="26"/>
      <c r="O496" s="921">
        <v>0.93490804699999996</v>
      </c>
    </row>
    <row r="497" spans="1:15" s="204" customFormat="1" ht="18.95" customHeight="1">
      <c r="A497" s="651"/>
      <c r="B497" s="348" t="s">
        <v>1519</v>
      </c>
      <c r="C497" s="29" t="s">
        <v>1036</v>
      </c>
      <c r="D497" s="46" t="s">
        <v>1037</v>
      </c>
      <c r="E497" s="104">
        <v>7.5</v>
      </c>
      <c r="F497" s="30" t="s">
        <v>286</v>
      </c>
      <c r="G497" s="25">
        <v>24000</v>
      </c>
      <c r="H497" s="25">
        <f t="shared" si="82"/>
        <v>22437.793127999998</v>
      </c>
      <c r="I497" s="242">
        <f t="shared" si="87"/>
        <v>168283.44845999999</v>
      </c>
      <c r="J497" s="25"/>
      <c r="K497" s="25">
        <f t="shared" si="83"/>
        <v>0</v>
      </c>
      <c r="L497" s="30">
        <f>E497*J497</f>
        <v>0</v>
      </c>
      <c r="M497" s="72">
        <f>I497+L497</f>
        <v>168283.44845999999</v>
      </c>
      <c r="N497" s="26"/>
      <c r="O497" s="921">
        <v>0.93490804699999996</v>
      </c>
    </row>
    <row r="498" spans="1:15" s="204" customFormat="1" ht="18.95" customHeight="1">
      <c r="A498" s="651"/>
      <c r="B498" s="348" t="s">
        <v>1061</v>
      </c>
      <c r="C498" s="349" t="s">
        <v>1520</v>
      </c>
      <c r="D498" s="46" t="s">
        <v>1521</v>
      </c>
      <c r="E498" s="104"/>
      <c r="F498" s="30"/>
      <c r="G498" s="25"/>
      <c r="H498" s="25"/>
      <c r="I498" s="242"/>
      <c r="J498" s="25"/>
      <c r="K498" s="25"/>
      <c r="L498" s="30"/>
      <c r="M498" s="72">
        <f>I498+L498</f>
        <v>0</v>
      </c>
      <c r="N498" s="26"/>
      <c r="O498" s="921">
        <v>0.93490804699999996</v>
      </c>
    </row>
    <row r="499" spans="1:15" s="204" customFormat="1" ht="18.95" customHeight="1">
      <c r="A499" s="651"/>
      <c r="B499" s="348" t="s">
        <v>1522</v>
      </c>
      <c r="C499" s="349" t="s">
        <v>1523</v>
      </c>
      <c r="D499" s="46" t="s">
        <v>1524</v>
      </c>
      <c r="E499" s="104">
        <v>9</v>
      </c>
      <c r="F499" s="30" t="s">
        <v>211</v>
      </c>
      <c r="G499" s="25">
        <v>168</v>
      </c>
      <c r="H499" s="25">
        <f t="shared" si="82"/>
        <v>157.06455189599998</v>
      </c>
      <c r="I499" s="242">
        <f t="shared" si="87"/>
        <v>1413.5809670639999</v>
      </c>
      <c r="J499" s="25"/>
      <c r="K499" s="25">
        <f t="shared" si="83"/>
        <v>0</v>
      </c>
      <c r="L499" s="30">
        <f>E499*J499</f>
        <v>0</v>
      </c>
      <c r="M499" s="72">
        <f>I499+L499</f>
        <v>1413.5809670639999</v>
      </c>
      <c r="N499" s="26"/>
      <c r="O499" s="921">
        <v>0.93490804699999996</v>
      </c>
    </row>
    <row r="500" spans="1:15" s="204" customFormat="1" ht="18.95" customHeight="1">
      <c r="A500" s="651"/>
      <c r="B500" s="27" t="s">
        <v>1525</v>
      </c>
      <c r="C500" s="29" t="s">
        <v>1518</v>
      </c>
      <c r="D500" s="895"/>
      <c r="E500" s="104"/>
      <c r="F500" s="30"/>
      <c r="G500" s="25"/>
      <c r="H500" s="25"/>
      <c r="I500" s="242"/>
      <c r="J500" s="25"/>
      <c r="K500" s="25"/>
      <c r="L500" s="25"/>
      <c r="M500" s="25"/>
      <c r="N500" s="26"/>
      <c r="O500" s="921">
        <v>0.93490804699999996</v>
      </c>
    </row>
    <row r="501" spans="1:15" s="204" customFormat="1" ht="18.95" customHeight="1">
      <c r="A501" s="651"/>
      <c r="B501" s="348" t="s">
        <v>1519</v>
      </c>
      <c r="C501" s="29" t="s">
        <v>1036</v>
      </c>
      <c r="D501" s="46" t="s">
        <v>1037</v>
      </c>
      <c r="E501" s="104">
        <v>9</v>
      </c>
      <c r="F501" s="30" t="s">
        <v>286</v>
      </c>
      <c r="G501" s="25">
        <v>24000</v>
      </c>
      <c r="H501" s="25">
        <f t="shared" si="82"/>
        <v>22437.793127999998</v>
      </c>
      <c r="I501" s="242">
        <f t="shared" si="87"/>
        <v>201940.13815199997</v>
      </c>
      <c r="J501" s="25"/>
      <c r="K501" s="25">
        <f t="shared" si="83"/>
        <v>0</v>
      </c>
      <c r="L501" s="30">
        <f>E501*J501</f>
        <v>0</v>
      </c>
      <c r="M501" s="72">
        <f>I501+L501</f>
        <v>201940.13815199997</v>
      </c>
      <c r="N501" s="26"/>
      <c r="O501" s="921">
        <v>0.93490804699999996</v>
      </c>
    </row>
    <row r="502" spans="1:15" s="204" customFormat="1" ht="18.95" customHeight="1">
      <c r="A502" s="651"/>
      <c r="B502" s="348" t="s">
        <v>1061</v>
      </c>
      <c r="C502" s="29" t="s">
        <v>1526</v>
      </c>
      <c r="D502" s="46" t="s">
        <v>1521</v>
      </c>
      <c r="E502" s="104"/>
      <c r="F502" s="30"/>
      <c r="G502" s="25"/>
      <c r="H502" s="25"/>
      <c r="I502" s="242"/>
      <c r="J502" s="25"/>
      <c r="K502" s="25"/>
      <c r="L502" s="30"/>
      <c r="M502" s="72">
        <f>I502+L502</f>
        <v>0</v>
      </c>
      <c r="N502" s="26"/>
      <c r="O502" s="921">
        <v>0.93490804699999996</v>
      </c>
    </row>
    <row r="503" spans="1:15" s="204" customFormat="1" ht="18.95" customHeight="1">
      <c r="A503" s="651"/>
      <c r="B503" s="348" t="s">
        <v>1522</v>
      </c>
      <c r="C503" s="349" t="s">
        <v>1523</v>
      </c>
      <c r="D503" s="46" t="s">
        <v>1524</v>
      </c>
      <c r="E503" s="104">
        <v>9</v>
      </c>
      <c r="F503" s="30" t="s">
        <v>211</v>
      </c>
      <c r="G503" s="25">
        <v>168</v>
      </c>
      <c r="H503" s="25">
        <f t="shared" si="82"/>
        <v>157.06455189599998</v>
      </c>
      <c r="I503" s="242">
        <f t="shared" si="87"/>
        <v>1413.5809670639999</v>
      </c>
      <c r="J503" s="25"/>
      <c r="K503" s="25">
        <f t="shared" si="83"/>
        <v>0</v>
      </c>
      <c r="L503" s="30">
        <f>E503*J503</f>
        <v>0</v>
      </c>
      <c r="M503" s="72">
        <f>I503+L503</f>
        <v>1413.5809670639999</v>
      </c>
      <c r="N503" s="26"/>
      <c r="O503" s="921">
        <v>0.93490804699999996</v>
      </c>
    </row>
    <row r="504" spans="1:15" s="204" customFormat="1" ht="18.95" customHeight="1">
      <c r="A504" s="651"/>
      <c r="B504" s="27" t="s">
        <v>1527</v>
      </c>
      <c r="C504" s="29" t="s">
        <v>1518</v>
      </c>
      <c r="D504" s="895"/>
      <c r="E504" s="104"/>
      <c r="F504" s="30"/>
      <c r="G504" s="25"/>
      <c r="H504" s="25"/>
      <c r="I504" s="242"/>
      <c r="J504" s="25"/>
      <c r="K504" s="25"/>
      <c r="L504" s="25"/>
      <c r="M504" s="25"/>
      <c r="N504" s="26"/>
      <c r="O504" s="921">
        <v>0.93490804699999996</v>
      </c>
    </row>
    <row r="505" spans="1:15" s="204" customFormat="1" ht="18.95" customHeight="1">
      <c r="A505" s="651"/>
      <c r="B505" s="348" t="s">
        <v>1519</v>
      </c>
      <c r="C505" s="29" t="s">
        <v>1036</v>
      </c>
      <c r="D505" s="46" t="s">
        <v>1037</v>
      </c>
      <c r="E505" s="104">
        <v>2.5</v>
      </c>
      <c r="F505" s="30" t="s">
        <v>286</v>
      </c>
      <c r="G505" s="25">
        <v>24000</v>
      </c>
      <c r="H505" s="25">
        <f t="shared" si="82"/>
        <v>22437.793127999998</v>
      </c>
      <c r="I505" s="242">
        <f t="shared" si="87"/>
        <v>56094.48281999999</v>
      </c>
      <c r="J505" s="25"/>
      <c r="K505" s="25">
        <f t="shared" si="83"/>
        <v>0</v>
      </c>
      <c r="L505" s="30">
        <f>E505*J505</f>
        <v>0</v>
      </c>
      <c r="M505" s="72">
        <f>I505+L505</f>
        <v>56094.48281999999</v>
      </c>
      <c r="N505" s="26"/>
      <c r="O505" s="921">
        <v>0.93490804699999996</v>
      </c>
    </row>
    <row r="506" spans="1:15" s="204" customFormat="1" ht="18.95" customHeight="1">
      <c r="A506" s="651"/>
      <c r="B506" s="348" t="s">
        <v>1061</v>
      </c>
      <c r="C506" s="29" t="s">
        <v>1526</v>
      </c>
      <c r="D506" s="46" t="s">
        <v>1521</v>
      </c>
      <c r="E506" s="104"/>
      <c r="F506" s="30"/>
      <c r="G506" s="25"/>
      <c r="H506" s="25"/>
      <c r="I506" s="242"/>
      <c r="J506" s="25"/>
      <c r="K506" s="25"/>
      <c r="L506" s="30"/>
      <c r="M506" s="72">
        <f>I506+L506</f>
        <v>0</v>
      </c>
      <c r="N506" s="26"/>
      <c r="O506" s="921">
        <v>0.93490804699999996</v>
      </c>
    </row>
    <row r="507" spans="1:15" s="204" customFormat="1" ht="18.95" customHeight="1">
      <c r="A507" s="651"/>
      <c r="B507" s="348" t="s">
        <v>1522</v>
      </c>
      <c r="C507" s="349" t="s">
        <v>1523</v>
      </c>
      <c r="D507" s="46" t="s">
        <v>1524</v>
      </c>
      <c r="E507" s="104">
        <v>3</v>
      </c>
      <c r="F507" s="30" t="s">
        <v>211</v>
      </c>
      <c r="G507" s="25">
        <v>168</v>
      </c>
      <c r="H507" s="25">
        <f t="shared" si="82"/>
        <v>157.06455189599998</v>
      </c>
      <c r="I507" s="242">
        <f t="shared" si="87"/>
        <v>471.19365568799992</v>
      </c>
      <c r="J507" s="25"/>
      <c r="K507" s="25">
        <f t="shared" si="83"/>
        <v>0</v>
      </c>
      <c r="L507" s="30">
        <f>E507*J507</f>
        <v>0</v>
      </c>
      <c r="M507" s="72">
        <f>I507+L507</f>
        <v>471.19365568799992</v>
      </c>
      <c r="N507" s="26"/>
      <c r="O507" s="921">
        <v>0.93490804699999996</v>
      </c>
    </row>
    <row r="508" spans="1:15" s="204" customFormat="1" ht="18.95" customHeight="1">
      <c r="A508" s="651"/>
      <c r="B508" s="348"/>
      <c r="C508" s="349"/>
      <c r="D508" s="46"/>
      <c r="E508" s="104"/>
      <c r="F508" s="30"/>
      <c r="G508" s="25"/>
      <c r="H508" s="25"/>
      <c r="I508" s="242"/>
      <c r="J508" s="25"/>
      <c r="K508" s="25"/>
      <c r="L508" s="30"/>
      <c r="M508" s="72"/>
      <c r="N508" s="26"/>
      <c r="O508" s="921">
        <v>0.93490804699999996</v>
      </c>
    </row>
    <row r="509" spans="1:15" s="204" customFormat="1" ht="18.95" customHeight="1">
      <c r="A509" s="651"/>
      <c r="B509" s="27" t="s">
        <v>1528</v>
      </c>
      <c r="C509" s="29" t="s">
        <v>1529</v>
      </c>
      <c r="D509" s="895"/>
      <c r="E509" s="104"/>
      <c r="F509" s="30"/>
      <c r="G509" s="25"/>
      <c r="H509" s="25"/>
      <c r="I509" s="242"/>
      <c r="J509" s="25"/>
      <c r="K509" s="25"/>
      <c r="L509" s="25"/>
      <c r="M509" s="25"/>
      <c r="N509" s="26"/>
      <c r="O509" s="921">
        <v>0.93490804699999996</v>
      </c>
    </row>
    <row r="510" spans="1:15" s="204" customFormat="1" ht="18.95" customHeight="1">
      <c r="A510" s="651"/>
      <c r="B510" s="348" t="s">
        <v>1519</v>
      </c>
      <c r="C510" s="29" t="s">
        <v>1036</v>
      </c>
      <c r="D510" s="46" t="s">
        <v>1037</v>
      </c>
      <c r="E510" s="104">
        <v>3.6</v>
      </c>
      <c r="F510" s="30" t="s">
        <v>286</v>
      </c>
      <c r="G510" s="25">
        <v>12000</v>
      </c>
      <c r="H510" s="25">
        <f t="shared" si="82"/>
        <v>11218.896563999999</v>
      </c>
      <c r="I510" s="242">
        <f t="shared" si="87"/>
        <v>40388.0276304</v>
      </c>
      <c r="J510" s="25"/>
      <c r="K510" s="25">
        <f t="shared" si="83"/>
        <v>0</v>
      </c>
      <c r="L510" s="30">
        <f>E510*J510</f>
        <v>0</v>
      </c>
      <c r="M510" s="72">
        <f>I510+L510</f>
        <v>40388.0276304</v>
      </c>
      <c r="N510" s="26"/>
      <c r="O510" s="921">
        <v>0.93490804699999996</v>
      </c>
    </row>
    <row r="511" spans="1:15" s="204" customFormat="1" ht="18.95" customHeight="1">
      <c r="A511" s="651"/>
      <c r="B511" s="348" t="s">
        <v>1522</v>
      </c>
      <c r="C511" s="349" t="s">
        <v>1523</v>
      </c>
      <c r="D511" s="46" t="s">
        <v>1524</v>
      </c>
      <c r="E511" s="104">
        <v>4</v>
      </c>
      <c r="F511" s="30" t="s">
        <v>211</v>
      </c>
      <c r="G511" s="25">
        <v>168</v>
      </c>
      <c r="H511" s="25">
        <f t="shared" si="82"/>
        <v>157.06455189599998</v>
      </c>
      <c r="I511" s="242">
        <f t="shared" si="87"/>
        <v>628.25820758399993</v>
      </c>
      <c r="J511" s="25"/>
      <c r="K511" s="25">
        <f t="shared" si="83"/>
        <v>0</v>
      </c>
      <c r="L511" s="30">
        <f>E511*J511</f>
        <v>0</v>
      </c>
      <c r="M511" s="72">
        <f>I511+L511</f>
        <v>628.25820758399993</v>
      </c>
      <c r="N511" s="26"/>
      <c r="O511" s="921">
        <v>0.93490804699999996</v>
      </c>
    </row>
    <row r="512" spans="1:15" s="204" customFormat="1" ht="18.95" customHeight="1">
      <c r="A512" s="651"/>
      <c r="B512" s="27" t="s">
        <v>1530</v>
      </c>
      <c r="C512" s="29" t="s">
        <v>1518</v>
      </c>
      <c r="D512" s="895"/>
      <c r="E512" s="104">
        <v>6</v>
      </c>
      <c r="F512" s="30" t="s">
        <v>286</v>
      </c>
      <c r="G512" s="25">
        <v>4000</v>
      </c>
      <c r="H512" s="25">
        <f t="shared" si="82"/>
        <v>3739.632188</v>
      </c>
      <c r="I512" s="242">
        <f t="shared" si="87"/>
        <v>22437.793128000001</v>
      </c>
      <c r="J512" s="25"/>
      <c r="K512" s="25">
        <f t="shared" si="83"/>
        <v>0</v>
      </c>
      <c r="L512" s="30">
        <f>E512*J512</f>
        <v>0</v>
      </c>
      <c r="M512" s="72">
        <f>I512+L512</f>
        <v>22437.793128000001</v>
      </c>
      <c r="N512" s="26"/>
      <c r="O512" s="921">
        <v>0.93490804699999996</v>
      </c>
    </row>
    <row r="513" spans="1:15" s="204" customFormat="1" ht="18.95" customHeight="1">
      <c r="A513" s="651"/>
      <c r="B513" s="27" t="s">
        <v>1530</v>
      </c>
      <c r="C513" s="29" t="s">
        <v>1518</v>
      </c>
      <c r="D513" s="895"/>
      <c r="E513" s="104">
        <v>6</v>
      </c>
      <c r="F513" s="30" t="s">
        <v>286</v>
      </c>
      <c r="G513" s="25">
        <v>4000</v>
      </c>
      <c r="H513" s="25">
        <f t="shared" si="82"/>
        <v>3739.632188</v>
      </c>
      <c r="I513" s="242">
        <f t="shared" si="87"/>
        <v>22437.793128000001</v>
      </c>
      <c r="J513" s="25"/>
      <c r="K513" s="25">
        <f t="shared" si="83"/>
        <v>0</v>
      </c>
      <c r="L513" s="30">
        <f>E513*J513</f>
        <v>0</v>
      </c>
      <c r="M513" s="72">
        <f>I513+L513</f>
        <v>22437.793128000001</v>
      </c>
      <c r="N513" s="26"/>
      <c r="O513" s="921">
        <v>0.93490804699999996</v>
      </c>
    </row>
    <row r="514" spans="1:15" s="204" customFormat="1" ht="18.95" customHeight="1">
      <c r="A514" s="651"/>
      <c r="B514" s="27" t="s">
        <v>1530</v>
      </c>
      <c r="C514" s="29" t="s">
        <v>1518</v>
      </c>
      <c r="D514" s="895"/>
      <c r="E514" s="104">
        <v>6</v>
      </c>
      <c r="F514" s="30" t="s">
        <v>286</v>
      </c>
      <c r="G514" s="25">
        <v>4000</v>
      </c>
      <c r="H514" s="25">
        <f t="shared" si="82"/>
        <v>3739.632188</v>
      </c>
      <c r="I514" s="242">
        <f t="shared" si="87"/>
        <v>22437.793128000001</v>
      </c>
      <c r="J514" s="25"/>
      <c r="K514" s="25">
        <f t="shared" si="83"/>
        <v>0</v>
      </c>
      <c r="L514" s="30">
        <f>E514*J514</f>
        <v>0</v>
      </c>
      <c r="M514" s="72">
        <f>I514+L514</f>
        <v>22437.793128000001</v>
      </c>
      <c r="N514" s="26"/>
      <c r="O514" s="921">
        <v>0.93490804699999996</v>
      </c>
    </row>
    <row r="515" spans="1:15" s="204" customFormat="1" ht="18.95" customHeight="1">
      <c r="A515" s="648"/>
      <c r="B515" s="302" t="s">
        <v>353</v>
      </c>
      <c r="C515" s="221"/>
      <c r="D515" s="897"/>
      <c r="E515" s="896"/>
      <c r="F515" s="102"/>
      <c r="G515" s="34"/>
      <c r="H515" s="25"/>
      <c r="I515" s="242"/>
      <c r="J515" s="34"/>
      <c r="K515" s="25"/>
      <c r="L515" s="34"/>
      <c r="M515" s="34"/>
      <c r="N515" s="35"/>
      <c r="O515" s="921">
        <v>0.93490804699999996</v>
      </c>
    </row>
    <row r="516" spans="1:15" s="204" customFormat="1" ht="18.95" customHeight="1">
      <c r="A516" s="651" t="s">
        <v>1531</v>
      </c>
      <c r="B516" s="27" t="s">
        <v>1532</v>
      </c>
      <c r="C516" s="29" t="s">
        <v>1533</v>
      </c>
      <c r="D516" s="934"/>
      <c r="E516" s="104">
        <v>11</v>
      </c>
      <c r="F516" s="30" t="s">
        <v>286</v>
      </c>
      <c r="G516" s="25">
        <v>250</v>
      </c>
      <c r="H516" s="25">
        <f t="shared" si="82"/>
        <v>233.72701175</v>
      </c>
      <c r="I516" s="242">
        <f t="shared" si="87"/>
        <v>2570.9971292499999</v>
      </c>
      <c r="J516" s="25"/>
      <c r="K516" s="25">
        <f t="shared" si="83"/>
        <v>0</v>
      </c>
      <c r="L516" s="25"/>
      <c r="M516" s="25">
        <f>I516+L516</f>
        <v>2570.9971292499999</v>
      </c>
      <c r="N516" s="26"/>
      <c r="O516" s="921">
        <v>0.93490804699999996</v>
      </c>
    </row>
    <row r="517" spans="1:15" s="204" customFormat="1" ht="18.95" customHeight="1">
      <c r="A517" s="648"/>
      <c r="B517" s="302" t="s">
        <v>1181</v>
      </c>
      <c r="C517" s="221"/>
      <c r="D517" s="897"/>
      <c r="E517" s="896"/>
      <c r="F517" s="102"/>
      <c r="G517" s="34"/>
      <c r="H517" s="25"/>
      <c r="I517" s="242"/>
      <c r="J517" s="34"/>
      <c r="K517" s="25"/>
      <c r="L517" s="34"/>
      <c r="M517" s="34"/>
      <c r="N517" s="35"/>
      <c r="O517" s="921">
        <v>0.93490804699999996</v>
      </c>
    </row>
    <row r="518" spans="1:15" s="204" customFormat="1" ht="18.95" customHeight="1">
      <c r="A518" s="651"/>
      <c r="B518" s="27" t="s">
        <v>1534</v>
      </c>
      <c r="C518" s="29"/>
      <c r="D518" s="934"/>
      <c r="E518" s="104">
        <v>52</v>
      </c>
      <c r="F518" s="30" t="s">
        <v>286</v>
      </c>
      <c r="G518" s="25">
        <v>350</v>
      </c>
      <c r="H518" s="25">
        <f t="shared" si="82"/>
        <v>327.21781644999999</v>
      </c>
      <c r="I518" s="242">
        <f t="shared" si="87"/>
        <v>17015.326455399998</v>
      </c>
      <c r="J518" s="25">
        <v>150</v>
      </c>
      <c r="K518" s="25">
        <f t="shared" si="83"/>
        <v>140.23620704999999</v>
      </c>
      <c r="L518" s="25">
        <f>E518*K518</f>
        <v>7292.2827665999994</v>
      </c>
      <c r="M518" s="25">
        <f>I518+L518</f>
        <v>24307.609221999999</v>
      </c>
      <c r="N518" s="26"/>
      <c r="O518" s="921">
        <v>0.93490804699999996</v>
      </c>
    </row>
    <row r="519" spans="1:15" s="204" customFormat="1" ht="18.95" customHeight="1">
      <c r="A519" s="648"/>
      <c r="B519" s="302" t="s">
        <v>1535</v>
      </c>
      <c r="C519" s="221"/>
      <c r="D519" s="897"/>
      <c r="E519" s="896"/>
      <c r="F519" s="102"/>
      <c r="G519" s="102"/>
      <c r="H519" s="102"/>
      <c r="I519" s="102"/>
      <c r="J519" s="102"/>
      <c r="K519" s="102"/>
      <c r="L519" s="34"/>
      <c r="M519" s="35"/>
      <c r="N519" s="35"/>
      <c r="O519" s="921">
        <v>0.93490804699999996</v>
      </c>
    </row>
    <row r="520" spans="1:15" s="204" customFormat="1" ht="18.95" customHeight="1">
      <c r="A520" s="898"/>
      <c r="B520" s="932">
        <v>316</v>
      </c>
      <c r="C520" s="900" t="s">
        <v>1536</v>
      </c>
      <c r="D520" s="901"/>
      <c r="E520" s="902"/>
      <c r="F520" s="903"/>
      <c r="G520" s="903"/>
      <c r="H520" s="903"/>
      <c r="I520" s="903"/>
      <c r="J520" s="903"/>
      <c r="K520" s="903"/>
      <c r="L520" s="904"/>
      <c r="M520" s="904"/>
      <c r="N520" s="904"/>
      <c r="O520" s="921">
        <v>0.93490804699999996</v>
      </c>
    </row>
    <row r="521" spans="1:15" s="204" customFormat="1" ht="18.95" customHeight="1">
      <c r="A521" s="648"/>
      <c r="B521" s="302" t="s">
        <v>1537</v>
      </c>
      <c r="C521" s="221"/>
      <c r="D521" s="897"/>
      <c r="E521" s="896"/>
      <c r="F521" s="102"/>
      <c r="G521" s="102"/>
      <c r="H521" s="102"/>
      <c r="I521" s="102"/>
      <c r="J521" s="102"/>
      <c r="K521" s="102"/>
      <c r="L521" s="34"/>
      <c r="M521" s="35"/>
      <c r="N521" s="35"/>
      <c r="O521" s="921">
        <v>0.93490804699999996</v>
      </c>
    </row>
    <row r="522" spans="1:15" s="204" customFormat="1" ht="18.95" customHeight="1">
      <c r="A522" s="898"/>
      <c r="B522" s="932">
        <v>313</v>
      </c>
      <c r="C522" s="900" t="s">
        <v>1538</v>
      </c>
      <c r="D522" s="901"/>
      <c r="E522" s="902"/>
      <c r="F522" s="903"/>
      <c r="G522" s="903"/>
      <c r="H522" s="903"/>
      <c r="I522" s="903"/>
      <c r="J522" s="903"/>
      <c r="K522" s="903"/>
      <c r="L522" s="904"/>
      <c r="M522" s="904"/>
      <c r="N522" s="903"/>
      <c r="O522" s="921">
        <v>0.93490804699999996</v>
      </c>
    </row>
    <row r="523" spans="1:15" s="204" customFormat="1" ht="18.95" customHeight="1">
      <c r="A523" s="898"/>
      <c r="B523" s="932" t="s">
        <v>1539</v>
      </c>
      <c r="C523" s="900" t="s">
        <v>1540</v>
      </c>
      <c r="D523" s="901"/>
      <c r="E523" s="902"/>
      <c r="F523" s="903"/>
      <c r="G523" s="903"/>
      <c r="H523" s="903"/>
      <c r="I523" s="903"/>
      <c r="J523" s="903"/>
      <c r="K523" s="903"/>
      <c r="L523" s="904"/>
      <c r="M523" s="904"/>
      <c r="N523" s="903"/>
      <c r="O523" s="921">
        <v>0.93490804699999996</v>
      </c>
    </row>
    <row r="524" spans="1:15" s="204" customFormat="1" ht="18.95" customHeight="1">
      <c r="A524" s="651"/>
      <c r="B524" s="27" t="s">
        <v>1541</v>
      </c>
      <c r="C524" s="29" t="s">
        <v>1542</v>
      </c>
      <c r="D524" s="895"/>
      <c r="E524" s="104"/>
      <c r="F524" s="30"/>
      <c r="G524" s="30"/>
      <c r="H524" s="30"/>
      <c r="I524" s="30"/>
      <c r="J524" s="30"/>
      <c r="K524" s="30"/>
      <c r="L524" s="30"/>
      <c r="M524" s="72"/>
      <c r="N524" s="26"/>
      <c r="O524" s="921">
        <v>0.93490804699999996</v>
      </c>
    </row>
    <row r="525" spans="1:15" s="204" customFormat="1" ht="18.95" customHeight="1">
      <c r="A525" s="651"/>
      <c r="B525" s="287" t="s">
        <v>1543</v>
      </c>
      <c r="C525" s="29" t="s">
        <v>1544</v>
      </c>
      <c r="D525" s="46" t="s">
        <v>1545</v>
      </c>
      <c r="E525" s="104">
        <v>5</v>
      </c>
      <c r="F525" s="30" t="s">
        <v>286</v>
      </c>
      <c r="G525" s="25">
        <v>24000</v>
      </c>
      <c r="H525" s="25">
        <f t="shared" si="82"/>
        <v>22437.793127999998</v>
      </c>
      <c r="I525" s="242">
        <f t="shared" si="87"/>
        <v>112188.96563999998</v>
      </c>
      <c r="J525" s="25"/>
      <c r="K525" s="25">
        <f t="shared" si="83"/>
        <v>0</v>
      </c>
      <c r="L525" s="30">
        <f>E525*J525</f>
        <v>0</v>
      </c>
      <c r="M525" s="72">
        <f>I525+L525</f>
        <v>112188.96563999998</v>
      </c>
      <c r="N525" s="26"/>
      <c r="O525" s="921">
        <v>0.93490804699999996</v>
      </c>
    </row>
    <row r="526" spans="1:15" s="204" customFormat="1" ht="18.95" customHeight="1">
      <c r="A526" s="651"/>
      <c r="B526" s="287" t="s">
        <v>1546</v>
      </c>
      <c r="C526" s="29" t="s">
        <v>1547</v>
      </c>
      <c r="D526" s="46"/>
      <c r="E526" s="104">
        <v>1</v>
      </c>
      <c r="F526" s="30" t="s">
        <v>349</v>
      </c>
      <c r="G526" s="25">
        <v>7990</v>
      </c>
      <c r="H526" s="25">
        <f t="shared" si="82"/>
        <v>7469.9152955299996</v>
      </c>
      <c r="I526" s="242">
        <f t="shared" si="87"/>
        <v>7469.9152955299996</v>
      </c>
      <c r="J526" s="25"/>
      <c r="K526" s="25">
        <f t="shared" si="83"/>
        <v>0</v>
      </c>
      <c r="L526" s="30">
        <f>E526*J526</f>
        <v>0</v>
      </c>
      <c r="M526" s="72">
        <f>I526+L526</f>
        <v>7469.9152955299996</v>
      </c>
      <c r="N526" s="26"/>
      <c r="O526" s="921">
        <v>0.93490804699999996</v>
      </c>
    </row>
    <row r="527" spans="1:15" s="204" customFormat="1" ht="18.95" customHeight="1">
      <c r="A527" s="651"/>
      <c r="B527" s="287"/>
      <c r="C527" s="29" t="s">
        <v>1548</v>
      </c>
      <c r="D527" s="46"/>
      <c r="E527" s="104"/>
      <c r="F527" s="30"/>
      <c r="G527" s="25"/>
      <c r="H527" s="25"/>
      <c r="I527" s="242"/>
      <c r="J527" s="25"/>
      <c r="K527" s="25"/>
      <c r="L527" s="30"/>
      <c r="M527" s="72"/>
      <c r="N527" s="26"/>
      <c r="O527" s="921">
        <v>0.93490804699999996</v>
      </c>
    </row>
    <row r="528" spans="1:15" s="204" customFormat="1" ht="18.95" customHeight="1">
      <c r="A528" s="651"/>
      <c r="B528" s="27" t="s">
        <v>1549</v>
      </c>
      <c r="C528" s="29" t="s">
        <v>1550</v>
      </c>
      <c r="D528" s="895"/>
      <c r="E528" s="104">
        <v>1</v>
      </c>
      <c r="F528" s="30"/>
      <c r="G528" s="25"/>
      <c r="H528" s="25">
        <f t="shared" si="82"/>
        <v>0</v>
      </c>
      <c r="I528" s="242">
        <f t="shared" si="87"/>
        <v>0</v>
      </c>
      <c r="J528" s="25"/>
      <c r="K528" s="25">
        <f t="shared" si="83"/>
        <v>0</v>
      </c>
      <c r="L528" s="30"/>
      <c r="M528" s="72"/>
      <c r="N528" s="26"/>
      <c r="O528" s="921">
        <v>0.93490804699999996</v>
      </c>
    </row>
    <row r="529" spans="1:20" s="204" customFormat="1" ht="18.95" customHeight="1">
      <c r="A529" s="651"/>
      <c r="B529" s="287" t="s">
        <v>1551</v>
      </c>
      <c r="C529" s="29" t="s">
        <v>1036</v>
      </c>
      <c r="D529" s="46" t="s">
        <v>1037</v>
      </c>
      <c r="E529" s="104">
        <v>11</v>
      </c>
      <c r="F529" s="30" t="s">
        <v>286</v>
      </c>
      <c r="G529" s="25">
        <v>24000</v>
      </c>
      <c r="H529" s="25">
        <f t="shared" si="82"/>
        <v>22437.793127999998</v>
      </c>
      <c r="I529" s="242">
        <f t="shared" si="87"/>
        <v>246815.72440799998</v>
      </c>
      <c r="J529" s="25"/>
      <c r="K529" s="25">
        <f t="shared" si="83"/>
        <v>0</v>
      </c>
      <c r="L529" s="30">
        <f>E529*J529</f>
        <v>0</v>
      </c>
      <c r="M529" s="72">
        <f>I529+L529</f>
        <v>246815.72440799998</v>
      </c>
      <c r="N529" s="26"/>
      <c r="O529" s="921">
        <v>0.93490804699999996</v>
      </c>
    </row>
    <row r="530" spans="1:20" s="204" customFormat="1" ht="18.95" customHeight="1">
      <c r="A530" s="651"/>
      <c r="B530" s="287" t="s">
        <v>1552</v>
      </c>
      <c r="C530" s="29" t="s">
        <v>1553</v>
      </c>
      <c r="D530" s="46" t="s">
        <v>1554</v>
      </c>
      <c r="E530" s="104">
        <v>19</v>
      </c>
      <c r="F530" s="30" t="s">
        <v>211</v>
      </c>
      <c r="G530" s="25">
        <v>388.89</v>
      </c>
      <c r="H530" s="25">
        <f t="shared" si="82"/>
        <v>363.57639039782998</v>
      </c>
      <c r="I530" s="242">
        <f t="shared" si="87"/>
        <v>6907.9514175587701</v>
      </c>
      <c r="J530" s="25">
        <v>100</v>
      </c>
      <c r="K530" s="25">
        <f t="shared" si="83"/>
        <v>93.490804699999998</v>
      </c>
      <c r="L530" s="30">
        <f>E530*K530</f>
        <v>1776.3252892999999</v>
      </c>
      <c r="M530" s="72">
        <f>I530+L530</f>
        <v>8684.2767068587709</v>
      </c>
      <c r="N530" s="26"/>
      <c r="O530" s="921">
        <v>0.93490804699999996</v>
      </c>
    </row>
    <row r="531" spans="1:20" s="204" customFormat="1" ht="18.95" customHeight="1">
      <c r="A531" s="651"/>
      <c r="B531" s="287" t="s">
        <v>1552</v>
      </c>
      <c r="C531" s="29"/>
      <c r="D531" s="46" t="s">
        <v>1555</v>
      </c>
      <c r="E531" s="104">
        <v>19</v>
      </c>
      <c r="F531" s="30" t="s">
        <v>211</v>
      </c>
      <c r="G531" s="25">
        <v>50</v>
      </c>
      <c r="H531" s="25">
        <f t="shared" si="82"/>
        <v>46.745402349999999</v>
      </c>
      <c r="I531" s="242">
        <f t="shared" si="87"/>
        <v>888.16264464999995</v>
      </c>
      <c r="J531" s="25"/>
      <c r="K531" s="25">
        <f t="shared" si="83"/>
        <v>0</v>
      </c>
      <c r="L531" s="30">
        <f t="shared" ref="L531:L532" si="88">E531*K531</f>
        <v>0</v>
      </c>
      <c r="M531" s="72">
        <f>I531+L531</f>
        <v>888.16264464999995</v>
      </c>
      <c r="N531" s="26"/>
      <c r="O531" s="921">
        <v>0.93490804699999996</v>
      </c>
    </row>
    <row r="532" spans="1:20" s="204" customFormat="1" ht="18.95" customHeight="1">
      <c r="A532" s="651"/>
      <c r="B532" s="287" t="s">
        <v>1552</v>
      </c>
      <c r="C532" s="29"/>
      <c r="D532" s="46" t="s">
        <v>1556</v>
      </c>
      <c r="E532" s="104">
        <v>19</v>
      </c>
      <c r="F532" s="30" t="s">
        <v>211</v>
      </c>
      <c r="G532" s="25">
        <v>611.11</v>
      </c>
      <c r="H532" s="25">
        <f t="shared" si="82"/>
        <v>571.33165660217003</v>
      </c>
      <c r="I532" s="242">
        <f t="shared" si="87"/>
        <v>10855.301475441231</v>
      </c>
      <c r="J532" s="25">
        <v>150</v>
      </c>
      <c r="K532" s="25">
        <f t="shared" si="83"/>
        <v>140.23620704999999</v>
      </c>
      <c r="L532" s="30">
        <f t="shared" si="88"/>
        <v>2664.4879339499998</v>
      </c>
      <c r="M532" s="72">
        <f>I532+L532</f>
        <v>13519.789409391231</v>
      </c>
      <c r="N532" s="26"/>
      <c r="O532" s="921">
        <v>0.93490804699999996</v>
      </c>
    </row>
    <row r="533" spans="1:20" s="204" customFormat="1" ht="18.95" customHeight="1">
      <c r="A533" s="651"/>
      <c r="B533" s="27" t="s">
        <v>1557</v>
      </c>
      <c r="C533" s="29" t="s">
        <v>1558</v>
      </c>
      <c r="D533" s="895"/>
      <c r="E533" s="104"/>
      <c r="F533" s="30"/>
      <c r="G533" s="25"/>
      <c r="H533" s="25"/>
      <c r="I533" s="242"/>
      <c r="J533" s="25"/>
      <c r="K533" s="25"/>
      <c r="L533" s="30"/>
      <c r="M533" s="72"/>
      <c r="N533" s="26"/>
      <c r="O533" s="921">
        <v>0.93490804699999996</v>
      </c>
    </row>
    <row r="534" spans="1:20" s="204" customFormat="1" ht="18.95" customHeight="1">
      <c r="A534" s="651"/>
      <c r="B534" s="287" t="s">
        <v>1543</v>
      </c>
      <c r="C534" s="29" t="s">
        <v>1544</v>
      </c>
      <c r="D534" s="46" t="s">
        <v>1545</v>
      </c>
      <c r="E534" s="104">
        <v>6</v>
      </c>
      <c r="F534" s="30" t="s">
        <v>286</v>
      </c>
      <c r="G534" s="25">
        <v>24000</v>
      </c>
      <c r="H534" s="25">
        <f t="shared" si="82"/>
        <v>22437.793127999998</v>
      </c>
      <c r="I534" s="242">
        <f t="shared" si="87"/>
        <v>134626.758768</v>
      </c>
      <c r="J534" s="25"/>
      <c r="K534" s="25">
        <f t="shared" si="83"/>
        <v>0</v>
      </c>
      <c r="L534" s="30">
        <f>E534*J534</f>
        <v>0</v>
      </c>
      <c r="M534" s="72">
        <f>I534+L534</f>
        <v>134626.758768</v>
      </c>
      <c r="N534" s="26"/>
      <c r="O534" s="921">
        <v>0.93490804699999996</v>
      </c>
    </row>
    <row r="535" spans="1:20" s="204" customFormat="1" ht="18.95" customHeight="1">
      <c r="A535" s="651"/>
      <c r="B535" s="287"/>
      <c r="C535" s="29"/>
      <c r="D535" s="46"/>
      <c r="E535" s="104"/>
      <c r="F535" s="30"/>
      <c r="G535" s="25"/>
      <c r="H535" s="25"/>
      <c r="I535" s="25"/>
      <c r="J535" s="25"/>
      <c r="K535" s="25"/>
      <c r="L535" s="30"/>
      <c r="M535" s="72"/>
      <c r="N535" s="26"/>
      <c r="O535" s="921">
        <v>0.93490804699999996</v>
      </c>
    </row>
    <row r="536" spans="1:20" s="204" customFormat="1" ht="18.95" customHeight="1">
      <c r="A536" s="898"/>
      <c r="B536" s="932" t="s">
        <v>1559</v>
      </c>
      <c r="C536" s="900" t="s">
        <v>1560</v>
      </c>
      <c r="D536" s="901"/>
      <c r="E536" s="902"/>
      <c r="F536" s="903"/>
      <c r="G536" s="903"/>
      <c r="H536" s="903"/>
      <c r="I536" s="903"/>
      <c r="J536" s="903"/>
      <c r="K536" s="903"/>
      <c r="L536" s="904"/>
      <c r="M536" s="904"/>
      <c r="N536" s="903"/>
      <c r="O536" s="921">
        <v>0.93490804699999996</v>
      </c>
    </row>
    <row r="537" spans="1:20" s="204" customFormat="1" ht="18.95" customHeight="1">
      <c r="A537" s="651"/>
      <c r="B537" s="27" t="s">
        <v>1561</v>
      </c>
      <c r="C537" s="29" t="s">
        <v>1558</v>
      </c>
      <c r="D537" s="895"/>
      <c r="E537" s="104"/>
      <c r="F537" s="30"/>
      <c r="G537" s="30"/>
      <c r="H537" s="30"/>
      <c r="I537" s="30"/>
      <c r="J537" s="30"/>
      <c r="K537" s="30"/>
      <c r="L537" s="30"/>
      <c r="M537" s="72"/>
      <c r="N537" s="26"/>
      <c r="O537" s="921">
        <v>0.93490804699999996</v>
      </c>
    </row>
    <row r="538" spans="1:20" s="204" customFormat="1" ht="18.95" customHeight="1">
      <c r="A538" s="651"/>
      <c r="B538" s="287" t="s">
        <v>1551</v>
      </c>
      <c r="C538" s="29" t="s">
        <v>1036</v>
      </c>
      <c r="D538" s="46" t="s">
        <v>1037</v>
      </c>
      <c r="E538" s="104">
        <v>6</v>
      </c>
      <c r="F538" s="30" t="s">
        <v>286</v>
      </c>
      <c r="G538" s="25">
        <v>24000</v>
      </c>
      <c r="H538" s="25">
        <f t="shared" si="82"/>
        <v>22437.793127999998</v>
      </c>
      <c r="I538" s="242">
        <f t="shared" ref="I538:I546" si="89">E538*H538</f>
        <v>134626.758768</v>
      </c>
      <c r="J538" s="25"/>
      <c r="K538" s="25">
        <f t="shared" si="83"/>
        <v>0</v>
      </c>
      <c r="L538" s="30">
        <f>E538*J538</f>
        <v>0</v>
      </c>
      <c r="M538" s="72">
        <f>I538+L538</f>
        <v>134626.758768</v>
      </c>
      <c r="N538" s="26"/>
      <c r="O538" s="921">
        <v>0.93490804699999996</v>
      </c>
    </row>
    <row r="539" spans="1:20" s="204" customFormat="1" ht="18.95" customHeight="1">
      <c r="A539" s="651"/>
      <c r="B539" s="287" t="s">
        <v>1552</v>
      </c>
      <c r="C539" s="29" t="s">
        <v>1553</v>
      </c>
      <c r="D539" s="46" t="s">
        <v>1554</v>
      </c>
      <c r="E539" s="104">
        <v>13</v>
      </c>
      <c r="F539" s="30" t="s">
        <v>211</v>
      </c>
      <c r="G539" s="25">
        <v>380</v>
      </c>
      <c r="H539" s="25">
        <f t="shared" si="82"/>
        <v>355.26505786000001</v>
      </c>
      <c r="I539" s="242">
        <f t="shared" si="89"/>
        <v>4618.4457521800005</v>
      </c>
      <c r="J539" s="25">
        <v>100</v>
      </c>
      <c r="K539" s="25">
        <f t="shared" si="83"/>
        <v>93.490804699999998</v>
      </c>
      <c r="L539" s="30">
        <f>E539*K539</f>
        <v>1215.3804611</v>
      </c>
      <c r="M539" s="72">
        <f>I539+L539</f>
        <v>5833.826213280001</v>
      </c>
      <c r="N539" s="26"/>
      <c r="O539" s="921">
        <v>0.93490804699999996</v>
      </c>
    </row>
    <row r="540" spans="1:20" s="204" customFormat="1" ht="18.95" customHeight="1">
      <c r="A540" s="651"/>
      <c r="B540" s="287" t="s">
        <v>1552</v>
      </c>
      <c r="C540" s="29"/>
      <c r="D540" s="46" t="s">
        <v>1555</v>
      </c>
      <c r="E540" s="104">
        <v>13</v>
      </c>
      <c r="F540" s="30" t="s">
        <v>211</v>
      </c>
      <c r="G540" s="25">
        <v>50</v>
      </c>
      <c r="H540" s="25">
        <f t="shared" si="82"/>
        <v>46.745402349999999</v>
      </c>
      <c r="I540" s="242">
        <f t="shared" si="89"/>
        <v>607.69023055000002</v>
      </c>
      <c r="J540" s="25"/>
      <c r="K540" s="25">
        <f t="shared" si="83"/>
        <v>0</v>
      </c>
      <c r="L540" s="30">
        <f t="shared" ref="L540:L541" si="90">E540*K540</f>
        <v>0</v>
      </c>
      <c r="M540" s="72">
        <f>I540+L540</f>
        <v>607.69023055000002</v>
      </c>
      <c r="N540" s="26"/>
      <c r="O540" s="921">
        <v>0.93490804699999996</v>
      </c>
    </row>
    <row r="541" spans="1:20" s="204" customFormat="1" ht="18.95" customHeight="1">
      <c r="A541" s="651"/>
      <c r="B541" s="287" t="s">
        <v>1552</v>
      </c>
      <c r="C541" s="29"/>
      <c r="D541" s="46" t="s">
        <v>1556</v>
      </c>
      <c r="E541" s="104">
        <v>13</v>
      </c>
      <c r="F541" s="30" t="s">
        <v>211</v>
      </c>
      <c r="G541" s="25">
        <v>610</v>
      </c>
      <c r="H541" s="25">
        <f t="shared" si="82"/>
        <v>570.29390866999995</v>
      </c>
      <c r="I541" s="242">
        <f t="shared" si="89"/>
        <v>7413.8208127099997</v>
      </c>
      <c r="J541" s="25">
        <v>150</v>
      </c>
      <c r="K541" s="25">
        <f t="shared" si="83"/>
        <v>140.23620704999999</v>
      </c>
      <c r="L541" s="30">
        <f t="shared" si="90"/>
        <v>1823.0706916499998</v>
      </c>
      <c r="M541" s="72">
        <f>I541+L541</f>
        <v>9236.8915043599991</v>
      </c>
      <c r="N541" s="26"/>
      <c r="O541" s="921">
        <v>0.93490804699999996</v>
      </c>
    </row>
    <row r="542" spans="1:20" s="204" customFormat="1" ht="18.95" customHeight="1">
      <c r="A542" s="905"/>
      <c r="B542" s="381" t="s">
        <v>1562</v>
      </c>
      <c r="C542" s="382" t="s">
        <v>1563</v>
      </c>
      <c r="D542" s="931"/>
      <c r="E542" s="908"/>
      <c r="F542" s="384"/>
      <c r="G542" s="242"/>
      <c r="H542" s="25"/>
      <c r="I542" s="242"/>
      <c r="J542" s="242"/>
      <c r="K542" s="25"/>
      <c r="L542" s="242"/>
      <c r="M542" s="242"/>
      <c r="N542" s="384"/>
      <c r="O542" s="921">
        <v>0.93490804699999996</v>
      </c>
    </row>
    <row r="543" spans="1:20" s="888" customFormat="1" ht="18.95" customHeight="1">
      <c r="A543" s="651"/>
      <c r="B543" s="287" t="s">
        <v>1564</v>
      </c>
      <c r="C543" s="29" t="s">
        <v>1565</v>
      </c>
      <c r="D543" s="46" t="s">
        <v>1566</v>
      </c>
      <c r="E543" s="104">
        <v>5</v>
      </c>
      <c r="F543" s="30" t="s">
        <v>286</v>
      </c>
      <c r="G543" s="25">
        <v>24000</v>
      </c>
      <c r="H543" s="25">
        <f t="shared" ref="H543:H604" si="91">G543*O543</f>
        <v>22437.793127999998</v>
      </c>
      <c r="I543" s="242">
        <f t="shared" si="89"/>
        <v>112188.96563999998</v>
      </c>
      <c r="J543" s="25">
        <v>0</v>
      </c>
      <c r="K543" s="25">
        <f t="shared" ref="K543:K604" si="92">J543*O543</f>
        <v>0</v>
      </c>
      <c r="L543" s="30">
        <f>E543*J543</f>
        <v>0</v>
      </c>
      <c r="M543" s="72">
        <f>I543+L543</f>
        <v>112188.96563999998</v>
      </c>
      <c r="N543" s="26"/>
      <c r="O543" s="921">
        <v>0.93490804699999996</v>
      </c>
      <c r="P543" s="204"/>
      <c r="Q543" s="204"/>
      <c r="R543" s="204"/>
      <c r="S543" s="204"/>
      <c r="T543" s="204"/>
    </row>
    <row r="544" spans="1:20" s="204" customFormat="1" ht="18.95" customHeight="1">
      <c r="A544" s="651"/>
      <c r="B544" s="287" t="s">
        <v>1546</v>
      </c>
      <c r="C544" s="29" t="s">
        <v>1547</v>
      </c>
      <c r="D544" s="46"/>
      <c r="E544" s="104">
        <v>1</v>
      </c>
      <c r="F544" s="30" t="s">
        <v>349</v>
      </c>
      <c r="G544" s="25">
        <v>7990</v>
      </c>
      <c r="H544" s="25">
        <f t="shared" si="91"/>
        <v>7469.9152955299996</v>
      </c>
      <c r="I544" s="242">
        <f t="shared" si="89"/>
        <v>7469.9152955299996</v>
      </c>
      <c r="J544" s="25">
        <v>0</v>
      </c>
      <c r="K544" s="25">
        <f t="shared" si="92"/>
        <v>0</v>
      </c>
      <c r="L544" s="30">
        <f>E544*J544</f>
        <v>0</v>
      </c>
      <c r="M544" s="72">
        <f>I544+L544</f>
        <v>7469.9152955299996</v>
      </c>
      <c r="N544" s="26"/>
      <c r="O544" s="921">
        <v>0.93490804699999996</v>
      </c>
    </row>
    <row r="545" spans="1:15" s="204" customFormat="1" ht="18.95" customHeight="1">
      <c r="A545" s="651"/>
      <c r="B545" s="287"/>
      <c r="C545" s="29" t="s">
        <v>1548</v>
      </c>
      <c r="D545" s="46"/>
      <c r="E545" s="104"/>
      <c r="F545" s="30"/>
      <c r="G545" s="25"/>
      <c r="H545" s="25"/>
      <c r="I545" s="242"/>
      <c r="J545" s="25"/>
      <c r="K545" s="25"/>
      <c r="L545" s="30"/>
      <c r="M545" s="72"/>
      <c r="N545" s="26"/>
      <c r="O545" s="921">
        <v>0.93490804699999996</v>
      </c>
    </row>
    <row r="546" spans="1:15" s="204" customFormat="1" ht="18.95" customHeight="1">
      <c r="A546" s="651"/>
      <c r="B546" s="27" t="s">
        <v>1567</v>
      </c>
      <c r="C546" s="29" t="s">
        <v>1568</v>
      </c>
      <c r="D546" s="895"/>
      <c r="E546" s="104">
        <v>6</v>
      </c>
      <c r="F546" s="30" t="s">
        <v>286</v>
      </c>
      <c r="G546" s="25">
        <v>24000</v>
      </c>
      <c r="H546" s="25">
        <f t="shared" si="91"/>
        <v>22437.793127999998</v>
      </c>
      <c r="I546" s="242">
        <f t="shared" si="89"/>
        <v>134626.758768</v>
      </c>
      <c r="J546" s="25"/>
      <c r="K546" s="25">
        <f t="shared" si="92"/>
        <v>0</v>
      </c>
      <c r="L546" s="30">
        <f>E546*J546</f>
        <v>0</v>
      </c>
      <c r="M546" s="72">
        <f>I546+L546</f>
        <v>134626.758768</v>
      </c>
      <c r="N546" s="26"/>
      <c r="O546" s="921">
        <v>0.93490804699999996</v>
      </c>
    </row>
    <row r="547" spans="1:15" s="204" customFormat="1" ht="18.95" customHeight="1">
      <c r="A547" s="898"/>
      <c r="B547" s="932" t="s">
        <v>1569</v>
      </c>
      <c r="C547" s="900" t="s">
        <v>1570</v>
      </c>
      <c r="D547" s="901"/>
      <c r="E547" s="902"/>
      <c r="F547" s="903"/>
      <c r="G547" s="903"/>
      <c r="H547" s="903"/>
      <c r="I547" s="903"/>
      <c r="J547" s="903"/>
      <c r="K547" s="903"/>
      <c r="L547" s="903"/>
      <c r="M547" s="904"/>
      <c r="N547" s="903"/>
      <c r="O547" s="921">
        <v>0.93490804699999996</v>
      </c>
    </row>
    <row r="548" spans="1:15" s="204" customFormat="1" ht="18.95" customHeight="1">
      <c r="A548" s="651"/>
      <c r="B548" s="27" t="s">
        <v>1571</v>
      </c>
      <c r="C548" s="349" t="s">
        <v>1572</v>
      </c>
      <c r="D548" s="49"/>
      <c r="E548" s="104"/>
      <c r="F548" s="30"/>
      <c r="G548" s="25"/>
      <c r="H548" s="25">
        <f t="shared" si="91"/>
        <v>0</v>
      </c>
      <c r="I548" s="25"/>
      <c r="J548" s="25"/>
      <c r="K548" s="25">
        <f t="shared" si="92"/>
        <v>0</v>
      </c>
      <c r="L548" s="30"/>
      <c r="M548" s="72"/>
      <c r="N548" s="26"/>
      <c r="O548" s="921">
        <v>0.93490804699999996</v>
      </c>
    </row>
    <row r="549" spans="1:15" s="204" customFormat="1" ht="18.95" customHeight="1">
      <c r="A549" s="651"/>
      <c r="B549" s="287" t="s">
        <v>1573</v>
      </c>
      <c r="C549" s="29" t="s">
        <v>1574</v>
      </c>
      <c r="D549" s="46" t="s">
        <v>1572</v>
      </c>
      <c r="E549" s="104">
        <v>15</v>
      </c>
      <c r="F549" s="30" t="s">
        <v>211</v>
      </c>
      <c r="G549" s="25">
        <v>5900</v>
      </c>
      <c r="H549" s="25">
        <f t="shared" si="91"/>
        <v>5515.9574772999995</v>
      </c>
      <c r="I549" s="242">
        <f t="shared" ref="I549:I554" si="93">E549*H549</f>
        <v>82739.362159499986</v>
      </c>
      <c r="J549" s="25">
        <v>950</v>
      </c>
      <c r="K549" s="25">
        <f t="shared" si="92"/>
        <v>888.16264464999995</v>
      </c>
      <c r="L549" s="30">
        <f>E549*K549</f>
        <v>13322.43966975</v>
      </c>
      <c r="M549" s="72">
        <f>I549+L549</f>
        <v>96061.801829249991</v>
      </c>
      <c r="N549" s="26"/>
      <c r="O549" s="921">
        <v>0.93490804699999996</v>
      </c>
    </row>
    <row r="550" spans="1:15" s="204" customFormat="1" ht="18.95" customHeight="1">
      <c r="A550" s="651"/>
      <c r="B550" s="287" t="s">
        <v>1575</v>
      </c>
      <c r="C550" s="29" t="s">
        <v>1574</v>
      </c>
      <c r="D550" s="46" t="s">
        <v>1572</v>
      </c>
      <c r="E550" s="104">
        <v>14</v>
      </c>
      <c r="F550" s="30" t="s">
        <v>211</v>
      </c>
      <c r="G550" s="25">
        <v>5900</v>
      </c>
      <c r="H550" s="25">
        <f t="shared" si="91"/>
        <v>5515.9574772999995</v>
      </c>
      <c r="I550" s="242">
        <f t="shared" si="93"/>
        <v>77223.404682199995</v>
      </c>
      <c r="J550" s="25">
        <v>950</v>
      </c>
      <c r="K550" s="25">
        <f t="shared" si="92"/>
        <v>888.16264464999995</v>
      </c>
      <c r="L550" s="30">
        <f t="shared" ref="L550:L551" si="94">E550*K550</f>
        <v>12434.2770251</v>
      </c>
      <c r="M550" s="72">
        <f>I550+L550</f>
        <v>89657.681707299998</v>
      </c>
      <c r="N550" s="26"/>
      <c r="O550" s="921">
        <v>0.93490804699999996</v>
      </c>
    </row>
    <row r="551" spans="1:15" s="204" customFormat="1" ht="18.95" customHeight="1">
      <c r="A551" s="651"/>
      <c r="B551" s="27" t="s">
        <v>1576</v>
      </c>
      <c r="C551" s="29" t="s">
        <v>1577</v>
      </c>
      <c r="D551" s="895"/>
      <c r="E551" s="104">
        <v>3</v>
      </c>
      <c r="F551" s="30" t="s">
        <v>286</v>
      </c>
      <c r="G551" s="25">
        <v>24000</v>
      </c>
      <c r="H551" s="25">
        <f t="shared" si="91"/>
        <v>22437.793127999998</v>
      </c>
      <c r="I551" s="242">
        <f t="shared" si="93"/>
        <v>67313.379384</v>
      </c>
      <c r="J551" s="25"/>
      <c r="K551" s="25">
        <f t="shared" si="92"/>
        <v>0</v>
      </c>
      <c r="L551" s="30">
        <f t="shared" si="94"/>
        <v>0</v>
      </c>
      <c r="M551" s="72">
        <f>I551+L551</f>
        <v>67313.379384</v>
      </c>
      <c r="N551" s="26"/>
      <c r="O551" s="921">
        <v>0.93490804699999996</v>
      </c>
    </row>
    <row r="552" spans="1:15" s="204" customFormat="1" ht="18.95" customHeight="1">
      <c r="A552" s="651"/>
      <c r="B552" s="27" t="s">
        <v>1578</v>
      </c>
      <c r="C552" s="29" t="s">
        <v>1579</v>
      </c>
      <c r="D552" s="895"/>
      <c r="E552" s="104"/>
      <c r="F552" s="30"/>
      <c r="G552" s="25"/>
      <c r="H552" s="25"/>
      <c r="I552" s="242"/>
      <c r="J552" s="25"/>
      <c r="K552" s="25"/>
      <c r="L552" s="25"/>
      <c r="M552" s="25"/>
      <c r="N552" s="26"/>
      <c r="O552" s="921">
        <v>0.93490804699999996</v>
      </c>
    </row>
    <row r="553" spans="1:15" s="204" customFormat="1" ht="18.95" customHeight="1">
      <c r="A553" s="651"/>
      <c r="B553" s="287" t="s">
        <v>1580</v>
      </c>
      <c r="C553" s="29" t="s">
        <v>1036</v>
      </c>
      <c r="D553" s="46" t="s">
        <v>1037</v>
      </c>
      <c r="E553" s="104">
        <v>3</v>
      </c>
      <c r="F553" s="30" t="s">
        <v>286</v>
      </c>
      <c r="G553" s="25">
        <v>24000</v>
      </c>
      <c r="H553" s="25">
        <f t="shared" si="91"/>
        <v>22437.793127999998</v>
      </c>
      <c r="I553" s="242">
        <f t="shared" si="93"/>
        <v>67313.379384</v>
      </c>
      <c r="J553" s="25"/>
      <c r="K553" s="25">
        <f t="shared" si="92"/>
        <v>0</v>
      </c>
      <c r="L553" s="30">
        <f>E553*J553</f>
        <v>0</v>
      </c>
      <c r="M553" s="72">
        <f>I553+L553</f>
        <v>67313.379384</v>
      </c>
      <c r="N553" s="26"/>
      <c r="O553" s="921">
        <v>0.93490804699999996</v>
      </c>
    </row>
    <row r="554" spans="1:15" s="204" customFormat="1" ht="18.95" customHeight="1">
      <c r="A554" s="651"/>
      <c r="B554" s="287" t="s">
        <v>1546</v>
      </c>
      <c r="C554" s="29" t="s">
        <v>1547</v>
      </c>
      <c r="D554" s="46"/>
      <c r="E554" s="104">
        <v>1</v>
      </c>
      <c r="F554" s="30" t="s">
        <v>349</v>
      </c>
      <c r="G554" s="25">
        <v>7990</v>
      </c>
      <c r="H554" s="25">
        <f t="shared" si="91"/>
        <v>7469.9152955299996</v>
      </c>
      <c r="I554" s="242">
        <f t="shared" si="93"/>
        <v>7469.9152955299996</v>
      </c>
      <c r="J554" s="25"/>
      <c r="K554" s="25">
        <f t="shared" si="92"/>
        <v>0</v>
      </c>
      <c r="L554" s="30">
        <f>E554*J554</f>
        <v>0</v>
      </c>
      <c r="M554" s="72">
        <f>I554+L554</f>
        <v>7469.9152955299996</v>
      </c>
      <c r="N554" s="26"/>
      <c r="O554" s="921">
        <v>0.93490804699999996</v>
      </c>
    </row>
    <row r="555" spans="1:15" s="204" customFormat="1" ht="18.95" customHeight="1">
      <c r="A555" s="651"/>
      <c r="B555" s="348"/>
      <c r="C555" s="29" t="s">
        <v>1548</v>
      </c>
      <c r="D555" s="46"/>
      <c r="E555" s="104"/>
      <c r="F555" s="30"/>
      <c r="G555" s="25"/>
      <c r="H555" s="25"/>
      <c r="I555" s="25"/>
      <c r="J555" s="25"/>
      <c r="K555" s="25"/>
      <c r="L555" s="30"/>
      <c r="M555" s="72"/>
      <c r="N555" s="26"/>
      <c r="O555" s="921">
        <v>0.93490804699999996</v>
      </c>
    </row>
    <row r="556" spans="1:15" s="204" customFormat="1" ht="18.95" customHeight="1">
      <c r="A556" s="898"/>
      <c r="B556" s="932" t="s">
        <v>1581</v>
      </c>
      <c r="C556" s="900" t="s">
        <v>1582</v>
      </c>
      <c r="D556" s="901"/>
      <c r="E556" s="902"/>
      <c r="F556" s="903"/>
      <c r="G556" s="903"/>
      <c r="H556" s="903"/>
      <c r="I556" s="903"/>
      <c r="J556" s="903"/>
      <c r="K556" s="903"/>
      <c r="L556" s="904"/>
      <c r="M556" s="904"/>
      <c r="N556" s="903"/>
      <c r="O556" s="921">
        <v>0.93490804699999996</v>
      </c>
    </row>
    <row r="557" spans="1:15" s="204" customFormat="1" ht="18.95" customHeight="1">
      <c r="A557" s="651"/>
      <c r="B557" s="27" t="s">
        <v>1583</v>
      </c>
      <c r="C557" s="349" t="s">
        <v>1572</v>
      </c>
      <c r="D557" s="49"/>
      <c r="E557" s="104">
        <v>15</v>
      </c>
      <c r="F557" s="30" t="s">
        <v>211</v>
      </c>
      <c r="G557" s="25">
        <v>5900</v>
      </c>
      <c r="H557" s="25">
        <f t="shared" si="91"/>
        <v>5515.9574772999995</v>
      </c>
      <c r="I557" s="242">
        <f t="shared" ref="I557:I569" si="95">E557*H557</f>
        <v>82739.362159499986</v>
      </c>
      <c r="J557" s="25">
        <v>950</v>
      </c>
      <c r="K557" s="25">
        <f t="shared" si="92"/>
        <v>888.16264464999995</v>
      </c>
      <c r="L557" s="30">
        <f>E557*K557</f>
        <v>13322.43966975</v>
      </c>
      <c r="M557" s="72">
        <f>I557+L557</f>
        <v>96061.801829249991</v>
      </c>
      <c r="N557" s="26"/>
      <c r="O557" s="921">
        <v>0.93490804699999996</v>
      </c>
    </row>
    <row r="558" spans="1:15" s="204" customFormat="1" ht="18.95" customHeight="1">
      <c r="A558" s="651"/>
      <c r="B558" s="27" t="s">
        <v>1584</v>
      </c>
      <c r="C558" s="29" t="s">
        <v>1577</v>
      </c>
      <c r="D558" s="895"/>
      <c r="E558" s="104">
        <v>3</v>
      </c>
      <c r="F558" s="30" t="s">
        <v>286</v>
      </c>
      <c r="G558" s="25">
        <v>24000</v>
      </c>
      <c r="H558" s="25">
        <f t="shared" si="91"/>
        <v>22437.793127999998</v>
      </c>
      <c r="I558" s="242">
        <f t="shared" si="95"/>
        <v>67313.379384</v>
      </c>
      <c r="J558" s="25"/>
      <c r="K558" s="25">
        <f t="shared" si="92"/>
        <v>0</v>
      </c>
      <c r="L558" s="30">
        <f t="shared" ref="L558" si="96">E558*K558</f>
        <v>0</v>
      </c>
      <c r="M558" s="72">
        <f>I558+L558</f>
        <v>67313.379384</v>
      </c>
      <c r="N558" s="26"/>
      <c r="O558" s="921">
        <v>0.93490804699999996</v>
      </c>
    </row>
    <row r="559" spans="1:15" s="204" customFormat="1" ht="18.95" customHeight="1">
      <c r="A559" s="651"/>
      <c r="B559" s="27" t="s">
        <v>1585</v>
      </c>
      <c r="C559" s="29" t="s">
        <v>1579</v>
      </c>
      <c r="D559" s="895"/>
      <c r="E559" s="104"/>
      <c r="F559" s="30" t="s">
        <v>286</v>
      </c>
      <c r="G559" s="25"/>
      <c r="H559" s="25"/>
      <c r="I559" s="242"/>
      <c r="J559" s="25"/>
      <c r="K559" s="25"/>
      <c r="L559" s="30"/>
      <c r="M559" s="25"/>
      <c r="N559" s="26"/>
      <c r="O559" s="921">
        <v>0.93490804699999996</v>
      </c>
    </row>
    <row r="560" spans="1:15" s="204" customFormat="1" ht="18.95" customHeight="1">
      <c r="A560" s="651"/>
      <c r="B560" s="287" t="s">
        <v>1580</v>
      </c>
      <c r="C560" s="29" t="s">
        <v>1036</v>
      </c>
      <c r="D560" s="46" t="s">
        <v>1037</v>
      </c>
      <c r="E560" s="104">
        <v>3</v>
      </c>
      <c r="F560" s="30" t="s">
        <v>211</v>
      </c>
      <c r="G560" s="25">
        <v>24000</v>
      </c>
      <c r="H560" s="25">
        <f t="shared" si="91"/>
        <v>22437.793127999998</v>
      </c>
      <c r="I560" s="242">
        <f t="shared" si="95"/>
        <v>67313.379384</v>
      </c>
      <c r="J560" s="25"/>
      <c r="K560" s="25">
        <f t="shared" si="92"/>
        <v>0</v>
      </c>
      <c r="L560" s="30">
        <f>E560*J560</f>
        <v>0</v>
      </c>
      <c r="M560" s="72">
        <f>I560+L560</f>
        <v>67313.379384</v>
      </c>
      <c r="N560" s="26"/>
      <c r="O560" s="921">
        <v>0.93490804699999996</v>
      </c>
    </row>
    <row r="561" spans="1:15" s="204" customFormat="1" ht="18.95" customHeight="1">
      <c r="A561" s="651"/>
      <c r="B561" s="287" t="s">
        <v>1546</v>
      </c>
      <c r="C561" s="29" t="s">
        <v>1547</v>
      </c>
      <c r="D561" s="46"/>
      <c r="E561" s="104">
        <v>1</v>
      </c>
      <c r="F561" s="30" t="s">
        <v>349</v>
      </c>
      <c r="G561" s="25">
        <v>7990</v>
      </c>
      <c r="H561" s="25">
        <f t="shared" si="91"/>
        <v>7469.9152955299996</v>
      </c>
      <c r="I561" s="242">
        <f t="shared" si="95"/>
        <v>7469.9152955299996</v>
      </c>
      <c r="J561" s="25"/>
      <c r="K561" s="25">
        <f t="shared" si="92"/>
        <v>0</v>
      </c>
      <c r="L561" s="30">
        <f>E561*J561</f>
        <v>0</v>
      </c>
      <c r="M561" s="72">
        <f>I561+L561</f>
        <v>7469.9152955299996</v>
      </c>
      <c r="N561" s="26"/>
      <c r="O561" s="921">
        <v>0.93490804699999996</v>
      </c>
    </row>
    <row r="562" spans="1:15" s="204" customFormat="1" ht="18.95" customHeight="1">
      <c r="A562" s="651"/>
      <c r="B562" s="348"/>
      <c r="C562" s="29" t="s">
        <v>1548</v>
      </c>
      <c r="D562" s="46"/>
      <c r="E562" s="104"/>
      <c r="F562" s="30"/>
      <c r="G562" s="25"/>
      <c r="H562" s="25"/>
      <c r="I562" s="242"/>
      <c r="J562" s="25"/>
      <c r="K562" s="25"/>
      <c r="L562" s="30"/>
      <c r="M562" s="72"/>
      <c r="N562" s="26"/>
      <c r="O562" s="921">
        <v>0.93490804699999996</v>
      </c>
    </row>
    <row r="563" spans="1:15" s="204" customFormat="1" ht="18.95" customHeight="1">
      <c r="A563" s="651"/>
      <c r="B563" s="348"/>
      <c r="C563" s="29"/>
      <c r="D563" s="46"/>
      <c r="E563" s="104"/>
      <c r="F563" s="30"/>
      <c r="G563" s="25"/>
      <c r="H563" s="25"/>
      <c r="I563" s="242"/>
      <c r="J563" s="25"/>
      <c r="K563" s="25"/>
      <c r="L563" s="30"/>
      <c r="M563" s="72"/>
      <c r="N563" s="26"/>
      <c r="O563" s="921">
        <v>0.93490804699999996</v>
      </c>
    </row>
    <row r="564" spans="1:15" s="204" customFormat="1" ht="18.95" customHeight="1">
      <c r="A564" s="651"/>
      <c r="B564" s="348"/>
      <c r="C564" s="29"/>
      <c r="D564" s="46"/>
      <c r="E564" s="104"/>
      <c r="F564" s="30"/>
      <c r="G564" s="25"/>
      <c r="H564" s="25"/>
      <c r="I564" s="242"/>
      <c r="J564" s="25"/>
      <c r="K564" s="25"/>
      <c r="L564" s="30"/>
      <c r="M564" s="72"/>
      <c r="N564" s="26"/>
      <c r="O564" s="921">
        <v>0.93490804699999996</v>
      </c>
    </row>
    <row r="565" spans="1:15" s="204" customFormat="1" ht="18.95" customHeight="1">
      <c r="A565" s="648"/>
      <c r="B565" s="302" t="s">
        <v>353</v>
      </c>
      <c r="C565" s="221"/>
      <c r="D565" s="897"/>
      <c r="E565" s="896"/>
      <c r="F565" s="102"/>
      <c r="G565" s="34"/>
      <c r="H565" s="25"/>
      <c r="I565" s="242"/>
      <c r="J565" s="34"/>
      <c r="K565" s="25"/>
      <c r="L565" s="34"/>
      <c r="M565" s="34"/>
      <c r="N565" s="35"/>
      <c r="O565" s="921">
        <v>0.93490804699999996</v>
      </c>
    </row>
    <row r="566" spans="1:15" s="204" customFormat="1" ht="18.95" customHeight="1">
      <c r="A566" s="651" t="s">
        <v>1586</v>
      </c>
      <c r="B566" s="348" t="s">
        <v>1587</v>
      </c>
      <c r="C566" s="29"/>
      <c r="D566" s="46"/>
      <c r="E566" s="104">
        <v>3</v>
      </c>
      <c r="F566" s="30" t="s">
        <v>286</v>
      </c>
      <c r="G566" s="25">
        <v>250</v>
      </c>
      <c r="H566" s="25">
        <f t="shared" si="91"/>
        <v>233.72701175</v>
      </c>
      <c r="I566" s="242">
        <f t="shared" si="95"/>
        <v>701.18103525000004</v>
      </c>
      <c r="J566" s="25"/>
      <c r="K566" s="25">
        <f t="shared" si="92"/>
        <v>0</v>
      </c>
      <c r="L566" s="30"/>
      <c r="M566" s="72">
        <f>I566+L566</f>
        <v>701.18103525000004</v>
      </c>
      <c r="N566" s="26"/>
      <c r="O566" s="921">
        <v>0.93490804699999996</v>
      </c>
    </row>
    <row r="567" spans="1:15" s="204" customFormat="1" ht="18.95" customHeight="1">
      <c r="A567" s="651"/>
      <c r="B567" s="348"/>
      <c r="C567" s="29"/>
      <c r="D567" s="46"/>
      <c r="E567" s="104"/>
      <c r="F567" s="30"/>
      <c r="G567" s="25"/>
      <c r="H567" s="25"/>
      <c r="I567" s="242"/>
      <c r="J567" s="25"/>
      <c r="K567" s="25"/>
      <c r="L567" s="30"/>
      <c r="M567" s="72"/>
      <c r="N567" s="26"/>
      <c r="O567" s="921">
        <v>0.93490804699999996</v>
      </c>
    </row>
    <row r="568" spans="1:15" s="204" customFormat="1" ht="18.95" customHeight="1">
      <c r="A568" s="648"/>
      <c r="B568" s="302" t="s">
        <v>1181</v>
      </c>
      <c r="C568" s="221"/>
      <c r="D568" s="897"/>
      <c r="E568" s="896"/>
      <c r="F568" s="102"/>
      <c r="G568" s="34"/>
      <c r="H568" s="25"/>
      <c r="I568" s="242"/>
      <c r="J568" s="34"/>
      <c r="K568" s="25"/>
      <c r="L568" s="30"/>
      <c r="M568" s="34"/>
      <c r="N568" s="35"/>
      <c r="O568" s="921">
        <v>0.93490804699999996</v>
      </c>
    </row>
    <row r="569" spans="1:15" s="204" customFormat="1" ht="18.95" customHeight="1">
      <c r="A569" s="651"/>
      <c r="B569" s="348" t="s">
        <v>1588</v>
      </c>
      <c r="C569" s="29"/>
      <c r="D569" s="46"/>
      <c r="E569" s="104">
        <v>50</v>
      </c>
      <c r="F569" s="30" t="s">
        <v>286</v>
      </c>
      <c r="G569" s="25">
        <v>350</v>
      </c>
      <c r="H569" s="25">
        <f t="shared" si="91"/>
        <v>327.21781644999999</v>
      </c>
      <c r="I569" s="242">
        <f t="shared" si="95"/>
        <v>16360.8908225</v>
      </c>
      <c r="J569" s="25">
        <v>150</v>
      </c>
      <c r="K569" s="25">
        <f t="shared" si="92"/>
        <v>140.23620704999999</v>
      </c>
      <c r="L569" s="30">
        <f t="shared" ref="L569" si="97">E569*K569</f>
        <v>7011.8103524999997</v>
      </c>
      <c r="M569" s="72">
        <f>I569+L569</f>
        <v>23372.701174999998</v>
      </c>
      <c r="N569" s="26"/>
      <c r="O569" s="921">
        <v>0.93490804699999996</v>
      </c>
    </row>
    <row r="570" spans="1:15" s="204" customFormat="1" ht="18.95" customHeight="1">
      <c r="A570" s="925"/>
      <c r="B570" s="1293" t="s">
        <v>1589</v>
      </c>
      <c r="C570" s="1294"/>
      <c r="D570" s="1295"/>
      <c r="E570" s="902"/>
      <c r="F570" s="903"/>
      <c r="G570" s="903"/>
      <c r="H570" s="903"/>
      <c r="I570" s="904">
        <f>SUM(I491:I569)</f>
        <v>2224810.0285263699</v>
      </c>
      <c r="J570" s="904"/>
      <c r="K570" s="903"/>
      <c r="L570" s="904">
        <f>SUM(L491:L569)</f>
        <v>60862.51385969999</v>
      </c>
      <c r="M570" s="904">
        <f>SUM(M491:M569)</f>
        <v>2285672.5423860699</v>
      </c>
      <c r="N570" s="902"/>
      <c r="O570" s="921">
        <v>0.93490804699999996</v>
      </c>
    </row>
    <row r="571" spans="1:15" s="204" customFormat="1" ht="18.95" customHeight="1">
      <c r="A571" s="256"/>
      <c r="B571" s="256"/>
      <c r="C571" s="257"/>
      <c r="D571" s="258"/>
      <c r="E571" s="896"/>
      <c r="F571" s="102"/>
      <c r="G571" s="102"/>
      <c r="H571" s="102"/>
      <c r="I571" s="34"/>
      <c r="J571" s="34"/>
      <c r="K571" s="102"/>
      <c r="L571" s="34"/>
      <c r="M571" s="34"/>
      <c r="N571" s="415"/>
      <c r="O571" s="921">
        <v>0.93490804699999996</v>
      </c>
    </row>
    <row r="572" spans="1:15" ht="18.95" customHeight="1">
      <c r="A572" s="220">
        <v>10</v>
      </c>
      <c r="B572" s="221" t="s">
        <v>1009</v>
      </c>
      <c r="C572" s="221"/>
      <c r="D572" s="897"/>
      <c r="E572" s="896"/>
      <c r="F572" s="102"/>
      <c r="G572" s="102"/>
      <c r="H572" s="102"/>
      <c r="I572" s="34"/>
      <c r="J572" s="102"/>
      <c r="K572" s="102"/>
      <c r="L572" s="34"/>
      <c r="M572" s="35"/>
      <c r="N572" s="35"/>
      <c r="O572" s="921">
        <v>0.93490804699999996</v>
      </c>
    </row>
    <row r="573" spans="1:15" ht="18.95" customHeight="1">
      <c r="A573" s="935"/>
      <c r="B573" s="936" t="s">
        <v>1590</v>
      </c>
      <c r="C573" s="900" t="s">
        <v>1591</v>
      </c>
      <c r="D573" s="901"/>
      <c r="E573" s="902"/>
      <c r="F573" s="903"/>
      <c r="G573" s="903"/>
      <c r="H573" s="903"/>
      <c r="I573" s="904"/>
      <c r="J573" s="904"/>
      <c r="K573" s="903"/>
      <c r="L573" s="904"/>
      <c r="M573" s="904"/>
      <c r="N573" s="903"/>
      <c r="O573" s="921">
        <v>0.93490804699999996</v>
      </c>
    </row>
    <row r="574" spans="1:15" ht="18.95" customHeight="1">
      <c r="A574" s="44"/>
      <c r="B574" s="29" t="s">
        <v>1592</v>
      </c>
      <c r="C574" s="1278" t="s">
        <v>1593</v>
      </c>
      <c r="D574" s="1279"/>
      <c r="E574" s="104"/>
      <c r="F574" s="30"/>
      <c r="G574" s="30"/>
      <c r="H574" s="30"/>
      <c r="I574" s="72"/>
      <c r="J574" s="72"/>
      <c r="K574" s="30"/>
      <c r="L574" s="72"/>
      <c r="M574" s="72"/>
      <c r="N574" s="26"/>
      <c r="O574" s="921">
        <v>0.93490804699999996</v>
      </c>
    </row>
    <row r="575" spans="1:15" ht="18.95" customHeight="1">
      <c r="A575" s="44"/>
      <c r="B575" s="29"/>
      <c r="C575" s="29" t="s">
        <v>1594</v>
      </c>
      <c r="D575" s="356"/>
      <c r="E575" s="104"/>
      <c r="F575" s="30"/>
      <c r="G575" s="30"/>
      <c r="H575" s="30"/>
      <c r="I575" s="72"/>
      <c r="J575" s="72"/>
      <c r="K575" s="30"/>
      <c r="L575" s="72"/>
      <c r="M575" s="72"/>
      <c r="N575" s="26"/>
      <c r="O575" s="921">
        <v>0.93490804699999996</v>
      </c>
    </row>
    <row r="576" spans="1:15" ht="18.95" customHeight="1">
      <c r="A576" s="44"/>
      <c r="B576" s="575" t="s">
        <v>1595</v>
      </c>
      <c r="C576" s="29" t="s">
        <v>1596</v>
      </c>
      <c r="D576" s="46" t="s">
        <v>1597</v>
      </c>
      <c r="E576" s="104">
        <v>16</v>
      </c>
      <c r="F576" s="30" t="s">
        <v>211</v>
      </c>
      <c r="G576" s="25">
        <v>3540</v>
      </c>
      <c r="H576" s="25">
        <f t="shared" si="91"/>
        <v>3309.5744863800001</v>
      </c>
      <c r="I576" s="242">
        <f t="shared" ref="I576:I639" si="98">E576*H576</f>
        <v>52953.191782080001</v>
      </c>
      <c r="J576" s="25">
        <v>225</v>
      </c>
      <c r="K576" s="25">
        <f t="shared" si="92"/>
        <v>210.354310575</v>
      </c>
      <c r="L576" s="30">
        <f>E576*K576</f>
        <v>3365.6689692</v>
      </c>
      <c r="M576" s="72">
        <f t="shared" ref="M576:M582" si="99">I576+L576</f>
        <v>56318.860751280001</v>
      </c>
      <c r="N576" s="26"/>
      <c r="O576" s="921">
        <v>0.93490804699999996</v>
      </c>
    </row>
    <row r="577" spans="1:23" ht="18.95" customHeight="1">
      <c r="A577" s="44"/>
      <c r="B577" s="575" t="s">
        <v>1595</v>
      </c>
      <c r="C577" s="29" t="s">
        <v>1596</v>
      </c>
      <c r="D577" s="46" t="s">
        <v>1597</v>
      </c>
      <c r="E577" s="104">
        <v>16</v>
      </c>
      <c r="F577" s="30" t="s">
        <v>211</v>
      </c>
      <c r="G577" s="25">
        <v>3540</v>
      </c>
      <c r="H577" s="25">
        <f t="shared" si="91"/>
        <v>3309.5744863800001</v>
      </c>
      <c r="I577" s="242">
        <f t="shared" si="98"/>
        <v>52953.191782080001</v>
      </c>
      <c r="J577" s="25">
        <v>225</v>
      </c>
      <c r="K577" s="25">
        <f t="shared" si="92"/>
        <v>210.354310575</v>
      </c>
      <c r="L577" s="30">
        <f t="shared" ref="L577:L640" si="100">E577*K577</f>
        <v>3365.6689692</v>
      </c>
      <c r="M577" s="72">
        <f t="shared" si="99"/>
        <v>56318.860751280001</v>
      </c>
      <c r="N577" s="26"/>
      <c r="O577" s="921">
        <v>0.93490804699999996</v>
      </c>
    </row>
    <row r="578" spans="1:23" ht="18.95" customHeight="1">
      <c r="A578" s="44"/>
      <c r="B578" s="575" t="s">
        <v>1169</v>
      </c>
      <c r="C578" s="29"/>
      <c r="D578" s="46"/>
      <c r="E578" s="104">
        <v>32</v>
      </c>
      <c r="F578" s="30" t="s">
        <v>211</v>
      </c>
      <c r="G578" s="25">
        <v>383</v>
      </c>
      <c r="H578" s="25">
        <f t="shared" si="91"/>
        <v>358.06978200099996</v>
      </c>
      <c r="I578" s="242">
        <f t="shared" si="98"/>
        <v>11458.233024031999</v>
      </c>
      <c r="J578" s="25">
        <v>100</v>
      </c>
      <c r="K578" s="25">
        <f t="shared" si="92"/>
        <v>93.490804699999998</v>
      </c>
      <c r="L578" s="30">
        <f t="shared" si="100"/>
        <v>2991.7057503999999</v>
      </c>
      <c r="M578" s="72">
        <f t="shared" si="99"/>
        <v>14449.938774431999</v>
      </c>
      <c r="N578" s="26"/>
      <c r="O578" s="921">
        <v>0.93490804699999996</v>
      </c>
    </row>
    <row r="579" spans="1:23" ht="18.95" customHeight="1">
      <c r="A579" s="44"/>
      <c r="B579" s="1313" t="s">
        <v>1175</v>
      </c>
      <c r="C579" s="1313"/>
      <c r="D579" s="1314"/>
      <c r="E579" s="104">
        <v>32</v>
      </c>
      <c r="F579" s="30" t="s">
        <v>211</v>
      </c>
      <c r="G579" s="25">
        <v>440</v>
      </c>
      <c r="H579" s="25">
        <f t="shared" si="91"/>
        <v>411.35954068000001</v>
      </c>
      <c r="I579" s="242">
        <f t="shared" si="98"/>
        <v>13163.50530176</v>
      </c>
      <c r="J579" s="25">
        <v>20</v>
      </c>
      <c r="K579" s="25">
        <f t="shared" si="92"/>
        <v>18.698160940000001</v>
      </c>
      <c r="L579" s="30">
        <f t="shared" si="100"/>
        <v>598.34115008000003</v>
      </c>
      <c r="M579" s="72">
        <f t="shared" si="99"/>
        <v>13761.84645184</v>
      </c>
      <c r="N579" s="26"/>
      <c r="O579" s="921">
        <v>0.93490804699999996</v>
      </c>
    </row>
    <row r="580" spans="1:23" ht="18.95" customHeight="1">
      <c r="A580" s="44"/>
      <c r="B580" s="1315" t="s">
        <v>1171</v>
      </c>
      <c r="C580" s="1316"/>
      <c r="D580" s="1317"/>
      <c r="E580" s="104"/>
      <c r="F580" s="30"/>
      <c r="G580" s="25"/>
      <c r="H580" s="25"/>
      <c r="I580" s="242"/>
      <c r="J580" s="25"/>
      <c r="K580" s="25"/>
      <c r="L580" s="30"/>
      <c r="M580" s="72"/>
      <c r="N580" s="26"/>
      <c r="O580" s="921">
        <v>0.93490804699999996</v>
      </c>
    </row>
    <row r="581" spans="1:23" ht="18.95" customHeight="1">
      <c r="A581" s="44"/>
      <c r="B581" s="27" t="s">
        <v>1459</v>
      </c>
      <c r="C581" s="29" t="s">
        <v>1598</v>
      </c>
      <c r="D581" s="46"/>
      <c r="E581" s="104">
        <v>13</v>
      </c>
      <c r="F581" s="30" t="s">
        <v>286</v>
      </c>
      <c r="G581" s="25">
        <v>24000</v>
      </c>
      <c r="H581" s="25">
        <f t="shared" si="91"/>
        <v>22437.793127999998</v>
      </c>
      <c r="I581" s="242">
        <f t="shared" si="98"/>
        <v>291691.31066399999</v>
      </c>
      <c r="J581" s="25"/>
      <c r="K581" s="25">
        <f t="shared" si="92"/>
        <v>0</v>
      </c>
      <c r="L581" s="30">
        <f t="shared" si="100"/>
        <v>0</v>
      </c>
      <c r="M581" s="72">
        <f t="shared" si="99"/>
        <v>291691.31066399999</v>
      </c>
      <c r="N581" s="26"/>
      <c r="O581" s="921">
        <v>0.93490804699999996</v>
      </c>
    </row>
    <row r="582" spans="1:23" ht="18.95" customHeight="1">
      <c r="A582" s="44"/>
      <c r="B582" s="27" t="s">
        <v>1599</v>
      </c>
      <c r="C582" s="29" t="s">
        <v>1600</v>
      </c>
      <c r="D582" s="46"/>
      <c r="E582" s="104">
        <v>6</v>
      </c>
      <c r="F582" s="30" t="s">
        <v>286</v>
      </c>
      <c r="G582" s="25">
        <v>8000</v>
      </c>
      <c r="H582" s="25">
        <f t="shared" si="91"/>
        <v>7479.2643760000001</v>
      </c>
      <c r="I582" s="242">
        <f t="shared" si="98"/>
        <v>44875.586256000002</v>
      </c>
      <c r="J582" s="25"/>
      <c r="K582" s="25">
        <f t="shared" si="92"/>
        <v>0</v>
      </c>
      <c r="L582" s="30">
        <f t="shared" si="100"/>
        <v>0</v>
      </c>
      <c r="M582" s="72">
        <f t="shared" si="99"/>
        <v>44875.586256000002</v>
      </c>
      <c r="N582" s="26"/>
      <c r="O582" s="921">
        <v>0.93490804699999996</v>
      </c>
    </row>
    <row r="583" spans="1:23" ht="18.95" customHeight="1">
      <c r="A583" s="954"/>
      <c r="B583" s="302" t="s">
        <v>1181</v>
      </c>
      <c r="C583" s="9"/>
      <c r="D583" s="346"/>
      <c r="E583" s="896"/>
      <c r="F583" s="102"/>
      <c r="G583" s="34"/>
      <c r="H583" s="25"/>
      <c r="I583" s="242"/>
      <c r="J583" s="34"/>
      <c r="K583" s="25"/>
      <c r="L583" s="30"/>
      <c r="M583" s="34"/>
      <c r="N583" s="35"/>
      <c r="O583" s="921">
        <v>0.93490804699999996</v>
      </c>
    </row>
    <row r="584" spans="1:23" s="1" customFormat="1" ht="18.95" customHeight="1">
      <c r="A584" s="44"/>
      <c r="B584" s="348"/>
      <c r="C584" s="29" t="s">
        <v>1601</v>
      </c>
      <c r="D584" s="46"/>
      <c r="E584" s="104">
        <v>36</v>
      </c>
      <c r="F584" s="30" t="s">
        <v>286</v>
      </c>
      <c r="G584" s="25">
        <v>350</v>
      </c>
      <c r="H584" s="25">
        <f t="shared" si="91"/>
        <v>327.21781644999999</v>
      </c>
      <c r="I584" s="242">
        <f t="shared" si="98"/>
        <v>11779.8413922</v>
      </c>
      <c r="J584" s="25">
        <v>150</v>
      </c>
      <c r="K584" s="25">
        <f t="shared" si="92"/>
        <v>140.23620704999999</v>
      </c>
      <c r="L584" s="30">
        <f t="shared" si="100"/>
        <v>5048.5034538</v>
      </c>
      <c r="M584" s="72">
        <f>I584+L584</f>
        <v>16828.344846</v>
      </c>
      <c r="N584" s="26"/>
      <c r="O584" s="921">
        <v>0.93490804699999996</v>
      </c>
      <c r="P584" s="206"/>
      <c r="Q584" s="206"/>
      <c r="R584" s="206"/>
      <c r="S584" s="206"/>
      <c r="T584" s="206"/>
      <c r="U584" s="206"/>
      <c r="V584" s="206"/>
      <c r="W584" s="206"/>
    </row>
    <row r="585" spans="1:23" ht="18.95" customHeight="1">
      <c r="A585" s="954"/>
      <c r="B585" s="302" t="s">
        <v>1182</v>
      </c>
      <c r="C585" s="9"/>
      <c r="D585" s="346"/>
      <c r="E585" s="896"/>
      <c r="F585" s="102"/>
      <c r="G585" s="34"/>
      <c r="H585" s="25"/>
      <c r="I585" s="242"/>
      <c r="J585" s="34"/>
      <c r="K585" s="25"/>
      <c r="L585" s="30"/>
      <c r="M585" s="34"/>
      <c r="N585" s="35"/>
      <c r="O585" s="921">
        <v>0.93490804699999996</v>
      </c>
    </row>
    <row r="586" spans="1:23" s="1" customFormat="1" ht="18.95" customHeight="1">
      <c r="A586" s="44" t="s">
        <v>1602</v>
      </c>
      <c r="B586" s="27" t="s">
        <v>1603</v>
      </c>
      <c r="C586" s="349"/>
      <c r="D586" s="49"/>
      <c r="E586" s="104">
        <v>3</v>
      </c>
      <c r="F586" s="30" t="s">
        <v>286</v>
      </c>
      <c r="G586" s="25">
        <v>250</v>
      </c>
      <c r="H586" s="25">
        <f t="shared" si="91"/>
        <v>233.72701175</v>
      </c>
      <c r="I586" s="242">
        <f t="shared" si="98"/>
        <v>701.18103525000004</v>
      </c>
      <c r="J586" s="25"/>
      <c r="K586" s="25">
        <f t="shared" si="92"/>
        <v>0</v>
      </c>
      <c r="L586" s="30">
        <f t="shared" si="100"/>
        <v>0</v>
      </c>
      <c r="M586" s="25">
        <f>I586+L586</f>
        <v>701.18103525000004</v>
      </c>
      <c r="N586" s="26"/>
      <c r="O586" s="921">
        <v>0.93490804699999996</v>
      </c>
      <c r="P586" s="206"/>
      <c r="Q586" s="206"/>
      <c r="R586" s="206"/>
      <c r="S586" s="206"/>
      <c r="T586" s="206"/>
      <c r="U586" s="206"/>
      <c r="V586" s="206"/>
      <c r="W586" s="206"/>
    </row>
    <row r="587" spans="1:23" ht="18.95" customHeight="1">
      <c r="A587" s="935"/>
      <c r="B587" s="932" t="s">
        <v>1604</v>
      </c>
      <c r="C587" s="900" t="s">
        <v>1605</v>
      </c>
      <c r="D587" s="901"/>
      <c r="E587" s="902"/>
      <c r="F587" s="903"/>
      <c r="G587" s="903"/>
      <c r="H587" s="903"/>
      <c r="I587" s="903"/>
      <c r="J587" s="903"/>
      <c r="K587" s="903"/>
      <c r="L587" s="903"/>
      <c r="M587" s="904"/>
      <c r="N587" s="903"/>
      <c r="O587" s="921">
        <v>0.93490804699999996</v>
      </c>
    </row>
    <row r="588" spans="1:23" ht="18.95" customHeight="1">
      <c r="A588" s="44"/>
      <c r="B588" s="27" t="s">
        <v>1606</v>
      </c>
      <c r="C588" s="1278" t="s">
        <v>1607</v>
      </c>
      <c r="D588" s="1279"/>
      <c r="E588" s="104"/>
      <c r="F588" s="30"/>
      <c r="G588" s="30"/>
      <c r="H588" s="30"/>
      <c r="I588" s="30"/>
      <c r="J588" s="30"/>
      <c r="K588" s="30"/>
      <c r="L588" s="30"/>
      <c r="M588" s="25"/>
      <c r="N588" s="26"/>
      <c r="O588" s="921">
        <v>0.93490804699999996</v>
      </c>
    </row>
    <row r="589" spans="1:23" ht="18.95" customHeight="1">
      <c r="A589" s="44"/>
      <c r="B589" s="27"/>
      <c r="C589" s="29" t="s">
        <v>1608</v>
      </c>
      <c r="D589" s="356"/>
      <c r="E589" s="104"/>
      <c r="F589" s="30"/>
      <c r="G589" s="30"/>
      <c r="H589" s="30"/>
      <c r="I589" s="30"/>
      <c r="J589" s="30"/>
      <c r="K589" s="30"/>
      <c r="L589" s="30"/>
      <c r="M589" s="25"/>
      <c r="N589" s="26"/>
      <c r="O589" s="921">
        <v>0.93490804699999996</v>
      </c>
    </row>
    <row r="590" spans="1:23" ht="18.95" customHeight="1">
      <c r="A590" s="44"/>
      <c r="B590" s="27" t="s">
        <v>1596</v>
      </c>
      <c r="C590" s="46" t="s">
        <v>1597</v>
      </c>
      <c r="D590" s="534"/>
      <c r="E590" s="104">
        <v>12</v>
      </c>
      <c r="F590" s="30" t="s">
        <v>211</v>
      </c>
      <c r="G590" s="25">
        <v>3540</v>
      </c>
      <c r="H590" s="25">
        <f t="shared" si="91"/>
        <v>3309.5744863800001</v>
      </c>
      <c r="I590" s="242">
        <f t="shared" si="98"/>
        <v>39714.893836560004</v>
      </c>
      <c r="J590" s="25">
        <v>225</v>
      </c>
      <c r="K590" s="25">
        <f t="shared" si="92"/>
        <v>210.354310575</v>
      </c>
      <c r="L590" s="30">
        <f t="shared" si="100"/>
        <v>2524.2517269</v>
      </c>
      <c r="M590" s="72">
        <f>I590+L590</f>
        <v>42239.145563460006</v>
      </c>
      <c r="N590" s="26"/>
      <c r="O590" s="921">
        <v>0.93490804699999996</v>
      </c>
    </row>
    <row r="591" spans="1:23" ht="18.95" customHeight="1">
      <c r="A591" s="44"/>
      <c r="B591" s="287" t="s">
        <v>1169</v>
      </c>
      <c r="C591" s="29"/>
      <c r="D591" s="46"/>
      <c r="E591" s="104">
        <v>12</v>
      </c>
      <c r="F591" s="30" t="s">
        <v>211</v>
      </c>
      <c r="G591" s="25">
        <v>383</v>
      </c>
      <c r="H591" s="25">
        <f t="shared" si="91"/>
        <v>358.06978200099996</v>
      </c>
      <c r="I591" s="242">
        <f t="shared" si="98"/>
        <v>4296.8373840119993</v>
      </c>
      <c r="J591" s="25">
        <v>100</v>
      </c>
      <c r="K591" s="25">
        <f t="shared" si="92"/>
        <v>93.490804699999998</v>
      </c>
      <c r="L591" s="30">
        <f t="shared" si="100"/>
        <v>1121.8896563999999</v>
      </c>
      <c r="M591" s="72">
        <f>I591+L591</f>
        <v>5418.727040411999</v>
      </c>
      <c r="N591" s="26"/>
      <c r="O591" s="921">
        <v>0.93490804699999996</v>
      </c>
    </row>
    <row r="592" spans="1:23" ht="18.95" customHeight="1">
      <c r="A592" s="44"/>
      <c r="B592" s="1310" t="s">
        <v>1175</v>
      </c>
      <c r="C592" s="1296"/>
      <c r="D592" s="1297"/>
      <c r="E592" s="104">
        <v>12</v>
      </c>
      <c r="F592" s="30" t="s">
        <v>211</v>
      </c>
      <c r="G592" s="25">
        <v>440</v>
      </c>
      <c r="H592" s="25">
        <f t="shared" si="91"/>
        <v>411.35954068000001</v>
      </c>
      <c r="I592" s="242">
        <f t="shared" si="98"/>
        <v>4936.3144881600001</v>
      </c>
      <c r="J592" s="25">
        <v>20</v>
      </c>
      <c r="K592" s="25">
        <f t="shared" si="92"/>
        <v>18.698160940000001</v>
      </c>
      <c r="L592" s="30">
        <f t="shared" si="100"/>
        <v>224.37793128000001</v>
      </c>
      <c r="M592" s="72">
        <f>I592+L592</f>
        <v>5160.6924194399999</v>
      </c>
      <c r="N592" s="26"/>
      <c r="O592" s="921">
        <v>0.93490804699999996</v>
      </c>
    </row>
    <row r="593" spans="1:15" ht="18.95" customHeight="1">
      <c r="A593" s="44"/>
      <c r="B593" s="287" t="s">
        <v>1171</v>
      </c>
      <c r="C593" s="644"/>
      <c r="D593" s="682"/>
      <c r="E593" s="104"/>
      <c r="F593" s="30"/>
      <c r="G593" s="25"/>
      <c r="H593" s="25"/>
      <c r="I593" s="242"/>
      <c r="J593" s="25"/>
      <c r="K593" s="25"/>
      <c r="L593" s="30"/>
      <c r="M593" s="72"/>
      <c r="N593" s="26"/>
      <c r="O593" s="921">
        <v>0.93490804699999996</v>
      </c>
    </row>
    <row r="594" spans="1:15" ht="18.95" customHeight="1">
      <c r="A594" s="44"/>
      <c r="B594" s="27" t="s">
        <v>1609</v>
      </c>
      <c r="C594" s="1278" t="s">
        <v>1607</v>
      </c>
      <c r="D594" s="1279"/>
      <c r="E594" s="104"/>
      <c r="F594" s="30"/>
      <c r="G594" s="25"/>
      <c r="H594" s="25"/>
      <c r="I594" s="242"/>
      <c r="J594" s="25"/>
      <c r="K594" s="25"/>
      <c r="L594" s="30"/>
      <c r="M594" s="25"/>
      <c r="N594" s="26"/>
      <c r="O594" s="921">
        <v>0.93490804699999996</v>
      </c>
    </row>
    <row r="595" spans="1:15" ht="18.95" customHeight="1">
      <c r="A595" s="44"/>
      <c r="B595" s="27"/>
      <c r="C595" s="29" t="s">
        <v>1608</v>
      </c>
      <c r="D595" s="356"/>
      <c r="E595" s="104"/>
      <c r="F595" s="30"/>
      <c r="G595" s="25"/>
      <c r="H595" s="25"/>
      <c r="I595" s="242"/>
      <c r="J595" s="25"/>
      <c r="K595" s="25"/>
      <c r="L595" s="30"/>
      <c r="M595" s="25"/>
      <c r="N595" s="26"/>
      <c r="O595" s="921">
        <v>0.93490804699999996</v>
      </c>
    </row>
    <row r="596" spans="1:15" ht="18.95" customHeight="1">
      <c r="A596" s="44"/>
      <c r="B596" s="27" t="s">
        <v>1596</v>
      </c>
      <c r="C596" s="46" t="s">
        <v>1597</v>
      </c>
      <c r="D596" s="534"/>
      <c r="E596" s="104">
        <v>12</v>
      </c>
      <c r="F596" s="30" t="s">
        <v>211</v>
      </c>
      <c r="G596" s="25">
        <v>3540</v>
      </c>
      <c r="H596" s="25">
        <f t="shared" si="91"/>
        <v>3309.5744863800001</v>
      </c>
      <c r="I596" s="242">
        <f t="shared" si="98"/>
        <v>39714.893836560004</v>
      </c>
      <c r="J596" s="25">
        <v>225</v>
      </c>
      <c r="K596" s="25">
        <f t="shared" si="92"/>
        <v>210.354310575</v>
      </c>
      <c r="L596" s="30">
        <f t="shared" si="100"/>
        <v>2524.2517269</v>
      </c>
      <c r="M596" s="72">
        <f>I596+L596</f>
        <v>42239.145563460006</v>
      </c>
      <c r="N596" s="26"/>
      <c r="O596" s="921">
        <v>0.93490804699999996</v>
      </c>
    </row>
    <row r="597" spans="1:15" ht="18.95" customHeight="1">
      <c r="A597" s="44"/>
      <c r="B597" s="287" t="s">
        <v>1169</v>
      </c>
      <c r="C597" s="29"/>
      <c r="D597" s="46"/>
      <c r="E597" s="104">
        <v>12</v>
      </c>
      <c r="F597" s="30" t="s">
        <v>211</v>
      </c>
      <c r="G597" s="25">
        <v>383</v>
      </c>
      <c r="H597" s="25">
        <f t="shared" si="91"/>
        <v>358.06978200099996</v>
      </c>
      <c r="I597" s="242">
        <f t="shared" si="98"/>
        <v>4296.8373840119993</v>
      </c>
      <c r="J597" s="25">
        <v>100</v>
      </c>
      <c r="K597" s="25">
        <f t="shared" si="92"/>
        <v>93.490804699999998</v>
      </c>
      <c r="L597" s="30">
        <f t="shared" si="100"/>
        <v>1121.8896563999999</v>
      </c>
      <c r="M597" s="72">
        <f>I597+L597</f>
        <v>5418.727040411999</v>
      </c>
      <c r="N597" s="26"/>
      <c r="O597" s="921">
        <v>0.93490804699999996</v>
      </c>
    </row>
    <row r="598" spans="1:15" ht="18.95" customHeight="1">
      <c r="A598" s="44"/>
      <c r="B598" s="1310" t="s">
        <v>1175</v>
      </c>
      <c r="C598" s="1296"/>
      <c r="D598" s="1297"/>
      <c r="E598" s="104">
        <v>12</v>
      </c>
      <c r="F598" s="30" t="s">
        <v>211</v>
      </c>
      <c r="G598" s="25">
        <v>440</v>
      </c>
      <c r="H598" s="25">
        <f t="shared" si="91"/>
        <v>411.35954068000001</v>
      </c>
      <c r="I598" s="242">
        <f t="shared" si="98"/>
        <v>4936.3144881600001</v>
      </c>
      <c r="J598" s="25">
        <v>20</v>
      </c>
      <c r="K598" s="25">
        <f t="shared" si="92"/>
        <v>18.698160940000001</v>
      </c>
      <c r="L598" s="30">
        <f t="shared" si="100"/>
        <v>224.37793128000001</v>
      </c>
      <c r="M598" s="72">
        <f>I598+L598</f>
        <v>5160.6924194399999</v>
      </c>
      <c r="N598" s="26"/>
      <c r="O598" s="921">
        <v>0.93490804699999996</v>
      </c>
    </row>
    <row r="599" spans="1:15" ht="18.95" customHeight="1">
      <c r="A599" s="44"/>
      <c r="B599" s="287" t="s">
        <v>1171</v>
      </c>
      <c r="C599" s="644"/>
      <c r="D599" s="682"/>
      <c r="E599" s="104"/>
      <c r="F599" s="30"/>
      <c r="G599" s="25"/>
      <c r="H599" s="25"/>
      <c r="I599" s="242"/>
      <c r="J599" s="25"/>
      <c r="K599" s="25"/>
      <c r="L599" s="30"/>
      <c r="M599" s="72"/>
      <c r="N599" s="26"/>
      <c r="O599" s="921">
        <v>0.93490804699999996</v>
      </c>
    </row>
    <row r="600" spans="1:15" ht="18.95" customHeight="1">
      <c r="A600" s="44"/>
      <c r="B600" s="27" t="s">
        <v>1610</v>
      </c>
      <c r="C600" s="1278" t="s">
        <v>1611</v>
      </c>
      <c r="D600" s="1279"/>
      <c r="E600" s="104"/>
      <c r="F600" s="30"/>
      <c r="G600" s="25"/>
      <c r="H600" s="25"/>
      <c r="I600" s="242"/>
      <c r="J600" s="25"/>
      <c r="K600" s="25"/>
      <c r="L600" s="30"/>
      <c r="M600" s="25"/>
      <c r="N600" s="26"/>
      <c r="O600" s="921">
        <v>0.93490804699999996</v>
      </c>
    </row>
    <row r="601" spans="1:15" ht="18.95" customHeight="1">
      <c r="A601" s="44"/>
      <c r="B601" s="27"/>
      <c r="C601" s="29" t="s">
        <v>1608</v>
      </c>
      <c r="D601" s="356"/>
      <c r="E601" s="104"/>
      <c r="F601" s="30"/>
      <c r="G601" s="25"/>
      <c r="H601" s="25"/>
      <c r="I601" s="242"/>
      <c r="J601" s="25"/>
      <c r="K601" s="25"/>
      <c r="L601" s="30"/>
      <c r="M601" s="25"/>
      <c r="N601" s="26"/>
      <c r="O601" s="921">
        <v>0.93490804699999996</v>
      </c>
    </row>
    <row r="602" spans="1:15" ht="18.95" customHeight="1">
      <c r="A602" s="44"/>
      <c r="B602" s="27" t="s">
        <v>1596</v>
      </c>
      <c r="C602" s="46" t="s">
        <v>1597</v>
      </c>
      <c r="D602" s="534"/>
      <c r="E602" s="104">
        <v>16</v>
      </c>
      <c r="F602" s="30" t="s">
        <v>211</v>
      </c>
      <c r="G602" s="25">
        <v>3540</v>
      </c>
      <c r="H602" s="25">
        <f t="shared" si="91"/>
        <v>3309.5744863800001</v>
      </c>
      <c r="I602" s="242">
        <f t="shared" si="98"/>
        <v>52953.191782080001</v>
      </c>
      <c r="J602" s="25">
        <v>225</v>
      </c>
      <c r="K602" s="25">
        <f t="shared" si="92"/>
        <v>210.354310575</v>
      </c>
      <c r="L602" s="30">
        <f t="shared" si="100"/>
        <v>3365.6689692</v>
      </c>
      <c r="M602" s="72">
        <f>I602+L602</f>
        <v>56318.860751280001</v>
      </c>
      <c r="N602" s="26"/>
      <c r="O602" s="921">
        <v>0.93490804699999996</v>
      </c>
    </row>
    <row r="603" spans="1:15" ht="18.95" customHeight="1">
      <c r="A603" s="44"/>
      <c r="B603" s="287" t="s">
        <v>1169</v>
      </c>
      <c r="C603" s="29"/>
      <c r="D603" s="46"/>
      <c r="E603" s="104">
        <v>16</v>
      </c>
      <c r="F603" s="30" t="s">
        <v>211</v>
      </c>
      <c r="G603" s="25">
        <v>383</v>
      </c>
      <c r="H603" s="25">
        <f t="shared" si="91"/>
        <v>358.06978200099996</v>
      </c>
      <c r="I603" s="242">
        <f t="shared" si="98"/>
        <v>5729.1165120159994</v>
      </c>
      <c r="J603" s="25">
        <v>100</v>
      </c>
      <c r="K603" s="25">
        <f t="shared" si="92"/>
        <v>93.490804699999998</v>
      </c>
      <c r="L603" s="30">
        <f t="shared" si="100"/>
        <v>1495.8528752</v>
      </c>
      <c r="M603" s="72">
        <f>I603+L603</f>
        <v>7224.9693872159996</v>
      </c>
      <c r="N603" s="26"/>
      <c r="O603" s="921">
        <v>0.93490804699999996</v>
      </c>
    </row>
    <row r="604" spans="1:15" ht="18.95" customHeight="1">
      <c r="A604" s="44"/>
      <c r="B604" s="1310" t="s">
        <v>1175</v>
      </c>
      <c r="C604" s="1296"/>
      <c r="D604" s="1297"/>
      <c r="E604" s="104">
        <v>16</v>
      </c>
      <c r="F604" s="30" t="s">
        <v>211</v>
      </c>
      <c r="G604" s="25">
        <v>440</v>
      </c>
      <c r="H604" s="25">
        <f t="shared" si="91"/>
        <v>411.35954068000001</v>
      </c>
      <c r="I604" s="242">
        <f t="shared" si="98"/>
        <v>6581.7526508800001</v>
      </c>
      <c r="J604" s="25">
        <v>20</v>
      </c>
      <c r="K604" s="25">
        <f t="shared" si="92"/>
        <v>18.698160940000001</v>
      </c>
      <c r="L604" s="30">
        <f t="shared" si="100"/>
        <v>299.17057504000002</v>
      </c>
      <c r="M604" s="72">
        <f>I604+L604</f>
        <v>6880.9232259199998</v>
      </c>
      <c r="N604" s="26"/>
      <c r="O604" s="921">
        <v>0.93490804699999996</v>
      </c>
    </row>
    <row r="605" spans="1:15" ht="18.95" customHeight="1">
      <c r="A605" s="44"/>
      <c r="B605" s="287" t="s">
        <v>1171</v>
      </c>
      <c r="C605" s="644"/>
      <c r="D605" s="682"/>
      <c r="E605" s="104"/>
      <c r="F605" s="30"/>
      <c r="G605" s="25"/>
      <c r="H605" s="25"/>
      <c r="I605" s="242"/>
      <c r="J605" s="25"/>
      <c r="K605" s="25"/>
      <c r="L605" s="30"/>
      <c r="M605" s="72"/>
      <c r="N605" s="26"/>
      <c r="O605" s="921">
        <v>0.93490804699999996</v>
      </c>
    </row>
    <row r="606" spans="1:15" ht="18.95" customHeight="1">
      <c r="A606" s="44"/>
      <c r="B606" s="27" t="s">
        <v>1612</v>
      </c>
      <c r="C606" s="1278" t="s">
        <v>1607</v>
      </c>
      <c r="D606" s="1279"/>
      <c r="E606" s="104"/>
      <c r="F606" s="30"/>
      <c r="G606" s="25"/>
      <c r="H606" s="25"/>
      <c r="I606" s="242"/>
      <c r="J606" s="25"/>
      <c r="K606" s="25"/>
      <c r="L606" s="30"/>
      <c r="M606" s="25"/>
      <c r="N606" s="26"/>
      <c r="O606" s="921">
        <v>0.93490804699999996</v>
      </c>
    </row>
    <row r="607" spans="1:15" s="204" customFormat="1" ht="18.95" customHeight="1">
      <c r="A607" s="44"/>
      <c r="B607" s="27"/>
      <c r="C607" s="29" t="s">
        <v>1608</v>
      </c>
      <c r="D607" s="356"/>
      <c r="E607" s="104"/>
      <c r="F607" s="30"/>
      <c r="G607" s="25"/>
      <c r="H607" s="25"/>
      <c r="I607" s="242"/>
      <c r="J607" s="25"/>
      <c r="K607" s="25"/>
      <c r="L607" s="30"/>
      <c r="M607" s="25"/>
      <c r="N607" s="26"/>
      <c r="O607" s="921">
        <v>0.93490804699999996</v>
      </c>
    </row>
    <row r="608" spans="1:15" s="204" customFormat="1" ht="18.95" customHeight="1">
      <c r="A608" s="44"/>
      <c r="B608" s="27" t="s">
        <v>1596</v>
      </c>
      <c r="C608" s="46" t="s">
        <v>1597</v>
      </c>
      <c r="D608" s="534"/>
      <c r="E608" s="104">
        <v>16</v>
      </c>
      <c r="F608" s="30" t="s">
        <v>211</v>
      </c>
      <c r="G608" s="25">
        <v>3540</v>
      </c>
      <c r="H608" s="25">
        <f t="shared" ref="H608:H668" si="101">G608*O608</f>
        <v>3309.5744863800001</v>
      </c>
      <c r="I608" s="242">
        <f t="shared" si="98"/>
        <v>52953.191782080001</v>
      </c>
      <c r="J608" s="25">
        <v>225</v>
      </c>
      <c r="K608" s="25">
        <f t="shared" ref="K608:K668" si="102">J608*O608</f>
        <v>210.354310575</v>
      </c>
      <c r="L608" s="30">
        <f t="shared" si="100"/>
        <v>3365.6689692</v>
      </c>
      <c r="M608" s="72">
        <f t="shared" ref="M608:M614" si="103">I608+L608</f>
        <v>56318.860751280001</v>
      </c>
      <c r="N608" s="26"/>
      <c r="O608" s="921">
        <v>0.93490804699999996</v>
      </c>
    </row>
    <row r="609" spans="1:15" s="204" customFormat="1" ht="18.95" customHeight="1">
      <c r="A609" s="44"/>
      <c r="B609" s="287" t="s">
        <v>1169</v>
      </c>
      <c r="C609" s="29"/>
      <c r="D609" s="46"/>
      <c r="E609" s="104">
        <v>16</v>
      </c>
      <c r="F609" s="30" t="s">
        <v>211</v>
      </c>
      <c r="G609" s="25">
        <v>383</v>
      </c>
      <c r="H609" s="25">
        <f t="shared" si="101"/>
        <v>358.06978200099996</v>
      </c>
      <c r="I609" s="242">
        <f t="shared" si="98"/>
        <v>5729.1165120159994</v>
      </c>
      <c r="J609" s="25">
        <v>100</v>
      </c>
      <c r="K609" s="25">
        <f t="shared" si="102"/>
        <v>93.490804699999998</v>
      </c>
      <c r="L609" s="30">
        <f t="shared" si="100"/>
        <v>1495.8528752</v>
      </c>
      <c r="M609" s="72">
        <f t="shared" si="103"/>
        <v>7224.9693872159996</v>
      </c>
      <c r="N609" s="26"/>
      <c r="O609" s="921">
        <v>0.93490804699999996</v>
      </c>
    </row>
    <row r="610" spans="1:15" s="204" customFormat="1" ht="18.95" customHeight="1">
      <c r="A610" s="44"/>
      <c r="B610" s="1310" t="s">
        <v>1175</v>
      </c>
      <c r="C610" s="1296"/>
      <c r="D610" s="1297"/>
      <c r="E610" s="104">
        <v>16</v>
      </c>
      <c r="F610" s="30" t="s">
        <v>211</v>
      </c>
      <c r="G610" s="25">
        <v>440</v>
      </c>
      <c r="H610" s="25">
        <f t="shared" si="101"/>
        <v>411.35954068000001</v>
      </c>
      <c r="I610" s="242">
        <f t="shared" si="98"/>
        <v>6581.7526508800001</v>
      </c>
      <c r="J610" s="25">
        <v>20</v>
      </c>
      <c r="K610" s="25">
        <f t="shared" si="102"/>
        <v>18.698160940000001</v>
      </c>
      <c r="L610" s="30">
        <f t="shared" si="100"/>
        <v>299.17057504000002</v>
      </c>
      <c r="M610" s="72">
        <f t="shared" si="103"/>
        <v>6880.9232259199998</v>
      </c>
      <c r="N610" s="26"/>
      <c r="O610" s="921">
        <v>0.93490804699999996</v>
      </c>
    </row>
    <row r="611" spans="1:15" s="204" customFormat="1" ht="18.95" customHeight="1">
      <c r="A611" s="44"/>
      <c r="B611" s="287" t="s">
        <v>1171</v>
      </c>
      <c r="C611" s="644"/>
      <c r="D611" s="682"/>
      <c r="E611" s="104"/>
      <c r="F611" s="30"/>
      <c r="G611" s="25"/>
      <c r="H611" s="25"/>
      <c r="I611" s="242"/>
      <c r="J611" s="25"/>
      <c r="K611" s="25"/>
      <c r="L611" s="30"/>
      <c r="M611" s="72"/>
      <c r="N611" s="26"/>
      <c r="O611" s="921">
        <v>0.93490804699999996</v>
      </c>
    </row>
    <row r="612" spans="1:15" s="204" customFormat="1" ht="18.95" customHeight="1">
      <c r="A612" s="44"/>
      <c r="B612" s="27" t="s">
        <v>1459</v>
      </c>
      <c r="C612" s="349" t="s">
        <v>1613</v>
      </c>
      <c r="D612" s="49"/>
      <c r="E612" s="104">
        <v>6.5</v>
      </c>
      <c r="F612" s="30" t="s">
        <v>286</v>
      </c>
      <c r="G612" s="25">
        <v>20000</v>
      </c>
      <c r="H612" s="25">
        <f t="shared" si="101"/>
        <v>18698.160939999998</v>
      </c>
      <c r="I612" s="242">
        <f t="shared" si="98"/>
        <v>121538.04610999998</v>
      </c>
      <c r="J612" s="25"/>
      <c r="K612" s="25">
        <f t="shared" si="102"/>
        <v>0</v>
      </c>
      <c r="L612" s="30">
        <f t="shared" si="100"/>
        <v>0</v>
      </c>
      <c r="M612" s="72">
        <f t="shared" si="103"/>
        <v>121538.04610999998</v>
      </c>
      <c r="N612" s="26"/>
      <c r="O612" s="921">
        <v>0.93490804699999996</v>
      </c>
    </row>
    <row r="613" spans="1:15" s="204" customFormat="1" ht="18.95" customHeight="1">
      <c r="A613" s="44"/>
      <c r="B613" s="27" t="s">
        <v>1599</v>
      </c>
      <c r="C613" s="349" t="s">
        <v>1613</v>
      </c>
      <c r="D613" s="49"/>
      <c r="E613" s="104">
        <v>6.2</v>
      </c>
      <c r="F613" s="30" t="s">
        <v>286</v>
      </c>
      <c r="G613" s="25">
        <v>20000</v>
      </c>
      <c r="H613" s="25">
        <f t="shared" si="101"/>
        <v>18698.160939999998</v>
      </c>
      <c r="I613" s="242">
        <f t="shared" si="98"/>
        <v>115928.59782799998</v>
      </c>
      <c r="J613" s="25"/>
      <c r="K613" s="25">
        <f t="shared" si="102"/>
        <v>0</v>
      </c>
      <c r="L613" s="30">
        <f t="shared" si="100"/>
        <v>0</v>
      </c>
      <c r="M613" s="72">
        <f t="shared" si="103"/>
        <v>115928.59782799998</v>
      </c>
      <c r="N613" s="26"/>
      <c r="O613" s="921">
        <v>0.93490804699999996</v>
      </c>
    </row>
    <row r="614" spans="1:15" s="204" customFormat="1" ht="18.95" customHeight="1">
      <c r="A614" s="44"/>
      <c r="B614" s="27" t="s">
        <v>1614</v>
      </c>
      <c r="C614" s="349" t="s">
        <v>1615</v>
      </c>
      <c r="D614" s="49"/>
      <c r="E614" s="104">
        <v>4.5</v>
      </c>
      <c r="F614" s="30" t="s">
        <v>286</v>
      </c>
      <c r="G614" s="25">
        <v>20000</v>
      </c>
      <c r="H614" s="25">
        <f t="shared" si="101"/>
        <v>18698.160939999998</v>
      </c>
      <c r="I614" s="242">
        <f t="shared" si="98"/>
        <v>84141.724229999993</v>
      </c>
      <c r="J614" s="25"/>
      <c r="K614" s="25">
        <f t="shared" si="102"/>
        <v>0</v>
      </c>
      <c r="L614" s="30">
        <f t="shared" si="100"/>
        <v>0</v>
      </c>
      <c r="M614" s="72">
        <f t="shared" si="103"/>
        <v>84141.724229999993</v>
      </c>
      <c r="N614" s="26"/>
      <c r="O614" s="921">
        <v>0.93490804699999996</v>
      </c>
    </row>
    <row r="615" spans="1:15" s="204" customFormat="1" ht="18.95" customHeight="1">
      <c r="A615" s="935"/>
      <c r="B615" s="932" t="s">
        <v>1616</v>
      </c>
      <c r="C615" s="900" t="s">
        <v>1617</v>
      </c>
      <c r="D615" s="901"/>
      <c r="E615" s="902"/>
      <c r="F615" s="903"/>
      <c r="G615" s="903"/>
      <c r="H615" s="903"/>
      <c r="I615" s="903"/>
      <c r="J615" s="903"/>
      <c r="K615" s="903"/>
      <c r="L615" s="903"/>
      <c r="M615" s="904"/>
      <c r="N615" s="903"/>
      <c r="O615" s="921">
        <v>0.93490804699999996</v>
      </c>
    </row>
    <row r="616" spans="1:15" s="204" customFormat="1" ht="18.95" customHeight="1">
      <c r="A616" s="44"/>
      <c r="B616" s="27" t="s">
        <v>1618</v>
      </c>
      <c r="C616" s="1278" t="s">
        <v>1607</v>
      </c>
      <c r="D616" s="1279"/>
      <c r="E616" s="104"/>
      <c r="F616" s="30"/>
      <c r="G616" s="30"/>
      <c r="H616" s="30"/>
      <c r="I616" s="30"/>
      <c r="J616" s="30"/>
      <c r="K616" s="30"/>
      <c r="L616" s="30"/>
      <c r="M616" s="25"/>
      <c r="N616" s="26"/>
      <c r="O616" s="921">
        <v>0.93490804699999996</v>
      </c>
    </row>
    <row r="617" spans="1:15" s="204" customFormat="1" ht="18.95" customHeight="1">
      <c r="A617" s="44"/>
      <c r="B617" s="27"/>
      <c r="C617" s="29" t="s">
        <v>1608</v>
      </c>
      <c r="D617" s="356"/>
      <c r="E617" s="104"/>
      <c r="F617" s="30"/>
      <c r="G617" s="30"/>
      <c r="H617" s="30"/>
      <c r="I617" s="30"/>
      <c r="J617" s="30"/>
      <c r="K617" s="30"/>
      <c r="L617" s="30"/>
      <c r="M617" s="25"/>
      <c r="N617" s="26"/>
      <c r="O617" s="921">
        <v>0.93490804699999996</v>
      </c>
    </row>
    <row r="618" spans="1:15" s="204" customFormat="1" ht="18.95" customHeight="1">
      <c r="A618" s="44"/>
      <c r="B618" s="27" t="s">
        <v>1596</v>
      </c>
      <c r="C618" s="46" t="s">
        <v>1597</v>
      </c>
      <c r="D618" s="534"/>
      <c r="E618" s="104">
        <v>17</v>
      </c>
      <c r="F618" s="30" t="s">
        <v>211</v>
      </c>
      <c r="G618" s="25">
        <v>3540</v>
      </c>
      <c r="H618" s="25">
        <f t="shared" si="101"/>
        <v>3309.5744863800001</v>
      </c>
      <c r="I618" s="242">
        <f t="shared" si="98"/>
        <v>56262.76626846</v>
      </c>
      <c r="J618" s="25">
        <v>225</v>
      </c>
      <c r="K618" s="25">
        <f t="shared" si="102"/>
        <v>210.354310575</v>
      </c>
      <c r="L618" s="30">
        <f t="shared" si="100"/>
        <v>3576.023279775</v>
      </c>
      <c r="M618" s="72">
        <f>I618+L618</f>
        <v>59838.789548235</v>
      </c>
      <c r="N618" s="26"/>
      <c r="O618" s="921">
        <v>0.93490804699999996</v>
      </c>
    </row>
    <row r="619" spans="1:15" s="204" customFormat="1" ht="18.95" customHeight="1">
      <c r="A619" s="44"/>
      <c r="B619" s="287" t="s">
        <v>1169</v>
      </c>
      <c r="C619" s="29"/>
      <c r="D619" s="46"/>
      <c r="E619" s="104">
        <v>17</v>
      </c>
      <c r="F619" s="30" t="s">
        <v>211</v>
      </c>
      <c r="G619" s="25">
        <v>383</v>
      </c>
      <c r="H619" s="25">
        <f t="shared" si="101"/>
        <v>358.06978200099996</v>
      </c>
      <c r="I619" s="242">
        <f t="shared" si="98"/>
        <v>6087.1862940169995</v>
      </c>
      <c r="J619" s="25">
        <v>100</v>
      </c>
      <c r="K619" s="25">
        <f t="shared" si="102"/>
        <v>93.490804699999998</v>
      </c>
      <c r="L619" s="30">
        <f t="shared" si="100"/>
        <v>1589.3436798999999</v>
      </c>
      <c r="M619" s="72">
        <f>I619+L619</f>
        <v>7676.5299739169996</v>
      </c>
      <c r="N619" s="26"/>
      <c r="O619" s="921">
        <v>0.93490804699999996</v>
      </c>
    </row>
    <row r="620" spans="1:15" s="204" customFormat="1" ht="18.95" customHeight="1">
      <c r="A620" s="44"/>
      <c r="B620" s="287"/>
      <c r="C620" s="29"/>
      <c r="D620" s="46"/>
      <c r="E620" s="104"/>
      <c r="F620" s="30"/>
      <c r="G620" s="25"/>
      <c r="H620" s="25"/>
      <c r="I620" s="242"/>
      <c r="J620" s="25"/>
      <c r="K620" s="25"/>
      <c r="L620" s="30"/>
      <c r="M620" s="72"/>
      <c r="N620" s="26"/>
      <c r="O620" s="921">
        <v>0.93490804699999996</v>
      </c>
    </row>
    <row r="621" spans="1:15" s="204" customFormat="1" ht="18.95" customHeight="1">
      <c r="A621" s="44"/>
      <c r="B621" s="1310" t="s">
        <v>1175</v>
      </c>
      <c r="C621" s="1296"/>
      <c r="D621" s="1297"/>
      <c r="E621" s="104">
        <v>17</v>
      </c>
      <c r="F621" s="30" t="s">
        <v>211</v>
      </c>
      <c r="G621" s="25">
        <v>440</v>
      </c>
      <c r="H621" s="25">
        <f t="shared" si="101"/>
        <v>411.35954068000001</v>
      </c>
      <c r="I621" s="242">
        <f t="shared" si="98"/>
        <v>6993.1121915599997</v>
      </c>
      <c r="J621" s="25">
        <v>20</v>
      </c>
      <c r="K621" s="25">
        <f t="shared" si="102"/>
        <v>18.698160940000001</v>
      </c>
      <c r="L621" s="30">
        <f t="shared" si="100"/>
        <v>317.86873598</v>
      </c>
      <c r="M621" s="72">
        <f>I621+L621</f>
        <v>7310.9809275399994</v>
      </c>
      <c r="N621" s="26"/>
      <c r="O621" s="921">
        <v>0.93490804699999996</v>
      </c>
    </row>
    <row r="622" spans="1:15" s="204" customFormat="1" ht="18.95" customHeight="1">
      <c r="A622" s="44"/>
      <c r="B622" s="287" t="s">
        <v>1171</v>
      </c>
      <c r="C622" s="644"/>
      <c r="D622" s="682"/>
      <c r="E622" s="104"/>
      <c r="F622" s="30"/>
      <c r="G622" s="25"/>
      <c r="H622" s="25"/>
      <c r="I622" s="242"/>
      <c r="J622" s="25"/>
      <c r="K622" s="25"/>
      <c r="L622" s="30"/>
      <c r="M622" s="72"/>
      <c r="N622" s="26"/>
      <c r="O622" s="921">
        <v>0.93490804699999996</v>
      </c>
    </row>
    <row r="623" spans="1:15" s="204" customFormat="1" ht="18.95" customHeight="1">
      <c r="A623" s="44"/>
      <c r="B623" s="27" t="s">
        <v>1619</v>
      </c>
      <c r="C623" s="1278" t="s">
        <v>1607</v>
      </c>
      <c r="D623" s="1279"/>
      <c r="E623" s="104"/>
      <c r="F623" s="30"/>
      <c r="G623" s="25"/>
      <c r="H623" s="25"/>
      <c r="I623" s="242"/>
      <c r="J623" s="25"/>
      <c r="K623" s="25"/>
      <c r="L623" s="30"/>
      <c r="M623" s="25"/>
      <c r="N623" s="26"/>
      <c r="O623" s="921">
        <v>0.93490804699999996</v>
      </c>
    </row>
    <row r="624" spans="1:15" s="204" customFormat="1" ht="18.95" customHeight="1">
      <c r="A624" s="44"/>
      <c r="B624" s="27"/>
      <c r="C624" s="29" t="s">
        <v>1608</v>
      </c>
      <c r="D624" s="356"/>
      <c r="E624" s="104"/>
      <c r="F624" s="30"/>
      <c r="G624" s="25"/>
      <c r="H624" s="25"/>
      <c r="I624" s="242"/>
      <c r="J624" s="25"/>
      <c r="K624" s="25"/>
      <c r="L624" s="30"/>
      <c r="M624" s="25"/>
      <c r="N624" s="26"/>
      <c r="O624" s="921">
        <v>0.93490804699999996</v>
      </c>
    </row>
    <row r="625" spans="1:15" s="204" customFormat="1" ht="18.95" customHeight="1">
      <c r="A625" s="44"/>
      <c r="B625" s="27" t="s">
        <v>1596</v>
      </c>
      <c r="C625" s="46" t="s">
        <v>1597</v>
      </c>
      <c r="D625" s="534"/>
      <c r="E625" s="104">
        <v>17</v>
      </c>
      <c r="F625" s="30" t="s">
        <v>211</v>
      </c>
      <c r="G625" s="25">
        <v>3540</v>
      </c>
      <c r="H625" s="25">
        <f t="shared" si="101"/>
        <v>3309.5744863800001</v>
      </c>
      <c r="I625" s="242">
        <f t="shared" si="98"/>
        <v>56262.76626846</v>
      </c>
      <c r="J625" s="25">
        <v>225</v>
      </c>
      <c r="K625" s="25">
        <f t="shared" si="102"/>
        <v>210.354310575</v>
      </c>
      <c r="L625" s="30">
        <f t="shared" si="100"/>
        <v>3576.023279775</v>
      </c>
      <c r="M625" s="72">
        <f>I625+L625</f>
        <v>59838.789548235</v>
      </c>
      <c r="N625" s="26"/>
      <c r="O625" s="921">
        <v>0.93490804699999996</v>
      </c>
    </row>
    <row r="626" spans="1:15" s="204" customFormat="1" ht="18.95" customHeight="1">
      <c r="A626" s="44"/>
      <c r="B626" s="287" t="s">
        <v>1169</v>
      </c>
      <c r="C626" s="29"/>
      <c r="D626" s="46"/>
      <c r="E626" s="104">
        <v>17</v>
      </c>
      <c r="F626" s="30" t="s">
        <v>211</v>
      </c>
      <c r="G626" s="25">
        <v>383</v>
      </c>
      <c r="H626" s="25">
        <f t="shared" si="101"/>
        <v>358.06978200099996</v>
      </c>
      <c r="I626" s="242">
        <f t="shared" si="98"/>
        <v>6087.1862940169995</v>
      </c>
      <c r="J626" s="25">
        <v>100</v>
      </c>
      <c r="K626" s="25">
        <f t="shared" si="102"/>
        <v>93.490804699999998</v>
      </c>
      <c r="L626" s="30">
        <f t="shared" si="100"/>
        <v>1589.3436798999999</v>
      </c>
      <c r="M626" s="72">
        <f>I626+L626</f>
        <v>7676.5299739169996</v>
      </c>
      <c r="N626" s="26"/>
      <c r="O626" s="921">
        <v>0.93490804699999996</v>
      </c>
    </row>
    <row r="627" spans="1:15" s="204" customFormat="1" ht="18.95" customHeight="1">
      <c r="A627" s="44"/>
      <c r="B627" s="1310" t="s">
        <v>1175</v>
      </c>
      <c r="C627" s="1296"/>
      <c r="D627" s="1297"/>
      <c r="E627" s="104">
        <v>17</v>
      </c>
      <c r="F627" s="30" t="s">
        <v>211</v>
      </c>
      <c r="G627" s="25">
        <v>440</v>
      </c>
      <c r="H627" s="25">
        <f t="shared" si="101"/>
        <v>411.35954068000001</v>
      </c>
      <c r="I627" s="242">
        <f t="shared" si="98"/>
        <v>6993.1121915599997</v>
      </c>
      <c r="J627" s="25">
        <v>20</v>
      </c>
      <c r="K627" s="25">
        <f t="shared" si="102"/>
        <v>18.698160940000001</v>
      </c>
      <c r="L627" s="30">
        <f t="shared" si="100"/>
        <v>317.86873598</v>
      </c>
      <c r="M627" s="72">
        <f>I627+L627</f>
        <v>7310.9809275399994</v>
      </c>
      <c r="N627" s="26"/>
      <c r="O627" s="921">
        <v>0.93490804699999996</v>
      </c>
    </row>
    <row r="628" spans="1:15" s="204" customFormat="1" ht="18.95" customHeight="1">
      <c r="A628" s="44"/>
      <c r="B628" s="287" t="s">
        <v>1171</v>
      </c>
      <c r="C628" s="644"/>
      <c r="D628" s="682"/>
      <c r="E628" s="104"/>
      <c r="F628" s="30"/>
      <c r="G628" s="25"/>
      <c r="H628" s="25"/>
      <c r="I628" s="242"/>
      <c r="J628" s="25"/>
      <c r="K628" s="25"/>
      <c r="L628" s="30"/>
      <c r="M628" s="72"/>
      <c r="N628" s="26"/>
      <c r="O628" s="921">
        <v>0.93490804699999996</v>
      </c>
    </row>
    <row r="629" spans="1:15" s="204" customFormat="1" ht="18.95" customHeight="1">
      <c r="A629" s="44"/>
      <c r="B629" s="27" t="s">
        <v>1620</v>
      </c>
      <c r="C629" s="1278" t="s">
        <v>1611</v>
      </c>
      <c r="D629" s="1279"/>
      <c r="E629" s="104"/>
      <c r="F629" s="30"/>
      <c r="G629" s="25"/>
      <c r="H629" s="25"/>
      <c r="I629" s="242"/>
      <c r="J629" s="25"/>
      <c r="K629" s="25"/>
      <c r="L629" s="30"/>
      <c r="M629" s="25"/>
      <c r="N629" s="26"/>
      <c r="O629" s="921">
        <v>0.93490804699999996</v>
      </c>
    </row>
    <row r="630" spans="1:15" s="204" customFormat="1" ht="18.95" customHeight="1">
      <c r="A630" s="44"/>
      <c r="B630" s="27"/>
      <c r="C630" s="355" t="s">
        <v>1621</v>
      </c>
      <c r="D630" s="356"/>
      <c r="E630" s="104"/>
      <c r="F630" s="30"/>
      <c r="G630" s="25"/>
      <c r="H630" s="25"/>
      <c r="I630" s="242"/>
      <c r="J630" s="25"/>
      <c r="K630" s="25"/>
      <c r="L630" s="30"/>
      <c r="M630" s="25"/>
      <c r="N630" s="26"/>
      <c r="O630" s="921">
        <v>0.93490804699999996</v>
      </c>
    </row>
    <row r="631" spans="1:15" s="204" customFormat="1" ht="18.95" customHeight="1">
      <c r="A631" s="44"/>
      <c r="B631" s="27" t="s">
        <v>1596</v>
      </c>
      <c r="C631" s="46" t="s">
        <v>1597</v>
      </c>
      <c r="D631" s="534"/>
      <c r="E631" s="104">
        <v>13</v>
      </c>
      <c r="F631" s="30" t="s">
        <v>211</v>
      </c>
      <c r="G631" s="25">
        <v>3540</v>
      </c>
      <c r="H631" s="25">
        <f t="shared" si="101"/>
        <v>3309.5744863800001</v>
      </c>
      <c r="I631" s="242">
        <f t="shared" si="98"/>
        <v>43024.468322940003</v>
      </c>
      <c r="J631" s="25">
        <v>225</v>
      </c>
      <c r="K631" s="25">
        <f t="shared" si="102"/>
        <v>210.354310575</v>
      </c>
      <c r="L631" s="30">
        <f t="shared" si="100"/>
        <v>2734.606037475</v>
      </c>
      <c r="M631" s="72">
        <f>I631+L631</f>
        <v>45759.074360415005</v>
      </c>
      <c r="N631" s="26"/>
      <c r="O631" s="921">
        <v>0.93490804699999996</v>
      </c>
    </row>
    <row r="632" spans="1:15" s="204" customFormat="1" ht="18.95" customHeight="1">
      <c r="A632" s="44"/>
      <c r="B632" s="287" t="s">
        <v>1169</v>
      </c>
      <c r="C632" s="29"/>
      <c r="D632" s="46"/>
      <c r="E632" s="104">
        <v>13</v>
      </c>
      <c r="F632" s="30" t="s">
        <v>211</v>
      </c>
      <c r="G632" s="25">
        <v>383</v>
      </c>
      <c r="H632" s="25">
        <f t="shared" si="101"/>
        <v>358.06978200099996</v>
      </c>
      <c r="I632" s="242">
        <f t="shared" si="98"/>
        <v>4654.9071660129994</v>
      </c>
      <c r="J632" s="25">
        <v>100</v>
      </c>
      <c r="K632" s="25">
        <f t="shared" si="102"/>
        <v>93.490804699999998</v>
      </c>
      <c r="L632" s="30">
        <f t="shared" si="100"/>
        <v>1215.3804611</v>
      </c>
      <c r="M632" s="72">
        <f>I632+L632</f>
        <v>5870.287627112999</v>
      </c>
      <c r="N632" s="26"/>
      <c r="O632" s="921">
        <v>0.93490804699999996</v>
      </c>
    </row>
    <row r="633" spans="1:15" s="204" customFormat="1" ht="18.95" customHeight="1">
      <c r="A633" s="44"/>
      <c r="B633" s="1310" t="s">
        <v>1175</v>
      </c>
      <c r="C633" s="1296"/>
      <c r="D633" s="1297"/>
      <c r="E633" s="104">
        <v>13</v>
      </c>
      <c r="F633" s="30" t="s">
        <v>211</v>
      </c>
      <c r="G633" s="25">
        <v>440</v>
      </c>
      <c r="H633" s="25">
        <f t="shared" si="101"/>
        <v>411.35954068000001</v>
      </c>
      <c r="I633" s="242">
        <f t="shared" si="98"/>
        <v>5347.6740288399997</v>
      </c>
      <c r="J633" s="25">
        <v>20</v>
      </c>
      <c r="K633" s="25">
        <f t="shared" si="102"/>
        <v>18.698160940000001</v>
      </c>
      <c r="L633" s="30">
        <f t="shared" si="100"/>
        <v>243.07609222000002</v>
      </c>
      <c r="M633" s="72">
        <f>I633+L633</f>
        <v>5590.7501210599994</v>
      </c>
      <c r="N633" s="26"/>
      <c r="O633" s="921">
        <v>0.93490804699999996</v>
      </c>
    </row>
    <row r="634" spans="1:15" s="204" customFormat="1" ht="18.95" customHeight="1">
      <c r="A634" s="44"/>
      <c r="B634" s="287" t="s">
        <v>1171</v>
      </c>
      <c r="C634" s="644"/>
      <c r="D634" s="682"/>
      <c r="E634" s="104"/>
      <c r="F634" s="30"/>
      <c r="G634" s="30"/>
      <c r="H634" s="30"/>
      <c r="I634" s="30"/>
      <c r="J634" s="30"/>
      <c r="K634" s="30"/>
      <c r="L634" s="30"/>
      <c r="M634" s="72"/>
      <c r="N634" s="26"/>
      <c r="O634" s="921">
        <v>0.93490804699999996</v>
      </c>
    </row>
    <row r="635" spans="1:15" s="204" customFormat="1" ht="18.95" customHeight="1">
      <c r="A635" s="935"/>
      <c r="B635" s="932" t="s">
        <v>1622</v>
      </c>
      <c r="C635" s="900" t="s">
        <v>1623</v>
      </c>
      <c r="D635" s="901"/>
      <c r="E635" s="902"/>
      <c r="F635" s="903"/>
      <c r="G635" s="903"/>
      <c r="H635" s="903"/>
      <c r="I635" s="903"/>
      <c r="J635" s="903"/>
      <c r="K635" s="903"/>
      <c r="L635" s="903"/>
      <c r="M635" s="904"/>
      <c r="N635" s="903"/>
      <c r="O635" s="921">
        <v>0.93490804699999996</v>
      </c>
    </row>
    <row r="636" spans="1:15" s="204" customFormat="1" ht="18.95" customHeight="1">
      <c r="A636" s="44"/>
      <c r="B636" s="27" t="s">
        <v>1624</v>
      </c>
      <c r="C636" s="1311" t="s">
        <v>1611</v>
      </c>
      <c r="D636" s="1312"/>
      <c r="E636" s="104"/>
      <c r="F636" s="30"/>
      <c r="G636" s="30"/>
      <c r="H636" s="30"/>
      <c r="I636" s="30"/>
      <c r="J636" s="30"/>
      <c r="K636" s="30"/>
      <c r="L636" s="30"/>
      <c r="M636" s="25"/>
      <c r="N636" s="26"/>
      <c r="O636" s="921">
        <v>0.93490804699999996</v>
      </c>
    </row>
    <row r="637" spans="1:15" s="204" customFormat="1" ht="18.95" customHeight="1">
      <c r="A637" s="44"/>
      <c r="B637" s="27"/>
      <c r="C637" s="29" t="s">
        <v>1608</v>
      </c>
      <c r="D637" s="46"/>
      <c r="E637" s="104"/>
      <c r="F637" s="30"/>
      <c r="G637" s="30"/>
      <c r="H637" s="30"/>
      <c r="I637" s="30"/>
      <c r="J637" s="30"/>
      <c r="K637" s="30"/>
      <c r="L637" s="30"/>
      <c r="M637" s="25"/>
      <c r="N637" s="26"/>
      <c r="O637" s="921">
        <v>0.93490804699999996</v>
      </c>
    </row>
    <row r="638" spans="1:15" s="204" customFormat="1" ht="18.95" customHeight="1">
      <c r="A638" s="44"/>
      <c r="B638" s="27" t="s">
        <v>1596</v>
      </c>
      <c r="C638" s="46" t="s">
        <v>1597</v>
      </c>
      <c r="D638" s="534"/>
      <c r="E638" s="104">
        <v>17</v>
      </c>
      <c r="F638" s="30" t="s">
        <v>211</v>
      </c>
      <c r="G638" s="25">
        <v>3540</v>
      </c>
      <c r="H638" s="25">
        <f t="shared" si="101"/>
        <v>3309.5744863800001</v>
      </c>
      <c r="I638" s="242">
        <f t="shared" si="98"/>
        <v>56262.76626846</v>
      </c>
      <c r="J638" s="25">
        <v>225</v>
      </c>
      <c r="K638" s="25">
        <f t="shared" si="102"/>
        <v>210.354310575</v>
      </c>
      <c r="L638" s="30">
        <f t="shared" si="100"/>
        <v>3576.023279775</v>
      </c>
      <c r="M638" s="72">
        <f>I638+L638</f>
        <v>59838.789548235</v>
      </c>
      <c r="N638" s="26"/>
      <c r="O638" s="921">
        <v>0.93490804699999996</v>
      </c>
    </row>
    <row r="639" spans="1:15" s="204" customFormat="1" ht="18.95" customHeight="1">
      <c r="A639" s="44"/>
      <c r="B639" s="287" t="s">
        <v>1169</v>
      </c>
      <c r="C639" s="29"/>
      <c r="D639" s="46"/>
      <c r="E639" s="104">
        <v>17</v>
      </c>
      <c r="F639" s="30" t="s">
        <v>211</v>
      </c>
      <c r="G639" s="25">
        <v>383</v>
      </c>
      <c r="H639" s="25">
        <f t="shared" si="101"/>
        <v>358.06978200099996</v>
      </c>
      <c r="I639" s="242">
        <f t="shared" si="98"/>
        <v>6087.1862940169995</v>
      </c>
      <c r="J639" s="25">
        <v>100</v>
      </c>
      <c r="K639" s="25">
        <f t="shared" si="102"/>
        <v>93.490804699999998</v>
      </c>
      <c r="L639" s="30">
        <f t="shared" si="100"/>
        <v>1589.3436798999999</v>
      </c>
      <c r="M639" s="72">
        <f>I639+L639</f>
        <v>7676.5299739169996</v>
      </c>
      <c r="N639" s="26"/>
      <c r="O639" s="921">
        <v>0.93490804699999996</v>
      </c>
    </row>
    <row r="640" spans="1:15" s="204" customFormat="1" ht="18.95" customHeight="1">
      <c r="A640" s="44"/>
      <c r="B640" s="1310" t="s">
        <v>1175</v>
      </c>
      <c r="C640" s="1296"/>
      <c r="D640" s="1297"/>
      <c r="E640" s="104">
        <v>17</v>
      </c>
      <c r="F640" s="30" t="s">
        <v>211</v>
      </c>
      <c r="G640" s="25">
        <v>440</v>
      </c>
      <c r="H640" s="25">
        <f t="shared" si="101"/>
        <v>411.35954068000001</v>
      </c>
      <c r="I640" s="242">
        <f t="shared" ref="I640:I659" si="104">E640*H640</f>
        <v>6993.1121915599997</v>
      </c>
      <c r="J640" s="25">
        <v>20</v>
      </c>
      <c r="K640" s="25">
        <f t="shared" si="102"/>
        <v>18.698160940000001</v>
      </c>
      <c r="L640" s="30">
        <f t="shared" si="100"/>
        <v>317.86873598</v>
      </c>
      <c r="M640" s="72">
        <f>I640+L640</f>
        <v>7310.9809275399994</v>
      </c>
      <c r="N640" s="26"/>
      <c r="O640" s="921">
        <v>0.93490804699999996</v>
      </c>
    </row>
    <row r="641" spans="1:23" s="204" customFormat="1" ht="18.95" customHeight="1">
      <c r="A641" s="44"/>
      <c r="B641" s="287" t="s">
        <v>1171</v>
      </c>
      <c r="C641" s="644"/>
      <c r="D641" s="682"/>
      <c r="E641" s="104"/>
      <c r="F641" s="30"/>
      <c r="G641" s="25"/>
      <c r="H641" s="25"/>
      <c r="I641" s="242"/>
      <c r="J641" s="25"/>
      <c r="K641" s="25"/>
      <c r="L641" s="30"/>
      <c r="M641" s="72"/>
      <c r="N641" s="26"/>
      <c r="O641" s="921">
        <v>0.93490804699999996</v>
      </c>
    </row>
    <row r="642" spans="1:23" s="204" customFormat="1" ht="18.95" customHeight="1">
      <c r="A642" s="44"/>
      <c r="B642" s="27" t="s">
        <v>1625</v>
      </c>
      <c r="C642" s="1278" t="s">
        <v>1607</v>
      </c>
      <c r="D642" s="1279"/>
      <c r="E642" s="104"/>
      <c r="F642" s="30"/>
      <c r="G642" s="25"/>
      <c r="H642" s="25"/>
      <c r="I642" s="242"/>
      <c r="J642" s="25"/>
      <c r="K642" s="25"/>
      <c r="L642" s="30"/>
      <c r="M642" s="25"/>
      <c r="N642" s="26"/>
      <c r="O642" s="921">
        <v>0.93490804699999996</v>
      </c>
    </row>
    <row r="643" spans="1:23" s="204" customFormat="1" ht="18.95" customHeight="1">
      <c r="A643" s="44"/>
      <c r="B643" s="27"/>
      <c r="C643" s="29" t="s">
        <v>1608</v>
      </c>
      <c r="D643" s="356"/>
      <c r="E643" s="104"/>
      <c r="F643" s="30"/>
      <c r="G643" s="25"/>
      <c r="H643" s="25"/>
      <c r="I643" s="242"/>
      <c r="J643" s="25"/>
      <c r="K643" s="25"/>
      <c r="L643" s="30"/>
      <c r="M643" s="25"/>
      <c r="N643" s="26"/>
      <c r="O643" s="921">
        <v>0.93490804699999996</v>
      </c>
    </row>
    <row r="644" spans="1:23" s="204" customFormat="1" ht="18.95" customHeight="1">
      <c r="A644" s="44"/>
      <c r="B644" s="27" t="s">
        <v>1596</v>
      </c>
      <c r="C644" s="46" t="s">
        <v>1597</v>
      </c>
      <c r="D644" s="534"/>
      <c r="E644" s="104">
        <v>17</v>
      </c>
      <c r="F644" s="30" t="s">
        <v>211</v>
      </c>
      <c r="G644" s="25">
        <v>3540</v>
      </c>
      <c r="H644" s="25">
        <f t="shared" si="101"/>
        <v>3309.5744863800001</v>
      </c>
      <c r="I644" s="242">
        <f t="shared" si="104"/>
        <v>56262.76626846</v>
      </c>
      <c r="J644" s="25">
        <v>225</v>
      </c>
      <c r="K644" s="25">
        <f t="shared" si="102"/>
        <v>210.354310575</v>
      </c>
      <c r="L644" s="30">
        <f t="shared" ref="L644:L659" si="105">E644*K644</f>
        <v>3576.023279775</v>
      </c>
      <c r="M644" s="72">
        <f>I644+L644</f>
        <v>59838.789548235</v>
      </c>
      <c r="N644" s="26"/>
      <c r="O644" s="921">
        <v>0.93490804699999996</v>
      </c>
    </row>
    <row r="645" spans="1:23" s="204" customFormat="1" ht="18.95" customHeight="1">
      <c r="A645" s="44"/>
      <c r="B645" s="287" t="s">
        <v>1169</v>
      </c>
      <c r="C645" s="29"/>
      <c r="D645" s="46"/>
      <c r="E645" s="104">
        <v>17</v>
      </c>
      <c r="F645" s="30" t="s">
        <v>211</v>
      </c>
      <c r="G645" s="25">
        <v>383</v>
      </c>
      <c r="H645" s="25">
        <f t="shared" si="101"/>
        <v>358.06978200099996</v>
      </c>
      <c r="I645" s="242">
        <f t="shared" si="104"/>
        <v>6087.1862940169995</v>
      </c>
      <c r="J645" s="25">
        <v>100</v>
      </c>
      <c r="K645" s="25">
        <f t="shared" si="102"/>
        <v>93.490804699999998</v>
      </c>
      <c r="L645" s="30">
        <f t="shared" si="105"/>
        <v>1589.3436798999999</v>
      </c>
      <c r="M645" s="72">
        <f>I645+L645</f>
        <v>7676.5299739169996</v>
      </c>
      <c r="N645" s="26"/>
      <c r="O645" s="921">
        <v>0.93490804699999996</v>
      </c>
    </row>
    <row r="646" spans="1:23" s="204" customFormat="1" ht="18.95" customHeight="1">
      <c r="A646" s="44"/>
      <c r="B646" s="1310" t="s">
        <v>1175</v>
      </c>
      <c r="C646" s="1296"/>
      <c r="D646" s="1297"/>
      <c r="E646" s="104">
        <v>17</v>
      </c>
      <c r="F646" s="30" t="s">
        <v>211</v>
      </c>
      <c r="G646" s="25">
        <v>440</v>
      </c>
      <c r="H646" s="25">
        <f t="shared" si="101"/>
        <v>411.35954068000001</v>
      </c>
      <c r="I646" s="242">
        <f t="shared" si="104"/>
        <v>6993.1121915599997</v>
      </c>
      <c r="J646" s="25">
        <v>20</v>
      </c>
      <c r="K646" s="25">
        <f t="shared" si="102"/>
        <v>18.698160940000001</v>
      </c>
      <c r="L646" s="30">
        <f t="shared" si="105"/>
        <v>317.86873598</v>
      </c>
      <c r="M646" s="72">
        <f>I646+L646</f>
        <v>7310.9809275399994</v>
      </c>
      <c r="N646" s="26"/>
      <c r="O646" s="921">
        <v>0.93490804699999996</v>
      </c>
    </row>
    <row r="647" spans="1:23" s="204" customFormat="1" ht="18.95" customHeight="1">
      <c r="A647" s="44"/>
      <c r="B647" s="287" t="s">
        <v>1171</v>
      </c>
      <c r="C647" s="644"/>
      <c r="D647" s="682"/>
      <c r="E647" s="104"/>
      <c r="F647" s="30"/>
      <c r="G647" s="25"/>
      <c r="H647" s="25"/>
      <c r="I647" s="242"/>
      <c r="J647" s="25"/>
      <c r="K647" s="25"/>
      <c r="L647" s="30"/>
      <c r="M647" s="72"/>
      <c r="N647" s="26"/>
      <c r="O647" s="921">
        <v>0.93490804699999996</v>
      </c>
    </row>
    <row r="648" spans="1:23" s="204" customFormat="1" ht="18.95" customHeight="1">
      <c r="A648" s="44"/>
      <c r="B648" s="27" t="s">
        <v>1626</v>
      </c>
      <c r="C648" s="1278" t="s">
        <v>1607</v>
      </c>
      <c r="D648" s="1279"/>
      <c r="E648" s="104"/>
      <c r="F648" s="30"/>
      <c r="G648" s="25"/>
      <c r="H648" s="25"/>
      <c r="I648" s="242"/>
      <c r="J648" s="25"/>
      <c r="K648" s="25"/>
      <c r="L648" s="30"/>
      <c r="M648" s="25"/>
      <c r="N648" s="26"/>
      <c r="O648" s="921">
        <v>0.93490804699999996</v>
      </c>
    </row>
    <row r="649" spans="1:23" s="204" customFormat="1" ht="18.95" customHeight="1">
      <c r="A649" s="44"/>
      <c r="B649" s="27"/>
      <c r="C649" s="29" t="s">
        <v>1608</v>
      </c>
      <c r="D649" s="356"/>
      <c r="E649" s="104"/>
      <c r="F649" s="30"/>
      <c r="G649" s="25"/>
      <c r="H649" s="25"/>
      <c r="I649" s="242"/>
      <c r="J649" s="25"/>
      <c r="K649" s="25"/>
      <c r="L649" s="30"/>
      <c r="M649" s="25"/>
      <c r="N649" s="26"/>
      <c r="O649" s="921">
        <v>0.93490804699999996</v>
      </c>
    </row>
    <row r="650" spans="1:23" s="204" customFormat="1" ht="18.95" customHeight="1">
      <c r="A650" s="44"/>
      <c r="B650" s="27" t="s">
        <v>1596</v>
      </c>
      <c r="C650" s="46" t="s">
        <v>1597</v>
      </c>
      <c r="D650" s="534"/>
      <c r="E650" s="104">
        <v>12</v>
      </c>
      <c r="F650" s="30" t="s">
        <v>211</v>
      </c>
      <c r="G650" s="25">
        <v>3540</v>
      </c>
      <c r="H650" s="25">
        <f t="shared" si="101"/>
        <v>3309.5744863800001</v>
      </c>
      <c r="I650" s="242">
        <f t="shared" si="104"/>
        <v>39714.893836560004</v>
      </c>
      <c r="J650" s="25">
        <v>225</v>
      </c>
      <c r="K650" s="25">
        <f t="shared" si="102"/>
        <v>210.354310575</v>
      </c>
      <c r="L650" s="30">
        <f t="shared" si="105"/>
        <v>2524.2517269</v>
      </c>
      <c r="M650" s="72">
        <f>I650+L650</f>
        <v>42239.145563460006</v>
      </c>
      <c r="N650" s="26"/>
      <c r="O650" s="921">
        <v>0.93490804699999996</v>
      </c>
    </row>
    <row r="651" spans="1:23" s="204" customFormat="1" ht="18.95" customHeight="1">
      <c r="A651" s="44"/>
      <c r="B651" s="287" t="s">
        <v>1169</v>
      </c>
      <c r="C651" s="29"/>
      <c r="D651" s="46"/>
      <c r="E651" s="104">
        <v>12</v>
      </c>
      <c r="F651" s="30" t="s">
        <v>211</v>
      </c>
      <c r="G651" s="25">
        <v>383</v>
      </c>
      <c r="H651" s="25">
        <f t="shared" si="101"/>
        <v>358.06978200099996</v>
      </c>
      <c r="I651" s="242">
        <f t="shared" si="104"/>
        <v>4296.8373840119993</v>
      </c>
      <c r="J651" s="25">
        <v>100</v>
      </c>
      <c r="K651" s="25">
        <f t="shared" si="102"/>
        <v>93.490804699999998</v>
      </c>
      <c r="L651" s="30">
        <f t="shared" si="105"/>
        <v>1121.8896563999999</v>
      </c>
      <c r="M651" s="72">
        <f>I651+L651</f>
        <v>5418.727040411999</v>
      </c>
      <c r="N651" s="26"/>
      <c r="O651" s="921">
        <v>0.93490804699999996</v>
      </c>
    </row>
    <row r="652" spans="1:23" s="204" customFormat="1" ht="18.95" customHeight="1">
      <c r="A652" s="44"/>
      <c r="B652" s="1310" t="s">
        <v>1175</v>
      </c>
      <c r="C652" s="1296"/>
      <c r="D652" s="1297"/>
      <c r="E652" s="104">
        <v>12</v>
      </c>
      <c r="F652" s="30" t="s">
        <v>211</v>
      </c>
      <c r="G652" s="25">
        <v>440</v>
      </c>
      <c r="H652" s="25">
        <f t="shared" si="101"/>
        <v>411.35954068000001</v>
      </c>
      <c r="I652" s="242">
        <f t="shared" si="104"/>
        <v>4936.3144881600001</v>
      </c>
      <c r="J652" s="25">
        <v>20</v>
      </c>
      <c r="K652" s="25">
        <f t="shared" si="102"/>
        <v>18.698160940000001</v>
      </c>
      <c r="L652" s="30">
        <f t="shared" si="105"/>
        <v>224.37793128000001</v>
      </c>
      <c r="M652" s="72">
        <f>I652+L652</f>
        <v>5160.6924194399999</v>
      </c>
      <c r="N652" s="26"/>
      <c r="O652" s="921">
        <v>0.93490804699999996</v>
      </c>
    </row>
    <row r="653" spans="1:23" ht="18.95" customHeight="1">
      <c r="A653" s="44"/>
      <c r="B653" s="287" t="s">
        <v>1171</v>
      </c>
      <c r="C653" s="644"/>
      <c r="D653" s="682"/>
      <c r="E653" s="104"/>
      <c r="F653" s="30"/>
      <c r="G653" s="25"/>
      <c r="H653" s="25"/>
      <c r="I653" s="242"/>
      <c r="J653" s="25"/>
      <c r="K653" s="25"/>
      <c r="L653" s="30"/>
      <c r="M653" s="72"/>
      <c r="N653" s="26"/>
      <c r="O653" s="921">
        <v>0.93490804699999996</v>
      </c>
    </row>
    <row r="654" spans="1:23" ht="18.95" customHeight="1">
      <c r="A654" s="44"/>
      <c r="B654" s="348" t="s">
        <v>1627</v>
      </c>
      <c r="C654" s="29" t="s">
        <v>853</v>
      </c>
      <c r="D654" s="46" t="s">
        <v>1628</v>
      </c>
      <c r="E654" s="104">
        <v>2.4</v>
      </c>
      <c r="F654" s="30" t="s">
        <v>211</v>
      </c>
      <c r="G654" s="25">
        <v>0</v>
      </c>
      <c r="H654" s="25">
        <f t="shared" si="101"/>
        <v>0</v>
      </c>
      <c r="I654" s="242">
        <f t="shared" si="104"/>
        <v>0</v>
      </c>
      <c r="J654" s="25">
        <v>0</v>
      </c>
      <c r="K654" s="25">
        <f t="shared" si="102"/>
        <v>0</v>
      </c>
      <c r="L654" s="30">
        <f t="shared" si="105"/>
        <v>0</v>
      </c>
      <c r="M654" s="72">
        <f>I654+L654</f>
        <v>0</v>
      </c>
      <c r="N654" s="26"/>
      <c r="O654" s="921">
        <v>0.93490804699999996</v>
      </c>
    </row>
    <row r="655" spans="1:23" ht="18.95" customHeight="1">
      <c r="A655" s="954"/>
      <c r="B655" s="302" t="s">
        <v>1181</v>
      </c>
      <c r="C655" s="9"/>
      <c r="D655" s="346"/>
      <c r="E655" s="896"/>
      <c r="F655" s="102"/>
      <c r="G655" s="34"/>
      <c r="H655" s="25"/>
      <c r="I655" s="242"/>
      <c r="J655" s="34"/>
      <c r="K655" s="25"/>
      <c r="L655" s="30"/>
      <c r="M655" s="34"/>
      <c r="N655" s="35"/>
      <c r="O655" s="921">
        <v>0.93490804699999996</v>
      </c>
    </row>
    <row r="656" spans="1:23" s="1" customFormat="1" ht="18.95" customHeight="1">
      <c r="A656" s="44"/>
      <c r="B656" s="348"/>
      <c r="C656" s="29" t="s">
        <v>1629</v>
      </c>
      <c r="D656" s="46"/>
      <c r="E656" s="104">
        <v>90</v>
      </c>
      <c r="F656" s="30" t="s">
        <v>286</v>
      </c>
      <c r="G656" s="25">
        <v>350</v>
      </c>
      <c r="H656" s="25">
        <f t="shared" si="101"/>
        <v>327.21781644999999</v>
      </c>
      <c r="I656" s="242">
        <f t="shared" si="104"/>
        <v>29449.603480499998</v>
      </c>
      <c r="J656" s="25">
        <v>150</v>
      </c>
      <c r="K656" s="25">
        <f t="shared" si="102"/>
        <v>140.23620704999999</v>
      </c>
      <c r="L656" s="30">
        <f t="shared" si="105"/>
        <v>12621.2586345</v>
      </c>
      <c r="M656" s="72">
        <f>I656+L656</f>
        <v>42070.862114999996</v>
      </c>
      <c r="N656" s="26"/>
      <c r="O656" s="921">
        <v>0.93490804699999996</v>
      </c>
      <c r="P656" s="206"/>
      <c r="Q656" s="206"/>
      <c r="R656" s="206"/>
      <c r="S656" s="206"/>
      <c r="T656" s="206"/>
      <c r="U656" s="206"/>
      <c r="V656" s="206"/>
      <c r="W656" s="206"/>
    </row>
    <row r="657" spans="1:23" ht="18.95" customHeight="1">
      <c r="A657" s="44"/>
      <c r="B657" s="348"/>
      <c r="C657" s="29" t="s">
        <v>1630</v>
      </c>
      <c r="D657" s="46"/>
      <c r="E657" s="104">
        <v>34</v>
      </c>
      <c r="F657" s="30" t="s">
        <v>286</v>
      </c>
      <c r="G657" s="25">
        <v>350</v>
      </c>
      <c r="H657" s="25">
        <f t="shared" si="101"/>
        <v>327.21781644999999</v>
      </c>
      <c r="I657" s="242">
        <f t="shared" si="104"/>
        <v>11125.4057593</v>
      </c>
      <c r="J657" s="25">
        <v>150</v>
      </c>
      <c r="K657" s="25">
        <f t="shared" si="102"/>
        <v>140.23620704999999</v>
      </c>
      <c r="L657" s="30">
        <f t="shared" si="105"/>
        <v>4768.0310396999994</v>
      </c>
      <c r="M657" s="72">
        <f>I657+L657</f>
        <v>15893.436798999999</v>
      </c>
      <c r="N657" s="26"/>
      <c r="O657" s="921">
        <v>0.93490804699999996</v>
      </c>
    </row>
    <row r="658" spans="1:23" ht="18.95" customHeight="1">
      <c r="A658" s="954"/>
      <c r="B658" s="302" t="s">
        <v>1182</v>
      </c>
      <c r="C658" s="9"/>
      <c r="D658" s="346"/>
      <c r="E658" s="896"/>
      <c r="F658" s="102"/>
      <c r="G658" s="34"/>
      <c r="H658" s="25"/>
      <c r="I658" s="242"/>
      <c r="J658" s="34"/>
      <c r="K658" s="25"/>
      <c r="L658" s="30"/>
      <c r="M658" s="34"/>
      <c r="N658" s="35"/>
      <c r="O658" s="921">
        <v>0.93490804699999996</v>
      </c>
    </row>
    <row r="659" spans="1:23" s="1" customFormat="1" ht="18.95" customHeight="1">
      <c r="A659" s="44" t="s">
        <v>1631</v>
      </c>
      <c r="B659" s="27" t="s">
        <v>1632</v>
      </c>
      <c r="C659" s="349"/>
      <c r="D659" s="49"/>
      <c r="E659" s="104">
        <v>68</v>
      </c>
      <c r="F659" s="30" t="s">
        <v>286</v>
      </c>
      <c r="G659" s="25">
        <v>250</v>
      </c>
      <c r="H659" s="25">
        <f t="shared" si="101"/>
        <v>233.72701175</v>
      </c>
      <c r="I659" s="242">
        <f t="shared" si="104"/>
        <v>15893.436799000001</v>
      </c>
      <c r="J659" s="25"/>
      <c r="K659" s="25">
        <f t="shared" si="102"/>
        <v>0</v>
      </c>
      <c r="L659" s="30">
        <f t="shared" si="105"/>
        <v>0</v>
      </c>
      <c r="M659" s="25">
        <f>I659+L659</f>
        <v>15893.436799000001</v>
      </c>
      <c r="N659" s="26"/>
      <c r="O659" s="921">
        <v>0.93490804699999996</v>
      </c>
      <c r="P659" s="206"/>
      <c r="Q659" s="206"/>
      <c r="R659" s="206"/>
      <c r="S659" s="206"/>
      <c r="T659" s="206"/>
      <c r="U659" s="206"/>
      <c r="V659" s="206"/>
      <c r="W659" s="206"/>
    </row>
    <row r="660" spans="1:23" ht="18.95" customHeight="1">
      <c r="A660" s="955"/>
      <c r="B660" s="1293" t="s">
        <v>1633</v>
      </c>
      <c r="C660" s="1294"/>
      <c r="D660" s="1295"/>
      <c r="E660" s="902"/>
      <c r="F660" s="903">
        <v>0</v>
      </c>
      <c r="G660" s="903">
        <v>1</v>
      </c>
      <c r="H660" s="903"/>
      <c r="I660" s="904">
        <f>SUM(I574:I659)</f>
        <v>1465424.4229942907</v>
      </c>
      <c r="J660" s="904"/>
      <c r="K660" s="903"/>
      <c r="L660" s="904">
        <f>SUM(L574:L659)</f>
        <v>80818.126122914997</v>
      </c>
      <c r="M660" s="904">
        <f>SUM(M574:M659)</f>
        <v>1546242.5491172057</v>
      </c>
      <c r="N660" s="902"/>
      <c r="O660" s="921">
        <v>0.93490804699999996</v>
      </c>
    </row>
    <row r="661" spans="1:23" ht="18.95" customHeight="1">
      <c r="A661" s="58"/>
      <c r="B661" s="256"/>
      <c r="C661" s="257"/>
      <c r="D661" s="258"/>
      <c r="E661" s="896"/>
      <c r="F661" s="102"/>
      <c r="G661" s="102"/>
      <c r="H661" s="102"/>
      <c r="I661" s="34"/>
      <c r="J661" s="34"/>
      <c r="K661" s="102"/>
      <c r="L661" s="34"/>
      <c r="M661" s="34"/>
      <c r="N661" s="415"/>
      <c r="O661" s="921">
        <v>0.93490804699999996</v>
      </c>
    </row>
    <row r="662" spans="1:23" ht="18.95" customHeight="1">
      <c r="A662" s="220">
        <v>11</v>
      </c>
      <c r="B662" s="302" t="s">
        <v>1634</v>
      </c>
      <c r="C662" s="221"/>
      <c r="D662" s="897"/>
      <c r="E662" s="896"/>
      <c r="F662" s="102"/>
      <c r="G662" s="102"/>
      <c r="H662" s="102"/>
      <c r="I662" s="34"/>
      <c r="J662" s="102"/>
      <c r="K662" s="102"/>
      <c r="L662" s="34"/>
      <c r="M662" s="35"/>
      <c r="N662" s="35"/>
      <c r="O662" s="921">
        <v>0.93490804699999996</v>
      </c>
    </row>
    <row r="663" spans="1:23" ht="18.95" customHeight="1">
      <c r="A663" s="935"/>
      <c r="B663" s="932" t="s">
        <v>1635</v>
      </c>
      <c r="C663" s="900" t="s">
        <v>1636</v>
      </c>
      <c r="D663" s="901"/>
      <c r="E663" s="956"/>
      <c r="F663" s="903"/>
      <c r="G663" s="903"/>
      <c r="H663" s="903"/>
      <c r="I663" s="904"/>
      <c r="J663" s="904"/>
      <c r="K663" s="903"/>
      <c r="L663" s="904"/>
      <c r="M663" s="904"/>
      <c r="N663" s="903"/>
      <c r="O663" s="921">
        <v>0.93490804699999996</v>
      </c>
    </row>
    <row r="664" spans="1:23" ht="18.95" customHeight="1">
      <c r="A664" s="44"/>
      <c r="B664" s="27" t="s">
        <v>1637</v>
      </c>
      <c r="C664" s="29" t="s">
        <v>1638</v>
      </c>
      <c r="D664" s="895"/>
      <c r="E664" s="908"/>
      <c r="F664" s="384"/>
      <c r="G664" s="384"/>
      <c r="H664" s="384"/>
      <c r="I664" s="242"/>
      <c r="J664" s="242"/>
      <c r="K664" s="384"/>
      <c r="L664" s="384"/>
      <c r="M664" s="242"/>
      <c r="N664" s="26" t="s">
        <v>151</v>
      </c>
      <c r="O664" s="921">
        <v>0.93490804699999996</v>
      </c>
      <c r="P664" s="961">
        <f>E664*J664</f>
        <v>0</v>
      </c>
    </row>
    <row r="665" spans="1:23" ht="18.95" customHeight="1">
      <c r="A665" s="44"/>
      <c r="B665" s="348" t="s">
        <v>1519</v>
      </c>
      <c r="C665" s="29" t="s">
        <v>1263</v>
      </c>
      <c r="D665" s="46" t="s">
        <v>1639</v>
      </c>
      <c r="E665" s="104">
        <v>5</v>
      </c>
      <c r="F665" s="30" t="s">
        <v>286</v>
      </c>
      <c r="G665" s="25">
        <v>20000</v>
      </c>
      <c r="H665" s="25">
        <f t="shared" si="101"/>
        <v>18698.160939999998</v>
      </c>
      <c r="I665" s="242">
        <f t="shared" ref="I665:I684" si="106">E665*H665</f>
        <v>93490.804699999993</v>
      </c>
      <c r="J665" s="25"/>
      <c r="K665" s="25">
        <f t="shared" si="102"/>
        <v>0</v>
      </c>
      <c r="L665" s="30"/>
      <c r="M665" s="72">
        <f>I665+L665</f>
        <v>93490.804699999993</v>
      </c>
      <c r="N665" s="26"/>
      <c r="O665" s="921">
        <v>0.93490804699999996</v>
      </c>
      <c r="P665" s="961"/>
    </row>
    <row r="666" spans="1:23" ht="18.95" customHeight="1">
      <c r="A666" s="44"/>
      <c r="B666" s="348" t="s">
        <v>1111</v>
      </c>
      <c r="C666" s="29" t="s">
        <v>51</v>
      </c>
      <c r="D666" s="46" t="s">
        <v>1640</v>
      </c>
      <c r="E666" s="104">
        <v>2</v>
      </c>
      <c r="F666" s="30" t="s">
        <v>211</v>
      </c>
      <c r="G666" s="25">
        <v>9700</v>
      </c>
      <c r="H666" s="25">
        <f t="shared" si="101"/>
        <v>9068.6080559000002</v>
      </c>
      <c r="I666" s="242">
        <f t="shared" si="106"/>
        <v>18137.2161118</v>
      </c>
      <c r="J666" s="25"/>
      <c r="K666" s="25">
        <f t="shared" si="102"/>
        <v>0</v>
      </c>
      <c r="L666" s="30"/>
      <c r="M666" s="72">
        <f>I666+L666</f>
        <v>18137.2161118</v>
      </c>
      <c r="N666" s="26"/>
      <c r="O666" s="921">
        <v>0.93490804699999996</v>
      </c>
      <c r="P666" s="961"/>
    </row>
    <row r="667" spans="1:23" ht="18.95" customHeight="1">
      <c r="A667" s="44"/>
      <c r="B667" s="348" t="s">
        <v>1641</v>
      </c>
      <c r="C667" s="29" t="s">
        <v>1642</v>
      </c>
      <c r="D667" s="46" t="s">
        <v>1643</v>
      </c>
      <c r="E667" s="104">
        <v>2</v>
      </c>
      <c r="F667" s="30" t="s">
        <v>211</v>
      </c>
      <c r="G667" s="25">
        <v>660</v>
      </c>
      <c r="H667" s="25">
        <f t="shared" si="101"/>
        <v>617.03931102000001</v>
      </c>
      <c r="I667" s="242">
        <f t="shared" si="106"/>
        <v>1234.07862204</v>
      </c>
      <c r="J667" s="25">
        <v>200</v>
      </c>
      <c r="K667" s="25">
        <f t="shared" si="102"/>
        <v>186.9816094</v>
      </c>
      <c r="L667" s="30">
        <f>E667*K667</f>
        <v>373.96321879999999</v>
      </c>
      <c r="M667" s="72">
        <f>I667+L667</f>
        <v>1608.0418408400001</v>
      </c>
      <c r="N667" s="26"/>
      <c r="O667" s="921">
        <v>0.93490804699999996</v>
      </c>
      <c r="P667" s="961"/>
    </row>
    <row r="668" spans="1:23" ht="18.95" customHeight="1">
      <c r="A668" s="44"/>
      <c r="B668" s="348" t="s">
        <v>1041</v>
      </c>
      <c r="C668" s="1278" t="s">
        <v>1086</v>
      </c>
      <c r="D668" s="1279"/>
      <c r="E668" s="104">
        <v>1</v>
      </c>
      <c r="F668" s="30" t="s">
        <v>349</v>
      </c>
      <c r="G668" s="25">
        <v>11495</v>
      </c>
      <c r="H668" s="25">
        <f t="shared" si="101"/>
        <v>10746.768000265</v>
      </c>
      <c r="I668" s="242">
        <f t="shared" si="106"/>
        <v>10746.768000265</v>
      </c>
      <c r="J668" s="25"/>
      <c r="K668" s="25">
        <f t="shared" si="102"/>
        <v>0</v>
      </c>
      <c r="L668" s="30">
        <f>E668*J668</f>
        <v>0</v>
      </c>
      <c r="M668" s="72">
        <f>I668+L668</f>
        <v>10746.768000265</v>
      </c>
      <c r="N668" s="26"/>
      <c r="O668" s="921">
        <v>0.93490804699999996</v>
      </c>
      <c r="P668" s="961"/>
    </row>
    <row r="669" spans="1:23" ht="18.95" customHeight="1">
      <c r="A669" s="44"/>
      <c r="B669" s="348"/>
      <c r="C669" s="29" t="s">
        <v>1644</v>
      </c>
      <c r="D669" s="356"/>
      <c r="E669" s="104"/>
      <c r="F669" s="30"/>
      <c r="G669" s="25"/>
      <c r="H669" s="25"/>
      <c r="I669" s="242"/>
      <c r="J669" s="25"/>
      <c r="K669" s="25"/>
      <c r="L669" s="30"/>
      <c r="M669" s="72"/>
      <c r="N669" s="26"/>
      <c r="O669" s="921">
        <v>0.93490804699999996</v>
      </c>
      <c r="P669" s="961"/>
    </row>
    <row r="670" spans="1:23" ht="18.95" customHeight="1">
      <c r="A670" s="44"/>
      <c r="B670" s="348" t="s">
        <v>1285</v>
      </c>
      <c r="C670" s="29" t="s">
        <v>1645</v>
      </c>
      <c r="D670" s="46"/>
      <c r="E670" s="104">
        <v>1</v>
      </c>
      <c r="F670" s="30" t="s">
        <v>349</v>
      </c>
      <c r="G670" s="25">
        <v>3699</v>
      </c>
      <c r="H670" s="25">
        <f t="shared" ref="H670:H684" si="107">G670*O670</f>
        <v>3458.2248658529998</v>
      </c>
      <c r="I670" s="242">
        <f t="shared" si="106"/>
        <v>3458.2248658529998</v>
      </c>
      <c r="J670" s="25"/>
      <c r="K670" s="25">
        <f t="shared" ref="K670:K684" si="108">J670*O670</f>
        <v>0</v>
      </c>
      <c r="L670" s="30">
        <f>E670*J670</f>
        <v>0</v>
      </c>
      <c r="M670" s="72">
        <f>I670+L670</f>
        <v>3458.2248658529998</v>
      </c>
      <c r="N670" s="26"/>
      <c r="O670" s="921">
        <v>0.93490804699999996</v>
      </c>
      <c r="P670" s="961"/>
    </row>
    <row r="671" spans="1:23" ht="18.95" customHeight="1">
      <c r="A671" s="935"/>
      <c r="B671" s="932">
        <v>314</v>
      </c>
      <c r="C671" s="900" t="s">
        <v>1646</v>
      </c>
      <c r="D671" s="901"/>
      <c r="E671" s="956"/>
      <c r="F671" s="903"/>
      <c r="G671" s="903"/>
      <c r="H671" s="903"/>
      <c r="I671" s="903"/>
      <c r="J671" s="903"/>
      <c r="K671" s="903"/>
      <c r="L671" s="904"/>
      <c r="M671" s="904"/>
      <c r="N671" s="903"/>
      <c r="O671" s="921">
        <v>0.93490804699999996</v>
      </c>
      <c r="P671" s="961"/>
    </row>
    <row r="672" spans="1:23" ht="18.95" customHeight="1">
      <c r="A672" s="44"/>
      <c r="B672" s="27" t="s">
        <v>1647</v>
      </c>
      <c r="C672" s="230" t="s">
        <v>1648</v>
      </c>
      <c r="D672" s="49"/>
      <c r="E672" s="908"/>
      <c r="F672" s="384"/>
      <c r="G672" s="384"/>
      <c r="H672" s="384"/>
      <c r="I672" s="384"/>
      <c r="J672" s="384"/>
      <c r="K672" s="384"/>
      <c r="L672" s="384"/>
      <c r="M672" s="242"/>
      <c r="N672" s="26" t="s">
        <v>151</v>
      </c>
      <c r="O672" s="921">
        <v>0.93490804699999996</v>
      </c>
      <c r="P672" s="961">
        <f>J672*E672</f>
        <v>0</v>
      </c>
    </row>
    <row r="673" spans="1:15" ht="18.95" customHeight="1">
      <c r="A673" s="44"/>
      <c r="B673" s="348" t="s">
        <v>1519</v>
      </c>
      <c r="C673" s="29" t="s">
        <v>1263</v>
      </c>
      <c r="D673" s="46" t="s">
        <v>1639</v>
      </c>
      <c r="E673" s="104">
        <v>3</v>
      </c>
      <c r="F673" s="30" t="s">
        <v>286</v>
      </c>
      <c r="G673" s="25">
        <v>20000</v>
      </c>
      <c r="H673" s="25">
        <f t="shared" si="107"/>
        <v>18698.160939999998</v>
      </c>
      <c r="I673" s="242">
        <f t="shared" si="106"/>
        <v>56094.48281999999</v>
      </c>
      <c r="J673" s="25"/>
      <c r="K673" s="25">
        <f t="shared" si="108"/>
        <v>0</v>
      </c>
      <c r="L673" s="30"/>
      <c r="M673" s="72">
        <f>I673+L673</f>
        <v>56094.48281999999</v>
      </c>
      <c r="N673" s="26"/>
      <c r="O673" s="921">
        <v>0.93490804699999996</v>
      </c>
    </row>
    <row r="674" spans="1:15" ht="18.95" customHeight="1">
      <c r="A674" s="44"/>
      <c r="B674" s="348" t="s">
        <v>1111</v>
      </c>
      <c r="C674" s="29" t="s">
        <v>51</v>
      </c>
      <c r="D674" s="46" t="s">
        <v>1640</v>
      </c>
      <c r="E674" s="104">
        <v>1.5</v>
      </c>
      <c r="F674" s="30" t="s">
        <v>211</v>
      </c>
      <c r="G674" s="25">
        <v>9700</v>
      </c>
      <c r="H674" s="25">
        <f t="shared" si="107"/>
        <v>9068.6080559000002</v>
      </c>
      <c r="I674" s="242">
        <f t="shared" si="106"/>
        <v>13602.91208385</v>
      </c>
      <c r="J674" s="25"/>
      <c r="K674" s="25">
        <f t="shared" si="108"/>
        <v>0</v>
      </c>
      <c r="L674" s="30"/>
      <c r="M674" s="72">
        <f>I674+L674</f>
        <v>13602.91208385</v>
      </c>
      <c r="N674" s="26"/>
      <c r="O674" s="921">
        <v>0.93490804699999996</v>
      </c>
    </row>
    <row r="675" spans="1:15" ht="18.95" customHeight="1">
      <c r="A675" s="44"/>
      <c r="B675" s="348" t="s">
        <v>1641</v>
      </c>
      <c r="C675" s="29" t="s">
        <v>1642</v>
      </c>
      <c r="D675" s="46" t="s">
        <v>1643</v>
      </c>
      <c r="E675" s="104">
        <v>2</v>
      </c>
      <c r="F675" s="30" t="s">
        <v>211</v>
      </c>
      <c r="G675" s="25">
        <v>660</v>
      </c>
      <c r="H675" s="25">
        <f t="shared" si="107"/>
        <v>617.03931102000001</v>
      </c>
      <c r="I675" s="242">
        <f t="shared" si="106"/>
        <v>1234.07862204</v>
      </c>
      <c r="J675" s="25">
        <v>200</v>
      </c>
      <c r="K675" s="25">
        <f t="shared" si="108"/>
        <v>186.9816094</v>
      </c>
      <c r="L675" s="30">
        <f>E675*K675</f>
        <v>373.96321879999999</v>
      </c>
      <c r="M675" s="72">
        <f>I675+L675</f>
        <v>1608.0418408400001</v>
      </c>
      <c r="N675" s="26"/>
      <c r="O675" s="921">
        <v>0.93490804699999996</v>
      </c>
    </row>
    <row r="676" spans="1:15" ht="18.95" customHeight="1">
      <c r="A676" s="44"/>
      <c r="B676" s="348" t="s">
        <v>1041</v>
      </c>
      <c r="C676" s="1278" t="s">
        <v>1649</v>
      </c>
      <c r="D676" s="1279"/>
      <c r="E676" s="104">
        <v>1</v>
      </c>
      <c r="F676" s="30" t="s">
        <v>349</v>
      </c>
      <c r="G676" s="25">
        <v>11495</v>
      </c>
      <c r="H676" s="25">
        <f t="shared" si="107"/>
        <v>10746.768000265</v>
      </c>
      <c r="I676" s="242">
        <f t="shared" si="106"/>
        <v>10746.768000265</v>
      </c>
      <c r="J676" s="25"/>
      <c r="K676" s="25">
        <f t="shared" si="108"/>
        <v>0</v>
      </c>
      <c r="L676" s="30">
        <f>E676*J676</f>
        <v>0</v>
      </c>
      <c r="M676" s="72">
        <f>I676+L676</f>
        <v>10746.768000265</v>
      </c>
      <c r="N676" s="26"/>
      <c r="O676" s="921">
        <v>0.93490804699999996</v>
      </c>
    </row>
    <row r="677" spans="1:15" ht="18.95" customHeight="1">
      <c r="A677" s="44"/>
      <c r="B677" s="348" t="s">
        <v>1285</v>
      </c>
      <c r="C677" s="29" t="s">
        <v>1645</v>
      </c>
      <c r="D677" s="46"/>
      <c r="E677" s="104">
        <v>1</v>
      </c>
      <c r="F677" s="30" t="s">
        <v>349</v>
      </c>
      <c r="G677" s="25">
        <v>3699</v>
      </c>
      <c r="H677" s="25">
        <f t="shared" si="107"/>
        <v>3458.2248658529998</v>
      </c>
      <c r="I677" s="242">
        <f t="shared" si="106"/>
        <v>3458.2248658529998</v>
      </c>
      <c r="J677" s="25"/>
      <c r="K677" s="25">
        <f t="shared" si="108"/>
        <v>0</v>
      </c>
      <c r="L677" s="30">
        <f>E677*J677</f>
        <v>0</v>
      </c>
      <c r="M677" s="72">
        <f>I677+L677</f>
        <v>3458.2248658529998</v>
      </c>
      <c r="N677" s="26"/>
      <c r="O677" s="921">
        <v>0.93490804699999996</v>
      </c>
    </row>
    <row r="678" spans="1:15" ht="18.95" customHeight="1">
      <c r="A678" s="935"/>
      <c r="B678" s="932" t="s">
        <v>1650</v>
      </c>
      <c r="C678" s="900" t="s">
        <v>1651</v>
      </c>
      <c r="D678" s="901"/>
      <c r="E678" s="956"/>
      <c r="F678" s="956"/>
      <c r="G678" s="956"/>
      <c r="H678" s="956"/>
      <c r="I678" s="956"/>
      <c r="J678" s="956"/>
      <c r="K678" s="956"/>
      <c r="L678" s="904"/>
      <c r="M678" s="904"/>
      <c r="N678" s="903"/>
      <c r="O678" s="921">
        <v>0.93490804699999996</v>
      </c>
    </row>
    <row r="679" spans="1:15" ht="18.95" customHeight="1">
      <c r="A679" s="44"/>
      <c r="B679" s="27" t="s">
        <v>1652</v>
      </c>
      <c r="C679" s="230" t="s">
        <v>1653</v>
      </c>
      <c r="D679" s="49"/>
      <c r="E679" s="908"/>
      <c r="F679" s="908"/>
      <c r="G679" s="908"/>
      <c r="H679" s="908"/>
      <c r="I679" s="908"/>
      <c r="J679" s="908"/>
      <c r="K679" s="908"/>
      <c r="L679" s="384"/>
      <c r="M679" s="242"/>
      <c r="N679" s="26"/>
      <c r="O679" s="921">
        <v>0.93490804699999996</v>
      </c>
    </row>
    <row r="680" spans="1:15" ht="18.95" customHeight="1">
      <c r="A680" s="44"/>
      <c r="B680" s="348" t="s">
        <v>1519</v>
      </c>
      <c r="C680" s="29" t="s">
        <v>1263</v>
      </c>
      <c r="D680" s="46" t="s">
        <v>1639</v>
      </c>
      <c r="E680" s="104">
        <v>3.2</v>
      </c>
      <c r="F680" s="30" t="s">
        <v>286</v>
      </c>
      <c r="G680" s="25">
        <v>20000</v>
      </c>
      <c r="H680" s="25">
        <f t="shared" si="107"/>
        <v>18698.160939999998</v>
      </c>
      <c r="I680" s="242">
        <f t="shared" si="106"/>
        <v>59834.115007999993</v>
      </c>
      <c r="J680" s="25"/>
      <c r="K680" s="25">
        <f t="shared" si="108"/>
        <v>0</v>
      </c>
      <c r="L680" s="30"/>
      <c r="M680" s="72">
        <f>I680+L680</f>
        <v>59834.115007999993</v>
      </c>
      <c r="N680" s="26"/>
      <c r="O680" s="921">
        <v>0.93490804699999996</v>
      </c>
    </row>
    <row r="681" spans="1:15" ht="18.95" customHeight="1">
      <c r="A681" s="44"/>
      <c r="B681" s="348" t="s">
        <v>1111</v>
      </c>
      <c r="C681" s="29" t="s">
        <v>51</v>
      </c>
      <c r="D681" s="46" t="s">
        <v>1640</v>
      </c>
      <c r="E681" s="104">
        <v>1.5</v>
      </c>
      <c r="F681" s="30" t="s">
        <v>211</v>
      </c>
      <c r="G681" s="25">
        <v>9700</v>
      </c>
      <c r="H681" s="25">
        <f t="shared" si="107"/>
        <v>9068.6080559000002</v>
      </c>
      <c r="I681" s="242">
        <f t="shared" si="106"/>
        <v>13602.91208385</v>
      </c>
      <c r="J681" s="25"/>
      <c r="K681" s="25">
        <f t="shared" si="108"/>
        <v>0</v>
      </c>
      <c r="L681" s="30"/>
      <c r="M681" s="72">
        <f>I681+L681</f>
        <v>13602.91208385</v>
      </c>
      <c r="N681" s="26"/>
      <c r="O681" s="921">
        <v>0.93490804699999996</v>
      </c>
    </row>
    <row r="682" spans="1:15" ht="18.95" customHeight="1">
      <c r="A682" s="44"/>
      <c r="B682" s="348" t="s">
        <v>1641</v>
      </c>
      <c r="C682" s="29" t="s">
        <v>1642</v>
      </c>
      <c r="D682" s="46" t="s">
        <v>1643</v>
      </c>
      <c r="E682" s="104">
        <v>1.5</v>
      </c>
      <c r="F682" s="30" t="s">
        <v>211</v>
      </c>
      <c r="G682" s="25">
        <v>660</v>
      </c>
      <c r="H682" s="25">
        <f t="shared" si="107"/>
        <v>617.03931102000001</v>
      </c>
      <c r="I682" s="242">
        <f t="shared" si="106"/>
        <v>925.55896653000002</v>
      </c>
      <c r="J682" s="25">
        <v>200</v>
      </c>
      <c r="K682" s="25">
        <f t="shared" si="108"/>
        <v>186.9816094</v>
      </c>
      <c r="L682" s="30">
        <f>E682*K682</f>
        <v>280.47241409999998</v>
      </c>
      <c r="M682" s="72">
        <f>I682+L682</f>
        <v>1206.0313806300001</v>
      </c>
      <c r="N682" s="26"/>
      <c r="O682" s="921">
        <v>0.93490804699999996</v>
      </c>
    </row>
    <row r="683" spans="1:15" ht="18.95" customHeight="1">
      <c r="A683" s="44"/>
      <c r="B683" s="348" t="s">
        <v>1041</v>
      </c>
      <c r="C683" s="1278" t="s">
        <v>1649</v>
      </c>
      <c r="D683" s="1279"/>
      <c r="E683" s="104">
        <v>1</v>
      </c>
      <c r="F683" s="30" t="s">
        <v>349</v>
      </c>
      <c r="G683" s="25">
        <v>11495</v>
      </c>
      <c r="H683" s="25">
        <f t="shared" si="107"/>
        <v>10746.768000265</v>
      </c>
      <c r="I683" s="242">
        <f t="shared" si="106"/>
        <v>10746.768000265</v>
      </c>
      <c r="J683" s="25"/>
      <c r="K683" s="25">
        <f t="shared" si="108"/>
        <v>0</v>
      </c>
      <c r="L683" s="30">
        <f>E683*J683</f>
        <v>0</v>
      </c>
      <c r="M683" s="72">
        <f>I683+L683</f>
        <v>10746.768000265</v>
      </c>
      <c r="N683" s="26"/>
      <c r="O683" s="921">
        <v>0.93490804699999996</v>
      </c>
    </row>
    <row r="684" spans="1:15" ht="18.95" customHeight="1">
      <c r="A684" s="44"/>
      <c r="B684" s="348" t="s">
        <v>1285</v>
      </c>
      <c r="C684" s="29" t="s">
        <v>1645</v>
      </c>
      <c r="D684" s="46"/>
      <c r="E684" s="104">
        <v>1</v>
      </c>
      <c r="F684" s="30" t="s">
        <v>349</v>
      </c>
      <c r="G684" s="25">
        <v>3699</v>
      </c>
      <c r="H684" s="25">
        <f t="shared" si="107"/>
        <v>3458.2248658529998</v>
      </c>
      <c r="I684" s="242">
        <f t="shared" si="106"/>
        <v>3458.2248658529998</v>
      </c>
      <c r="J684" s="25"/>
      <c r="K684" s="25">
        <f t="shared" si="108"/>
        <v>0</v>
      </c>
      <c r="L684" s="30">
        <f>E684*J684</f>
        <v>0</v>
      </c>
      <c r="M684" s="72">
        <f>I684+L684</f>
        <v>3458.2248658529998</v>
      </c>
      <c r="N684" s="26"/>
      <c r="O684" s="921">
        <v>0.93490804699999996</v>
      </c>
    </row>
    <row r="685" spans="1:15" s="204" customFormat="1" ht="18.95" customHeight="1">
      <c r="A685" s="957"/>
      <c r="B685" s="1307" t="s">
        <v>1654</v>
      </c>
      <c r="C685" s="1308"/>
      <c r="D685" s="1309"/>
      <c r="E685" s="958">
        <v>0</v>
      </c>
      <c r="F685" s="959" t="s">
        <v>211</v>
      </c>
      <c r="G685" s="960"/>
      <c r="H685" s="960"/>
      <c r="I685" s="960">
        <f t="shared" ref="I685:M685" si="109">SUM(I664:I684)</f>
        <v>300771.137616464</v>
      </c>
      <c r="J685" s="960"/>
      <c r="K685" s="960"/>
      <c r="L685" s="960">
        <f t="shared" si="109"/>
        <v>1028.3988517</v>
      </c>
      <c r="M685" s="960">
        <f t="shared" si="109"/>
        <v>301799.53646816395</v>
      </c>
      <c r="N685" s="958"/>
      <c r="O685" s="205"/>
    </row>
  </sheetData>
  <mergeCells count="114">
    <mergeCell ref="N5:N6"/>
    <mergeCell ref="R345:R348"/>
    <mergeCell ref="B5:D6"/>
    <mergeCell ref="C642:D642"/>
    <mergeCell ref="B646:D646"/>
    <mergeCell ref="C648:D648"/>
    <mergeCell ref="B652:D652"/>
    <mergeCell ref="B660:D660"/>
    <mergeCell ref="C668:D668"/>
    <mergeCell ref="B579:D579"/>
    <mergeCell ref="B580:D580"/>
    <mergeCell ref="C588:D588"/>
    <mergeCell ref="B592:D592"/>
    <mergeCell ref="C594:D594"/>
    <mergeCell ref="B598:D598"/>
    <mergeCell ref="C600:D600"/>
    <mergeCell ref="B604:D604"/>
    <mergeCell ref="C606:D606"/>
    <mergeCell ref="B371:D371"/>
    <mergeCell ref="B372:D372"/>
    <mergeCell ref="B374:D374"/>
    <mergeCell ref="B406:D406"/>
    <mergeCell ref="C410:D410"/>
    <mergeCell ref="B414:D414"/>
    <mergeCell ref="C676:D676"/>
    <mergeCell ref="C683:D683"/>
    <mergeCell ref="B685:D685"/>
    <mergeCell ref="B610:D610"/>
    <mergeCell ref="C616:D616"/>
    <mergeCell ref="B621:D621"/>
    <mergeCell ref="C623:D623"/>
    <mergeCell ref="B627:D627"/>
    <mergeCell ref="C629:D629"/>
    <mergeCell ref="B633:D633"/>
    <mergeCell ref="C636:D636"/>
    <mergeCell ref="B640:D640"/>
    <mergeCell ref="B487:D487"/>
    <mergeCell ref="B570:D570"/>
    <mergeCell ref="C574:D574"/>
    <mergeCell ref="B344:D344"/>
    <mergeCell ref="B346:D346"/>
    <mergeCell ref="B347:D347"/>
    <mergeCell ref="C348:D348"/>
    <mergeCell ref="C349:D349"/>
    <mergeCell ref="C350:D350"/>
    <mergeCell ref="C351:D351"/>
    <mergeCell ref="B369:D369"/>
    <mergeCell ref="B370:D370"/>
    <mergeCell ref="C226:D226"/>
    <mergeCell ref="C242:D242"/>
    <mergeCell ref="C244:D244"/>
    <mergeCell ref="C260:D260"/>
    <mergeCell ref="B322:D322"/>
    <mergeCell ref="C326:D326"/>
    <mergeCell ref="C338:D338"/>
    <mergeCell ref="C341:D341"/>
    <mergeCell ref="C342:D342"/>
    <mergeCell ref="C173:D173"/>
    <mergeCell ref="C176:D176"/>
    <mergeCell ref="C179:D179"/>
    <mergeCell ref="C182:D182"/>
    <mergeCell ref="C185:D185"/>
    <mergeCell ref="C187:D187"/>
    <mergeCell ref="C211:D211"/>
    <mergeCell ref="C214:D214"/>
    <mergeCell ref="B221:D221"/>
    <mergeCell ref="C138:D138"/>
    <mergeCell ref="C139:D139"/>
    <mergeCell ref="C143:D143"/>
    <mergeCell ref="B148:D148"/>
    <mergeCell ref="C150:D150"/>
    <mergeCell ref="B154:D154"/>
    <mergeCell ref="C157:D157"/>
    <mergeCell ref="B161:D161"/>
    <mergeCell ref="B170:D170"/>
    <mergeCell ref="C127:D127"/>
    <mergeCell ref="C128:D128"/>
    <mergeCell ref="C129:D129"/>
    <mergeCell ref="C131:D131"/>
    <mergeCell ref="C132:D132"/>
    <mergeCell ref="C133:D133"/>
    <mergeCell ref="C134:D134"/>
    <mergeCell ref="C136:D136"/>
    <mergeCell ref="C137:D137"/>
    <mergeCell ref="C116:D116"/>
    <mergeCell ref="C117:D117"/>
    <mergeCell ref="C118:D118"/>
    <mergeCell ref="C119:D119"/>
    <mergeCell ref="C121:D121"/>
    <mergeCell ref="C122:D122"/>
    <mergeCell ref="C123:D123"/>
    <mergeCell ref="C124:D124"/>
    <mergeCell ref="C126:D126"/>
    <mergeCell ref="C50:D50"/>
    <mergeCell ref="C51:D51"/>
    <mergeCell ref="C75:D75"/>
    <mergeCell ref="C76:D76"/>
    <mergeCell ref="C77:D77"/>
    <mergeCell ref="C78:D78"/>
    <mergeCell ref="C79:D79"/>
    <mergeCell ref="B89:D89"/>
    <mergeCell ref="C110:D110"/>
    <mergeCell ref="A1:C1"/>
    <mergeCell ref="A2:C2"/>
    <mergeCell ref="A3:C3"/>
    <mergeCell ref="G5:I5"/>
    <mergeCell ref="J5:L5"/>
    <mergeCell ref="B21:D21"/>
    <mergeCell ref="B29:D29"/>
    <mergeCell ref="C47:D47"/>
    <mergeCell ref="C49:D49"/>
    <mergeCell ref="A5:A6"/>
    <mergeCell ref="E5:E6"/>
    <mergeCell ref="F5:F6"/>
  </mergeCells>
  <printOptions horizontalCentered="1"/>
  <pageMargins left="0.39370078740157499" right="0.39370078740157499" top="1.1811023622047201" bottom="0" header="0.78740157480314998" footer="0"/>
  <pageSetup paperSize="9" scale="66" firstPageNumber="34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 แผ่นที่ &amp;P/166</oddHeader>
  </headerFooter>
  <rowBreaks count="24" manualBreakCount="24">
    <brk id="30" max="11" man="1"/>
    <brk id="58" max="11" man="1"/>
    <brk id="85" max="11" man="1"/>
    <brk id="113" max="11" man="1"/>
    <brk id="141" max="11" man="1"/>
    <brk id="170" max="11" man="1"/>
    <brk id="198" max="11" man="1"/>
    <brk id="227" max="11" man="1"/>
    <brk id="254" max="11" man="1"/>
    <brk id="282" max="11" man="1"/>
    <brk id="310" max="11" man="1"/>
    <brk id="339" max="11" man="1"/>
    <brk id="367" max="11" man="1"/>
    <brk id="395" max="11" man="1"/>
    <brk id="423" max="11" man="1"/>
    <brk id="451" max="11" man="1"/>
    <brk id="479" max="11" man="1"/>
    <brk id="507" max="11" man="1"/>
    <brk id="535" max="11" man="1"/>
    <brk id="563" max="11" man="1"/>
    <brk id="591" max="11" man="1"/>
    <brk id="619" max="11" man="1"/>
    <brk id="647" max="11" man="1"/>
    <brk id="677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S920"/>
  <sheetViews>
    <sheetView view="pageBreakPreview" topLeftCell="A148" zoomScale="80" zoomScaleNormal="85" workbookViewId="0">
      <selection activeCell="B157" sqref="B157"/>
    </sheetView>
  </sheetViews>
  <sheetFormatPr defaultColWidth="10.453125" defaultRowHeight="18.95" customHeight="1" outlineLevelCol="1"/>
  <cols>
    <col min="1" max="1" width="6.7265625" style="726" customWidth="1"/>
    <col min="2" max="2" width="6.453125" style="727" customWidth="1"/>
    <col min="3" max="3" width="24.453125" style="727" customWidth="1"/>
    <col min="4" max="4" width="27.1796875" style="726" customWidth="1"/>
    <col min="5" max="5" width="14.1796875" style="728" customWidth="1"/>
    <col min="6" max="6" width="9.54296875" style="726" customWidth="1"/>
    <col min="7" max="7" width="15.7265625" style="729" customWidth="1" outlineLevel="1"/>
    <col min="8" max="9" width="15.7265625" style="728" customWidth="1"/>
    <col min="10" max="10" width="15.7265625" style="729" customWidth="1" outlineLevel="1"/>
    <col min="11" max="13" width="15.7265625" style="728" customWidth="1"/>
    <col min="14" max="14" width="13.81640625" style="730" customWidth="1"/>
    <col min="15" max="15" width="18.1796875" style="731" customWidth="1"/>
    <col min="16" max="16" width="20.81640625" style="203" customWidth="1"/>
    <col min="17" max="17" width="11.1796875" style="203" customWidth="1"/>
    <col min="18" max="18" width="23" style="203" customWidth="1"/>
    <col min="19" max="16384" width="10.453125" style="203"/>
  </cols>
  <sheetData>
    <row r="1" spans="1:19" s="1" customFormat="1" ht="18.95" customHeight="1">
      <c r="A1" s="1318" t="s">
        <v>181</v>
      </c>
      <c r="B1" s="1318"/>
      <c r="C1" s="1318"/>
      <c r="D1" s="732" t="str">
        <f>+'RKCA1_ปร.5 (ก)'!C4</f>
        <v>โครงการจัดตั้งศูนย์การเรียนรู้แห่งชาติ OKMD : OKMD National Knowledge Center (Ratchadamnoen Center 1 และ 2)</v>
      </c>
      <c r="E1" s="733"/>
      <c r="F1" s="732"/>
      <c r="G1" s="734"/>
      <c r="H1" s="735"/>
      <c r="I1" s="816"/>
      <c r="J1" s="817" t="s">
        <v>182</v>
      </c>
      <c r="K1" s="816" t="s">
        <v>182</v>
      </c>
      <c r="L1" s="1319" t="s">
        <v>1655</v>
      </c>
      <c r="M1" s="1319"/>
      <c r="N1" s="818"/>
      <c r="O1" s="819"/>
    </row>
    <row r="2" spans="1:19" s="1" customFormat="1" ht="18.95" customHeight="1">
      <c r="A2" s="1320" t="s">
        <v>125</v>
      </c>
      <c r="B2" s="1320"/>
      <c r="C2" s="1320"/>
      <c r="D2" s="736" t="str">
        <f>+'RKCA1_ปร.5 (ก)'!C5</f>
        <v>แขวงตลาดยอด เขตพระนคร กรุงเทพมหานคร</v>
      </c>
      <c r="E2" s="737"/>
      <c r="F2" s="736"/>
      <c r="G2" s="738"/>
      <c r="H2" s="739"/>
      <c r="I2" s="739"/>
      <c r="J2" s="820" t="s">
        <v>184</v>
      </c>
      <c r="K2" s="821" t="s">
        <v>184</v>
      </c>
      <c r="L2" s="822" t="str">
        <f>+'RKCA1_ปร.5 (ก)'!C10</f>
        <v xml:space="preserve">  16 กรกฎาคม 2568</v>
      </c>
      <c r="M2" s="823"/>
      <c r="N2" s="824"/>
      <c r="O2" s="819"/>
    </row>
    <row r="3" spans="1:19" s="1" customFormat="1" ht="18.95" customHeight="1">
      <c r="A3" s="1320" t="s">
        <v>185</v>
      </c>
      <c r="B3" s="1320"/>
      <c r="C3" s="1320"/>
      <c r="D3" s="736" t="str">
        <f>+'RKCA1_ปร.5 (ก)'!C9</f>
        <v>คณะกรรมการกำหนดราคากลาง</v>
      </c>
      <c r="E3" s="737"/>
      <c r="F3" s="736"/>
      <c r="G3" s="738"/>
      <c r="H3" s="739"/>
      <c r="I3" s="825"/>
      <c r="J3" s="826"/>
      <c r="K3" s="825"/>
      <c r="L3" s="827"/>
      <c r="M3" s="828"/>
      <c r="N3" s="824"/>
      <c r="O3" s="819"/>
    </row>
    <row r="4" spans="1:19" s="1" customFormat="1" ht="18.95" customHeight="1">
      <c r="A4" s="740"/>
      <c r="B4" s="741"/>
      <c r="C4" s="741"/>
      <c r="D4" s="740"/>
      <c r="E4" s="742"/>
      <c r="F4" s="740"/>
      <c r="G4" s="743"/>
      <c r="H4" s="742"/>
      <c r="I4" s="742"/>
      <c r="J4" s="743"/>
      <c r="K4" s="742"/>
      <c r="L4" s="742"/>
      <c r="M4" s="742"/>
      <c r="N4" s="829"/>
      <c r="O4" s="819"/>
    </row>
    <row r="5" spans="1:19" ht="18.95" customHeight="1">
      <c r="A5" s="1324" t="s">
        <v>186</v>
      </c>
      <c r="B5" s="1330" t="s">
        <v>138</v>
      </c>
      <c r="C5" s="1331"/>
      <c r="D5" s="1332"/>
      <c r="E5" s="1326" t="s">
        <v>187</v>
      </c>
      <c r="F5" s="1324" t="s">
        <v>188</v>
      </c>
      <c r="G5" s="1321" t="s">
        <v>189</v>
      </c>
      <c r="H5" s="1322"/>
      <c r="I5" s="1323"/>
      <c r="J5" s="1321" t="s">
        <v>190</v>
      </c>
      <c r="K5" s="1322"/>
      <c r="L5" s="1322"/>
      <c r="M5" s="744" t="s">
        <v>191</v>
      </c>
      <c r="N5" s="1328" t="s">
        <v>140</v>
      </c>
      <c r="O5" s="830"/>
    </row>
    <row r="6" spans="1:19" ht="18.95" customHeight="1">
      <c r="A6" s="1325"/>
      <c r="B6" s="1333"/>
      <c r="C6" s="1334"/>
      <c r="D6" s="1335"/>
      <c r="E6" s="1327"/>
      <c r="F6" s="1325"/>
      <c r="G6" s="746" t="s">
        <v>192</v>
      </c>
      <c r="H6" s="745" t="s">
        <v>192</v>
      </c>
      <c r="I6" s="745" t="s">
        <v>193</v>
      </c>
      <c r="J6" s="746" t="s">
        <v>192</v>
      </c>
      <c r="K6" s="745" t="s">
        <v>192</v>
      </c>
      <c r="L6" s="831" t="s">
        <v>193</v>
      </c>
      <c r="M6" s="745" t="s">
        <v>194</v>
      </c>
      <c r="N6" s="1329"/>
      <c r="O6" s="830"/>
      <c r="P6" s="154"/>
      <c r="Q6" s="154"/>
      <c r="R6" s="154"/>
    </row>
    <row r="7" spans="1:19" ht="18.95" customHeight="1">
      <c r="A7" s="747"/>
      <c r="B7" s="748" t="s">
        <v>1656</v>
      </c>
      <c r="C7" s="748"/>
      <c r="D7" s="749"/>
      <c r="E7" s="750"/>
      <c r="F7" s="751"/>
      <c r="G7" s="752"/>
      <c r="H7" s="750"/>
      <c r="I7" s="750"/>
      <c r="J7" s="832"/>
      <c r="K7" s="833"/>
      <c r="L7" s="834"/>
      <c r="M7" s="835"/>
      <c r="N7" s="836"/>
      <c r="P7" s="157"/>
      <c r="Q7" s="157"/>
      <c r="R7" s="157"/>
    </row>
    <row r="8" spans="1:19" ht="18.95" customHeight="1">
      <c r="A8" s="753"/>
      <c r="B8" s="754" t="s">
        <v>162</v>
      </c>
      <c r="C8" s="755"/>
      <c r="D8" s="756"/>
      <c r="E8" s="757"/>
      <c r="F8" s="758"/>
      <c r="G8" s="759"/>
      <c r="H8" s="757"/>
      <c r="I8" s="757"/>
      <c r="J8" s="765"/>
      <c r="K8" s="799"/>
      <c r="L8" s="799"/>
      <c r="M8" s="757"/>
      <c r="N8" s="837"/>
      <c r="P8" s="157"/>
      <c r="Q8" s="157"/>
      <c r="R8" s="157"/>
    </row>
    <row r="9" spans="1:19" ht="18.95" customHeight="1">
      <c r="A9" s="760">
        <v>1</v>
      </c>
      <c r="B9" s="761" t="s">
        <v>1657</v>
      </c>
      <c r="C9" s="762"/>
      <c r="D9" s="756"/>
      <c r="E9" s="757"/>
      <c r="F9" s="758"/>
      <c r="G9" s="759"/>
      <c r="H9" s="757"/>
      <c r="I9" s="757"/>
      <c r="J9" s="765"/>
      <c r="K9" s="799"/>
      <c r="L9" s="799"/>
      <c r="M9" s="757">
        <f>M45</f>
        <v>68750351.469927505</v>
      </c>
      <c r="N9" s="838"/>
      <c r="O9" s="839">
        <f>P9*0.934908047</f>
        <v>68750351.46992752</v>
      </c>
      <c r="P9" s="157">
        <v>73537019.700000003</v>
      </c>
      <c r="Q9" s="157"/>
      <c r="R9" s="157"/>
    </row>
    <row r="10" spans="1:19" ht="18.95" customHeight="1">
      <c r="A10" s="760">
        <v>2</v>
      </c>
      <c r="B10" s="1168" t="s">
        <v>1658</v>
      </c>
      <c r="C10" s="762"/>
      <c r="D10" s="756"/>
      <c r="E10" s="757"/>
      <c r="F10" s="758"/>
      <c r="G10" s="759"/>
      <c r="H10" s="757"/>
      <c r="I10" s="757"/>
      <c r="J10" s="765"/>
      <c r="K10" s="799"/>
      <c r="L10" s="799"/>
      <c r="M10" s="757">
        <f>M230</f>
        <v>37614118.413418911</v>
      </c>
      <c r="N10" s="838"/>
      <c r="O10" s="839">
        <f t="shared" ref="O10:O19" si="0">P10*0.934908047</f>
        <v>37614118.413894176</v>
      </c>
      <c r="P10" s="157">
        <v>40232960.380000003</v>
      </c>
      <c r="Q10" s="157"/>
      <c r="R10" s="157"/>
    </row>
    <row r="11" spans="1:19" ht="18.95" customHeight="1">
      <c r="A11" s="760">
        <v>3</v>
      </c>
      <c r="B11" s="1168" t="s">
        <v>1659</v>
      </c>
      <c r="C11" s="762"/>
      <c r="D11" s="756"/>
      <c r="E11" s="757"/>
      <c r="F11" s="758"/>
      <c r="G11" s="759"/>
      <c r="H11" s="757"/>
      <c r="I11" s="757"/>
      <c r="J11" s="765"/>
      <c r="K11" s="799"/>
      <c r="L11" s="799"/>
      <c r="M11" s="757">
        <f>M347</f>
        <v>18623858.920089632</v>
      </c>
      <c r="N11" s="838"/>
      <c r="O11" s="839">
        <f t="shared" si="0"/>
        <v>18623858.917284906</v>
      </c>
      <c r="P11" s="157">
        <v>19920524.780000001</v>
      </c>
      <c r="Q11" s="157"/>
      <c r="R11" s="157"/>
    </row>
    <row r="12" spans="1:19" ht="18.95" customHeight="1">
      <c r="A12" s="760">
        <v>4</v>
      </c>
      <c r="B12" s="1168" t="s">
        <v>1660</v>
      </c>
      <c r="C12" s="762"/>
      <c r="D12" s="756"/>
      <c r="E12" s="757"/>
      <c r="F12" s="758"/>
      <c r="G12" s="759"/>
      <c r="H12" s="757"/>
      <c r="I12" s="757"/>
      <c r="J12" s="765"/>
      <c r="K12" s="799"/>
      <c r="L12" s="799"/>
      <c r="M12" s="757">
        <f>M430</f>
        <v>11816618.181369217</v>
      </c>
      <c r="N12" s="838"/>
      <c r="O12" s="839">
        <f t="shared" si="0"/>
        <v>11816618.178564494</v>
      </c>
      <c r="P12" s="157">
        <v>12639337.33</v>
      </c>
      <c r="Q12" s="157"/>
      <c r="R12" s="157"/>
    </row>
    <row r="13" spans="1:19" ht="18.95" customHeight="1">
      <c r="A13" s="760">
        <v>5</v>
      </c>
      <c r="B13" s="1168" t="s">
        <v>1661</v>
      </c>
      <c r="C13" s="762"/>
      <c r="D13" s="756"/>
      <c r="E13" s="757"/>
      <c r="F13" s="758"/>
      <c r="G13" s="759"/>
      <c r="H13" s="757"/>
      <c r="I13" s="757"/>
      <c r="J13" s="765"/>
      <c r="K13" s="799"/>
      <c r="L13" s="799"/>
      <c r="M13" s="757">
        <f>M522</f>
        <v>12005322.026018549</v>
      </c>
      <c r="N13" s="838"/>
      <c r="O13" s="839">
        <f t="shared" si="0"/>
        <v>12005322.028823275</v>
      </c>
      <c r="P13" s="157">
        <v>12841179.48</v>
      </c>
      <c r="Q13" s="157"/>
      <c r="R13" s="157"/>
    </row>
    <row r="14" spans="1:19" ht="18.95" customHeight="1">
      <c r="A14" s="760">
        <v>6</v>
      </c>
      <c r="B14" s="1168" t="s">
        <v>1662</v>
      </c>
      <c r="C14" s="764"/>
      <c r="D14" s="756"/>
      <c r="E14" s="757"/>
      <c r="F14" s="758"/>
      <c r="G14" s="759"/>
      <c r="H14" s="757"/>
      <c r="I14" s="757"/>
      <c r="J14" s="765"/>
      <c r="K14" s="799"/>
      <c r="L14" s="799"/>
      <c r="M14" s="757">
        <f>M604</f>
        <v>2885741.8064172021</v>
      </c>
      <c r="N14" s="838"/>
      <c r="O14" s="839">
        <f t="shared" si="0"/>
        <v>2885741.8045473862</v>
      </c>
      <c r="P14" s="157">
        <v>3086658.43</v>
      </c>
      <c r="Q14" s="157"/>
      <c r="R14" s="157"/>
    </row>
    <row r="15" spans="1:19" ht="18.95" customHeight="1">
      <c r="A15" s="760">
        <v>7</v>
      </c>
      <c r="B15" s="1168" t="s">
        <v>1663</v>
      </c>
      <c r="C15" s="764"/>
      <c r="D15" s="756"/>
      <c r="E15" s="757"/>
      <c r="F15" s="758"/>
      <c r="G15" s="759"/>
      <c r="H15" s="757"/>
      <c r="I15" s="757"/>
      <c r="J15" s="765"/>
      <c r="K15" s="799"/>
      <c r="L15" s="799"/>
      <c r="M15" s="757">
        <f>M648</f>
        <v>1688762.3625628082</v>
      </c>
      <c r="N15" s="838"/>
      <c r="O15" s="839">
        <f t="shared" si="0"/>
        <v>1688762.3625628082</v>
      </c>
      <c r="P15" s="157">
        <v>1806340.6</v>
      </c>
      <c r="Q15" s="157"/>
      <c r="R15" s="157"/>
      <c r="S15" s="560"/>
    </row>
    <row r="16" spans="1:19" ht="18.95" customHeight="1">
      <c r="A16" s="760">
        <v>8</v>
      </c>
      <c r="B16" s="763" t="s">
        <v>1664</v>
      </c>
      <c r="C16" s="762"/>
      <c r="D16" s="756"/>
      <c r="E16" s="757"/>
      <c r="F16" s="758"/>
      <c r="G16" s="765"/>
      <c r="H16" s="766"/>
      <c r="I16" s="766"/>
      <c r="J16" s="765"/>
      <c r="K16" s="799"/>
      <c r="L16" s="790"/>
      <c r="M16" s="757">
        <f>M714</f>
        <v>13721188.409676917</v>
      </c>
      <c r="N16" s="838"/>
      <c r="O16" s="839">
        <f t="shared" si="0"/>
        <v>13721188.413416546</v>
      </c>
      <c r="P16" s="157">
        <v>14676511.189999999</v>
      </c>
      <c r="Q16" s="157"/>
      <c r="R16" s="157"/>
      <c r="S16" s="300"/>
    </row>
    <row r="17" spans="1:18" ht="18.95" customHeight="1">
      <c r="A17" s="760">
        <v>9</v>
      </c>
      <c r="B17" s="763" t="s">
        <v>1665</v>
      </c>
      <c r="C17" s="762"/>
      <c r="D17" s="756"/>
      <c r="E17" s="757"/>
      <c r="F17" s="758"/>
      <c r="G17" s="765"/>
      <c r="H17" s="766"/>
      <c r="I17" s="766"/>
      <c r="J17" s="765"/>
      <c r="K17" s="799"/>
      <c r="L17" s="790"/>
      <c r="M17" s="757">
        <f>M833</f>
        <v>827189.430385252</v>
      </c>
      <c r="N17" s="838"/>
      <c r="O17" s="839">
        <f t="shared" si="0"/>
        <v>827189.42832845461</v>
      </c>
      <c r="P17" s="157">
        <v>884781.59</v>
      </c>
      <c r="Q17" s="157"/>
      <c r="R17" s="157"/>
    </row>
    <row r="18" spans="1:18" ht="18.95" customHeight="1">
      <c r="A18" s="760">
        <v>10</v>
      </c>
      <c r="B18" s="763" t="s">
        <v>1666</v>
      </c>
      <c r="C18" s="762"/>
      <c r="D18" s="756"/>
      <c r="E18" s="757"/>
      <c r="F18" s="758"/>
      <c r="G18" s="765"/>
      <c r="H18" s="766"/>
      <c r="I18" s="766"/>
      <c r="J18" s="765"/>
      <c r="K18" s="799"/>
      <c r="L18" s="790"/>
      <c r="M18" s="757">
        <f>M903</f>
        <v>1945721.7261568841</v>
      </c>
      <c r="N18" s="838"/>
      <c r="O18" s="839">
        <f t="shared" si="0"/>
        <v>1945721.7270917925</v>
      </c>
      <c r="P18" s="157">
        <v>2081190.48</v>
      </c>
      <c r="Q18" s="157"/>
      <c r="R18" s="157"/>
    </row>
    <row r="19" spans="1:18" ht="18.95" customHeight="1">
      <c r="A19" s="760">
        <v>11</v>
      </c>
      <c r="B19" s="763" t="s">
        <v>1667</v>
      </c>
      <c r="C19" s="762"/>
      <c r="D19" s="756"/>
      <c r="E19" s="757"/>
      <c r="F19" s="758"/>
      <c r="G19" s="765"/>
      <c r="H19" s="766"/>
      <c r="I19" s="766"/>
      <c r="J19" s="765"/>
      <c r="K19" s="799"/>
      <c r="L19" s="790"/>
      <c r="M19" s="757">
        <f>M917</f>
        <v>814928.76279277436</v>
      </c>
      <c r="N19" s="838"/>
      <c r="O19" s="839">
        <f t="shared" si="0"/>
        <v>814928.76372768264</v>
      </c>
      <c r="P19" s="157">
        <v>871667.29</v>
      </c>
      <c r="Q19" s="157"/>
      <c r="R19" s="157"/>
    </row>
    <row r="20" spans="1:18" ht="18.95" customHeight="1">
      <c r="A20" s="760"/>
      <c r="B20" s="763"/>
      <c r="C20" s="762"/>
      <c r="D20" s="756"/>
      <c r="E20" s="757"/>
      <c r="F20" s="758"/>
      <c r="G20" s="765"/>
      <c r="H20" s="766"/>
      <c r="I20" s="766"/>
      <c r="J20" s="765"/>
      <c r="K20" s="799"/>
      <c r="L20" s="790"/>
      <c r="M20" s="757"/>
      <c r="N20" s="838"/>
      <c r="O20" s="839"/>
      <c r="P20" s="157"/>
      <c r="Q20" s="157"/>
      <c r="R20" s="157"/>
    </row>
    <row r="21" spans="1:18" ht="18.95" customHeight="1">
      <c r="A21" s="767"/>
      <c r="B21" s="1342" t="s">
        <v>1668</v>
      </c>
      <c r="C21" s="1343"/>
      <c r="D21" s="1344"/>
      <c r="E21" s="757"/>
      <c r="F21" s="758"/>
      <c r="G21" s="765"/>
      <c r="H21" s="766"/>
      <c r="I21" s="766"/>
      <c r="J21" s="765"/>
      <c r="K21" s="799"/>
      <c r="L21" s="790"/>
      <c r="M21" s="805">
        <f>SUM(M8:M20)</f>
        <v>170693801.50881565</v>
      </c>
      <c r="N21" s="838"/>
      <c r="O21" s="839">
        <f>SUM(O9:O20)</f>
        <v>170693801.50816905</v>
      </c>
      <c r="P21" s="157">
        <f>SUM(P9:P20)</f>
        <v>182578171.25</v>
      </c>
      <c r="Q21" s="157"/>
      <c r="R21" s="157"/>
    </row>
    <row r="22" spans="1:18" ht="18.95" customHeight="1">
      <c r="A22" s="768"/>
      <c r="B22" s="769"/>
      <c r="C22" s="762"/>
      <c r="D22" s="770"/>
      <c r="E22" s="757"/>
      <c r="F22" s="758"/>
      <c r="G22" s="759"/>
      <c r="H22" s="757"/>
      <c r="I22" s="757"/>
      <c r="J22" s="759"/>
      <c r="K22" s="790"/>
      <c r="L22" s="790"/>
      <c r="M22" s="766"/>
      <c r="N22" s="837"/>
    </row>
    <row r="23" spans="1:18" ht="18.95" customHeight="1">
      <c r="A23" s="771"/>
      <c r="B23" s="772"/>
      <c r="C23" s="770"/>
      <c r="D23" s="770"/>
      <c r="E23" s="757"/>
      <c r="F23" s="758"/>
      <c r="G23" s="765"/>
      <c r="H23" s="766"/>
      <c r="I23" s="766"/>
      <c r="J23" s="765"/>
      <c r="K23" s="799"/>
      <c r="L23" s="790"/>
      <c r="M23" s="766"/>
      <c r="N23" s="837"/>
    </row>
    <row r="24" spans="1:18" ht="18.95" customHeight="1">
      <c r="A24" s="753"/>
      <c r="B24" s="773"/>
      <c r="C24" s="774"/>
      <c r="D24" s="775"/>
      <c r="E24" s="757"/>
      <c r="F24" s="758"/>
      <c r="G24" s="759"/>
      <c r="H24" s="757"/>
      <c r="I24" s="757"/>
      <c r="J24" s="759"/>
      <c r="K24" s="790"/>
      <c r="L24" s="799"/>
      <c r="M24" s="757"/>
      <c r="N24" s="837"/>
    </row>
    <row r="25" spans="1:18" ht="18.95" customHeight="1">
      <c r="A25" s="753"/>
      <c r="B25" s="773"/>
      <c r="C25" s="774"/>
      <c r="D25" s="775"/>
      <c r="E25" s="757"/>
      <c r="F25" s="758"/>
      <c r="G25" s="759"/>
      <c r="H25" s="757"/>
      <c r="I25" s="757"/>
      <c r="J25" s="759"/>
      <c r="K25" s="790"/>
      <c r="L25" s="799"/>
      <c r="M25" s="757"/>
      <c r="N25" s="837"/>
    </row>
    <row r="26" spans="1:18" ht="18.95" customHeight="1">
      <c r="A26" s="753"/>
      <c r="B26" s="773"/>
      <c r="C26" s="774"/>
      <c r="D26" s="775"/>
      <c r="E26" s="757"/>
      <c r="F26" s="758"/>
      <c r="G26" s="759"/>
      <c r="H26" s="757"/>
      <c r="I26" s="757"/>
      <c r="J26" s="759"/>
      <c r="K26" s="790"/>
      <c r="L26" s="799"/>
      <c r="M26" s="757"/>
      <c r="N26" s="837"/>
    </row>
    <row r="27" spans="1:18" ht="18.95" customHeight="1">
      <c r="A27" s="753"/>
      <c r="B27" s="773"/>
      <c r="C27" s="774"/>
      <c r="D27" s="775"/>
      <c r="E27" s="757"/>
      <c r="F27" s="758"/>
      <c r="G27" s="759"/>
      <c r="H27" s="757"/>
      <c r="I27" s="757"/>
      <c r="J27" s="759"/>
      <c r="K27" s="790"/>
      <c r="L27" s="799"/>
      <c r="M27" s="757"/>
      <c r="N27" s="837"/>
    </row>
    <row r="28" spans="1:18" ht="18.95" customHeight="1">
      <c r="A28" s="753"/>
      <c r="B28" s="773"/>
      <c r="C28" s="774"/>
      <c r="D28" s="775"/>
      <c r="E28" s="757"/>
      <c r="F28" s="758"/>
      <c r="G28" s="759"/>
      <c r="H28" s="757"/>
      <c r="I28" s="757"/>
      <c r="J28" s="759"/>
      <c r="K28" s="790"/>
      <c r="L28" s="799"/>
      <c r="M28" s="757"/>
      <c r="N28" s="837"/>
    </row>
    <row r="29" spans="1:18" ht="18.95" customHeight="1">
      <c r="A29" s="753"/>
      <c r="B29" s="773"/>
      <c r="C29" s="774"/>
      <c r="D29" s="775"/>
      <c r="E29" s="757"/>
      <c r="F29" s="758"/>
      <c r="G29" s="759"/>
      <c r="H29" s="757"/>
      <c r="I29" s="757"/>
      <c r="J29" s="759"/>
      <c r="K29" s="790"/>
      <c r="L29" s="799"/>
      <c r="M29" s="757"/>
      <c r="N29" s="837"/>
    </row>
    <row r="30" spans="1:18" ht="18.95" customHeight="1">
      <c r="A30" s="753"/>
      <c r="B30" s="773"/>
      <c r="C30" s="774"/>
      <c r="D30" s="775"/>
      <c r="E30" s="757"/>
      <c r="F30" s="758"/>
      <c r="G30" s="759"/>
      <c r="H30" s="757"/>
      <c r="I30" s="757"/>
      <c r="J30" s="759"/>
      <c r="K30" s="790"/>
      <c r="L30" s="799"/>
      <c r="M30" s="757"/>
      <c r="N30" s="837"/>
    </row>
    <row r="31" spans="1:18" ht="18.95" customHeight="1">
      <c r="A31" s="1196">
        <v>1</v>
      </c>
      <c r="B31" s="1197" t="s">
        <v>1657</v>
      </c>
      <c r="C31" s="1198"/>
      <c r="D31" s="1199"/>
      <c r="E31" s="792"/>
      <c r="F31" s="793"/>
      <c r="G31" s="1200"/>
      <c r="H31" s="1201"/>
      <c r="I31" s="1201"/>
      <c r="J31" s="1202"/>
      <c r="K31" s="873"/>
      <c r="L31" s="840"/>
      <c r="M31" s="757"/>
      <c r="N31" s="837"/>
    </row>
    <row r="32" spans="1:18" ht="18.95" customHeight="1">
      <c r="A32" s="778">
        <v>1.1000000000000001</v>
      </c>
      <c r="B32" s="779" t="s">
        <v>1669</v>
      </c>
      <c r="C32" s="780"/>
      <c r="D32" s="777"/>
      <c r="E32" s="781"/>
      <c r="F32" s="758"/>
      <c r="G32" s="782"/>
      <c r="H32" s="783"/>
      <c r="I32" s="783"/>
      <c r="J32" s="782"/>
      <c r="K32" s="790"/>
      <c r="L32" s="799"/>
      <c r="M32" s="757"/>
      <c r="N32" s="841"/>
      <c r="O32" s="842"/>
    </row>
    <row r="33" spans="1:15" ht="18.95" customHeight="1">
      <c r="A33" s="778"/>
      <c r="B33" s="784" t="s">
        <v>273</v>
      </c>
      <c r="C33" s="785" t="s">
        <v>1670</v>
      </c>
      <c r="D33" s="777"/>
      <c r="E33" s="757">
        <v>537</v>
      </c>
      <c r="F33" s="758" t="s">
        <v>1671</v>
      </c>
      <c r="G33" s="782">
        <v>73995.67</v>
      </c>
      <c r="H33" s="783">
        <f>G33*O33</f>
        <v>69179.147326156482</v>
      </c>
      <c r="I33" s="783">
        <f>H33*E33</f>
        <v>37149202.114146031</v>
      </c>
      <c r="J33" s="782">
        <v>0</v>
      </c>
      <c r="K33" s="790">
        <f>J33*O33</f>
        <v>0</v>
      </c>
      <c r="L33" s="799">
        <f>K33*E33</f>
        <v>0</v>
      </c>
      <c r="M33" s="757">
        <f>L33+I33</f>
        <v>37149202.114146031</v>
      </c>
      <c r="N33" s="841"/>
      <c r="O33" s="663">
        <v>0.93490804699999996</v>
      </c>
    </row>
    <row r="34" spans="1:15" ht="18.95" customHeight="1">
      <c r="A34" s="778"/>
      <c r="B34" s="784" t="s">
        <v>273</v>
      </c>
      <c r="C34" s="785" t="s">
        <v>1672</v>
      </c>
      <c r="D34" s="777"/>
      <c r="E34" s="757">
        <v>9</v>
      </c>
      <c r="F34" s="758" t="s">
        <v>1671</v>
      </c>
      <c r="G34" s="782">
        <v>81664.75</v>
      </c>
      <c r="H34" s="783">
        <f t="shared" ref="H34:H41" si="1">G34*O34</f>
        <v>76349.03193124324</v>
      </c>
      <c r="I34" s="783">
        <f t="shared" ref="I34:I41" si="2">H34*E34</f>
        <v>687141.28738118918</v>
      </c>
      <c r="J34" s="782">
        <v>0</v>
      </c>
      <c r="K34" s="790">
        <f t="shared" ref="K34:K41" si="3">J34*O34</f>
        <v>0</v>
      </c>
      <c r="L34" s="799">
        <f t="shared" ref="L34:L41" si="4">K34*E34</f>
        <v>0</v>
      </c>
      <c r="M34" s="757">
        <f t="shared" ref="M34:M41" si="5">L34+I34</f>
        <v>687141.28738118918</v>
      </c>
      <c r="N34" s="841"/>
      <c r="O34" s="663">
        <v>0.93490804699999996</v>
      </c>
    </row>
    <row r="35" spans="1:15" ht="18.95" customHeight="1">
      <c r="A35" s="778">
        <v>1.2</v>
      </c>
      <c r="B35" s="786" t="s">
        <v>1673</v>
      </c>
      <c r="C35" s="787"/>
      <c r="D35" s="788"/>
      <c r="E35" s="757">
        <v>537</v>
      </c>
      <c r="F35" s="758" t="s">
        <v>1671</v>
      </c>
      <c r="G35" s="782">
        <v>0</v>
      </c>
      <c r="H35" s="783">
        <f t="shared" si="1"/>
        <v>0</v>
      </c>
      <c r="I35" s="783">
        <f t="shared" si="2"/>
        <v>0</v>
      </c>
      <c r="J35" s="782">
        <v>600</v>
      </c>
      <c r="K35" s="790">
        <f t="shared" si="3"/>
        <v>560.94482819999996</v>
      </c>
      <c r="L35" s="799">
        <f t="shared" si="4"/>
        <v>301227.37274339999</v>
      </c>
      <c r="M35" s="757">
        <f t="shared" si="5"/>
        <v>301227.37274339999</v>
      </c>
      <c r="N35" s="841"/>
      <c r="O35" s="663">
        <v>0.93490804699999996</v>
      </c>
    </row>
    <row r="36" spans="1:15" ht="18.95" customHeight="1">
      <c r="A36" s="778">
        <v>1.3</v>
      </c>
      <c r="B36" s="786" t="s">
        <v>1674</v>
      </c>
      <c r="C36" s="787"/>
      <c r="D36" s="788"/>
      <c r="E36" s="781"/>
      <c r="F36" s="758"/>
      <c r="G36" s="782">
        <v>0</v>
      </c>
      <c r="H36" s="783">
        <f t="shared" si="1"/>
        <v>0</v>
      </c>
      <c r="I36" s="783">
        <f t="shared" si="2"/>
        <v>0</v>
      </c>
      <c r="J36" s="782">
        <v>0</v>
      </c>
      <c r="K36" s="790">
        <f t="shared" si="3"/>
        <v>0</v>
      </c>
      <c r="L36" s="799">
        <f t="shared" si="4"/>
        <v>0</v>
      </c>
      <c r="M36" s="757">
        <f t="shared" si="5"/>
        <v>0</v>
      </c>
      <c r="N36" s="841"/>
      <c r="O36" s="663">
        <v>0.93490804699999996</v>
      </c>
    </row>
    <row r="37" spans="1:15" ht="18.95" customHeight="1">
      <c r="A37" s="778"/>
      <c r="B37" s="789" t="s">
        <v>273</v>
      </c>
      <c r="C37" s="787" t="s">
        <v>1675</v>
      </c>
      <c r="D37" s="788"/>
      <c r="E37" s="757">
        <v>3</v>
      </c>
      <c r="F37" s="758" t="s">
        <v>1671</v>
      </c>
      <c r="G37" s="782">
        <v>4000</v>
      </c>
      <c r="H37" s="783">
        <f t="shared" si="1"/>
        <v>3739.632188</v>
      </c>
      <c r="I37" s="783">
        <f t="shared" si="2"/>
        <v>11218.896564000001</v>
      </c>
      <c r="J37" s="782">
        <v>0</v>
      </c>
      <c r="K37" s="790">
        <f t="shared" si="3"/>
        <v>0</v>
      </c>
      <c r="L37" s="799">
        <f t="shared" si="4"/>
        <v>0</v>
      </c>
      <c r="M37" s="757">
        <f t="shared" si="5"/>
        <v>11218.896564000001</v>
      </c>
      <c r="N37" s="841"/>
      <c r="O37" s="663">
        <v>0.93490804699999996</v>
      </c>
    </row>
    <row r="38" spans="1:15" ht="18.95" customHeight="1">
      <c r="A38" s="778"/>
      <c r="B38" s="789" t="s">
        <v>273</v>
      </c>
      <c r="C38" s="787" t="s">
        <v>1676</v>
      </c>
      <c r="D38" s="788"/>
      <c r="E38" s="757">
        <v>546</v>
      </c>
      <c r="F38" s="758" t="s">
        <v>1671</v>
      </c>
      <c r="G38" s="782">
        <v>0</v>
      </c>
      <c r="H38" s="783">
        <f t="shared" si="1"/>
        <v>0</v>
      </c>
      <c r="I38" s="783">
        <f t="shared" si="2"/>
        <v>0</v>
      </c>
      <c r="J38" s="782">
        <v>120</v>
      </c>
      <c r="K38" s="790">
        <f t="shared" si="3"/>
        <v>112.18896563999999</v>
      </c>
      <c r="L38" s="799">
        <f t="shared" si="4"/>
        <v>61255.175239439995</v>
      </c>
      <c r="M38" s="757">
        <f t="shared" si="5"/>
        <v>61255.175239439995</v>
      </c>
      <c r="N38" s="841"/>
      <c r="O38" s="663">
        <v>0.93490804699999996</v>
      </c>
    </row>
    <row r="39" spans="1:15" ht="18.95" customHeight="1">
      <c r="A39" s="778">
        <v>1.4</v>
      </c>
      <c r="B39" s="779" t="s">
        <v>1677</v>
      </c>
      <c r="C39" s="780"/>
      <c r="D39" s="777"/>
      <c r="E39" s="781"/>
      <c r="F39" s="758"/>
      <c r="G39" s="782">
        <v>0</v>
      </c>
      <c r="H39" s="783">
        <f t="shared" si="1"/>
        <v>0</v>
      </c>
      <c r="I39" s="783">
        <f t="shared" si="2"/>
        <v>0</v>
      </c>
      <c r="J39" s="782">
        <v>0</v>
      </c>
      <c r="K39" s="790">
        <f t="shared" si="3"/>
        <v>0</v>
      </c>
      <c r="L39" s="799">
        <f t="shared" si="4"/>
        <v>0</v>
      </c>
      <c r="M39" s="757">
        <f t="shared" si="5"/>
        <v>0</v>
      </c>
      <c r="N39" s="841"/>
      <c r="O39" s="663">
        <v>0.93490804699999996</v>
      </c>
    </row>
    <row r="40" spans="1:15" ht="18.95" customHeight="1">
      <c r="A40" s="778"/>
      <c r="B40" s="784" t="s">
        <v>273</v>
      </c>
      <c r="C40" s="785" t="s">
        <v>1678</v>
      </c>
      <c r="D40" s="777"/>
      <c r="E40" s="757">
        <v>608</v>
      </c>
      <c r="F40" s="758" t="s">
        <v>1671</v>
      </c>
      <c r="G40" s="782">
        <v>48161.52</v>
      </c>
      <c r="H40" s="783">
        <f t="shared" si="1"/>
        <v>45026.592603751436</v>
      </c>
      <c r="I40" s="783">
        <f t="shared" si="2"/>
        <v>27376168.303080872</v>
      </c>
      <c r="J40" s="782">
        <v>0</v>
      </c>
      <c r="K40" s="790">
        <f t="shared" si="3"/>
        <v>0</v>
      </c>
      <c r="L40" s="799">
        <f t="shared" si="4"/>
        <v>0</v>
      </c>
      <c r="M40" s="757">
        <f t="shared" si="5"/>
        <v>27376168.303080872</v>
      </c>
      <c r="N40" s="841"/>
      <c r="O40" s="663">
        <v>0.93490804699999996</v>
      </c>
    </row>
    <row r="41" spans="1:15" ht="18.95" customHeight="1">
      <c r="A41" s="778"/>
      <c r="B41" s="784" t="s">
        <v>273</v>
      </c>
      <c r="C41" s="785" t="s">
        <v>1679</v>
      </c>
      <c r="D41" s="777"/>
      <c r="E41" s="757">
        <v>67</v>
      </c>
      <c r="F41" s="758" t="s">
        <v>1671</v>
      </c>
      <c r="G41" s="782">
        <v>50514</v>
      </c>
      <c r="H41" s="783">
        <f t="shared" si="1"/>
        <v>47225.945086157997</v>
      </c>
      <c r="I41" s="783">
        <f t="shared" si="2"/>
        <v>3164138.3207725859</v>
      </c>
      <c r="J41" s="782">
        <v>0</v>
      </c>
      <c r="K41" s="790">
        <f t="shared" si="3"/>
        <v>0</v>
      </c>
      <c r="L41" s="799">
        <f t="shared" si="4"/>
        <v>0</v>
      </c>
      <c r="M41" s="757">
        <f t="shared" si="5"/>
        <v>3164138.3207725859</v>
      </c>
      <c r="N41" s="841"/>
      <c r="O41" s="663">
        <v>0.93490804699999996</v>
      </c>
    </row>
    <row r="42" spans="1:15" ht="18.95" customHeight="1">
      <c r="A42" s="778"/>
      <c r="B42" s="779"/>
      <c r="C42" s="780"/>
      <c r="D42" s="777"/>
      <c r="E42" s="757"/>
      <c r="F42" s="758"/>
      <c r="G42" s="782"/>
      <c r="H42" s="783"/>
      <c r="I42" s="783"/>
      <c r="J42" s="782"/>
      <c r="K42" s="790"/>
      <c r="L42" s="799"/>
      <c r="M42" s="757"/>
      <c r="N42" s="841"/>
      <c r="O42" s="663">
        <v>0.93490804699999996</v>
      </c>
    </row>
    <row r="43" spans="1:15" ht="18.95" customHeight="1">
      <c r="A43" s="778"/>
      <c r="B43" s="786"/>
      <c r="C43" s="787"/>
      <c r="D43" s="788"/>
      <c r="E43" s="757"/>
      <c r="F43" s="758"/>
      <c r="G43" s="782"/>
      <c r="H43" s="783"/>
      <c r="I43" s="783"/>
      <c r="J43" s="782"/>
      <c r="K43" s="790"/>
      <c r="L43" s="799"/>
      <c r="M43" s="757"/>
      <c r="N43" s="841"/>
      <c r="O43" s="663">
        <v>0.93490804699999996</v>
      </c>
    </row>
    <row r="44" spans="1:15" ht="18.95" customHeight="1">
      <c r="A44" s="778"/>
      <c r="B44" s="789"/>
      <c r="C44" s="787"/>
      <c r="D44" s="777"/>
      <c r="E44" s="781"/>
      <c r="F44" s="758"/>
      <c r="G44" s="782"/>
      <c r="H44" s="790"/>
      <c r="I44" s="790"/>
      <c r="J44" s="843"/>
      <c r="K44" s="790"/>
      <c r="L44" s="799"/>
      <c r="M44" s="757"/>
      <c r="N44" s="841"/>
      <c r="O44" s="663">
        <v>0.93490804699999996</v>
      </c>
    </row>
    <row r="45" spans="1:15" s="724" customFormat="1" ht="18.95" customHeight="1">
      <c r="A45" s="791"/>
      <c r="B45" s="1336" t="s">
        <v>1680</v>
      </c>
      <c r="C45" s="1337"/>
      <c r="D45" s="1338"/>
      <c r="E45" s="792"/>
      <c r="F45" s="793"/>
      <c r="G45" s="794"/>
      <c r="H45" s="795"/>
      <c r="I45" s="795"/>
      <c r="J45" s="844"/>
      <c r="K45" s="795"/>
      <c r="L45" s="845"/>
      <c r="M45" s="846">
        <f>SUM(M33:M44)</f>
        <v>68750351.469927505</v>
      </c>
      <c r="N45" s="847"/>
      <c r="O45" s="848">
        <v>0.93490804699999996</v>
      </c>
    </row>
    <row r="46" spans="1:15" ht="18.95" customHeight="1">
      <c r="A46" s="796"/>
      <c r="B46" s="769"/>
      <c r="C46" s="762"/>
      <c r="D46" s="797"/>
      <c r="E46" s="757"/>
      <c r="F46" s="758"/>
      <c r="G46" s="765"/>
      <c r="H46" s="766"/>
      <c r="I46" s="766"/>
      <c r="J46" s="765"/>
      <c r="K46" s="799"/>
      <c r="L46" s="790"/>
      <c r="M46" s="757"/>
      <c r="N46" s="837"/>
      <c r="O46" s="663">
        <v>0.93490804699999996</v>
      </c>
    </row>
    <row r="47" spans="1:15" ht="18.95" customHeight="1">
      <c r="A47" s="796"/>
      <c r="B47" s="769"/>
      <c r="C47" s="762"/>
      <c r="D47" s="797"/>
      <c r="E47" s="757"/>
      <c r="F47" s="758"/>
      <c r="G47" s="798"/>
      <c r="H47" s="799"/>
      <c r="I47" s="799"/>
      <c r="J47" s="798"/>
      <c r="K47" s="799"/>
      <c r="L47" s="790"/>
      <c r="M47" s="757"/>
      <c r="N47" s="837"/>
      <c r="O47" s="663">
        <v>0.93490804699999996</v>
      </c>
    </row>
    <row r="48" spans="1:15" ht="18.95" customHeight="1">
      <c r="A48" s="796"/>
      <c r="B48" s="769"/>
      <c r="C48" s="762"/>
      <c r="D48" s="797"/>
      <c r="E48" s="757"/>
      <c r="F48" s="758"/>
      <c r="G48" s="798"/>
      <c r="H48" s="799"/>
      <c r="I48" s="799"/>
      <c r="J48" s="798"/>
      <c r="K48" s="799"/>
      <c r="L48" s="790"/>
      <c r="M48" s="757"/>
      <c r="N48" s="837"/>
      <c r="O48" s="663">
        <v>0.93490804699999996</v>
      </c>
    </row>
    <row r="49" spans="1:15" ht="18.95" customHeight="1">
      <c r="A49" s="796"/>
      <c r="B49" s="769"/>
      <c r="C49" s="762"/>
      <c r="D49" s="797"/>
      <c r="E49" s="757"/>
      <c r="F49" s="758"/>
      <c r="G49" s="798"/>
      <c r="H49" s="799"/>
      <c r="I49" s="799"/>
      <c r="J49" s="798"/>
      <c r="K49" s="799"/>
      <c r="L49" s="790"/>
      <c r="M49" s="757"/>
      <c r="N49" s="837"/>
      <c r="O49" s="663">
        <v>0.93490804699999996</v>
      </c>
    </row>
    <row r="50" spans="1:15" ht="18.95" customHeight="1">
      <c r="A50" s="796"/>
      <c r="B50" s="769"/>
      <c r="C50" s="762"/>
      <c r="D50" s="797"/>
      <c r="E50" s="757"/>
      <c r="F50" s="758"/>
      <c r="G50" s="798"/>
      <c r="H50" s="799"/>
      <c r="I50" s="799"/>
      <c r="J50" s="798"/>
      <c r="K50" s="799"/>
      <c r="L50" s="790"/>
      <c r="M50" s="757"/>
      <c r="N50" s="837"/>
      <c r="O50" s="663">
        <v>0.93490804699999996</v>
      </c>
    </row>
    <row r="51" spans="1:15" ht="18.95" customHeight="1">
      <c r="A51" s="796"/>
      <c r="B51" s="769"/>
      <c r="C51" s="762"/>
      <c r="D51" s="797"/>
      <c r="E51" s="757"/>
      <c r="F51" s="758"/>
      <c r="G51" s="798"/>
      <c r="H51" s="799"/>
      <c r="I51" s="799"/>
      <c r="J51" s="798"/>
      <c r="K51" s="799"/>
      <c r="L51" s="790"/>
      <c r="M51" s="757"/>
      <c r="N51" s="837"/>
      <c r="O51" s="663">
        <v>0.93490804699999996</v>
      </c>
    </row>
    <row r="52" spans="1:15" ht="18.95" customHeight="1">
      <c r="A52" s="796"/>
      <c r="B52" s="769"/>
      <c r="C52" s="762"/>
      <c r="D52" s="797"/>
      <c r="E52" s="757"/>
      <c r="F52" s="758"/>
      <c r="G52" s="798"/>
      <c r="H52" s="799"/>
      <c r="I52" s="799"/>
      <c r="J52" s="798"/>
      <c r="K52" s="799"/>
      <c r="L52" s="790"/>
      <c r="M52" s="757"/>
      <c r="N52" s="837"/>
      <c r="O52" s="663">
        <v>0.93490804699999996</v>
      </c>
    </row>
    <row r="53" spans="1:15" ht="18.95" customHeight="1">
      <c r="A53" s="796"/>
      <c r="B53" s="769"/>
      <c r="C53" s="762"/>
      <c r="D53" s="797"/>
      <c r="E53" s="757"/>
      <c r="F53" s="758"/>
      <c r="G53" s="798"/>
      <c r="H53" s="799"/>
      <c r="I53" s="799"/>
      <c r="J53" s="798"/>
      <c r="K53" s="799"/>
      <c r="L53" s="790"/>
      <c r="M53" s="757"/>
      <c r="N53" s="837"/>
      <c r="O53" s="663">
        <v>0.93490804699999996</v>
      </c>
    </row>
    <row r="54" spans="1:15" ht="18.95" customHeight="1">
      <c r="A54" s="796"/>
      <c r="B54" s="769"/>
      <c r="C54" s="762"/>
      <c r="D54" s="797"/>
      <c r="E54" s="757"/>
      <c r="F54" s="758"/>
      <c r="G54" s="798"/>
      <c r="H54" s="799"/>
      <c r="I54" s="799"/>
      <c r="J54" s="798"/>
      <c r="K54" s="799"/>
      <c r="L54" s="790"/>
      <c r="M54" s="757"/>
      <c r="N54" s="837"/>
      <c r="O54" s="663">
        <v>0.93490804699999996</v>
      </c>
    </row>
    <row r="55" spans="1:15" ht="18.95" customHeight="1">
      <c r="A55" s="796"/>
      <c r="B55" s="769"/>
      <c r="C55" s="762"/>
      <c r="D55" s="797"/>
      <c r="E55" s="757"/>
      <c r="F55" s="758"/>
      <c r="G55" s="798"/>
      <c r="H55" s="799"/>
      <c r="I55" s="799"/>
      <c r="J55" s="798"/>
      <c r="K55" s="799"/>
      <c r="L55" s="790"/>
      <c r="M55" s="757"/>
      <c r="N55" s="837"/>
      <c r="O55" s="663">
        <v>0.93490804699999996</v>
      </c>
    </row>
    <row r="56" spans="1:15" ht="18.95" customHeight="1">
      <c r="A56" s="796"/>
      <c r="B56" s="769"/>
      <c r="C56" s="762"/>
      <c r="D56" s="797"/>
      <c r="E56" s="757"/>
      <c r="F56" s="758"/>
      <c r="G56" s="798"/>
      <c r="H56" s="799"/>
      <c r="I56" s="799"/>
      <c r="J56" s="798"/>
      <c r="K56" s="799"/>
      <c r="L56" s="790"/>
      <c r="M56" s="757"/>
      <c r="N56" s="837"/>
      <c r="O56" s="663">
        <v>0.93490804699999996</v>
      </c>
    </row>
    <row r="57" spans="1:15" ht="18.95" customHeight="1">
      <c r="A57" s="796"/>
      <c r="B57" s="769"/>
      <c r="C57" s="762"/>
      <c r="D57" s="797"/>
      <c r="E57" s="757"/>
      <c r="F57" s="758"/>
      <c r="G57" s="798"/>
      <c r="H57" s="799"/>
      <c r="I57" s="799"/>
      <c r="J57" s="798"/>
      <c r="K57" s="799"/>
      <c r="L57" s="790"/>
      <c r="M57" s="757"/>
      <c r="N57" s="837"/>
      <c r="O57" s="663">
        <v>0.93490804699999996</v>
      </c>
    </row>
    <row r="58" spans="1:15" ht="18.95" customHeight="1">
      <c r="A58" s="796"/>
      <c r="B58" s="769"/>
      <c r="C58" s="762"/>
      <c r="D58" s="797"/>
      <c r="E58" s="757"/>
      <c r="F58" s="758"/>
      <c r="G58" s="798"/>
      <c r="H58" s="799"/>
      <c r="I58" s="799"/>
      <c r="J58" s="798"/>
      <c r="K58" s="799"/>
      <c r="L58" s="790"/>
      <c r="M58" s="757"/>
      <c r="N58" s="837"/>
      <c r="O58" s="663">
        <v>0.93490804699999996</v>
      </c>
    </row>
    <row r="59" spans="1:15" ht="18.95" customHeight="1">
      <c r="A59" s="776">
        <v>2</v>
      </c>
      <c r="B59" s="1169" t="s">
        <v>1681</v>
      </c>
      <c r="C59" s="801"/>
      <c r="D59" s="785"/>
      <c r="E59" s="781"/>
      <c r="F59" s="758"/>
      <c r="G59" s="782"/>
      <c r="H59" s="783"/>
      <c r="I59" s="783"/>
      <c r="J59" s="782"/>
      <c r="K59" s="790"/>
      <c r="L59" s="799"/>
      <c r="M59" s="757"/>
      <c r="N59" s="837"/>
      <c r="O59" s="663">
        <v>0.93490804699999996</v>
      </c>
    </row>
    <row r="60" spans="1:15" s="1" customFormat="1" ht="18.95" customHeight="1">
      <c r="A60" s="776"/>
      <c r="B60" s="802" t="s">
        <v>1682</v>
      </c>
      <c r="C60" s="803"/>
      <c r="D60" s="804"/>
      <c r="E60" s="805"/>
      <c r="F60" s="806"/>
      <c r="G60" s="807"/>
      <c r="H60" s="808"/>
      <c r="I60" s="808"/>
      <c r="J60" s="807"/>
      <c r="K60" s="849"/>
      <c r="L60" s="840"/>
      <c r="M60" s="805"/>
      <c r="N60" s="850"/>
      <c r="O60" s="663">
        <v>0.93490804699999996</v>
      </c>
    </row>
    <row r="61" spans="1:15" ht="18.95" customHeight="1">
      <c r="A61" s="778">
        <v>2.1</v>
      </c>
      <c r="B61" s="786" t="s">
        <v>1683</v>
      </c>
      <c r="C61" s="809"/>
      <c r="D61" s="810"/>
      <c r="E61" s="757">
        <v>6016</v>
      </c>
      <c r="F61" s="766" t="s">
        <v>1684</v>
      </c>
      <c r="G61" s="782">
        <v>0</v>
      </c>
      <c r="H61" s="783">
        <f t="shared" ref="H61:H124" si="6">G61*O61</f>
        <v>0</v>
      </c>
      <c r="I61" s="783">
        <f t="shared" ref="I61:I124" si="7">H61*E61</f>
        <v>0</v>
      </c>
      <c r="J61" s="782">
        <v>112</v>
      </c>
      <c r="K61" s="790">
        <f>J61*O61</f>
        <v>104.70970126399999</v>
      </c>
      <c r="L61" s="799">
        <f>K61*E61</f>
        <v>629933.56280422397</v>
      </c>
      <c r="M61" s="757">
        <f>L61+I61</f>
        <v>629933.56280422397</v>
      </c>
      <c r="N61" s="841"/>
      <c r="O61" s="663">
        <v>0.93490804699999996</v>
      </c>
    </row>
    <row r="62" spans="1:15" ht="18.95" customHeight="1">
      <c r="A62" s="811">
        <v>2.2000000000000002</v>
      </c>
      <c r="B62" s="812" t="s">
        <v>1685</v>
      </c>
      <c r="C62" s="813"/>
      <c r="D62" s="785"/>
      <c r="E62" s="757">
        <v>80</v>
      </c>
      <c r="F62" s="766" t="s">
        <v>1684</v>
      </c>
      <c r="G62" s="782">
        <v>508.33</v>
      </c>
      <c r="H62" s="783">
        <f t="shared" si="6"/>
        <v>475.24180753150995</v>
      </c>
      <c r="I62" s="783">
        <f t="shared" si="7"/>
        <v>38019.344602520796</v>
      </c>
      <c r="J62" s="782">
        <v>104</v>
      </c>
      <c r="K62" s="790">
        <f t="shared" ref="K62:K125" si="8">J62*O62</f>
        <v>97.230436888</v>
      </c>
      <c r="L62" s="799">
        <f t="shared" ref="L62:L125" si="9">K62*E62</f>
        <v>7778.4349510399998</v>
      </c>
      <c r="M62" s="757">
        <f t="shared" ref="M62:M125" si="10">L62+I62</f>
        <v>45797.779553560795</v>
      </c>
      <c r="N62" s="841"/>
      <c r="O62" s="663">
        <v>0.93490804699999996</v>
      </c>
    </row>
    <row r="63" spans="1:15" ht="18.95" customHeight="1">
      <c r="A63" s="778">
        <v>2.2999999999999998</v>
      </c>
      <c r="B63" s="812" t="s">
        <v>1686</v>
      </c>
      <c r="C63" s="813"/>
      <c r="D63" s="785"/>
      <c r="E63" s="757">
        <v>160</v>
      </c>
      <c r="F63" s="766" t="s">
        <v>1684</v>
      </c>
      <c r="G63" s="798">
        <v>2460</v>
      </c>
      <c r="H63" s="783">
        <f t="shared" si="6"/>
        <v>2299.8737956199998</v>
      </c>
      <c r="I63" s="783">
        <f t="shared" si="7"/>
        <v>367979.80729919998</v>
      </c>
      <c r="J63" s="843">
        <v>426</v>
      </c>
      <c r="K63" s="790">
        <f t="shared" si="8"/>
        <v>398.27082802199999</v>
      </c>
      <c r="L63" s="799">
        <f t="shared" si="9"/>
        <v>63723.332483519996</v>
      </c>
      <c r="M63" s="757">
        <f t="shared" si="10"/>
        <v>431703.13978271995</v>
      </c>
      <c r="N63" s="841"/>
      <c r="O63" s="663">
        <v>0.93490804699999996</v>
      </c>
    </row>
    <row r="64" spans="1:15" ht="18.95" customHeight="1">
      <c r="A64" s="814">
        <v>2.4</v>
      </c>
      <c r="B64" s="786" t="s">
        <v>1687</v>
      </c>
      <c r="C64" s="809"/>
      <c r="D64" s="815"/>
      <c r="E64" s="766"/>
      <c r="F64" s="799"/>
      <c r="G64" s="798"/>
      <c r="H64" s="783"/>
      <c r="I64" s="783"/>
      <c r="J64" s="843"/>
      <c r="K64" s="790"/>
      <c r="L64" s="799"/>
      <c r="M64" s="757"/>
      <c r="N64" s="837"/>
      <c r="O64" s="663">
        <v>0.93490804699999996</v>
      </c>
    </row>
    <row r="65" spans="1:18" s="725" customFormat="1" ht="18.95" customHeight="1">
      <c r="A65" s="851"/>
      <c r="B65" s="789" t="s">
        <v>273</v>
      </c>
      <c r="C65" s="1170" t="s">
        <v>1688</v>
      </c>
      <c r="D65" s="852"/>
      <c r="E65" s="757">
        <v>6914</v>
      </c>
      <c r="F65" s="799" t="s">
        <v>397</v>
      </c>
      <c r="G65" s="765">
        <v>19.45</v>
      </c>
      <c r="H65" s="783">
        <f t="shared" si="6"/>
        <v>18.183961514149999</v>
      </c>
      <c r="I65" s="783">
        <f t="shared" si="7"/>
        <v>125723.9099088331</v>
      </c>
      <c r="J65" s="843">
        <v>3.6</v>
      </c>
      <c r="K65" s="790">
        <f t="shared" si="8"/>
        <v>3.3656689692000001</v>
      </c>
      <c r="L65" s="799">
        <f t="shared" si="9"/>
        <v>23270.235253048802</v>
      </c>
      <c r="M65" s="757">
        <f t="shared" si="10"/>
        <v>148994.1451618819</v>
      </c>
      <c r="N65" s="841"/>
      <c r="O65" s="663">
        <v>0.93490804699999996</v>
      </c>
      <c r="P65" s="725" t="s">
        <v>1689</v>
      </c>
    </row>
    <row r="66" spans="1:18" s="725" customFormat="1" ht="18.95" customHeight="1">
      <c r="A66" s="851"/>
      <c r="B66" s="789" t="s">
        <v>273</v>
      </c>
      <c r="C66" s="1170" t="s">
        <v>1690</v>
      </c>
      <c r="D66" s="852"/>
      <c r="E66" s="757">
        <v>13573</v>
      </c>
      <c r="F66" s="799" t="s">
        <v>397</v>
      </c>
      <c r="G66" s="765">
        <v>19.25</v>
      </c>
      <c r="H66" s="783">
        <f t="shared" si="6"/>
        <v>17.996979904749999</v>
      </c>
      <c r="I66" s="783">
        <f t="shared" si="7"/>
        <v>244273.00824717173</v>
      </c>
      <c r="J66" s="843">
        <v>3.6</v>
      </c>
      <c r="K66" s="790">
        <f t="shared" si="8"/>
        <v>3.3656689692000001</v>
      </c>
      <c r="L66" s="799">
        <f t="shared" si="9"/>
        <v>45682.224918951601</v>
      </c>
      <c r="M66" s="757">
        <f t="shared" si="10"/>
        <v>289955.23316612333</v>
      </c>
      <c r="N66" s="841"/>
      <c r="O66" s="663">
        <v>0.93490804699999996</v>
      </c>
      <c r="P66" s="725" t="s">
        <v>1689</v>
      </c>
    </row>
    <row r="67" spans="1:18" s="725" customFormat="1" ht="18.95" customHeight="1">
      <c r="A67" s="853"/>
      <c r="B67" s="789" t="s">
        <v>273</v>
      </c>
      <c r="C67" s="1170" t="s">
        <v>1691</v>
      </c>
      <c r="D67" s="852"/>
      <c r="E67" s="757">
        <v>13680</v>
      </c>
      <c r="F67" s="799" t="s">
        <v>397</v>
      </c>
      <c r="G67" s="765">
        <v>19.25</v>
      </c>
      <c r="H67" s="783">
        <f t="shared" si="6"/>
        <v>17.996979904749999</v>
      </c>
      <c r="I67" s="783">
        <f t="shared" si="7"/>
        <v>246198.68509697999</v>
      </c>
      <c r="J67" s="843">
        <v>3.1</v>
      </c>
      <c r="K67" s="790">
        <f t="shared" si="8"/>
        <v>2.8982149456999999</v>
      </c>
      <c r="L67" s="799">
        <f t="shared" si="9"/>
        <v>39647.580457176002</v>
      </c>
      <c r="M67" s="757">
        <f t="shared" si="10"/>
        <v>285846.26555415598</v>
      </c>
      <c r="N67" s="841"/>
      <c r="O67" s="663">
        <v>0.93490804699999996</v>
      </c>
      <c r="P67" s="725" t="s">
        <v>1689</v>
      </c>
    </row>
    <row r="68" spans="1:18" s="725" customFormat="1" ht="18.95" customHeight="1">
      <c r="A68" s="853"/>
      <c r="B68" s="789" t="s">
        <v>273</v>
      </c>
      <c r="C68" s="1170" t="s">
        <v>1692</v>
      </c>
      <c r="D68" s="852"/>
      <c r="E68" s="757">
        <v>64375</v>
      </c>
      <c r="F68" s="799" t="s">
        <v>397</v>
      </c>
      <c r="G68" s="765">
        <v>19.25</v>
      </c>
      <c r="H68" s="783">
        <f t="shared" si="6"/>
        <v>17.996979904749999</v>
      </c>
      <c r="I68" s="783">
        <f t="shared" si="7"/>
        <v>1158555.5813682813</v>
      </c>
      <c r="J68" s="843">
        <v>3.1</v>
      </c>
      <c r="K68" s="790">
        <f t="shared" si="8"/>
        <v>2.8982149456999999</v>
      </c>
      <c r="L68" s="799">
        <f t="shared" si="9"/>
        <v>186572.58712943751</v>
      </c>
      <c r="M68" s="757">
        <f t="shared" si="10"/>
        <v>1345128.1684977189</v>
      </c>
      <c r="N68" s="841"/>
      <c r="O68" s="663">
        <v>0.93490804699999996</v>
      </c>
      <c r="P68" s="725" t="s">
        <v>1689</v>
      </c>
    </row>
    <row r="69" spans="1:18" s="725" customFormat="1" ht="18.95" customHeight="1">
      <c r="A69" s="853"/>
      <c r="B69" s="789" t="s">
        <v>273</v>
      </c>
      <c r="C69" s="1170" t="s">
        <v>1693</v>
      </c>
      <c r="D69" s="852"/>
      <c r="E69" s="757">
        <v>3222</v>
      </c>
      <c r="F69" s="799" t="s">
        <v>397</v>
      </c>
      <c r="G69" s="765">
        <v>19.25</v>
      </c>
      <c r="H69" s="783">
        <f t="shared" si="6"/>
        <v>17.996979904749999</v>
      </c>
      <c r="I69" s="783">
        <f t="shared" si="7"/>
        <v>57986.269253104496</v>
      </c>
      <c r="J69" s="843">
        <v>3.1</v>
      </c>
      <c r="K69" s="790">
        <f t="shared" si="8"/>
        <v>2.8982149456999999</v>
      </c>
      <c r="L69" s="799">
        <f t="shared" si="9"/>
        <v>9338.0485550453996</v>
      </c>
      <c r="M69" s="757">
        <f t="shared" si="10"/>
        <v>67324.317808149892</v>
      </c>
      <c r="N69" s="841"/>
      <c r="O69" s="663">
        <v>0.93490804699999996</v>
      </c>
      <c r="P69" s="725" t="s">
        <v>1689</v>
      </c>
    </row>
    <row r="70" spans="1:18" s="725" customFormat="1" ht="18.95" customHeight="1">
      <c r="A70" s="853"/>
      <c r="B70" s="789" t="s">
        <v>273</v>
      </c>
      <c r="C70" s="1170" t="s">
        <v>1694</v>
      </c>
      <c r="D70" s="852"/>
      <c r="E70" s="766">
        <v>1832</v>
      </c>
      <c r="F70" s="799" t="s">
        <v>397</v>
      </c>
      <c r="G70" s="765">
        <v>27.1</v>
      </c>
      <c r="H70" s="783">
        <f t="shared" si="6"/>
        <v>25.3360080737</v>
      </c>
      <c r="I70" s="783">
        <f t="shared" si="7"/>
        <v>46415.566791018398</v>
      </c>
      <c r="J70" s="843">
        <v>0</v>
      </c>
      <c r="K70" s="790">
        <f t="shared" si="8"/>
        <v>0</v>
      </c>
      <c r="L70" s="799">
        <f t="shared" si="9"/>
        <v>0</v>
      </c>
      <c r="M70" s="757">
        <f t="shared" si="10"/>
        <v>46415.566791018398</v>
      </c>
      <c r="N70" s="841"/>
      <c r="O70" s="663">
        <v>0.93490804699999996</v>
      </c>
      <c r="P70" s="725" t="s">
        <v>1689</v>
      </c>
      <c r="Q70" s="861">
        <f>+E70+E85+E100+E117+E134+E165+E187+E206+E221+E257+E273+E292+E310+E324+E338+E369+E382+E399+E414+E458+E471+E490+E506+E548+E561+E580+E596+E611+E624+E639+E722+E735+E748+E761+E774+E786+E799+E812+E824</f>
        <v>23135.182000000001</v>
      </c>
      <c r="R70" s="726" t="s">
        <v>1695</v>
      </c>
    </row>
    <row r="71" spans="1:18" ht="18.95" customHeight="1">
      <c r="A71" s="767">
        <v>2.5</v>
      </c>
      <c r="B71" s="786" t="s">
        <v>1696</v>
      </c>
      <c r="C71" s="809"/>
      <c r="D71" s="809"/>
      <c r="E71" s="854"/>
      <c r="F71" s="758"/>
      <c r="G71" s="765"/>
      <c r="H71" s="783"/>
      <c r="I71" s="783"/>
      <c r="J71" s="759"/>
      <c r="K71" s="790"/>
      <c r="L71" s="799"/>
      <c r="M71" s="757"/>
      <c r="N71" s="837"/>
      <c r="O71" s="663">
        <v>0.93490804699999996</v>
      </c>
    </row>
    <row r="72" spans="1:18" ht="18.95" customHeight="1">
      <c r="A72" s="853"/>
      <c r="B72" s="789" t="s">
        <v>273</v>
      </c>
      <c r="C72" s="1170" t="s">
        <v>1697</v>
      </c>
      <c r="D72" s="852"/>
      <c r="E72" s="766">
        <v>423</v>
      </c>
      <c r="F72" s="799" t="s">
        <v>211</v>
      </c>
      <c r="G72" s="765">
        <v>245.2</v>
      </c>
      <c r="H72" s="783">
        <f t="shared" si="6"/>
        <v>229.23945312439997</v>
      </c>
      <c r="I72" s="783">
        <f t="shared" si="7"/>
        <v>96968.288671621194</v>
      </c>
      <c r="J72" s="843">
        <v>0</v>
      </c>
      <c r="K72" s="790">
        <f t="shared" si="8"/>
        <v>0</v>
      </c>
      <c r="L72" s="799">
        <f t="shared" si="9"/>
        <v>0</v>
      </c>
      <c r="M72" s="757">
        <f t="shared" si="10"/>
        <v>96968.288671621194</v>
      </c>
      <c r="N72" s="841"/>
      <c r="O72" s="663">
        <v>0.93490804699999996</v>
      </c>
    </row>
    <row r="73" spans="1:18" ht="18.95" customHeight="1">
      <c r="A73" s="853"/>
      <c r="B73" s="789" t="s">
        <v>273</v>
      </c>
      <c r="C73" s="1170" t="s">
        <v>1698</v>
      </c>
      <c r="D73" s="852"/>
      <c r="E73" s="766">
        <v>846</v>
      </c>
      <c r="F73" s="799" t="s">
        <v>211</v>
      </c>
      <c r="G73" s="765"/>
      <c r="H73" s="783">
        <f t="shared" si="6"/>
        <v>0</v>
      </c>
      <c r="I73" s="783">
        <f t="shared" si="7"/>
        <v>0</v>
      </c>
      <c r="J73" s="843">
        <v>121</v>
      </c>
      <c r="K73" s="790">
        <f t="shared" si="8"/>
        <v>113.123873687</v>
      </c>
      <c r="L73" s="799">
        <f t="shared" si="9"/>
        <v>95702.797139201997</v>
      </c>
      <c r="M73" s="757">
        <f t="shared" si="10"/>
        <v>95702.797139201997</v>
      </c>
      <c r="N73" s="841"/>
      <c r="O73" s="663">
        <v>0.93490804699999996</v>
      </c>
    </row>
    <row r="74" spans="1:18" ht="18.95" customHeight="1">
      <c r="A74" s="853"/>
      <c r="B74" s="789" t="s">
        <v>273</v>
      </c>
      <c r="C74" s="1170" t="s">
        <v>1699</v>
      </c>
      <c r="D74" s="852"/>
      <c r="E74" s="766">
        <v>127</v>
      </c>
      <c r="F74" s="799" t="s">
        <v>1700</v>
      </c>
      <c r="G74" s="765">
        <v>309.42</v>
      </c>
      <c r="H74" s="783">
        <f t="shared" si="6"/>
        <v>289.27924790274</v>
      </c>
      <c r="I74" s="783">
        <f t="shared" si="7"/>
        <v>36738.464483647978</v>
      </c>
      <c r="J74" s="843">
        <v>0</v>
      </c>
      <c r="K74" s="790">
        <f t="shared" si="8"/>
        <v>0</v>
      </c>
      <c r="L74" s="799">
        <f t="shared" si="9"/>
        <v>0</v>
      </c>
      <c r="M74" s="757">
        <f t="shared" si="10"/>
        <v>36738.464483647978</v>
      </c>
      <c r="N74" s="841"/>
      <c r="O74" s="663">
        <v>0.93490804699999996</v>
      </c>
    </row>
    <row r="75" spans="1:18" ht="18.95" customHeight="1">
      <c r="A75" s="853"/>
      <c r="B75" s="789" t="s">
        <v>273</v>
      </c>
      <c r="C75" s="1170" t="s">
        <v>1701</v>
      </c>
      <c r="D75" s="852"/>
      <c r="E75" s="757">
        <v>106</v>
      </c>
      <c r="F75" s="799" t="s">
        <v>397</v>
      </c>
      <c r="G75" s="765">
        <v>23.36</v>
      </c>
      <c r="H75" s="783">
        <f t="shared" si="6"/>
        <v>21.83945197792</v>
      </c>
      <c r="I75" s="783">
        <f t="shared" si="7"/>
        <v>2314.9819096595202</v>
      </c>
      <c r="J75" s="843">
        <v>0</v>
      </c>
      <c r="K75" s="790">
        <f t="shared" si="8"/>
        <v>0</v>
      </c>
      <c r="L75" s="799">
        <f t="shared" si="9"/>
        <v>0</v>
      </c>
      <c r="M75" s="757">
        <f t="shared" si="10"/>
        <v>2314.9819096595202</v>
      </c>
      <c r="N75" s="841"/>
      <c r="O75" s="663">
        <v>0.93490804699999996</v>
      </c>
      <c r="P75" s="725" t="s">
        <v>1689</v>
      </c>
    </row>
    <row r="76" spans="1:18" ht="18.95" customHeight="1">
      <c r="A76" s="851">
        <v>2.6</v>
      </c>
      <c r="B76" s="786" t="s">
        <v>1702</v>
      </c>
      <c r="C76" s="809"/>
      <c r="D76" s="809"/>
      <c r="E76" s="766"/>
      <c r="F76" s="799"/>
      <c r="G76" s="798"/>
      <c r="H76" s="783"/>
      <c r="I76" s="783"/>
      <c r="J76" s="843"/>
      <c r="K76" s="790"/>
      <c r="L76" s="799"/>
      <c r="M76" s="757"/>
      <c r="N76" s="837"/>
      <c r="O76" s="663">
        <v>0.93490804699999996</v>
      </c>
    </row>
    <row r="77" spans="1:18" ht="18.95" customHeight="1">
      <c r="A77" s="855"/>
      <c r="B77" s="789" t="s">
        <v>273</v>
      </c>
      <c r="C77" s="852" t="s">
        <v>1703</v>
      </c>
      <c r="D77" s="852"/>
      <c r="E77" s="757">
        <v>732</v>
      </c>
      <c r="F77" s="799" t="s">
        <v>1684</v>
      </c>
      <c r="G77" s="759">
        <v>2117.5</v>
      </c>
      <c r="H77" s="783">
        <f t="shared" si="6"/>
        <v>1979.6677895225</v>
      </c>
      <c r="I77" s="783">
        <f t="shared" si="7"/>
        <v>1449116.8219304699</v>
      </c>
      <c r="J77" s="759">
        <v>519</v>
      </c>
      <c r="K77" s="790">
        <f t="shared" si="8"/>
        <v>485.21727639299996</v>
      </c>
      <c r="L77" s="799">
        <f t="shared" si="9"/>
        <v>355179.04631967598</v>
      </c>
      <c r="M77" s="757">
        <f t="shared" si="10"/>
        <v>1804295.868250146</v>
      </c>
      <c r="N77" s="841"/>
      <c r="O77" s="663">
        <v>0.93490804699999996</v>
      </c>
    </row>
    <row r="78" spans="1:18" ht="18.95" customHeight="1">
      <c r="A78" s="856"/>
      <c r="B78" s="1169" t="s">
        <v>1704</v>
      </c>
      <c r="C78" s="801"/>
      <c r="D78" s="815"/>
      <c r="E78" s="854"/>
      <c r="F78" s="857"/>
      <c r="G78" s="843"/>
      <c r="H78" s="783"/>
      <c r="I78" s="783"/>
      <c r="J78" s="843"/>
      <c r="K78" s="790"/>
      <c r="L78" s="799"/>
      <c r="M78" s="757"/>
      <c r="N78" s="837"/>
      <c r="O78" s="663">
        <v>0.93490804699999996</v>
      </c>
    </row>
    <row r="79" spans="1:18" ht="18.95" customHeight="1">
      <c r="A79" s="1171" t="s">
        <v>1705</v>
      </c>
      <c r="B79" s="786" t="s">
        <v>1683</v>
      </c>
      <c r="C79" s="809"/>
      <c r="D79" s="810"/>
      <c r="E79" s="757">
        <v>63</v>
      </c>
      <c r="F79" s="766" t="s">
        <v>1684</v>
      </c>
      <c r="G79" s="782"/>
      <c r="H79" s="783">
        <f t="shared" si="6"/>
        <v>0</v>
      </c>
      <c r="I79" s="783">
        <f t="shared" si="7"/>
        <v>0</v>
      </c>
      <c r="J79" s="782">
        <v>112</v>
      </c>
      <c r="K79" s="790">
        <f t="shared" si="8"/>
        <v>104.70970126399999</v>
      </c>
      <c r="L79" s="799">
        <f t="shared" si="9"/>
        <v>6596.7111796319996</v>
      </c>
      <c r="M79" s="757">
        <f t="shared" si="10"/>
        <v>6596.7111796319996</v>
      </c>
      <c r="N79" s="841"/>
      <c r="O79" s="663">
        <v>0.93490804699999996</v>
      </c>
    </row>
    <row r="80" spans="1:18" ht="18.95" customHeight="1">
      <c r="A80" s="1171" t="s">
        <v>1706</v>
      </c>
      <c r="B80" s="812" t="s">
        <v>1685</v>
      </c>
      <c r="C80" s="813"/>
      <c r="D80" s="785"/>
      <c r="E80" s="757">
        <v>2</v>
      </c>
      <c r="F80" s="766" t="s">
        <v>1684</v>
      </c>
      <c r="G80" s="782">
        <v>508.33</v>
      </c>
      <c r="H80" s="783">
        <f t="shared" si="6"/>
        <v>475.24180753150995</v>
      </c>
      <c r="I80" s="783">
        <f t="shared" si="7"/>
        <v>950.4836150630199</v>
      </c>
      <c r="J80" s="782">
        <v>104</v>
      </c>
      <c r="K80" s="790">
        <f t="shared" si="8"/>
        <v>97.230436888</v>
      </c>
      <c r="L80" s="799">
        <f t="shared" si="9"/>
        <v>194.460873776</v>
      </c>
      <c r="M80" s="757">
        <f t="shared" si="10"/>
        <v>1144.9444888390199</v>
      </c>
      <c r="N80" s="841"/>
      <c r="O80" s="663">
        <v>0.93490804699999996</v>
      </c>
    </row>
    <row r="81" spans="1:16" ht="18.95" customHeight="1">
      <c r="A81" s="1171" t="s">
        <v>1707</v>
      </c>
      <c r="B81" s="812" t="s">
        <v>1686</v>
      </c>
      <c r="C81" s="813"/>
      <c r="D81" s="785"/>
      <c r="E81" s="757">
        <v>2</v>
      </c>
      <c r="F81" s="766" t="s">
        <v>1684</v>
      </c>
      <c r="G81" s="798">
        <v>2460</v>
      </c>
      <c r="H81" s="783">
        <f t="shared" si="6"/>
        <v>2299.8737956199998</v>
      </c>
      <c r="I81" s="783">
        <f t="shared" si="7"/>
        <v>4599.7475912399996</v>
      </c>
      <c r="J81" s="843">
        <v>426</v>
      </c>
      <c r="K81" s="790">
        <f t="shared" si="8"/>
        <v>398.27082802199999</v>
      </c>
      <c r="L81" s="799">
        <f t="shared" si="9"/>
        <v>796.54165604399998</v>
      </c>
      <c r="M81" s="757">
        <f t="shared" si="10"/>
        <v>5396.2892472839994</v>
      </c>
      <c r="N81" s="841"/>
      <c r="O81" s="663">
        <v>0.93490804699999996</v>
      </c>
    </row>
    <row r="82" spans="1:16" ht="18.95" customHeight="1">
      <c r="A82" s="1171" t="s">
        <v>1708</v>
      </c>
      <c r="B82" s="786" t="s">
        <v>1687</v>
      </c>
      <c r="C82" s="809"/>
      <c r="D82" s="815"/>
      <c r="E82" s="790"/>
      <c r="F82" s="799"/>
      <c r="G82" s="798"/>
      <c r="H82" s="783"/>
      <c r="I82" s="783"/>
      <c r="J82" s="843"/>
      <c r="K82" s="790"/>
      <c r="L82" s="799"/>
      <c r="M82" s="757"/>
      <c r="N82" s="837"/>
      <c r="O82" s="663">
        <v>0.93490804699999996</v>
      </c>
    </row>
    <row r="83" spans="1:16" ht="18.95" customHeight="1">
      <c r="A83" s="851"/>
      <c r="B83" s="789" t="s">
        <v>273</v>
      </c>
      <c r="C83" s="1170" t="s">
        <v>1688</v>
      </c>
      <c r="D83" s="852"/>
      <c r="E83" s="757">
        <v>1859</v>
      </c>
      <c r="F83" s="799" t="s">
        <v>397</v>
      </c>
      <c r="G83" s="765">
        <v>19.45</v>
      </c>
      <c r="H83" s="783">
        <f t="shared" si="6"/>
        <v>18.183961514149999</v>
      </c>
      <c r="I83" s="783">
        <f t="shared" si="7"/>
        <v>33803.98445480485</v>
      </c>
      <c r="J83" s="843">
        <v>3.6</v>
      </c>
      <c r="K83" s="790">
        <f t="shared" si="8"/>
        <v>3.3656689692000001</v>
      </c>
      <c r="L83" s="799">
        <f t="shared" si="9"/>
        <v>6256.7786137428002</v>
      </c>
      <c r="M83" s="757">
        <f t="shared" si="10"/>
        <v>40060.763068547647</v>
      </c>
      <c r="N83" s="841"/>
      <c r="O83" s="663">
        <v>0.93490804699999996</v>
      </c>
      <c r="P83" s="725" t="s">
        <v>1689</v>
      </c>
    </row>
    <row r="84" spans="1:16" ht="18.95" customHeight="1">
      <c r="A84" s="853"/>
      <c r="B84" s="789" t="s">
        <v>273</v>
      </c>
      <c r="C84" s="1170" t="s">
        <v>1709</v>
      </c>
      <c r="D84" s="852"/>
      <c r="E84" s="757">
        <v>3954</v>
      </c>
      <c r="F84" s="799" t="s">
        <v>397</v>
      </c>
      <c r="G84" s="765">
        <v>19.25</v>
      </c>
      <c r="H84" s="783">
        <f t="shared" si="6"/>
        <v>17.996979904749999</v>
      </c>
      <c r="I84" s="783">
        <f t="shared" si="7"/>
        <v>71160.058543381499</v>
      </c>
      <c r="J84" s="843">
        <v>3.1</v>
      </c>
      <c r="K84" s="790">
        <f t="shared" si="8"/>
        <v>2.8982149456999999</v>
      </c>
      <c r="L84" s="799">
        <f t="shared" si="9"/>
        <v>11459.5418952978</v>
      </c>
      <c r="M84" s="757">
        <f t="shared" si="10"/>
        <v>82619.600438679307</v>
      </c>
      <c r="N84" s="841"/>
      <c r="O84" s="663">
        <v>0.93490804699999996</v>
      </c>
      <c r="P84" s="725" t="s">
        <v>1689</v>
      </c>
    </row>
    <row r="85" spans="1:16" ht="18.95" customHeight="1">
      <c r="A85" s="853"/>
      <c r="B85" s="789" t="s">
        <v>273</v>
      </c>
      <c r="C85" s="1170" t="s">
        <v>1694</v>
      </c>
      <c r="D85" s="852"/>
      <c r="E85" s="757">
        <v>105</v>
      </c>
      <c r="F85" s="799" t="s">
        <v>397</v>
      </c>
      <c r="G85" s="765">
        <v>27.1</v>
      </c>
      <c r="H85" s="783">
        <f t="shared" si="6"/>
        <v>25.3360080737</v>
      </c>
      <c r="I85" s="783">
        <f t="shared" si="7"/>
        <v>2660.2808477385001</v>
      </c>
      <c r="J85" s="843">
        <v>0</v>
      </c>
      <c r="K85" s="790">
        <f t="shared" si="8"/>
        <v>0</v>
      </c>
      <c r="L85" s="799">
        <f t="shared" si="9"/>
        <v>0</v>
      </c>
      <c r="M85" s="757">
        <f t="shared" si="10"/>
        <v>2660.2808477385001</v>
      </c>
      <c r="N85" s="841"/>
      <c r="O85" s="663">
        <v>0.93490804699999996</v>
      </c>
      <c r="P85" s="725" t="s">
        <v>1689</v>
      </c>
    </row>
    <row r="86" spans="1:16" ht="18.95" customHeight="1">
      <c r="A86" s="1171" t="s">
        <v>1710</v>
      </c>
      <c r="B86" s="786" t="s">
        <v>1696</v>
      </c>
      <c r="C86" s="809"/>
      <c r="D86" s="858"/>
      <c r="E86" s="854"/>
      <c r="F86" s="857"/>
      <c r="G86" s="765"/>
      <c r="H86" s="783"/>
      <c r="I86" s="783"/>
      <c r="J86" s="765"/>
      <c r="K86" s="790"/>
      <c r="L86" s="799"/>
      <c r="M86" s="757"/>
      <c r="N86" s="837"/>
      <c r="O86" s="663">
        <v>0.93490804699999996</v>
      </c>
    </row>
    <row r="87" spans="1:16" ht="18.95" customHeight="1">
      <c r="A87" s="853"/>
      <c r="B87" s="789" t="s">
        <v>273</v>
      </c>
      <c r="C87" s="1170" t="s">
        <v>1697</v>
      </c>
      <c r="D87" s="852"/>
      <c r="E87" s="766">
        <v>14</v>
      </c>
      <c r="F87" s="799" t="s">
        <v>211</v>
      </c>
      <c r="G87" s="765">
        <v>245.2</v>
      </c>
      <c r="H87" s="783">
        <f t="shared" si="6"/>
        <v>229.23945312439997</v>
      </c>
      <c r="I87" s="783">
        <f t="shared" si="7"/>
        <v>3209.3523437415997</v>
      </c>
      <c r="J87" s="843">
        <v>0</v>
      </c>
      <c r="K87" s="790">
        <f t="shared" si="8"/>
        <v>0</v>
      </c>
      <c r="L87" s="799">
        <f t="shared" si="9"/>
        <v>0</v>
      </c>
      <c r="M87" s="757">
        <f t="shared" si="10"/>
        <v>3209.3523437415997</v>
      </c>
      <c r="N87" s="841"/>
      <c r="O87" s="663">
        <v>0.93490804699999996</v>
      </c>
    </row>
    <row r="88" spans="1:16" ht="18.95" customHeight="1">
      <c r="A88" s="853"/>
      <c r="B88" s="789" t="s">
        <v>273</v>
      </c>
      <c r="C88" s="1170" t="s">
        <v>1698</v>
      </c>
      <c r="D88" s="852"/>
      <c r="E88" s="766">
        <v>28</v>
      </c>
      <c r="F88" s="799" t="s">
        <v>211</v>
      </c>
      <c r="G88" s="765"/>
      <c r="H88" s="783">
        <f t="shared" si="6"/>
        <v>0</v>
      </c>
      <c r="I88" s="783">
        <f t="shared" si="7"/>
        <v>0</v>
      </c>
      <c r="J88" s="843">
        <v>121</v>
      </c>
      <c r="K88" s="790">
        <f t="shared" si="8"/>
        <v>113.123873687</v>
      </c>
      <c r="L88" s="799">
        <f t="shared" si="9"/>
        <v>3167.4684632359999</v>
      </c>
      <c r="M88" s="757">
        <f t="shared" si="10"/>
        <v>3167.4684632359999</v>
      </c>
      <c r="N88" s="841"/>
      <c r="O88" s="663">
        <v>0.93490804699999996</v>
      </c>
    </row>
    <row r="89" spans="1:16" ht="18.95" customHeight="1">
      <c r="A89" s="853"/>
      <c r="B89" s="789" t="s">
        <v>273</v>
      </c>
      <c r="C89" s="1170" t="s">
        <v>1699</v>
      </c>
      <c r="D89" s="852"/>
      <c r="E89" s="766">
        <v>5</v>
      </c>
      <c r="F89" s="799" t="s">
        <v>1700</v>
      </c>
      <c r="G89" s="765">
        <v>309.42</v>
      </c>
      <c r="H89" s="783">
        <f t="shared" si="6"/>
        <v>289.27924790274</v>
      </c>
      <c r="I89" s="783">
        <f t="shared" si="7"/>
        <v>1446.3962395137</v>
      </c>
      <c r="J89" s="843">
        <v>0</v>
      </c>
      <c r="K89" s="790">
        <f t="shared" si="8"/>
        <v>0</v>
      </c>
      <c r="L89" s="799">
        <f t="shared" si="9"/>
        <v>0</v>
      </c>
      <c r="M89" s="757">
        <f t="shared" si="10"/>
        <v>1446.3962395137</v>
      </c>
      <c r="N89" s="841"/>
      <c r="O89" s="663">
        <v>0.93490804699999996</v>
      </c>
    </row>
    <row r="90" spans="1:16" ht="18.95" customHeight="1">
      <c r="A90" s="853"/>
      <c r="B90" s="789" t="s">
        <v>273</v>
      </c>
      <c r="C90" s="1170" t="s">
        <v>1701</v>
      </c>
      <c r="D90" s="852"/>
      <c r="E90" s="757">
        <v>4</v>
      </c>
      <c r="F90" s="799" t="s">
        <v>397</v>
      </c>
      <c r="G90" s="765">
        <v>23.36</v>
      </c>
      <c r="H90" s="783">
        <f t="shared" si="6"/>
        <v>21.83945197792</v>
      </c>
      <c r="I90" s="783">
        <f t="shared" si="7"/>
        <v>87.357807911679998</v>
      </c>
      <c r="J90" s="843">
        <v>0</v>
      </c>
      <c r="K90" s="790">
        <f t="shared" si="8"/>
        <v>0</v>
      </c>
      <c r="L90" s="799">
        <f t="shared" si="9"/>
        <v>0</v>
      </c>
      <c r="M90" s="757">
        <f t="shared" si="10"/>
        <v>87.357807911679998</v>
      </c>
      <c r="N90" s="841"/>
      <c r="O90" s="663">
        <v>0.93490804699999996</v>
      </c>
      <c r="P90" s="725" t="s">
        <v>1689</v>
      </c>
    </row>
    <row r="91" spans="1:16" ht="18.95" customHeight="1">
      <c r="A91" s="859">
        <v>2.12</v>
      </c>
      <c r="B91" s="786" t="s">
        <v>1702</v>
      </c>
      <c r="C91" s="809"/>
      <c r="D91" s="860"/>
      <c r="E91" s="766"/>
      <c r="F91" s="857"/>
      <c r="G91" s="798"/>
      <c r="H91" s="783"/>
      <c r="I91" s="783"/>
      <c r="J91" s="843"/>
      <c r="K91" s="790"/>
      <c r="L91" s="799"/>
      <c r="M91" s="757"/>
      <c r="N91" s="837"/>
      <c r="O91" s="663">
        <v>0.93490804699999996</v>
      </c>
    </row>
    <row r="92" spans="1:16" ht="18.95" customHeight="1">
      <c r="A92" s="855"/>
      <c r="B92" s="789" t="s">
        <v>273</v>
      </c>
      <c r="C92" s="852" t="s">
        <v>1711</v>
      </c>
      <c r="D92" s="852"/>
      <c r="E92" s="757">
        <v>17.5</v>
      </c>
      <c r="F92" s="799" t="s">
        <v>1684</v>
      </c>
      <c r="G92" s="759">
        <v>2260</v>
      </c>
      <c r="H92" s="783">
        <f t="shared" si="6"/>
        <v>2112.89218622</v>
      </c>
      <c r="I92" s="783">
        <f t="shared" si="7"/>
        <v>36975.613258849997</v>
      </c>
      <c r="J92" s="759">
        <v>519</v>
      </c>
      <c r="K92" s="790">
        <f t="shared" si="8"/>
        <v>485.21727639299996</v>
      </c>
      <c r="L92" s="799">
        <f t="shared" si="9"/>
        <v>8491.3023368774993</v>
      </c>
      <c r="M92" s="757">
        <f t="shared" si="10"/>
        <v>45466.915595727492</v>
      </c>
      <c r="N92" s="841"/>
      <c r="O92" s="663">
        <v>0.93490804699999996</v>
      </c>
    </row>
    <row r="93" spans="1:16" ht="18.95" customHeight="1">
      <c r="A93" s="856"/>
      <c r="B93" s="1169" t="s">
        <v>1712</v>
      </c>
      <c r="C93" s="801"/>
      <c r="D93" s="815"/>
      <c r="E93" s="854"/>
      <c r="F93" s="857"/>
      <c r="G93" s="843"/>
      <c r="H93" s="783"/>
      <c r="I93" s="783"/>
      <c r="J93" s="843"/>
      <c r="K93" s="790"/>
      <c r="L93" s="799"/>
      <c r="M93" s="757"/>
      <c r="N93" s="837"/>
      <c r="O93" s="663">
        <v>0.93490804699999996</v>
      </c>
    </row>
    <row r="94" spans="1:16" ht="18.95" customHeight="1">
      <c r="A94" s="1171" t="s">
        <v>1713</v>
      </c>
      <c r="B94" s="786" t="s">
        <v>1683</v>
      </c>
      <c r="C94" s="809"/>
      <c r="D94" s="810"/>
      <c r="E94" s="757">
        <v>30218</v>
      </c>
      <c r="F94" s="766" t="s">
        <v>1684</v>
      </c>
      <c r="G94" s="782"/>
      <c r="H94" s="783">
        <f t="shared" si="6"/>
        <v>0</v>
      </c>
      <c r="I94" s="783">
        <f t="shared" si="7"/>
        <v>0</v>
      </c>
      <c r="J94" s="782">
        <v>112</v>
      </c>
      <c r="K94" s="790">
        <f t="shared" si="8"/>
        <v>104.70970126399999</v>
      </c>
      <c r="L94" s="799">
        <f t="shared" si="9"/>
        <v>3164117.7527955514</v>
      </c>
      <c r="M94" s="757">
        <f t="shared" si="10"/>
        <v>3164117.7527955514</v>
      </c>
      <c r="N94" s="841"/>
      <c r="O94" s="663">
        <v>0.93490804699999996</v>
      </c>
    </row>
    <row r="95" spans="1:16" ht="18.95" customHeight="1">
      <c r="A95" s="1171" t="s">
        <v>1714</v>
      </c>
      <c r="B95" s="812" t="s">
        <v>1685</v>
      </c>
      <c r="C95" s="813"/>
      <c r="D95" s="785"/>
      <c r="E95" s="757">
        <v>655</v>
      </c>
      <c r="F95" s="766" t="s">
        <v>1684</v>
      </c>
      <c r="G95" s="782">
        <v>508.33</v>
      </c>
      <c r="H95" s="783">
        <f t="shared" si="6"/>
        <v>475.24180753150995</v>
      </c>
      <c r="I95" s="783">
        <f t="shared" si="7"/>
        <v>311283.38393313903</v>
      </c>
      <c r="J95" s="782">
        <v>104</v>
      </c>
      <c r="K95" s="790">
        <f t="shared" si="8"/>
        <v>97.230436888</v>
      </c>
      <c r="L95" s="799">
        <f t="shared" si="9"/>
        <v>63685.936161639998</v>
      </c>
      <c r="M95" s="757">
        <f t="shared" si="10"/>
        <v>374969.32009477902</v>
      </c>
      <c r="N95" s="841"/>
      <c r="O95" s="663">
        <v>0.93490804699999996</v>
      </c>
    </row>
    <row r="96" spans="1:16" ht="18.95" customHeight="1">
      <c r="A96" s="1171" t="s">
        <v>1715</v>
      </c>
      <c r="B96" s="812" t="s">
        <v>1686</v>
      </c>
      <c r="C96" s="813"/>
      <c r="D96" s="785"/>
      <c r="E96" s="757">
        <v>328</v>
      </c>
      <c r="F96" s="766" t="s">
        <v>1684</v>
      </c>
      <c r="G96" s="798">
        <v>2460</v>
      </c>
      <c r="H96" s="783">
        <f t="shared" si="6"/>
        <v>2299.8737956199998</v>
      </c>
      <c r="I96" s="783">
        <f t="shared" si="7"/>
        <v>754358.60496335989</v>
      </c>
      <c r="J96" s="843">
        <v>426</v>
      </c>
      <c r="K96" s="790">
        <f t="shared" si="8"/>
        <v>398.27082802199999</v>
      </c>
      <c r="L96" s="799">
        <f t="shared" si="9"/>
        <v>130632.831591216</v>
      </c>
      <c r="M96" s="757">
        <f t="shared" si="10"/>
        <v>884991.43655457592</v>
      </c>
      <c r="N96" s="841"/>
      <c r="O96" s="663">
        <v>0.93490804699999996</v>
      </c>
    </row>
    <row r="97" spans="1:16" ht="18.95" customHeight="1">
      <c r="A97" s="1171" t="s">
        <v>1716</v>
      </c>
      <c r="B97" s="786" t="s">
        <v>1687</v>
      </c>
      <c r="C97" s="809"/>
      <c r="D97" s="815"/>
      <c r="E97" s="790"/>
      <c r="F97" s="799"/>
      <c r="G97" s="798"/>
      <c r="H97" s="783"/>
      <c r="I97" s="783"/>
      <c r="J97" s="843"/>
      <c r="K97" s="790"/>
      <c r="L97" s="799"/>
      <c r="M97" s="757"/>
      <c r="N97" s="837"/>
      <c r="O97" s="663">
        <v>0.93490804699999996</v>
      </c>
    </row>
    <row r="98" spans="1:16" ht="18.95" customHeight="1">
      <c r="A98" s="851"/>
      <c r="B98" s="789" t="s">
        <v>273</v>
      </c>
      <c r="C98" s="1170" t="s">
        <v>1688</v>
      </c>
      <c r="D98" s="852"/>
      <c r="E98" s="757">
        <v>5966</v>
      </c>
      <c r="F98" s="799" t="s">
        <v>397</v>
      </c>
      <c r="G98" s="765">
        <v>19.45</v>
      </c>
      <c r="H98" s="783">
        <f t="shared" si="6"/>
        <v>18.183961514149999</v>
      </c>
      <c r="I98" s="783">
        <f t="shared" si="7"/>
        <v>108485.5143934189</v>
      </c>
      <c r="J98" s="843">
        <v>3.6</v>
      </c>
      <c r="K98" s="790">
        <f t="shared" si="8"/>
        <v>3.3656689692000001</v>
      </c>
      <c r="L98" s="799">
        <f t="shared" si="9"/>
        <v>20079.581070247201</v>
      </c>
      <c r="M98" s="757">
        <f t="shared" si="10"/>
        <v>128565.0954636661</v>
      </c>
      <c r="N98" s="841"/>
      <c r="O98" s="663">
        <v>0.93490804699999996</v>
      </c>
      <c r="P98" s="725" t="s">
        <v>1689</v>
      </c>
    </row>
    <row r="99" spans="1:16" ht="18.95" customHeight="1">
      <c r="A99" s="851"/>
      <c r="B99" s="789" t="s">
        <v>273</v>
      </c>
      <c r="C99" s="1170" t="s">
        <v>1690</v>
      </c>
      <c r="D99" s="852"/>
      <c r="E99" s="757">
        <v>166058</v>
      </c>
      <c r="F99" s="799" t="s">
        <v>397</v>
      </c>
      <c r="G99" s="765">
        <v>19.25</v>
      </c>
      <c r="H99" s="783">
        <f t="shared" si="6"/>
        <v>17.996979904749999</v>
      </c>
      <c r="I99" s="783">
        <f t="shared" si="7"/>
        <v>2988542.4890229753</v>
      </c>
      <c r="J99" s="843">
        <v>3.6</v>
      </c>
      <c r="K99" s="790">
        <f t="shared" si="8"/>
        <v>3.3656689692000001</v>
      </c>
      <c r="L99" s="799">
        <f t="shared" si="9"/>
        <v>558896.2576874136</v>
      </c>
      <c r="M99" s="757">
        <f t="shared" si="10"/>
        <v>3547438.7467103889</v>
      </c>
      <c r="N99" s="841"/>
      <c r="O99" s="663">
        <v>0.93490804699999996</v>
      </c>
      <c r="P99" s="725" t="s">
        <v>1689</v>
      </c>
    </row>
    <row r="100" spans="1:16" ht="18.95" customHeight="1">
      <c r="A100" s="853"/>
      <c r="B100" s="789" t="s">
        <v>273</v>
      </c>
      <c r="C100" s="1170" t="s">
        <v>1694</v>
      </c>
      <c r="D100" s="852"/>
      <c r="E100" s="757">
        <v>3096</v>
      </c>
      <c r="F100" s="799" t="s">
        <v>397</v>
      </c>
      <c r="G100" s="765">
        <v>27.1</v>
      </c>
      <c r="H100" s="783">
        <f t="shared" si="6"/>
        <v>25.3360080737</v>
      </c>
      <c r="I100" s="783">
        <f t="shared" si="7"/>
        <v>78440.280996175206</v>
      </c>
      <c r="J100" s="843">
        <v>0</v>
      </c>
      <c r="K100" s="790">
        <f t="shared" si="8"/>
        <v>0</v>
      </c>
      <c r="L100" s="799">
        <f t="shared" si="9"/>
        <v>0</v>
      </c>
      <c r="M100" s="757">
        <f t="shared" si="10"/>
        <v>78440.280996175206</v>
      </c>
      <c r="N100" s="841"/>
      <c r="O100" s="663">
        <v>0.93490804699999996</v>
      </c>
      <c r="P100" s="725" t="s">
        <v>1689</v>
      </c>
    </row>
    <row r="101" spans="1:16" ht="18.95" customHeight="1">
      <c r="A101" s="1171" t="s">
        <v>1717</v>
      </c>
      <c r="B101" s="786" t="s">
        <v>1696</v>
      </c>
      <c r="C101" s="809"/>
      <c r="D101" s="858"/>
      <c r="E101" s="854"/>
      <c r="F101" s="857"/>
      <c r="G101" s="765"/>
      <c r="H101" s="783"/>
      <c r="I101" s="783"/>
      <c r="J101" s="765"/>
      <c r="K101" s="790"/>
      <c r="L101" s="799"/>
      <c r="M101" s="757"/>
      <c r="N101" s="837"/>
      <c r="O101" s="663">
        <v>0.93490804699999996</v>
      </c>
    </row>
    <row r="102" spans="1:16" ht="18.95" customHeight="1">
      <c r="A102" s="853"/>
      <c r="B102" s="789" t="s">
        <v>273</v>
      </c>
      <c r="C102" s="1170" t="s">
        <v>1697</v>
      </c>
      <c r="D102" s="852"/>
      <c r="E102" s="766">
        <v>109</v>
      </c>
      <c r="F102" s="799" t="s">
        <v>211</v>
      </c>
      <c r="G102" s="765">
        <v>245.2</v>
      </c>
      <c r="H102" s="783">
        <f t="shared" si="6"/>
        <v>229.23945312439997</v>
      </c>
      <c r="I102" s="783">
        <f t="shared" si="7"/>
        <v>24987.100390559597</v>
      </c>
      <c r="J102" s="843">
        <v>0</v>
      </c>
      <c r="K102" s="790">
        <f t="shared" si="8"/>
        <v>0</v>
      </c>
      <c r="L102" s="799">
        <f t="shared" si="9"/>
        <v>0</v>
      </c>
      <c r="M102" s="757">
        <f t="shared" si="10"/>
        <v>24987.100390559597</v>
      </c>
      <c r="N102" s="841"/>
      <c r="O102" s="663">
        <v>0.93490804699999996</v>
      </c>
    </row>
    <row r="103" spans="1:16" ht="18.95" customHeight="1">
      <c r="A103" s="853"/>
      <c r="B103" s="789" t="s">
        <v>273</v>
      </c>
      <c r="C103" s="1170" t="s">
        <v>1698</v>
      </c>
      <c r="D103" s="852"/>
      <c r="E103" s="766">
        <v>217</v>
      </c>
      <c r="F103" s="799" t="s">
        <v>211</v>
      </c>
      <c r="G103" s="765"/>
      <c r="H103" s="783">
        <f t="shared" si="6"/>
        <v>0</v>
      </c>
      <c r="I103" s="783">
        <f t="shared" si="7"/>
        <v>0</v>
      </c>
      <c r="J103" s="843">
        <v>121</v>
      </c>
      <c r="K103" s="790">
        <f t="shared" si="8"/>
        <v>113.123873687</v>
      </c>
      <c r="L103" s="799">
        <f t="shared" si="9"/>
        <v>24547.880590078999</v>
      </c>
      <c r="M103" s="757">
        <f t="shared" si="10"/>
        <v>24547.880590078999</v>
      </c>
      <c r="N103" s="841"/>
      <c r="O103" s="663">
        <v>0.93490804699999996</v>
      </c>
    </row>
    <row r="104" spans="1:16" ht="18.95" customHeight="1">
      <c r="A104" s="853"/>
      <c r="B104" s="789" t="s">
        <v>273</v>
      </c>
      <c r="C104" s="1170" t="s">
        <v>1699</v>
      </c>
      <c r="D104" s="852"/>
      <c r="E104" s="766">
        <v>33</v>
      </c>
      <c r="F104" s="799" t="s">
        <v>1700</v>
      </c>
      <c r="G104" s="765">
        <v>309.42</v>
      </c>
      <c r="H104" s="783">
        <f t="shared" si="6"/>
        <v>289.27924790274</v>
      </c>
      <c r="I104" s="783">
        <f t="shared" si="7"/>
        <v>9546.2151807904193</v>
      </c>
      <c r="J104" s="843">
        <v>0</v>
      </c>
      <c r="K104" s="790">
        <f t="shared" si="8"/>
        <v>0</v>
      </c>
      <c r="L104" s="799">
        <f t="shared" si="9"/>
        <v>0</v>
      </c>
      <c r="M104" s="757">
        <f t="shared" si="10"/>
        <v>9546.2151807904193</v>
      </c>
      <c r="N104" s="841"/>
      <c r="O104" s="663">
        <v>0.93490804699999996</v>
      </c>
    </row>
    <row r="105" spans="1:16" ht="18.95" customHeight="1">
      <c r="A105" s="853"/>
      <c r="B105" s="789" t="s">
        <v>273</v>
      </c>
      <c r="C105" s="1170" t="s">
        <v>1701</v>
      </c>
      <c r="D105" s="852"/>
      <c r="E105" s="757">
        <v>27</v>
      </c>
      <c r="F105" s="799" t="s">
        <v>397</v>
      </c>
      <c r="G105" s="765">
        <v>23.36</v>
      </c>
      <c r="H105" s="783">
        <f t="shared" si="6"/>
        <v>21.83945197792</v>
      </c>
      <c r="I105" s="783">
        <f t="shared" si="7"/>
        <v>589.66520340384</v>
      </c>
      <c r="J105" s="843">
        <v>0</v>
      </c>
      <c r="K105" s="790">
        <f t="shared" si="8"/>
        <v>0</v>
      </c>
      <c r="L105" s="799">
        <f t="shared" si="9"/>
        <v>0</v>
      </c>
      <c r="M105" s="757">
        <f t="shared" si="10"/>
        <v>589.66520340384</v>
      </c>
      <c r="N105" s="757"/>
      <c r="O105" s="663">
        <v>0.93490804699999996</v>
      </c>
      <c r="P105" s="725" t="s">
        <v>1689</v>
      </c>
    </row>
    <row r="106" spans="1:16" ht="18.95" customHeight="1">
      <c r="A106" s="859">
        <v>2.1800000000000002</v>
      </c>
      <c r="B106" s="786" t="s">
        <v>1702</v>
      </c>
      <c r="C106" s="809"/>
      <c r="D106" s="860"/>
      <c r="E106" s="766"/>
      <c r="F106" s="857"/>
      <c r="G106" s="798"/>
      <c r="H106" s="783"/>
      <c r="I106" s="783"/>
      <c r="J106" s="843"/>
      <c r="K106" s="790"/>
      <c r="L106" s="799"/>
      <c r="M106" s="757"/>
      <c r="N106" s="837"/>
      <c r="O106" s="663">
        <v>0.93490804699999996</v>
      </c>
    </row>
    <row r="107" spans="1:16" ht="18.95" customHeight="1">
      <c r="A107" s="855"/>
      <c r="B107" s="789" t="s">
        <v>273</v>
      </c>
      <c r="C107" s="852" t="s">
        <v>1711</v>
      </c>
      <c r="D107" s="852"/>
      <c r="E107" s="757">
        <v>2405</v>
      </c>
      <c r="F107" s="799" t="s">
        <v>1684</v>
      </c>
      <c r="G107" s="759">
        <v>2260</v>
      </c>
      <c r="H107" s="783">
        <f t="shared" si="6"/>
        <v>2112.89218622</v>
      </c>
      <c r="I107" s="783">
        <f t="shared" si="7"/>
        <v>5081505.7078590998</v>
      </c>
      <c r="J107" s="759">
        <v>519</v>
      </c>
      <c r="K107" s="790">
        <f t="shared" si="8"/>
        <v>485.21727639299996</v>
      </c>
      <c r="L107" s="799">
        <f t="shared" si="9"/>
        <v>1166947.5497251649</v>
      </c>
      <c r="M107" s="757">
        <f t="shared" si="10"/>
        <v>6248453.2575842645</v>
      </c>
      <c r="N107" s="841"/>
      <c r="O107" s="663">
        <v>0.93490804699999996</v>
      </c>
    </row>
    <row r="108" spans="1:16" ht="18.95" customHeight="1">
      <c r="A108" s="856"/>
      <c r="B108" s="1169" t="s">
        <v>1718</v>
      </c>
      <c r="C108" s="801"/>
      <c r="D108" s="815"/>
      <c r="E108" s="854"/>
      <c r="F108" s="857"/>
      <c r="G108" s="843"/>
      <c r="H108" s="783"/>
      <c r="I108" s="783"/>
      <c r="J108" s="843"/>
      <c r="K108" s="790"/>
      <c r="L108" s="799"/>
      <c r="M108" s="757"/>
      <c r="N108" s="837"/>
      <c r="O108" s="663">
        <v>0.93490804699999996</v>
      </c>
    </row>
    <row r="109" spans="1:16" ht="18.95" customHeight="1">
      <c r="A109" s="1172" t="s">
        <v>1719</v>
      </c>
      <c r="B109" s="786" t="s">
        <v>1687</v>
      </c>
      <c r="C109" s="809"/>
      <c r="D109" s="815"/>
      <c r="E109" s="790"/>
      <c r="F109" s="799"/>
      <c r="G109" s="798"/>
      <c r="H109" s="783"/>
      <c r="I109" s="783"/>
      <c r="J109" s="843"/>
      <c r="K109" s="790"/>
      <c r="L109" s="799"/>
      <c r="M109" s="757"/>
      <c r="N109" s="837"/>
      <c r="O109" s="663">
        <v>0.93490804699999996</v>
      </c>
    </row>
    <row r="110" spans="1:16" ht="18.95" customHeight="1">
      <c r="A110" s="851"/>
      <c r="B110" s="789" t="s">
        <v>273</v>
      </c>
      <c r="C110" s="1170" t="s">
        <v>1720</v>
      </c>
      <c r="D110" s="852"/>
      <c r="E110" s="757">
        <v>5143</v>
      </c>
      <c r="F110" s="799" t="s">
        <v>397</v>
      </c>
      <c r="G110" s="765">
        <v>19.600000000000001</v>
      </c>
      <c r="H110" s="783">
        <f t="shared" si="6"/>
        <v>18.324197721200001</v>
      </c>
      <c r="I110" s="783">
        <f t="shared" si="7"/>
        <v>94241.348880131598</v>
      </c>
      <c r="J110" s="843">
        <v>4.4000000000000004</v>
      </c>
      <c r="K110" s="790">
        <f t="shared" si="8"/>
        <v>4.1135954068</v>
      </c>
      <c r="L110" s="799">
        <f t="shared" si="9"/>
        <v>21156.2211771724</v>
      </c>
      <c r="M110" s="757">
        <f t="shared" si="10"/>
        <v>115397.57005730399</v>
      </c>
      <c r="N110" s="841"/>
      <c r="O110" s="663">
        <v>0.93490804699999996</v>
      </c>
      <c r="P110" s="725" t="s">
        <v>1689</v>
      </c>
    </row>
    <row r="111" spans="1:16" ht="18.95" customHeight="1">
      <c r="A111" s="851"/>
      <c r="B111" s="789" t="s">
        <v>273</v>
      </c>
      <c r="C111" s="1170" t="s">
        <v>1688</v>
      </c>
      <c r="D111" s="852"/>
      <c r="E111" s="757">
        <v>2401</v>
      </c>
      <c r="F111" s="799" t="s">
        <v>397</v>
      </c>
      <c r="G111" s="765">
        <v>19.45</v>
      </c>
      <c r="H111" s="783">
        <f t="shared" si="6"/>
        <v>18.183961514149999</v>
      </c>
      <c r="I111" s="783">
        <f t="shared" si="7"/>
        <v>43659.691595474149</v>
      </c>
      <c r="J111" s="843">
        <v>3.6</v>
      </c>
      <c r="K111" s="790">
        <f t="shared" si="8"/>
        <v>3.3656689692000001</v>
      </c>
      <c r="L111" s="799">
        <f t="shared" si="9"/>
        <v>8080.9711950492001</v>
      </c>
      <c r="M111" s="757">
        <f t="shared" si="10"/>
        <v>51740.662790523347</v>
      </c>
      <c r="N111" s="841"/>
      <c r="O111" s="663">
        <v>0.93490804699999996</v>
      </c>
      <c r="P111" s="725" t="s">
        <v>1689</v>
      </c>
    </row>
    <row r="112" spans="1:16" ht="18.95" customHeight="1">
      <c r="A112" s="851"/>
      <c r="B112" s="789" t="s">
        <v>273</v>
      </c>
      <c r="C112" s="1170" t="s">
        <v>1690</v>
      </c>
      <c r="D112" s="852"/>
      <c r="E112" s="757">
        <v>3831</v>
      </c>
      <c r="F112" s="799" t="s">
        <v>397</v>
      </c>
      <c r="G112" s="765">
        <v>19.25</v>
      </c>
      <c r="H112" s="783">
        <f t="shared" si="6"/>
        <v>17.996979904749999</v>
      </c>
      <c r="I112" s="783">
        <f t="shared" si="7"/>
        <v>68946.430015097241</v>
      </c>
      <c r="J112" s="843">
        <v>3.6</v>
      </c>
      <c r="K112" s="790">
        <f t="shared" si="8"/>
        <v>3.3656689692000001</v>
      </c>
      <c r="L112" s="799">
        <f t="shared" si="9"/>
        <v>12893.877821005201</v>
      </c>
      <c r="M112" s="757">
        <f t="shared" si="10"/>
        <v>81840.307836102438</v>
      </c>
      <c r="N112" s="841"/>
      <c r="O112" s="663">
        <v>0.93490804699999996</v>
      </c>
      <c r="P112" s="725" t="s">
        <v>1689</v>
      </c>
    </row>
    <row r="113" spans="1:16" ht="18.95" customHeight="1">
      <c r="A113" s="853"/>
      <c r="B113" s="789" t="s">
        <v>273</v>
      </c>
      <c r="C113" s="1170" t="s">
        <v>1691</v>
      </c>
      <c r="D113" s="852"/>
      <c r="E113" s="757">
        <v>3045</v>
      </c>
      <c r="F113" s="799" t="s">
        <v>397</v>
      </c>
      <c r="G113" s="765">
        <v>19.25</v>
      </c>
      <c r="H113" s="783">
        <f t="shared" si="6"/>
        <v>17.996979904749999</v>
      </c>
      <c r="I113" s="783">
        <f t="shared" si="7"/>
        <v>54800.803809963749</v>
      </c>
      <c r="J113" s="843">
        <v>3.1</v>
      </c>
      <c r="K113" s="790">
        <f t="shared" si="8"/>
        <v>2.8982149456999999</v>
      </c>
      <c r="L113" s="799">
        <f t="shared" si="9"/>
        <v>8825.0645096565004</v>
      </c>
      <c r="M113" s="757">
        <f t="shared" si="10"/>
        <v>63625.868319620247</v>
      </c>
      <c r="N113" s="841"/>
      <c r="O113" s="663">
        <v>0.93490804699999996</v>
      </c>
      <c r="P113" s="725" t="s">
        <v>1689</v>
      </c>
    </row>
    <row r="114" spans="1:16" ht="18.95" customHeight="1">
      <c r="A114" s="853"/>
      <c r="B114" s="789" t="s">
        <v>273</v>
      </c>
      <c r="C114" s="1170" t="s">
        <v>1692</v>
      </c>
      <c r="D114" s="852"/>
      <c r="E114" s="757">
        <v>15512</v>
      </c>
      <c r="F114" s="799" t="s">
        <v>397</v>
      </c>
      <c r="G114" s="765">
        <v>19.25</v>
      </c>
      <c r="H114" s="783">
        <f t="shared" si="6"/>
        <v>17.996979904749999</v>
      </c>
      <c r="I114" s="783">
        <f t="shared" si="7"/>
        <v>279169.15228248201</v>
      </c>
      <c r="J114" s="843">
        <v>3.1</v>
      </c>
      <c r="K114" s="790">
        <f t="shared" si="8"/>
        <v>2.8982149456999999</v>
      </c>
      <c r="L114" s="799">
        <f t="shared" si="9"/>
        <v>44957.110237698398</v>
      </c>
      <c r="M114" s="757">
        <f t="shared" si="10"/>
        <v>324126.26252018043</v>
      </c>
      <c r="N114" s="841"/>
      <c r="O114" s="663">
        <v>0.93490804699999996</v>
      </c>
      <c r="P114" s="725" t="s">
        <v>1689</v>
      </c>
    </row>
    <row r="115" spans="1:16" ht="18.95" customHeight="1">
      <c r="A115" s="853"/>
      <c r="B115" s="789" t="s">
        <v>273</v>
      </c>
      <c r="C115" s="1170" t="s">
        <v>1693</v>
      </c>
      <c r="D115" s="852"/>
      <c r="E115" s="757">
        <v>5880</v>
      </c>
      <c r="F115" s="799" t="s">
        <v>397</v>
      </c>
      <c r="G115" s="765">
        <v>19.25</v>
      </c>
      <c r="H115" s="783">
        <f t="shared" si="6"/>
        <v>17.996979904749999</v>
      </c>
      <c r="I115" s="783">
        <f t="shared" si="7"/>
        <v>105822.24183992999</v>
      </c>
      <c r="J115" s="843">
        <v>3.1</v>
      </c>
      <c r="K115" s="790">
        <f t="shared" si="8"/>
        <v>2.8982149456999999</v>
      </c>
      <c r="L115" s="799">
        <f t="shared" si="9"/>
        <v>17041.503880715998</v>
      </c>
      <c r="M115" s="757">
        <f t="shared" si="10"/>
        <v>122863.74572064599</v>
      </c>
      <c r="N115" s="841"/>
      <c r="O115" s="663">
        <v>0.93490804699999996</v>
      </c>
      <c r="P115" s="725" t="s">
        <v>1689</v>
      </c>
    </row>
    <row r="116" spans="1:16" ht="18.95" customHeight="1">
      <c r="A116" s="853"/>
      <c r="B116" s="789" t="s">
        <v>273</v>
      </c>
      <c r="C116" s="1170" t="s">
        <v>1709</v>
      </c>
      <c r="D116" s="852"/>
      <c r="E116" s="757">
        <v>16851</v>
      </c>
      <c r="F116" s="799" t="s">
        <v>397</v>
      </c>
      <c r="G116" s="765">
        <v>19.25</v>
      </c>
      <c r="H116" s="783">
        <f t="shared" si="6"/>
        <v>17.996979904749999</v>
      </c>
      <c r="I116" s="783">
        <f t="shared" si="7"/>
        <v>303267.10837494221</v>
      </c>
      <c r="J116" s="843">
        <v>3.1</v>
      </c>
      <c r="K116" s="790">
        <f t="shared" si="8"/>
        <v>2.8982149456999999</v>
      </c>
      <c r="L116" s="799">
        <f t="shared" si="9"/>
        <v>48837.820049990696</v>
      </c>
      <c r="M116" s="757">
        <f t="shared" si="10"/>
        <v>352104.92842493288</v>
      </c>
      <c r="N116" s="841"/>
      <c r="O116" s="663">
        <v>0.93490804699999996</v>
      </c>
      <c r="P116" s="725" t="s">
        <v>1689</v>
      </c>
    </row>
    <row r="117" spans="1:16" ht="18.95" customHeight="1">
      <c r="A117" s="853"/>
      <c r="B117" s="789" t="s">
        <v>273</v>
      </c>
      <c r="C117" s="1170" t="s">
        <v>1694</v>
      </c>
      <c r="D117" s="852"/>
      <c r="E117" s="757">
        <v>948</v>
      </c>
      <c r="F117" s="799" t="s">
        <v>397</v>
      </c>
      <c r="G117" s="765">
        <v>27.1</v>
      </c>
      <c r="H117" s="783">
        <f t="shared" si="6"/>
        <v>25.3360080737</v>
      </c>
      <c r="I117" s="783">
        <f t="shared" si="7"/>
        <v>24018.535653867599</v>
      </c>
      <c r="J117" s="843">
        <v>0</v>
      </c>
      <c r="K117" s="790">
        <f t="shared" si="8"/>
        <v>0</v>
      </c>
      <c r="L117" s="799">
        <f t="shared" si="9"/>
        <v>0</v>
      </c>
      <c r="M117" s="757">
        <f t="shared" si="10"/>
        <v>24018.535653867599</v>
      </c>
      <c r="N117" s="841"/>
      <c r="O117" s="663">
        <v>0.93490804699999996</v>
      </c>
      <c r="P117" s="725" t="s">
        <v>1689</v>
      </c>
    </row>
    <row r="118" spans="1:16" ht="18.95" customHeight="1">
      <c r="A118" s="1173" t="s">
        <v>1721</v>
      </c>
      <c r="B118" s="786" t="s">
        <v>1696</v>
      </c>
      <c r="C118" s="809"/>
      <c r="D118" s="858"/>
      <c r="E118" s="854"/>
      <c r="F118" s="857"/>
      <c r="G118" s="765"/>
      <c r="H118" s="783"/>
      <c r="I118" s="783"/>
      <c r="J118" s="765"/>
      <c r="K118" s="790"/>
      <c r="L118" s="799"/>
      <c r="M118" s="757"/>
      <c r="N118" s="837"/>
      <c r="O118" s="663">
        <v>0.93490804699999996</v>
      </c>
    </row>
    <row r="119" spans="1:16" ht="18.95" customHeight="1">
      <c r="A119" s="853"/>
      <c r="B119" s="789" t="s">
        <v>273</v>
      </c>
      <c r="C119" s="1170" t="s">
        <v>1697</v>
      </c>
      <c r="D119" s="852"/>
      <c r="E119" s="766">
        <v>633</v>
      </c>
      <c r="F119" s="799" t="s">
        <v>211</v>
      </c>
      <c r="G119" s="765">
        <v>245.2</v>
      </c>
      <c r="H119" s="783">
        <f t="shared" si="6"/>
        <v>229.23945312439997</v>
      </c>
      <c r="I119" s="783">
        <f t="shared" si="7"/>
        <v>145108.57382774519</v>
      </c>
      <c r="J119" s="843">
        <v>0</v>
      </c>
      <c r="K119" s="790">
        <f t="shared" si="8"/>
        <v>0</v>
      </c>
      <c r="L119" s="799">
        <f t="shared" si="9"/>
        <v>0</v>
      </c>
      <c r="M119" s="757">
        <f t="shared" si="10"/>
        <v>145108.57382774519</v>
      </c>
      <c r="N119" s="841"/>
      <c r="O119" s="663">
        <v>0.93490804699999996</v>
      </c>
    </row>
    <row r="120" spans="1:16" ht="18.95" customHeight="1">
      <c r="A120" s="853"/>
      <c r="B120" s="789" t="s">
        <v>273</v>
      </c>
      <c r="C120" s="1170" t="s">
        <v>1698</v>
      </c>
      <c r="D120" s="852"/>
      <c r="E120" s="766">
        <v>1265</v>
      </c>
      <c r="F120" s="799" t="s">
        <v>211</v>
      </c>
      <c r="G120" s="765"/>
      <c r="H120" s="783">
        <f t="shared" si="6"/>
        <v>0</v>
      </c>
      <c r="I120" s="783">
        <f t="shared" si="7"/>
        <v>0</v>
      </c>
      <c r="J120" s="843">
        <v>121</v>
      </c>
      <c r="K120" s="790">
        <f t="shared" si="8"/>
        <v>113.123873687</v>
      </c>
      <c r="L120" s="799">
        <f t="shared" si="9"/>
        <v>143101.70021405499</v>
      </c>
      <c r="M120" s="757">
        <f t="shared" si="10"/>
        <v>143101.70021405499</v>
      </c>
      <c r="N120" s="841"/>
      <c r="O120" s="663">
        <v>0.93490804699999996</v>
      </c>
    </row>
    <row r="121" spans="1:16" ht="18.95" customHeight="1">
      <c r="A121" s="853"/>
      <c r="B121" s="789" t="s">
        <v>273</v>
      </c>
      <c r="C121" s="1170" t="s">
        <v>1699</v>
      </c>
      <c r="D121" s="852"/>
      <c r="E121" s="766">
        <v>190</v>
      </c>
      <c r="F121" s="799" t="s">
        <v>1700</v>
      </c>
      <c r="G121" s="765">
        <v>309.42</v>
      </c>
      <c r="H121" s="783">
        <f t="shared" si="6"/>
        <v>289.27924790274</v>
      </c>
      <c r="I121" s="783">
        <f t="shared" si="7"/>
        <v>54963.057101520601</v>
      </c>
      <c r="J121" s="843">
        <v>0</v>
      </c>
      <c r="K121" s="790">
        <f t="shared" si="8"/>
        <v>0</v>
      </c>
      <c r="L121" s="799">
        <f t="shared" si="9"/>
        <v>0</v>
      </c>
      <c r="M121" s="757">
        <f t="shared" si="10"/>
        <v>54963.057101520601</v>
      </c>
      <c r="N121" s="841"/>
      <c r="O121" s="663">
        <v>0.93490804699999996</v>
      </c>
    </row>
    <row r="122" spans="1:16" ht="18.95" customHeight="1">
      <c r="A122" s="853"/>
      <c r="B122" s="789" t="s">
        <v>273</v>
      </c>
      <c r="C122" s="1170" t="s">
        <v>1701</v>
      </c>
      <c r="D122" s="852"/>
      <c r="E122" s="757">
        <v>158</v>
      </c>
      <c r="F122" s="799" t="s">
        <v>397</v>
      </c>
      <c r="G122" s="765">
        <v>23.36</v>
      </c>
      <c r="H122" s="783">
        <f t="shared" si="6"/>
        <v>21.83945197792</v>
      </c>
      <c r="I122" s="783">
        <f t="shared" si="7"/>
        <v>3450.6334125113599</v>
      </c>
      <c r="J122" s="843">
        <v>0</v>
      </c>
      <c r="K122" s="790">
        <f t="shared" si="8"/>
        <v>0</v>
      </c>
      <c r="L122" s="799">
        <f t="shared" si="9"/>
        <v>0</v>
      </c>
      <c r="M122" s="757">
        <f t="shared" si="10"/>
        <v>3450.6334125113599</v>
      </c>
      <c r="N122" s="757"/>
      <c r="O122" s="663">
        <v>0.93490804699999996</v>
      </c>
      <c r="P122" s="725" t="s">
        <v>1689</v>
      </c>
    </row>
    <row r="123" spans="1:16" ht="18.95" customHeight="1">
      <c r="A123" s="1173" t="s">
        <v>1722</v>
      </c>
      <c r="B123" s="786" t="s">
        <v>1702</v>
      </c>
      <c r="C123" s="809"/>
      <c r="D123" s="860"/>
      <c r="E123" s="766"/>
      <c r="F123" s="857"/>
      <c r="G123" s="798"/>
      <c r="H123" s="783"/>
      <c r="I123" s="783"/>
      <c r="J123" s="843"/>
      <c r="K123" s="790"/>
      <c r="L123" s="799"/>
      <c r="M123" s="757"/>
      <c r="N123" s="837"/>
      <c r="O123" s="663">
        <v>0.93490804699999996</v>
      </c>
    </row>
    <row r="124" spans="1:16" ht="18.95" customHeight="1">
      <c r="A124" s="855"/>
      <c r="B124" s="789" t="s">
        <v>273</v>
      </c>
      <c r="C124" s="852" t="s">
        <v>1723</v>
      </c>
      <c r="D124" s="852"/>
      <c r="E124" s="757">
        <v>88</v>
      </c>
      <c r="F124" s="799" t="s">
        <v>1684</v>
      </c>
      <c r="G124" s="759">
        <v>2679.9</v>
      </c>
      <c r="H124" s="783">
        <f t="shared" si="6"/>
        <v>2505.4600751552998</v>
      </c>
      <c r="I124" s="783">
        <f t="shared" si="7"/>
        <v>220480.48661366638</v>
      </c>
      <c r="J124" s="759">
        <v>519</v>
      </c>
      <c r="K124" s="790">
        <f t="shared" si="8"/>
        <v>485.21727639299996</v>
      </c>
      <c r="L124" s="799">
        <f t="shared" si="9"/>
        <v>42699.120322584</v>
      </c>
      <c r="M124" s="757">
        <f t="shared" si="10"/>
        <v>263179.60693625035</v>
      </c>
      <c r="N124" s="841"/>
      <c r="O124" s="663">
        <v>0.93490804699999996</v>
      </c>
    </row>
    <row r="125" spans="1:16" ht="18.95" customHeight="1">
      <c r="A125" s="855"/>
      <c r="B125" s="789" t="s">
        <v>273</v>
      </c>
      <c r="C125" s="852" t="s">
        <v>1724</v>
      </c>
      <c r="D125" s="852"/>
      <c r="E125" s="757">
        <v>87</v>
      </c>
      <c r="F125" s="799" t="s">
        <v>1684</v>
      </c>
      <c r="G125" s="759">
        <v>3025</v>
      </c>
      <c r="H125" s="783">
        <f t="shared" ref="H125:H187" si="11">G125*O125</f>
        <v>2828.0968421749999</v>
      </c>
      <c r="I125" s="783">
        <f t="shared" ref="I125:I187" si="12">H125*E125</f>
        <v>246044.425269225</v>
      </c>
      <c r="J125" s="759">
        <v>519</v>
      </c>
      <c r="K125" s="790">
        <f t="shared" si="8"/>
        <v>485.21727639299996</v>
      </c>
      <c r="L125" s="799">
        <f t="shared" si="9"/>
        <v>42213.903046190993</v>
      </c>
      <c r="M125" s="757">
        <f t="shared" si="10"/>
        <v>288258.328315416</v>
      </c>
      <c r="N125" s="841"/>
      <c r="O125" s="663">
        <v>0.93490804699999996</v>
      </c>
    </row>
    <row r="126" spans="1:16" ht="18.95" customHeight="1">
      <c r="A126" s="1173" t="s">
        <v>1725</v>
      </c>
      <c r="B126" s="786" t="s">
        <v>1726</v>
      </c>
      <c r="C126" s="852"/>
      <c r="D126" s="852"/>
      <c r="E126" s="766"/>
      <c r="F126" s="799"/>
      <c r="G126" s="765"/>
      <c r="H126" s="783"/>
      <c r="I126" s="783"/>
      <c r="J126" s="843"/>
      <c r="K126" s="790"/>
      <c r="L126" s="799"/>
      <c r="M126" s="757"/>
      <c r="N126" s="841"/>
      <c r="O126" s="663">
        <v>0.93490804699999996</v>
      </c>
    </row>
    <row r="127" spans="1:16" ht="18.95" customHeight="1">
      <c r="A127" s="853"/>
      <c r="B127" s="789" t="s">
        <v>273</v>
      </c>
      <c r="C127" s="852" t="s">
        <v>1727</v>
      </c>
      <c r="D127" s="852"/>
      <c r="E127" s="757">
        <v>5170</v>
      </c>
      <c r="F127" s="799" t="s">
        <v>397</v>
      </c>
      <c r="G127" s="798">
        <v>36.524822695035503</v>
      </c>
      <c r="H127" s="783">
        <f t="shared" si="11"/>
        <v>34.14735065283692</v>
      </c>
      <c r="I127" s="783">
        <f t="shared" si="12"/>
        <v>176541.80287516688</v>
      </c>
      <c r="J127" s="843">
        <v>14</v>
      </c>
      <c r="K127" s="790">
        <f t="shared" ref="K127:K189" si="13">J127*O127</f>
        <v>13.088712657999999</v>
      </c>
      <c r="L127" s="799">
        <f t="shared" ref="L127:L189" si="14">K127*E127</f>
        <v>67668.644441859986</v>
      </c>
      <c r="M127" s="757">
        <f t="shared" ref="M127:M189" si="15">L127+I127</f>
        <v>244210.44731702685</v>
      </c>
      <c r="N127" s="841"/>
      <c r="O127" s="663">
        <v>0.93490804699999996</v>
      </c>
    </row>
    <row r="128" spans="1:16" ht="18.95" customHeight="1">
      <c r="A128" s="856"/>
      <c r="B128" s="1169" t="s">
        <v>1728</v>
      </c>
      <c r="C128" s="801"/>
      <c r="D128" s="815"/>
      <c r="E128" s="854"/>
      <c r="F128" s="857"/>
      <c r="G128" s="843"/>
      <c r="H128" s="783"/>
      <c r="I128" s="783"/>
      <c r="J128" s="843"/>
      <c r="K128" s="790"/>
      <c r="L128" s="799"/>
      <c r="M128" s="757"/>
      <c r="N128" s="837"/>
      <c r="O128" s="663">
        <v>0.93490804699999996</v>
      </c>
    </row>
    <row r="129" spans="1:16" ht="18.95" customHeight="1">
      <c r="A129" s="1172" t="s">
        <v>1729</v>
      </c>
      <c r="B129" s="786" t="s">
        <v>1687</v>
      </c>
      <c r="C129" s="809"/>
      <c r="D129" s="815"/>
      <c r="E129" s="790"/>
      <c r="F129" s="799"/>
      <c r="G129" s="798"/>
      <c r="H129" s="783"/>
      <c r="I129" s="783"/>
      <c r="J129" s="843"/>
      <c r="K129" s="790"/>
      <c r="L129" s="799"/>
      <c r="M129" s="757"/>
      <c r="N129" s="837"/>
      <c r="O129" s="663">
        <v>0.93490804699999996</v>
      </c>
    </row>
    <row r="130" spans="1:16" ht="18.95" customHeight="1">
      <c r="A130" s="851"/>
      <c r="B130" s="789" t="s">
        <v>273</v>
      </c>
      <c r="C130" s="1170" t="s">
        <v>1720</v>
      </c>
      <c r="D130" s="852"/>
      <c r="E130" s="757">
        <v>136</v>
      </c>
      <c r="F130" s="799" t="s">
        <v>397</v>
      </c>
      <c r="G130" s="765">
        <v>19.600000000000001</v>
      </c>
      <c r="H130" s="783">
        <f t="shared" si="11"/>
        <v>18.324197721200001</v>
      </c>
      <c r="I130" s="783">
        <f t="shared" si="12"/>
        <v>2492.0908900832001</v>
      </c>
      <c r="J130" s="843">
        <v>4.4000000000000004</v>
      </c>
      <c r="K130" s="790">
        <f t="shared" si="13"/>
        <v>4.1135954068</v>
      </c>
      <c r="L130" s="799">
        <f t="shared" si="14"/>
        <v>559.44897532480002</v>
      </c>
      <c r="M130" s="757">
        <f t="shared" si="15"/>
        <v>3051.539865408</v>
      </c>
      <c r="N130" s="841"/>
      <c r="O130" s="663">
        <v>0.93490804699999996</v>
      </c>
      <c r="P130" s="725" t="s">
        <v>1689</v>
      </c>
    </row>
    <row r="131" spans="1:16" ht="18.95" customHeight="1">
      <c r="A131" s="851"/>
      <c r="B131" s="789" t="s">
        <v>273</v>
      </c>
      <c r="C131" s="1170" t="s">
        <v>1688</v>
      </c>
      <c r="D131" s="852"/>
      <c r="E131" s="757">
        <v>18458</v>
      </c>
      <c r="F131" s="799" t="s">
        <v>397</v>
      </c>
      <c r="G131" s="765">
        <v>19.45</v>
      </c>
      <c r="H131" s="783">
        <f t="shared" si="11"/>
        <v>18.183961514149999</v>
      </c>
      <c r="I131" s="783">
        <f t="shared" si="12"/>
        <v>335639.56162818067</v>
      </c>
      <c r="J131" s="843">
        <v>3.6</v>
      </c>
      <c r="K131" s="790">
        <f t="shared" si="13"/>
        <v>3.3656689692000001</v>
      </c>
      <c r="L131" s="799">
        <f t="shared" si="14"/>
        <v>62123.517833493599</v>
      </c>
      <c r="M131" s="757">
        <f t="shared" si="15"/>
        <v>397763.07946167426</v>
      </c>
      <c r="N131" s="841"/>
      <c r="O131" s="663">
        <v>0.93490804699999996</v>
      </c>
      <c r="P131" s="725" t="s">
        <v>1689</v>
      </c>
    </row>
    <row r="132" spans="1:16" ht="18.95" customHeight="1">
      <c r="A132" s="851"/>
      <c r="B132" s="789" t="s">
        <v>273</v>
      </c>
      <c r="C132" s="1170" t="s">
        <v>1690</v>
      </c>
      <c r="D132" s="852"/>
      <c r="E132" s="757">
        <v>112574</v>
      </c>
      <c r="F132" s="799" t="s">
        <v>397</v>
      </c>
      <c r="G132" s="765">
        <v>19.25</v>
      </c>
      <c r="H132" s="783">
        <f t="shared" si="11"/>
        <v>17.996979904749999</v>
      </c>
      <c r="I132" s="783">
        <f t="shared" si="12"/>
        <v>2025992.0157973263</v>
      </c>
      <c r="J132" s="843">
        <v>3.6</v>
      </c>
      <c r="K132" s="790">
        <f t="shared" si="13"/>
        <v>3.3656689692000001</v>
      </c>
      <c r="L132" s="799">
        <f t="shared" si="14"/>
        <v>378886.81853872084</v>
      </c>
      <c r="M132" s="757">
        <f t="shared" si="15"/>
        <v>2404878.8343360471</v>
      </c>
      <c r="N132" s="841"/>
      <c r="O132" s="663">
        <v>0.93490804699999996</v>
      </c>
      <c r="P132" s="725" t="s">
        <v>1689</v>
      </c>
    </row>
    <row r="133" spans="1:16" ht="18.95" customHeight="1">
      <c r="A133" s="851"/>
      <c r="B133" s="789" t="s">
        <v>273</v>
      </c>
      <c r="C133" s="1170" t="s">
        <v>1691</v>
      </c>
      <c r="D133" s="852"/>
      <c r="E133" s="757">
        <v>79614</v>
      </c>
      <c r="F133" s="799" t="s">
        <v>397</v>
      </c>
      <c r="G133" s="765">
        <v>19.25</v>
      </c>
      <c r="H133" s="783">
        <f t="shared" si="11"/>
        <v>17.996979904749999</v>
      </c>
      <c r="I133" s="783">
        <f t="shared" si="12"/>
        <v>1432811.5581367663</v>
      </c>
      <c r="J133" s="843">
        <v>3.1</v>
      </c>
      <c r="K133" s="790">
        <f t="shared" si="13"/>
        <v>2.8982149456999999</v>
      </c>
      <c r="L133" s="799">
        <f t="shared" si="14"/>
        <v>230738.4846869598</v>
      </c>
      <c r="M133" s="757">
        <f t="shared" si="15"/>
        <v>1663550.0428237261</v>
      </c>
      <c r="N133" s="841"/>
      <c r="O133" s="663">
        <v>0.93490804699999996</v>
      </c>
      <c r="P133" s="725" t="s">
        <v>1689</v>
      </c>
    </row>
    <row r="134" spans="1:16" ht="18.95" customHeight="1">
      <c r="A134" s="853"/>
      <c r="B134" s="789" t="s">
        <v>273</v>
      </c>
      <c r="C134" s="1170" t="s">
        <v>1694</v>
      </c>
      <c r="D134" s="852"/>
      <c r="E134" s="757">
        <v>3794</v>
      </c>
      <c r="F134" s="799" t="s">
        <v>397</v>
      </c>
      <c r="G134" s="765">
        <v>27.1</v>
      </c>
      <c r="H134" s="783">
        <f t="shared" si="11"/>
        <v>25.3360080737</v>
      </c>
      <c r="I134" s="783">
        <f t="shared" si="12"/>
        <v>96124.814631617803</v>
      </c>
      <c r="J134" s="843">
        <v>0</v>
      </c>
      <c r="K134" s="790">
        <f t="shared" si="13"/>
        <v>0</v>
      </c>
      <c r="L134" s="799">
        <f t="shared" si="14"/>
        <v>0</v>
      </c>
      <c r="M134" s="757">
        <f t="shared" si="15"/>
        <v>96124.814631617803</v>
      </c>
      <c r="N134" s="841"/>
      <c r="O134" s="663">
        <v>0.93490804699999996</v>
      </c>
      <c r="P134" s="725" t="s">
        <v>1689</v>
      </c>
    </row>
    <row r="135" spans="1:16" ht="18.95" customHeight="1">
      <c r="A135" s="1172" t="s">
        <v>1730</v>
      </c>
      <c r="B135" s="786" t="s">
        <v>1696</v>
      </c>
      <c r="C135" s="809"/>
      <c r="D135" s="858"/>
      <c r="E135" s="854"/>
      <c r="F135" s="857"/>
      <c r="G135" s="765"/>
      <c r="H135" s="783"/>
      <c r="I135" s="783"/>
      <c r="J135" s="765"/>
      <c r="K135" s="790"/>
      <c r="L135" s="799"/>
      <c r="M135" s="757"/>
      <c r="N135" s="837"/>
      <c r="O135" s="663">
        <v>0.93490804699999996</v>
      </c>
    </row>
    <row r="136" spans="1:16" ht="18.95" customHeight="1">
      <c r="A136" s="853"/>
      <c r="B136" s="789" t="s">
        <v>273</v>
      </c>
      <c r="C136" s="1170" t="s">
        <v>1697</v>
      </c>
      <c r="D136" s="852"/>
      <c r="E136" s="766">
        <v>4285</v>
      </c>
      <c r="F136" s="799" t="s">
        <v>211</v>
      </c>
      <c r="G136" s="765">
        <v>245.2</v>
      </c>
      <c r="H136" s="783">
        <f t="shared" si="11"/>
        <v>229.23945312439997</v>
      </c>
      <c r="I136" s="783">
        <f t="shared" si="12"/>
        <v>982291.05663805385</v>
      </c>
      <c r="J136" s="843">
        <v>0</v>
      </c>
      <c r="K136" s="790">
        <f t="shared" si="13"/>
        <v>0</v>
      </c>
      <c r="L136" s="799">
        <f t="shared" si="14"/>
        <v>0</v>
      </c>
      <c r="M136" s="757">
        <f t="shared" si="15"/>
        <v>982291.05663805385</v>
      </c>
      <c r="N136" s="841"/>
      <c r="O136" s="663">
        <v>0.93490804699999996</v>
      </c>
    </row>
    <row r="137" spans="1:16" ht="18.95" customHeight="1">
      <c r="A137" s="853"/>
      <c r="B137" s="789" t="s">
        <v>273</v>
      </c>
      <c r="C137" s="1170" t="s">
        <v>1698</v>
      </c>
      <c r="D137" s="852"/>
      <c r="E137" s="766">
        <v>8570</v>
      </c>
      <c r="F137" s="799" t="s">
        <v>211</v>
      </c>
      <c r="G137" s="765"/>
      <c r="H137" s="783">
        <f t="shared" si="11"/>
        <v>0</v>
      </c>
      <c r="I137" s="783">
        <f t="shared" si="12"/>
        <v>0</v>
      </c>
      <c r="J137" s="843">
        <v>121</v>
      </c>
      <c r="K137" s="790">
        <f t="shared" si="13"/>
        <v>113.123873687</v>
      </c>
      <c r="L137" s="799">
        <f t="shared" si="14"/>
        <v>969471.59749759</v>
      </c>
      <c r="M137" s="757">
        <f t="shared" si="15"/>
        <v>969471.59749759</v>
      </c>
      <c r="N137" s="841"/>
      <c r="O137" s="663">
        <v>0.93490804699999996</v>
      </c>
    </row>
    <row r="138" spans="1:16" ht="18.95" customHeight="1">
      <c r="A138" s="853"/>
      <c r="B138" s="789" t="s">
        <v>273</v>
      </c>
      <c r="C138" s="1170" t="s">
        <v>1699</v>
      </c>
      <c r="D138" s="852"/>
      <c r="E138" s="766">
        <v>1286</v>
      </c>
      <c r="F138" s="799" t="s">
        <v>1700</v>
      </c>
      <c r="G138" s="765">
        <v>309.42</v>
      </c>
      <c r="H138" s="783">
        <f t="shared" si="11"/>
        <v>289.27924790274</v>
      </c>
      <c r="I138" s="783">
        <f t="shared" si="12"/>
        <v>372013.11280292366</v>
      </c>
      <c r="J138" s="843">
        <v>0</v>
      </c>
      <c r="K138" s="790">
        <f t="shared" si="13"/>
        <v>0</v>
      </c>
      <c r="L138" s="799">
        <f t="shared" si="14"/>
        <v>0</v>
      </c>
      <c r="M138" s="757">
        <f t="shared" si="15"/>
        <v>372013.11280292366</v>
      </c>
      <c r="N138" s="841"/>
      <c r="O138" s="663">
        <v>0.93490804699999996</v>
      </c>
    </row>
    <row r="139" spans="1:16" ht="18.95" customHeight="1">
      <c r="A139" s="853"/>
      <c r="B139" s="789" t="s">
        <v>273</v>
      </c>
      <c r="C139" s="1170" t="s">
        <v>1701</v>
      </c>
      <c r="D139" s="852"/>
      <c r="E139" s="757">
        <v>1071</v>
      </c>
      <c r="F139" s="799" t="s">
        <v>397</v>
      </c>
      <c r="G139" s="765">
        <v>23.36</v>
      </c>
      <c r="H139" s="783">
        <f t="shared" si="11"/>
        <v>21.83945197792</v>
      </c>
      <c r="I139" s="783">
        <f t="shared" si="12"/>
        <v>23390.053068352321</v>
      </c>
      <c r="J139" s="843">
        <v>0</v>
      </c>
      <c r="K139" s="790">
        <f t="shared" si="13"/>
        <v>0</v>
      </c>
      <c r="L139" s="799">
        <f t="shared" si="14"/>
        <v>0</v>
      </c>
      <c r="M139" s="757">
        <f t="shared" si="15"/>
        <v>23390.053068352321</v>
      </c>
      <c r="N139" s="757"/>
      <c r="O139" s="663">
        <v>0.93490804699999996</v>
      </c>
      <c r="P139" s="725" t="s">
        <v>1689</v>
      </c>
    </row>
    <row r="140" spans="1:16" ht="18.95" customHeight="1">
      <c r="A140" s="1172" t="s">
        <v>1731</v>
      </c>
      <c r="B140" s="786" t="s">
        <v>1702</v>
      </c>
      <c r="C140" s="809"/>
      <c r="D140" s="860"/>
      <c r="E140" s="766"/>
      <c r="F140" s="857"/>
      <c r="G140" s="798"/>
      <c r="H140" s="783"/>
      <c r="I140" s="783"/>
      <c r="J140" s="843"/>
      <c r="K140" s="790"/>
      <c r="L140" s="799"/>
      <c r="M140" s="757"/>
      <c r="N140" s="837"/>
      <c r="O140" s="663">
        <v>0.93490804699999996</v>
      </c>
    </row>
    <row r="141" spans="1:16" ht="18.95" customHeight="1">
      <c r="A141" s="855"/>
      <c r="B141" s="789" t="s">
        <v>273</v>
      </c>
      <c r="C141" s="852" t="s">
        <v>1711</v>
      </c>
      <c r="D141" s="852"/>
      <c r="E141" s="757">
        <v>1344</v>
      </c>
      <c r="F141" s="799" t="s">
        <v>1684</v>
      </c>
      <c r="G141" s="759">
        <v>2260</v>
      </c>
      <c r="H141" s="783">
        <f t="shared" si="11"/>
        <v>2112.89218622</v>
      </c>
      <c r="I141" s="783">
        <f t="shared" si="12"/>
        <v>2839727.0982796801</v>
      </c>
      <c r="J141" s="759">
        <v>519</v>
      </c>
      <c r="K141" s="790">
        <f t="shared" si="13"/>
        <v>485.21727639299996</v>
      </c>
      <c r="L141" s="799">
        <f t="shared" si="14"/>
        <v>652132.01947219193</v>
      </c>
      <c r="M141" s="757">
        <f t="shared" si="15"/>
        <v>3491859.1177518722</v>
      </c>
      <c r="N141" s="841"/>
      <c r="O141" s="663">
        <v>0.93490804699999996</v>
      </c>
    </row>
    <row r="142" spans="1:16" ht="18.95" customHeight="1">
      <c r="A142" s="1172" t="s">
        <v>1732</v>
      </c>
      <c r="B142" s="786" t="s">
        <v>1733</v>
      </c>
      <c r="C142" s="852"/>
      <c r="D142" s="852"/>
      <c r="E142" s="766"/>
      <c r="F142" s="799"/>
      <c r="G142" s="843"/>
      <c r="H142" s="783"/>
      <c r="I142" s="783"/>
      <c r="J142" s="843"/>
      <c r="K142" s="790"/>
      <c r="L142" s="799"/>
      <c r="M142" s="757"/>
      <c r="N142" s="837"/>
      <c r="O142" s="663">
        <v>0.93490804699999996</v>
      </c>
    </row>
    <row r="143" spans="1:16" ht="18.95" customHeight="1">
      <c r="A143" s="855"/>
      <c r="B143" s="789" t="s">
        <v>273</v>
      </c>
      <c r="C143" s="852" t="s">
        <v>1734</v>
      </c>
      <c r="D143" s="852"/>
      <c r="E143" s="757">
        <v>646</v>
      </c>
      <c r="F143" s="799" t="s">
        <v>275</v>
      </c>
      <c r="G143" s="759">
        <v>183.6</v>
      </c>
      <c r="H143" s="783">
        <f t="shared" si="11"/>
        <v>171.64911742919998</v>
      </c>
      <c r="I143" s="783">
        <f t="shared" si="12"/>
        <v>110885.32985926319</v>
      </c>
      <c r="J143" s="759">
        <v>55.08</v>
      </c>
      <c r="K143" s="790">
        <f t="shared" si="13"/>
        <v>51.49473522876</v>
      </c>
      <c r="L143" s="799">
        <f t="shared" si="14"/>
        <v>33265.598957778959</v>
      </c>
      <c r="M143" s="757">
        <f t="shared" si="15"/>
        <v>144150.92881704215</v>
      </c>
      <c r="N143" s="837"/>
      <c r="O143" s="663">
        <v>0.93490804699999996</v>
      </c>
    </row>
    <row r="144" spans="1:16" ht="18.95" customHeight="1">
      <c r="A144" s="1172" t="s">
        <v>1735</v>
      </c>
      <c r="B144" s="786" t="s">
        <v>1736</v>
      </c>
      <c r="C144" s="852"/>
      <c r="D144" s="852"/>
      <c r="E144" s="766"/>
      <c r="F144" s="799"/>
      <c r="G144" s="843"/>
      <c r="H144" s="783"/>
      <c r="I144" s="783"/>
      <c r="J144" s="843"/>
      <c r="K144" s="790"/>
      <c r="L144" s="799"/>
      <c r="M144" s="757"/>
      <c r="N144" s="837"/>
      <c r="O144" s="663">
        <v>0.93490804699999996</v>
      </c>
    </row>
    <row r="145" spans="1:16" ht="18.95" customHeight="1">
      <c r="A145" s="855"/>
      <c r="B145" s="789" t="s">
        <v>273</v>
      </c>
      <c r="C145" s="852" t="s">
        <v>1737</v>
      </c>
      <c r="D145" s="852"/>
      <c r="E145" s="757">
        <v>4264</v>
      </c>
      <c r="F145" s="799" t="s">
        <v>211</v>
      </c>
      <c r="G145" s="759">
        <v>242</v>
      </c>
      <c r="H145" s="783">
        <f t="shared" si="11"/>
        <v>226.247747374</v>
      </c>
      <c r="I145" s="783">
        <f t="shared" si="12"/>
        <v>964720.394802736</v>
      </c>
      <c r="J145" s="759">
        <v>72.599999999999994</v>
      </c>
      <c r="K145" s="790">
        <f t="shared" si="13"/>
        <v>67.874324212199994</v>
      </c>
      <c r="L145" s="799">
        <f t="shared" si="14"/>
        <v>289416.11844082078</v>
      </c>
      <c r="M145" s="757">
        <f t="shared" si="15"/>
        <v>1254136.5132435567</v>
      </c>
      <c r="N145" s="837"/>
      <c r="O145" s="663">
        <v>0.93490804699999996</v>
      </c>
    </row>
    <row r="146" spans="1:16" ht="18.95" customHeight="1">
      <c r="A146" s="859">
        <v>2.2799999999999998</v>
      </c>
      <c r="B146" s="786" t="s">
        <v>21</v>
      </c>
      <c r="C146" s="852"/>
      <c r="D146" s="852"/>
      <c r="E146" s="766"/>
      <c r="F146" s="799"/>
      <c r="G146" s="765"/>
      <c r="H146" s="783"/>
      <c r="I146" s="783"/>
      <c r="J146" s="843"/>
      <c r="K146" s="790"/>
      <c r="L146" s="799"/>
      <c r="M146" s="757"/>
      <c r="N146" s="841"/>
      <c r="O146" s="663">
        <v>0.93490804699999996</v>
      </c>
    </row>
    <row r="147" spans="1:16" ht="18.95" customHeight="1">
      <c r="A147" s="853"/>
      <c r="B147" s="789" t="s">
        <v>273</v>
      </c>
      <c r="C147" s="852" t="s">
        <v>1738</v>
      </c>
      <c r="D147" s="852"/>
      <c r="E147" s="757">
        <v>1764.15</v>
      </c>
      <c r="F147" s="799" t="s">
        <v>397</v>
      </c>
      <c r="G147" s="798">
        <v>31.656302521008399</v>
      </c>
      <c r="H147" s="783">
        <f t="shared" si="11"/>
        <v>29.595731965157139</v>
      </c>
      <c r="I147" s="783">
        <f t="shared" si="12"/>
        <v>52211.310546331966</v>
      </c>
      <c r="J147" s="843">
        <v>14</v>
      </c>
      <c r="K147" s="790">
        <f t="shared" si="13"/>
        <v>13.088712657999999</v>
      </c>
      <c r="L147" s="799">
        <f t="shared" si="14"/>
        <v>23090.452435610699</v>
      </c>
      <c r="M147" s="757">
        <f t="shared" si="15"/>
        <v>75301.762981942666</v>
      </c>
      <c r="N147" s="841"/>
      <c r="O147" s="663">
        <v>0.93490804699999996</v>
      </c>
    </row>
    <row r="148" spans="1:16" ht="18.95" customHeight="1">
      <c r="A148" s="853"/>
      <c r="B148" s="789" t="s">
        <v>273</v>
      </c>
      <c r="C148" s="852" t="s">
        <v>1739</v>
      </c>
      <c r="D148" s="852"/>
      <c r="E148" s="757">
        <v>209.95</v>
      </c>
      <c r="F148" s="799" t="s">
        <v>397</v>
      </c>
      <c r="G148" s="798">
        <v>33</v>
      </c>
      <c r="H148" s="783">
        <f t="shared" si="11"/>
        <v>30.851965550999999</v>
      </c>
      <c r="I148" s="783">
        <f t="shared" si="12"/>
        <v>6477.3701674324493</v>
      </c>
      <c r="J148" s="843">
        <v>14</v>
      </c>
      <c r="K148" s="790">
        <f t="shared" si="13"/>
        <v>13.088712657999999</v>
      </c>
      <c r="L148" s="799">
        <f t="shared" si="14"/>
        <v>2747.9752225470997</v>
      </c>
      <c r="M148" s="757">
        <f t="shared" si="15"/>
        <v>9225.3453899795495</v>
      </c>
      <c r="N148" s="841"/>
      <c r="O148" s="663">
        <v>0.93490804699999996</v>
      </c>
    </row>
    <row r="149" spans="1:16" ht="18.95" customHeight="1">
      <c r="A149" s="853"/>
      <c r="B149" s="789" t="s">
        <v>273</v>
      </c>
      <c r="C149" s="852" t="s">
        <v>1740</v>
      </c>
      <c r="D149" s="852"/>
      <c r="E149" s="757">
        <v>2530.8000000000002</v>
      </c>
      <c r="F149" s="799" t="s">
        <v>397</v>
      </c>
      <c r="G149" s="798">
        <v>32.004729729729704</v>
      </c>
      <c r="H149" s="783">
        <f t="shared" si="11"/>
        <v>29.921479366384435</v>
      </c>
      <c r="I149" s="783">
        <f t="shared" si="12"/>
        <v>75725.279980445732</v>
      </c>
      <c r="J149" s="843">
        <v>14</v>
      </c>
      <c r="K149" s="790">
        <f t="shared" si="13"/>
        <v>13.088712657999999</v>
      </c>
      <c r="L149" s="799">
        <f t="shared" si="14"/>
        <v>33124.913994866401</v>
      </c>
      <c r="M149" s="757">
        <f t="shared" si="15"/>
        <v>108850.19397531214</v>
      </c>
      <c r="N149" s="841"/>
      <c r="O149" s="663">
        <v>0.93490804699999996</v>
      </c>
    </row>
    <row r="150" spans="1:16" ht="18.95" customHeight="1">
      <c r="A150" s="853"/>
      <c r="B150" s="789" t="s">
        <v>273</v>
      </c>
      <c r="C150" s="852" t="s">
        <v>1741</v>
      </c>
      <c r="D150" s="852"/>
      <c r="E150" s="757">
        <v>640.29999999999995</v>
      </c>
      <c r="F150" s="799" t="s">
        <v>397</v>
      </c>
      <c r="G150" s="798">
        <v>22.848581560283701</v>
      </c>
      <c r="H150" s="783">
        <f t="shared" si="11"/>
        <v>21.361322763245049</v>
      </c>
      <c r="I150" s="783">
        <f t="shared" si="12"/>
        <v>13677.654965305805</v>
      </c>
      <c r="J150" s="843">
        <v>14</v>
      </c>
      <c r="K150" s="790">
        <f t="shared" si="13"/>
        <v>13.088712657999999</v>
      </c>
      <c r="L150" s="799">
        <f t="shared" si="14"/>
        <v>8380.7027149173991</v>
      </c>
      <c r="M150" s="757">
        <f t="shared" si="15"/>
        <v>22058.357680223206</v>
      </c>
      <c r="N150" s="841"/>
      <c r="O150" s="663">
        <v>0.93490804699999996</v>
      </c>
    </row>
    <row r="151" spans="1:16" ht="18.95" customHeight="1">
      <c r="A151" s="853"/>
      <c r="B151" s="789" t="s">
        <v>273</v>
      </c>
      <c r="C151" s="852" t="s">
        <v>1742</v>
      </c>
      <c r="D151" s="852"/>
      <c r="E151" s="757">
        <v>345.8</v>
      </c>
      <c r="F151" s="799" t="s">
        <v>397</v>
      </c>
      <c r="G151" s="798">
        <v>22.848354792560801</v>
      </c>
      <c r="H151" s="783">
        <f t="shared" si="11"/>
        <v>21.361110756276108</v>
      </c>
      <c r="I151" s="783">
        <f t="shared" si="12"/>
        <v>7386.6720995202786</v>
      </c>
      <c r="J151" s="843">
        <v>14</v>
      </c>
      <c r="K151" s="790">
        <f t="shared" si="13"/>
        <v>13.088712657999999</v>
      </c>
      <c r="L151" s="799">
        <f t="shared" si="14"/>
        <v>4526.0768371363993</v>
      </c>
      <c r="M151" s="757">
        <f t="shared" si="15"/>
        <v>11912.748936656677</v>
      </c>
      <c r="N151" s="837"/>
      <c r="O151" s="663">
        <v>0.93490804699999996</v>
      </c>
    </row>
    <row r="152" spans="1:16" ht="18.95" customHeight="1">
      <c r="A152" s="853"/>
      <c r="B152" s="789" t="s">
        <v>273</v>
      </c>
      <c r="C152" s="852" t="s">
        <v>1743</v>
      </c>
      <c r="D152" s="852"/>
      <c r="E152" s="757">
        <v>2400</v>
      </c>
      <c r="F152" s="799" t="s">
        <v>397</v>
      </c>
      <c r="G152" s="798">
        <v>24.9678800856531</v>
      </c>
      <c r="H152" s="783">
        <f t="shared" si="11"/>
        <v>23.34267200860813</v>
      </c>
      <c r="I152" s="783">
        <f t="shared" si="12"/>
        <v>56022.412820659512</v>
      </c>
      <c r="J152" s="843">
        <v>14</v>
      </c>
      <c r="K152" s="790">
        <f t="shared" si="13"/>
        <v>13.088712657999999</v>
      </c>
      <c r="L152" s="799">
        <f t="shared" si="14"/>
        <v>31412.910379199995</v>
      </c>
      <c r="M152" s="757">
        <f t="shared" si="15"/>
        <v>87435.3231998595</v>
      </c>
      <c r="N152" s="841"/>
      <c r="O152" s="663">
        <v>0.93490804699999996</v>
      </c>
    </row>
    <row r="153" spans="1:16" ht="18.95" customHeight="1">
      <c r="A153" s="814"/>
      <c r="B153" s="789" t="s">
        <v>273</v>
      </c>
      <c r="C153" s="1174" t="s">
        <v>1744</v>
      </c>
      <c r="D153" s="815"/>
      <c r="E153" s="757">
        <v>205</v>
      </c>
      <c r="F153" s="799" t="s">
        <v>211</v>
      </c>
      <c r="G153" s="798">
        <v>28.02</v>
      </c>
      <c r="H153" s="783">
        <f t="shared" si="11"/>
        <v>26.196123476939999</v>
      </c>
      <c r="I153" s="783">
        <f t="shared" si="12"/>
        <v>5370.2053127726995</v>
      </c>
      <c r="J153" s="843">
        <v>30</v>
      </c>
      <c r="K153" s="790">
        <f t="shared" si="13"/>
        <v>28.047241409999998</v>
      </c>
      <c r="L153" s="799">
        <f t="shared" si="14"/>
        <v>5749.6844890499997</v>
      </c>
      <c r="M153" s="757">
        <f t="shared" si="15"/>
        <v>11119.889801822699</v>
      </c>
      <c r="N153" s="837"/>
      <c r="O153" s="663">
        <v>0.93490804699999996</v>
      </c>
    </row>
    <row r="154" spans="1:16" ht="18.95" customHeight="1">
      <c r="A154" s="814"/>
      <c r="B154" s="789" t="s">
        <v>273</v>
      </c>
      <c r="C154" s="1170" t="s">
        <v>1745</v>
      </c>
      <c r="D154" s="852"/>
      <c r="E154" s="757">
        <v>205</v>
      </c>
      <c r="F154" s="799" t="s">
        <v>211</v>
      </c>
      <c r="G154" s="765">
        <v>32.32</v>
      </c>
      <c r="H154" s="783">
        <f t="shared" si="11"/>
        <v>30.21622807904</v>
      </c>
      <c r="I154" s="783">
        <f t="shared" si="12"/>
        <v>6194.3267562031997</v>
      </c>
      <c r="J154" s="843">
        <v>35</v>
      </c>
      <c r="K154" s="790">
        <f t="shared" si="13"/>
        <v>32.721781645</v>
      </c>
      <c r="L154" s="799">
        <f t="shared" si="14"/>
        <v>6707.9652372250002</v>
      </c>
      <c r="M154" s="757">
        <f t="shared" si="15"/>
        <v>12902.2919934282</v>
      </c>
      <c r="N154" s="757"/>
      <c r="O154" s="663">
        <v>0.93490804699999996</v>
      </c>
      <c r="P154" s="725" t="s">
        <v>1689</v>
      </c>
    </row>
    <row r="155" spans="1:16" ht="18.95" customHeight="1">
      <c r="A155" s="814"/>
      <c r="B155" s="789" t="s">
        <v>273</v>
      </c>
      <c r="C155" s="1174" t="s">
        <v>1746</v>
      </c>
      <c r="D155" s="815"/>
      <c r="E155" s="757">
        <v>205</v>
      </c>
      <c r="F155" s="799" t="s">
        <v>211</v>
      </c>
      <c r="G155" s="798">
        <v>130</v>
      </c>
      <c r="H155" s="783">
        <f t="shared" si="11"/>
        <v>121.53804611</v>
      </c>
      <c r="I155" s="783">
        <f t="shared" si="12"/>
        <v>24915.29945255</v>
      </c>
      <c r="J155" s="843">
        <v>30</v>
      </c>
      <c r="K155" s="790">
        <f t="shared" si="13"/>
        <v>28.047241409999998</v>
      </c>
      <c r="L155" s="799">
        <f t="shared" si="14"/>
        <v>5749.6844890499997</v>
      </c>
      <c r="M155" s="757">
        <f t="shared" si="15"/>
        <v>30664.9839416</v>
      </c>
      <c r="N155" s="837"/>
      <c r="O155" s="663">
        <v>0.93490804699999996</v>
      </c>
    </row>
    <row r="156" spans="1:16" ht="18.95" customHeight="1">
      <c r="A156" s="856"/>
      <c r="B156" s="1169" t="s">
        <v>1747</v>
      </c>
      <c r="C156" s="801"/>
      <c r="D156" s="815"/>
      <c r="E156" s="854"/>
      <c r="F156" s="857"/>
      <c r="G156" s="843"/>
      <c r="H156" s="783"/>
      <c r="I156" s="783"/>
      <c r="J156" s="843"/>
      <c r="K156" s="790"/>
      <c r="L156" s="799"/>
      <c r="M156" s="757"/>
      <c r="N156" s="837"/>
      <c r="O156" s="663">
        <v>0.93490804699999996</v>
      </c>
    </row>
    <row r="157" spans="1:16" ht="18.95" customHeight="1">
      <c r="A157" s="1171" t="s">
        <v>1748</v>
      </c>
      <c r="B157" s="786" t="s">
        <v>1749</v>
      </c>
      <c r="C157" s="809"/>
      <c r="D157" s="810"/>
      <c r="E157" s="757">
        <v>100</v>
      </c>
      <c r="F157" s="766" t="s">
        <v>1671</v>
      </c>
      <c r="G157" s="782">
        <v>585</v>
      </c>
      <c r="H157" s="783">
        <f t="shared" si="11"/>
        <v>546.92120749499998</v>
      </c>
      <c r="I157" s="783">
        <f t="shared" si="12"/>
        <v>54692.120749499998</v>
      </c>
      <c r="J157" s="782">
        <v>262.67</v>
      </c>
      <c r="K157" s="790">
        <f t="shared" si="13"/>
        <v>245.57229670549</v>
      </c>
      <c r="L157" s="799">
        <f t="shared" si="14"/>
        <v>24557.229670549001</v>
      </c>
      <c r="M157" s="757">
        <f t="shared" si="15"/>
        <v>79249.350420048999</v>
      </c>
      <c r="N157" s="841"/>
      <c r="O157" s="663">
        <v>0.93490804699999996</v>
      </c>
    </row>
    <row r="158" spans="1:16" ht="18.95" customHeight="1">
      <c r="A158" s="1171" t="s">
        <v>1750</v>
      </c>
      <c r="B158" s="786" t="s">
        <v>1683</v>
      </c>
      <c r="C158" s="809"/>
      <c r="D158" s="810"/>
      <c r="E158" s="757">
        <v>455</v>
      </c>
      <c r="F158" s="766" t="s">
        <v>1684</v>
      </c>
      <c r="G158" s="782"/>
      <c r="H158" s="783">
        <f t="shared" si="11"/>
        <v>0</v>
      </c>
      <c r="I158" s="783">
        <f t="shared" si="12"/>
        <v>0</v>
      </c>
      <c r="J158" s="782">
        <v>112</v>
      </c>
      <c r="K158" s="790">
        <f t="shared" si="13"/>
        <v>104.70970126399999</v>
      </c>
      <c r="L158" s="799">
        <f t="shared" si="14"/>
        <v>47642.914075119996</v>
      </c>
      <c r="M158" s="757">
        <f t="shared" si="15"/>
        <v>47642.914075119996</v>
      </c>
      <c r="N158" s="841"/>
      <c r="O158" s="663">
        <v>0.93490804699999996</v>
      </c>
    </row>
    <row r="159" spans="1:16" ht="18.95" customHeight="1">
      <c r="A159" s="1171" t="s">
        <v>1751</v>
      </c>
      <c r="B159" s="812" t="s">
        <v>1685</v>
      </c>
      <c r="C159" s="813"/>
      <c r="D159" s="785"/>
      <c r="E159" s="757">
        <v>5</v>
      </c>
      <c r="F159" s="766" t="s">
        <v>1684</v>
      </c>
      <c r="G159" s="782">
        <v>508.33</v>
      </c>
      <c r="H159" s="783">
        <f t="shared" si="11"/>
        <v>475.24180753150995</v>
      </c>
      <c r="I159" s="783">
        <f t="shared" si="12"/>
        <v>2376.2090376575497</v>
      </c>
      <c r="J159" s="782">
        <v>104</v>
      </c>
      <c r="K159" s="790">
        <f t="shared" si="13"/>
        <v>97.230436888</v>
      </c>
      <c r="L159" s="799">
        <f t="shared" si="14"/>
        <v>486.15218443999998</v>
      </c>
      <c r="M159" s="757">
        <f t="shared" si="15"/>
        <v>2862.3612220975497</v>
      </c>
      <c r="N159" s="841"/>
      <c r="O159" s="663">
        <v>0.93490804699999996</v>
      </c>
    </row>
    <row r="160" spans="1:16" ht="18.95" customHeight="1">
      <c r="A160" s="1171" t="s">
        <v>1752</v>
      </c>
      <c r="B160" s="812" t="s">
        <v>1686</v>
      </c>
      <c r="C160" s="813"/>
      <c r="D160" s="785"/>
      <c r="E160" s="757">
        <v>5</v>
      </c>
      <c r="F160" s="766" t="s">
        <v>1684</v>
      </c>
      <c r="G160" s="798">
        <v>2460</v>
      </c>
      <c r="H160" s="783">
        <f t="shared" si="11"/>
        <v>2299.8737956199998</v>
      </c>
      <c r="I160" s="783">
        <f t="shared" si="12"/>
        <v>11499.368978099999</v>
      </c>
      <c r="J160" s="843">
        <v>426</v>
      </c>
      <c r="K160" s="790">
        <f t="shared" si="13"/>
        <v>398.27082802199999</v>
      </c>
      <c r="L160" s="799">
        <f t="shared" si="14"/>
        <v>1991.3541401099999</v>
      </c>
      <c r="M160" s="757">
        <f t="shared" si="15"/>
        <v>13490.723118209999</v>
      </c>
      <c r="N160" s="841"/>
      <c r="O160" s="663">
        <v>0.93490804699999996</v>
      </c>
    </row>
    <row r="161" spans="1:16" ht="18.95" customHeight="1">
      <c r="A161" s="1171" t="s">
        <v>1753</v>
      </c>
      <c r="B161" s="786" t="s">
        <v>1687</v>
      </c>
      <c r="C161" s="809"/>
      <c r="D161" s="815"/>
      <c r="E161" s="790"/>
      <c r="F161" s="799"/>
      <c r="G161" s="798"/>
      <c r="H161" s="783"/>
      <c r="I161" s="783"/>
      <c r="J161" s="843"/>
      <c r="K161" s="790"/>
      <c r="L161" s="799"/>
      <c r="M161" s="757"/>
      <c r="N161" s="837"/>
      <c r="O161" s="663">
        <v>0.93490804699999996</v>
      </c>
    </row>
    <row r="162" spans="1:16" ht="18.95" customHeight="1">
      <c r="A162" s="851"/>
      <c r="B162" s="789" t="s">
        <v>273</v>
      </c>
      <c r="C162" s="1170" t="s">
        <v>1720</v>
      </c>
      <c r="D162" s="852"/>
      <c r="E162" s="757">
        <v>432</v>
      </c>
      <c r="F162" s="799" t="s">
        <v>397</v>
      </c>
      <c r="G162" s="765">
        <v>19.600000000000001</v>
      </c>
      <c r="H162" s="783">
        <f t="shared" si="11"/>
        <v>18.324197721200001</v>
      </c>
      <c r="I162" s="783">
        <f t="shared" si="12"/>
        <v>7916.0534155584</v>
      </c>
      <c r="J162" s="843">
        <v>4.4000000000000004</v>
      </c>
      <c r="K162" s="790">
        <f t="shared" si="13"/>
        <v>4.1135954068</v>
      </c>
      <c r="L162" s="799">
        <f t="shared" si="14"/>
        <v>1777.0732157376001</v>
      </c>
      <c r="M162" s="757">
        <f t="shared" si="15"/>
        <v>9693.1266312959997</v>
      </c>
      <c r="N162" s="841"/>
      <c r="O162" s="663">
        <v>0.93490804699999996</v>
      </c>
      <c r="P162" s="725" t="s">
        <v>1689</v>
      </c>
    </row>
    <row r="163" spans="1:16" ht="18.95" customHeight="1">
      <c r="A163" s="851"/>
      <c r="B163" s="789" t="s">
        <v>273</v>
      </c>
      <c r="C163" s="1170" t="s">
        <v>1688</v>
      </c>
      <c r="D163" s="852"/>
      <c r="E163" s="757">
        <v>9124</v>
      </c>
      <c r="F163" s="799" t="s">
        <v>397</v>
      </c>
      <c r="G163" s="765">
        <v>19.45</v>
      </c>
      <c r="H163" s="783">
        <f t="shared" si="11"/>
        <v>18.183961514149999</v>
      </c>
      <c r="I163" s="783">
        <f t="shared" si="12"/>
        <v>165910.4648551046</v>
      </c>
      <c r="J163" s="843">
        <v>3.6</v>
      </c>
      <c r="K163" s="790">
        <f t="shared" si="13"/>
        <v>3.3656689692000001</v>
      </c>
      <c r="L163" s="799">
        <f t="shared" si="14"/>
        <v>30708.363674980803</v>
      </c>
      <c r="M163" s="757">
        <f t="shared" si="15"/>
        <v>196618.82853008539</v>
      </c>
      <c r="N163" s="841"/>
      <c r="O163" s="663">
        <v>0.93490804699999996</v>
      </c>
      <c r="P163" s="725" t="s">
        <v>1689</v>
      </c>
    </row>
    <row r="164" spans="1:16" ht="18.95" customHeight="1">
      <c r="A164" s="851"/>
      <c r="B164" s="789" t="s">
        <v>273</v>
      </c>
      <c r="C164" s="1170" t="s">
        <v>1690</v>
      </c>
      <c r="D164" s="852"/>
      <c r="E164" s="757">
        <v>5926</v>
      </c>
      <c r="F164" s="799" t="s">
        <v>397</v>
      </c>
      <c r="G164" s="765">
        <v>19.25</v>
      </c>
      <c r="H164" s="783">
        <f t="shared" si="11"/>
        <v>17.996979904749999</v>
      </c>
      <c r="I164" s="783">
        <f t="shared" si="12"/>
        <v>106650.1029155485</v>
      </c>
      <c r="J164" s="843">
        <v>3.6</v>
      </c>
      <c r="K164" s="790">
        <f t="shared" si="13"/>
        <v>3.3656689692000001</v>
      </c>
      <c r="L164" s="799">
        <f t="shared" si="14"/>
        <v>19944.9543114792</v>
      </c>
      <c r="M164" s="757">
        <f t="shared" si="15"/>
        <v>126595.0572270277</v>
      </c>
      <c r="N164" s="841"/>
      <c r="O164" s="663">
        <v>0.93490804699999996</v>
      </c>
      <c r="P164" s="725" t="s">
        <v>1689</v>
      </c>
    </row>
    <row r="165" spans="1:16" ht="18.95" customHeight="1">
      <c r="A165" s="853"/>
      <c r="B165" s="789" t="s">
        <v>273</v>
      </c>
      <c r="C165" s="1170" t="s">
        <v>1694</v>
      </c>
      <c r="D165" s="852"/>
      <c r="E165" s="757">
        <v>279</v>
      </c>
      <c r="F165" s="799" t="s">
        <v>397</v>
      </c>
      <c r="G165" s="765">
        <v>27.1</v>
      </c>
      <c r="H165" s="783">
        <f t="shared" si="11"/>
        <v>25.3360080737</v>
      </c>
      <c r="I165" s="783">
        <f t="shared" si="12"/>
        <v>7068.7462525623005</v>
      </c>
      <c r="J165" s="843">
        <v>0</v>
      </c>
      <c r="K165" s="790">
        <f t="shared" si="13"/>
        <v>0</v>
      </c>
      <c r="L165" s="799">
        <f t="shared" si="14"/>
        <v>0</v>
      </c>
      <c r="M165" s="757">
        <f t="shared" si="15"/>
        <v>7068.7462525623005</v>
      </c>
      <c r="N165" s="841"/>
      <c r="O165" s="663">
        <v>0.93490804699999996</v>
      </c>
      <c r="P165" s="725" t="s">
        <v>1689</v>
      </c>
    </row>
    <row r="166" spans="1:16" ht="18.95" customHeight="1">
      <c r="A166" s="1172" t="s">
        <v>1754</v>
      </c>
      <c r="B166" s="786" t="s">
        <v>1696</v>
      </c>
      <c r="C166" s="809"/>
      <c r="D166" s="858"/>
      <c r="E166" s="854"/>
      <c r="F166" s="857"/>
      <c r="G166" s="765"/>
      <c r="H166" s="783"/>
      <c r="I166" s="783"/>
      <c r="J166" s="765"/>
      <c r="K166" s="790"/>
      <c r="L166" s="799"/>
      <c r="M166" s="757"/>
      <c r="N166" s="837"/>
      <c r="O166" s="663">
        <v>0.93490804699999996</v>
      </c>
    </row>
    <row r="167" spans="1:16" ht="18.95" customHeight="1">
      <c r="A167" s="853"/>
      <c r="B167" s="789" t="s">
        <v>273</v>
      </c>
      <c r="C167" s="1170" t="s">
        <v>1697</v>
      </c>
      <c r="D167" s="852"/>
      <c r="E167" s="766">
        <v>372</v>
      </c>
      <c r="F167" s="799" t="s">
        <v>211</v>
      </c>
      <c r="G167" s="765">
        <v>245.2</v>
      </c>
      <c r="H167" s="783">
        <f t="shared" si="11"/>
        <v>229.23945312439997</v>
      </c>
      <c r="I167" s="783">
        <f t="shared" si="12"/>
        <v>85277.076562276794</v>
      </c>
      <c r="J167" s="843">
        <v>0</v>
      </c>
      <c r="K167" s="790">
        <f t="shared" si="13"/>
        <v>0</v>
      </c>
      <c r="L167" s="799">
        <f t="shared" si="14"/>
        <v>0</v>
      </c>
      <c r="M167" s="757">
        <f t="shared" si="15"/>
        <v>85277.076562276794</v>
      </c>
      <c r="N167" s="841"/>
      <c r="O167" s="663">
        <v>0.93490804699999996</v>
      </c>
    </row>
    <row r="168" spans="1:16" s="204" customFormat="1" ht="18.95" customHeight="1">
      <c r="A168" s="853"/>
      <c r="B168" s="789" t="s">
        <v>273</v>
      </c>
      <c r="C168" s="1170" t="s">
        <v>1698</v>
      </c>
      <c r="D168" s="852"/>
      <c r="E168" s="766">
        <v>743</v>
      </c>
      <c r="F168" s="799" t="s">
        <v>211</v>
      </c>
      <c r="G168" s="765"/>
      <c r="H168" s="783">
        <f t="shared" si="11"/>
        <v>0</v>
      </c>
      <c r="I168" s="783">
        <f t="shared" si="12"/>
        <v>0</v>
      </c>
      <c r="J168" s="843">
        <v>121</v>
      </c>
      <c r="K168" s="790">
        <f t="shared" si="13"/>
        <v>113.123873687</v>
      </c>
      <c r="L168" s="799">
        <f t="shared" si="14"/>
        <v>84051.038149440996</v>
      </c>
      <c r="M168" s="757">
        <f t="shared" si="15"/>
        <v>84051.038149440996</v>
      </c>
      <c r="N168" s="841"/>
      <c r="O168" s="663">
        <v>0.93490804699999996</v>
      </c>
    </row>
    <row r="169" spans="1:16" s="204" customFormat="1" ht="18.95" customHeight="1">
      <c r="A169" s="853"/>
      <c r="B169" s="789" t="s">
        <v>273</v>
      </c>
      <c r="C169" s="1170" t="s">
        <v>1699</v>
      </c>
      <c r="D169" s="852"/>
      <c r="E169" s="766">
        <v>112</v>
      </c>
      <c r="F169" s="799" t="s">
        <v>1700</v>
      </c>
      <c r="G169" s="765">
        <v>309.42</v>
      </c>
      <c r="H169" s="783">
        <f t="shared" si="11"/>
        <v>289.27924790274</v>
      </c>
      <c r="I169" s="783">
        <f t="shared" si="12"/>
        <v>32399.275765106879</v>
      </c>
      <c r="J169" s="843">
        <v>0</v>
      </c>
      <c r="K169" s="790">
        <f t="shared" si="13"/>
        <v>0</v>
      </c>
      <c r="L169" s="799">
        <f t="shared" si="14"/>
        <v>0</v>
      </c>
      <c r="M169" s="757">
        <f t="shared" si="15"/>
        <v>32399.275765106879</v>
      </c>
      <c r="N169" s="841"/>
      <c r="O169" s="663">
        <v>0.93490804699999996</v>
      </c>
    </row>
    <row r="170" spans="1:16" s="204" customFormat="1" ht="18.95" customHeight="1">
      <c r="A170" s="853"/>
      <c r="B170" s="789" t="s">
        <v>273</v>
      </c>
      <c r="C170" s="1170" t="s">
        <v>1701</v>
      </c>
      <c r="D170" s="852"/>
      <c r="E170" s="757">
        <v>93</v>
      </c>
      <c r="F170" s="799" t="s">
        <v>397</v>
      </c>
      <c r="G170" s="765">
        <v>23.36</v>
      </c>
      <c r="H170" s="783">
        <f t="shared" si="11"/>
        <v>21.83945197792</v>
      </c>
      <c r="I170" s="783">
        <f t="shared" si="12"/>
        <v>2031.06903394656</v>
      </c>
      <c r="J170" s="843">
        <v>0</v>
      </c>
      <c r="K170" s="790">
        <f t="shared" si="13"/>
        <v>0</v>
      </c>
      <c r="L170" s="799">
        <f t="shared" si="14"/>
        <v>0</v>
      </c>
      <c r="M170" s="757">
        <f t="shared" si="15"/>
        <v>2031.06903394656</v>
      </c>
      <c r="N170" s="757"/>
      <c r="O170" s="663">
        <v>0.93490804699999996</v>
      </c>
      <c r="P170" s="725" t="s">
        <v>1689</v>
      </c>
    </row>
    <row r="171" spans="1:16" s="204" customFormat="1" ht="18.95" customHeight="1">
      <c r="A171" s="1172" t="s">
        <v>1755</v>
      </c>
      <c r="B171" s="786" t="s">
        <v>1702</v>
      </c>
      <c r="C171" s="809"/>
      <c r="D171" s="860"/>
      <c r="E171" s="766"/>
      <c r="F171" s="857"/>
      <c r="G171" s="798"/>
      <c r="H171" s="783"/>
      <c r="I171" s="783"/>
      <c r="J171" s="843"/>
      <c r="K171" s="790"/>
      <c r="L171" s="799"/>
      <c r="M171" s="757"/>
      <c r="N171" s="837"/>
      <c r="O171" s="663">
        <v>0.93490804699999996</v>
      </c>
    </row>
    <row r="172" spans="1:16" s="204" customFormat="1" ht="18.95" customHeight="1">
      <c r="A172" s="855"/>
      <c r="B172" s="789" t="s">
        <v>273</v>
      </c>
      <c r="C172" s="852" t="s">
        <v>1711</v>
      </c>
      <c r="D172" s="852"/>
      <c r="E172" s="757">
        <v>145</v>
      </c>
      <c r="F172" s="799" t="s">
        <v>1684</v>
      </c>
      <c r="G172" s="759">
        <v>2260</v>
      </c>
      <c r="H172" s="783">
        <f t="shared" si="11"/>
        <v>2112.89218622</v>
      </c>
      <c r="I172" s="783">
        <f t="shared" si="12"/>
        <v>306369.36700189998</v>
      </c>
      <c r="J172" s="759">
        <v>519</v>
      </c>
      <c r="K172" s="790">
        <f t="shared" si="13"/>
        <v>485.21727639299996</v>
      </c>
      <c r="L172" s="799">
        <f t="shared" si="14"/>
        <v>70356.505076984991</v>
      </c>
      <c r="M172" s="757">
        <f t="shared" si="15"/>
        <v>376725.87207888498</v>
      </c>
      <c r="N172" s="841"/>
      <c r="O172" s="663">
        <v>0.93490804699999996</v>
      </c>
    </row>
    <row r="173" spans="1:16" s="204" customFormat="1" ht="18.95" customHeight="1">
      <c r="A173" s="1172" t="s">
        <v>1756</v>
      </c>
      <c r="B173" s="786" t="s">
        <v>1733</v>
      </c>
      <c r="C173" s="852"/>
      <c r="D173" s="852"/>
      <c r="E173" s="766"/>
      <c r="F173" s="799"/>
      <c r="G173" s="843"/>
      <c r="H173" s="783"/>
      <c r="I173" s="783"/>
      <c r="J173" s="843"/>
      <c r="K173" s="790"/>
      <c r="L173" s="799"/>
      <c r="M173" s="757"/>
      <c r="N173" s="837"/>
      <c r="O173" s="663">
        <v>0.93490804699999996</v>
      </c>
    </row>
    <row r="174" spans="1:16" s="204" customFormat="1" ht="18.95" customHeight="1">
      <c r="A174" s="855"/>
      <c r="B174" s="789" t="s">
        <v>273</v>
      </c>
      <c r="C174" s="852" t="s">
        <v>1734</v>
      </c>
      <c r="D174" s="852"/>
      <c r="E174" s="757">
        <v>78</v>
      </c>
      <c r="F174" s="799" t="s">
        <v>275</v>
      </c>
      <c r="G174" s="759">
        <v>183.6</v>
      </c>
      <c r="H174" s="783">
        <f t="shared" si="11"/>
        <v>171.64911742919998</v>
      </c>
      <c r="I174" s="783">
        <f t="shared" si="12"/>
        <v>13388.631159477598</v>
      </c>
      <c r="J174" s="759">
        <v>55.08</v>
      </c>
      <c r="K174" s="790">
        <f t="shared" si="13"/>
        <v>51.49473522876</v>
      </c>
      <c r="L174" s="799">
        <f t="shared" si="14"/>
        <v>4016.5893478432799</v>
      </c>
      <c r="M174" s="757">
        <f t="shared" si="15"/>
        <v>17405.220507320879</v>
      </c>
      <c r="N174" s="837"/>
      <c r="O174" s="663">
        <v>0.93490804699999996</v>
      </c>
    </row>
    <row r="175" spans="1:16" s="204" customFormat="1" ht="18.95" customHeight="1">
      <c r="A175" s="1172" t="s">
        <v>1757</v>
      </c>
      <c r="B175" s="786" t="s">
        <v>1736</v>
      </c>
      <c r="C175" s="852"/>
      <c r="D175" s="852"/>
      <c r="E175" s="766"/>
      <c r="F175" s="799"/>
      <c r="G175" s="843"/>
      <c r="H175" s="783"/>
      <c r="I175" s="783"/>
      <c r="J175" s="843"/>
      <c r="K175" s="790"/>
      <c r="L175" s="799"/>
      <c r="M175" s="757"/>
      <c r="N175" s="837"/>
      <c r="O175" s="663">
        <v>0.93490804699999996</v>
      </c>
    </row>
    <row r="176" spans="1:16" s="204" customFormat="1" ht="18.95" customHeight="1">
      <c r="A176" s="855"/>
      <c r="B176" s="789" t="s">
        <v>273</v>
      </c>
      <c r="C176" s="852" t="s">
        <v>1737</v>
      </c>
      <c r="D176" s="852"/>
      <c r="E176" s="757">
        <v>500</v>
      </c>
      <c r="F176" s="799" t="s">
        <v>211</v>
      </c>
      <c r="G176" s="759">
        <v>242</v>
      </c>
      <c r="H176" s="783">
        <f t="shared" si="11"/>
        <v>226.247747374</v>
      </c>
      <c r="I176" s="783">
        <f t="shared" si="12"/>
        <v>113123.873687</v>
      </c>
      <c r="J176" s="759">
        <v>72.599999999999994</v>
      </c>
      <c r="K176" s="790">
        <f t="shared" si="13"/>
        <v>67.874324212199994</v>
      </c>
      <c r="L176" s="799">
        <f t="shared" si="14"/>
        <v>33937.162106099997</v>
      </c>
      <c r="M176" s="757">
        <f t="shared" si="15"/>
        <v>147061.03579309999</v>
      </c>
      <c r="N176" s="837"/>
      <c r="O176" s="663">
        <v>0.93490804699999996</v>
      </c>
    </row>
    <row r="177" spans="1:16" s="204" customFormat="1" ht="18.95" customHeight="1">
      <c r="A177" s="1171" t="s">
        <v>1758</v>
      </c>
      <c r="B177" s="1169" t="s">
        <v>1759</v>
      </c>
      <c r="C177" s="801"/>
      <c r="D177" s="815"/>
      <c r="E177" s="854"/>
      <c r="F177" s="857"/>
      <c r="G177" s="843"/>
      <c r="H177" s="783"/>
      <c r="I177" s="783"/>
      <c r="J177" s="843"/>
      <c r="K177" s="790"/>
      <c r="L177" s="799"/>
      <c r="M177" s="757"/>
      <c r="N177" s="837"/>
      <c r="O177" s="663">
        <v>0.93490804699999996</v>
      </c>
    </row>
    <row r="178" spans="1:16" s="204" customFormat="1" ht="18.95" customHeight="1">
      <c r="A178" s="1171" t="s">
        <v>1760</v>
      </c>
      <c r="B178" s="786" t="s">
        <v>1749</v>
      </c>
      <c r="C178" s="809"/>
      <c r="D178" s="810"/>
      <c r="E178" s="757">
        <v>75</v>
      </c>
      <c r="F178" s="766" t="s">
        <v>1671</v>
      </c>
      <c r="G178" s="782">
        <v>585</v>
      </c>
      <c r="H178" s="783">
        <f t="shared" si="11"/>
        <v>546.92120749499998</v>
      </c>
      <c r="I178" s="783">
        <f t="shared" si="12"/>
        <v>41019.090562124999</v>
      </c>
      <c r="J178" s="782">
        <v>262.67</v>
      </c>
      <c r="K178" s="790">
        <f t="shared" si="13"/>
        <v>245.57229670549</v>
      </c>
      <c r="L178" s="799">
        <f t="shared" si="14"/>
        <v>18417.922252911751</v>
      </c>
      <c r="M178" s="757">
        <f t="shared" si="15"/>
        <v>59437.012815036753</v>
      </c>
      <c r="N178" s="841"/>
      <c r="O178" s="663">
        <v>0.93490804699999996</v>
      </c>
    </row>
    <row r="179" spans="1:16" ht="18.95" customHeight="1">
      <c r="A179" s="1171" t="s">
        <v>1761</v>
      </c>
      <c r="B179" s="786" t="s">
        <v>1683</v>
      </c>
      <c r="C179" s="809"/>
      <c r="D179" s="810"/>
      <c r="E179" s="757">
        <v>444</v>
      </c>
      <c r="F179" s="766" t="s">
        <v>1684</v>
      </c>
      <c r="G179" s="782"/>
      <c r="H179" s="783">
        <f t="shared" si="11"/>
        <v>0</v>
      </c>
      <c r="I179" s="783">
        <f t="shared" si="12"/>
        <v>0</v>
      </c>
      <c r="J179" s="782">
        <v>112</v>
      </c>
      <c r="K179" s="790">
        <f t="shared" si="13"/>
        <v>104.70970126399999</v>
      </c>
      <c r="L179" s="799">
        <f t="shared" si="14"/>
        <v>46491.107361215996</v>
      </c>
      <c r="M179" s="757">
        <f t="shared" si="15"/>
        <v>46491.107361215996</v>
      </c>
      <c r="N179" s="841"/>
      <c r="O179" s="663">
        <v>0.93490804699999996</v>
      </c>
    </row>
    <row r="180" spans="1:16" ht="18.95" customHeight="1">
      <c r="A180" s="1171" t="s">
        <v>1762</v>
      </c>
      <c r="B180" s="812" t="s">
        <v>1685</v>
      </c>
      <c r="C180" s="813"/>
      <c r="D180" s="785"/>
      <c r="E180" s="757">
        <v>6</v>
      </c>
      <c r="F180" s="766" t="s">
        <v>1684</v>
      </c>
      <c r="G180" s="782">
        <v>508.33</v>
      </c>
      <c r="H180" s="783">
        <f t="shared" si="11"/>
        <v>475.24180753150995</v>
      </c>
      <c r="I180" s="783">
        <f t="shared" si="12"/>
        <v>2851.4508451890597</v>
      </c>
      <c r="J180" s="782">
        <v>104</v>
      </c>
      <c r="K180" s="790">
        <f t="shared" si="13"/>
        <v>97.230436888</v>
      </c>
      <c r="L180" s="799">
        <f t="shared" si="14"/>
        <v>583.38262132800003</v>
      </c>
      <c r="M180" s="757">
        <f t="shared" si="15"/>
        <v>3434.8334665170596</v>
      </c>
      <c r="N180" s="841"/>
      <c r="O180" s="663">
        <v>0.93490804699999996</v>
      </c>
    </row>
    <row r="181" spans="1:16" ht="18.95" customHeight="1">
      <c r="A181" s="863"/>
      <c r="B181" s="812" t="s">
        <v>1686</v>
      </c>
      <c r="C181" s="813"/>
      <c r="D181" s="785"/>
      <c r="E181" s="757">
        <v>6</v>
      </c>
      <c r="F181" s="766" t="s">
        <v>1684</v>
      </c>
      <c r="G181" s="798">
        <v>2460</v>
      </c>
      <c r="H181" s="783">
        <f t="shared" si="11"/>
        <v>2299.8737956199998</v>
      </c>
      <c r="I181" s="783">
        <f t="shared" si="12"/>
        <v>13799.242773719998</v>
      </c>
      <c r="J181" s="843">
        <v>426</v>
      </c>
      <c r="K181" s="790">
        <f t="shared" si="13"/>
        <v>398.27082802199999</v>
      </c>
      <c r="L181" s="799">
        <f t="shared" si="14"/>
        <v>2389.624968132</v>
      </c>
      <c r="M181" s="757">
        <f t="shared" si="15"/>
        <v>16188.867741851998</v>
      </c>
      <c r="N181" s="841"/>
      <c r="O181" s="663">
        <v>0.93490804699999996</v>
      </c>
    </row>
    <row r="182" spans="1:16" ht="18.95" customHeight="1">
      <c r="A182" s="778"/>
      <c r="B182" s="812"/>
      <c r="C182" s="813"/>
      <c r="D182" s="815"/>
      <c r="E182" s="790"/>
      <c r="F182" s="799"/>
      <c r="G182" s="798"/>
      <c r="H182" s="783"/>
      <c r="I182" s="783"/>
      <c r="J182" s="843"/>
      <c r="K182" s="790"/>
      <c r="L182" s="799"/>
      <c r="M182" s="757"/>
      <c r="N182" s="841"/>
      <c r="O182" s="663">
        <v>0.93490804699999996</v>
      </c>
    </row>
    <row r="183" spans="1:16" ht="18.95" customHeight="1">
      <c r="A183" s="778"/>
      <c r="B183" s="812"/>
      <c r="C183" s="813"/>
      <c r="D183" s="815"/>
      <c r="E183" s="790"/>
      <c r="F183" s="799"/>
      <c r="G183" s="798"/>
      <c r="H183" s="783"/>
      <c r="I183" s="783"/>
      <c r="J183" s="843"/>
      <c r="K183" s="790"/>
      <c r="L183" s="799"/>
      <c r="M183" s="757"/>
      <c r="N183" s="841"/>
      <c r="O183" s="663">
        <v>0.93490804699999996</v>
      </c>
    </row>
    <row r="184" spans="1:16" ht="18.95" customHeight="1">
      <c r="A184" s="1171" t="s">
        <v>1763</v>
      </c>
      <c r="B184" s="786" t="s">
        <v>1687</v>
      </c>
      <c r="C184" s="809"/>
      <c r="D184" s="815"/>
      <c r="E184" s="790"/>
      <c r="F184" s="799"/>
      <c r="G184" s="798"/>
      <c r="H184" s="783"/>
      <c r="I184" s="783"/>
      <c r="J184" s="843"/>
      <c r="K184" s="790"/>
      <c r="L184" s="799"/>
      <c r="M184" s="757"/>
      <c r="N184" s="837"/>
      <c r="O184" s="663">
        <v>0.93490804699999996</v>
      </c>
    </row>
    <row r="185" spans="1:16" ht="18.95" customHeight="1">
      <c r="A185" s="851"/>
      <c r="B185" s="789" t="s">
        <v>273</v>
      </c>
      <c r="C185" s="1170" t="s">
        <v>1688</v>
      </c>
      <c r="D185" s="852"/>
      <c r="E185" s="757">
        <v>5458</v>
      </c>
      <c r="F185" s="799" t="s">
        <v>397</v>
      </c>
      <c r="G185" s="765">
        <v>19.45</v>
      </c>
      <c r="H185" s="783">
        <f t="shared" si="11"/>
        <v>18.183961514149999</v>
      </c>
      <c r="I185" s="783">
        <f t="shared" si="12"/>
        <v>99248.061944230692</v>
      </c>
      <c r="J185" s="843">
        <v>3.6</v>
      </c>
      <c r="K185" s="790">
        <f t="shared" si="13"/>
        <v>3.3656689692000001</v>
      </c>
      <c r="L185" s="799">
        <f t="shared" si="14"/>
        <v>18369.821233893599</v>
      </c>
      <c r="M185" s="757">
        <f t="shared" si="15"/>
        <v>117617.88317812429</v>
      </c>
      <c r="N185" s="841"/>
      <c r="O185" s="663">
        <v>0.93490804699999996</v>
      </c>
      <c r="P185" s="725" t="s">
        <v>1689</v>
      </c>
    </row>
    <row r="186" spans="1:16" ht="18.95" customHeight="1">
      <c r="A186" s="851"/>
      <c r="B186" s="789" t="s">
        <v>273</v>
      </c>
      <c r="C186" s="1170" t="s">
        <v>1690</v>
      </c>
      <c r="D186" s="852"/>
      <c r="E186" s="757">
        <v>5540</v>
      </c>
      <c r="F186" s="799" t="s">
        <v>397</v>
      </c>
      <c r="G186" s="765">
        <v>19.25</v>
      </c>
      <c r="H186" s="783">
        <f t="shared" si="11"/>
        <v>17.996979904749999</v>
      </c>
      <c r="I186" s="783">
        <f t="shared" si="12"/>
        <v>99703.268672314996</v>
      </c>
      <c r="J186" s="843">
        <v>3.6</v>
      </c>
      <c r="K186" s="790">
        <f t="shared" si="13"/>
        <v>3.3656689692000001</v>
      </c>
      <c r="L186" s="799">
        <f t="shared" si="14"/>
        <v>18645.806089368001</v>
      </c>
      <c r="M186" s="757">
        <f t="shared" si="15"/>
        <v>118349.074761683</v>
      </c>
      <c r="N186" s="841"/>
      <c r="O186" s="663">
        <v>0.93490804699999996</v>
      </c>
      <c r="P186" s="725" t="s">
        <v>1689</v>
      </c>
    </row>
    <row r="187" spans="1:16" ht="18.95" customHeight="1">
      <c r="A187" s="853"/>
      <c r="B187" s="789" t="s">
        <v>273</v>
      </c>
      <c r="C187" s="1170" t="s">
        <v>1694</v>
      </c>
      <c r="D187" s="852"/>
      <c r="E187" s="757">
        <v>198</v>
      </c>
      <c r="F187" s="799" t="s">
        <v>397</v>
      </c>
      <c r="G187" s="765">
        <v>27.1</v>
      </c>
      <c r="H187" s="783">
        <f t="shared" si="11"/>
        <v>25.3360080737</v>
      </c>
      <c r="I187" s="783">
        <f t="shared" si="12"/>
        <v>5016.5295985926005</v>
      </c>
      <c r="J187" s="843">
        <v>0</v>
      </c>
      <c r="K187" s="790">
        <f t="shared" si="13"/>
        <v>0</v>
      </c>
      <c r="L187" s="799">
        <f t="shared" si="14"/>
        <v>0</v>
      </c>
      <c r="M187" s="757">
        <f t="shared" si="15"/>
        <v>5016.5295985926005</v>
      </c>
      <c r="N187" s="841"/>
      <c r="O187" s="663">
        <v>0.93490804699999996</v>
      </c>
      <c r="P187" s="725" t="s">
        <v>1689</v>
      </c>
    </row>
    <row r="188" spans="1:16" ht="18.95" customHeight="1">
      <c r="A188" s="1172" t="s">
        <v>1764</v>
      </c>
      <c r="B188" s="786" t="s">
        <v>1696</v>
      </c>
      <c r="C188" s="809"/>
      <c r="D188" s="858"/>
      <c r="E188" s="854"/>
      <c r="F188" s="857"/>
      <c r="G188" s="765"/>
      <c r="H188" s="783"/>
      <c r="I188" s="783"/>
      <c r="J188" s="765"/>
      <c r="K188" s="790"/>
      <c r="L188" s="799"/>
      <c r="M188" s="757"/>
      <c r="N188" s="837"/>
      <c r="O188" s="663">
        <v>0.93490804699999996</v>
      </c>
    </row>
    <row r="189" spans="1:16" ht="18.95" customHeight="1">
      <c r="A189" s="853"/>
      <c r="B189" s="789" t="s">
        <v>273</v>
      </c>
      <c r="C189" s="1170" t="s">
        <v>1697</v>
      </c>
      <c r="D189" s="852"/>
      <c r="E189" s="766">
        <v>228</v>
      </c>
      <c r="F189" s="799" t="s">
        <v>211</v>
      </c>
      <c r="G189" s="765">
        <v>245.2</v>
      </c>
      <c r="H189" s="783">
        <f t="shared" ref="H189:H252" si="16">G189*O189</f>
        <v>229.23945312439997</v>
      </c>
      <c r="I189" s="783">
        <f t="shared" ref="I189:I226" si="17">H189*E189</f>
        <v>52266.595312363192</v>
      </c>
      <c r="J189" s="843">
        <v>0</v>
      </c>
      <c r="K189" s="790">
        <f t="shared" si="13"/>
        <v>0</v>
      </c>
      <c r="L189" s="799">
        <f t="shared" si="14"/>
        <v>0</v>
      </c>
      <c r="M189" s="757">
        <f t="shared" si="15"/>
        <v>52266.595312363192</v>
      </c>
      <c r="N189" s="841"/>
      <c r="O189" s="663">
        <v>0.93490804699999996</v>
      </c>
    </row>
    <row r="190" spans="1:16" ht="18.95" customHeight="1">
      <c r="A190" s="853"/>
      <c r="B190" s="789" t="s">
        <v>273</v>
      </c>
      <c r="C190" s="1170" t="s">
        <v>1698</v>
      </c>
      <c r="D190" s="852"/>
      <c r="E190" s="766">
        <v>456</v>
      </c>
      <c r="F190" s="799" t="s">
        <v>211</v>
      </c>
      <c r="G190" s="765"/>
      <c r="H190" s="783">
        <f t="shared" si="16"/>
        <v>0</v>
      </c>
      <c r="I190" s="783">
        <f t="shared" si="17"/>
        <v>0</v>
      </c>
      <c r="J190" s="843">
        <v>121</v>
      </c>
      <c r="K190" s="790">
        <f t="shared" ref="K190:K253" si="18">J190*O190</f>
        <v>113.123873687</v>
      </c>
      <c r="L190" s="799">
        <f t="shared" ref="L190:L253" si="19">K190*E190</f>
        <v>51584.486401271999</v>
      </c>
      <c r="M190" s="757">
        <f t="shared" ref="M190:M228" si="20">L190+I190</f>
        <v>51584.486401271999</v>
      </c>
      <c r="N190" s="841"/>
      <c r="O190" s="663">
        <v>0.93490804699999996</v>
      </c>
    </row>
    <row r="191" spans="1:16" ht="18.95" customHeight="1">
      <c r="A191" s="853"/>
      <c r="B191" s="789" t="s">
        <v>273</v>
      </c>
      <c r="C191" s="1170" t="s">
        <v>1699</v>
      </c>
      <c r="D191" s="852"/>
      <c r="E191" s="766">
        <v>69</v>
      </c>
      <c r="F191" s="799" t="s">
        <v>1700</v>
      </c>
      <c r="G191" s="765">
        <v>309.42</v>
      </c>
      <c r="H191" s="783">
        <f t="shared" si="16"/>
        <v>289.27924790274</v>
      </c>
      <c r="I191" s="783">
        <f t="shared" si="17"/>
        <v>19960.268105289058</v>
      </c>
      <c r="J191" s="843">
        <v>0</v>
      </c>
      <c r="K191" s="790">
        <f t="shared" si="18"/>
        <v>0</v>
      </c>
      <c r="L191" s="799">
        <f t="shared" si="19"/>
        <v>0</v>
      </c>
      <c r="M191" s="757">
        <f t="shared" si="20"/>
        <v>19960.268105289058</v>
      </c>
      <c r="N191" s="841"/>
      <c r="O191" s="663">
        <v>0.93490804699999996</v>
      </c>
    </row>
    <row r="192" spans="1:16" ht="18.95" customHeight="1">
      <c r="A192" s="853"/>
      <c r="B192" s="789" t="s">
        <v>273</v>
      </c>
      <c r="C192" s="1170" t="s">
        <v>1701</v>
      </c>
      <c r="D192" s="852"/>
      <c r="E192" s="757">
        <v>57</v>
      </c>
      <c r="F192" s="799" t="s">
        <v>397</v>
      </c>
      <c r="G192" s="765">
        <v>23.36</v>
      </c>
      <c r="H192" s="783">
        <f t="shared" si="16"/>
        <v>21.83945197792</v>
      </c>
      <c r="I192" s="783">
        <f t="shared" si="17"/>
        <v>1244.8487627414399</v>
      </c>
      <c r="J192" s="843">
        <v>0</v>
      </c>
      <c r="K192" s="790">
        <f t="shared" si="18"/>
        <v>0</v>
      </c>
      <c r="L192" s="799">
        <f t="shared" si="19"/>
        <v>0</v>
      </c>
      <c r="M192" s="757">
        <f t="shared" si="20"/>
        <v>1244.8487627414399</v>
      </c>
      <c r="N192" s="841"/>
      <c r="O192" s="663">
        <v>0.93490804699999996</v>
      </c>
      <c r="P192" s="725" t="s">
        <v>1689</v>
      </c>
    </row>
    <row r="193" spans="1:16" ht="18.95" customHeight="1">
      <c r="A193" s="1172" t="s">
        <v>1765</v>
      </c>
      <c r="B193" s="786" t="s">
        <v>1702</v>
      </c>
      <c r="C193" s="809"/>
      <c r="D193" s="860"/>
      <c r="E193" s="766"/>
      <c r="F193" s="857"/>
      <c r="G193" s="798"/>
      <c r="H193" s="783"/>
      <c r="I193" s="783"/>
      <c r="J193" s="843"/>
      <c r="K193" s="790"/>
      <c r="L193" s="799"/>
      <c r="M193" s="757"/>
      <c r="N193" s="837"/>
      <c r="O193" s="663">
        <v>0.93490804699999996</v>
      </c>
    </row>
    <row r="194" spans="1:16" ht="18.95" customHeight="1">
      <c r="A194" s="855"/>
      <c r="B194" s="789" t="s">
        <v>273</v>
      </c>
      <c r="C194" s="852" t="s">
        <v>1711</v>
      </c>
      <c r="D194" s="852"/>
      <c r="E194" s="757">
        <v>114</v>
      </c>
      <c r="F194" s="799" t="s">
        <v>1684</v>
      </c>
      <c r="G194" s="759">
        <v>2260</v>
      </c>
      <c r="H194" s="783">
        <f t="shared" si="16"/>
        <v>2112.89218622</v>
      </c>
      <c r="I194" s="783">
        <f t="shared" si="17"/>
        <v>240869.70922908001</v>
      </c>
      <c r="J194" s="759">
        <v>519</v>
      </c>
      <c r="K194" s="790">
        <f t="shared" si="18"/>
        <v>485.21727639299996</v>
      </c>
      <c r="L194" s="799">
        <f t="shared" si="19"/>
        <v>55314.769508801997</v>
      </c>
      <c r="M194" s="757">
        <f t="shared" si="20"/>
        <v>296184.47873788199</v>
      </c>
      <c r="N194" s="841"/>
      <c r="O194" s="663">
        <v>0.93490804699999996</v>
      </c>
    </row>
    <row r="195" spans="1:16" ht="18.95" customHeight="1">
      <c r="A195" s="1172" t="s">
        <v>1766</v>
      </c>
      <c r="B195" s="786" t="s">
        <v>1733</v>
      </c>
      <c r="C195" s="852"/>
      <c r="D195" s="852"/>
      <c r="E195" s="766"/>
      <c r="F195" s="799"/>
      <c r="G195" s="843"/>
      <c r="H195" s="783"/>
      <c r="I195" s="783"/>
      <c r="J195" s="843"/>
      <c r="K195" s="790"/>
      <c r="L195" s="799"/>
      <c r="M195" s="757"/>
      <c r="N195" s="837"/>
      <c r="O195" s="663">
        <v>0.93490804699999996</v>
      </c>
    </row>
    <row r="196" spans="1:16" ht="18.95" customHeight="1">
      <c r="A196" s="855"/>
      <c r="B196" s="789" t="s">
        <v>273</v>
      </c>
      <c r="C196" s="852" t="s">
        <v>1734</v>
      </c>
      <c r="D196" s="852"/>
      <c r="E196" s="757">
        <v>49</v>
      </c>
      <c r="F196" s="799" t="s">
        <v>275</v>
      </c>
      <c r="G196" s="759">
        <v>183.6</v>
      </c>
      <c r="H196" s="783">
        <f t="shared" si="16"/>
        <v>171.64911742919998</v>
      </c>
      <c r="I196" s="783">
        <f t="shared" si="17"/>
        <v>8410.8067540307984</v>
      </c>
      <c r="J196" s="759">
        <v>55.08</v>
      </c>
      <c r="K196" s="790">
        <f t="shared" si="18"/>
        <v>51.49473522876</v>
      </c>
      <c r="L196" s="799">
        <f t="shared" si="19"/>
        <v>2523.2420262092401</v>
      </c>
      <c r="M196" s="757">
        <f t="shared" si="20"/>
        <v>10934.048780240038</v>
      </c>
      <c r="N196" s="837"/>
      <c r="O196" s="663">
        <v>0.93490804699999996</v>
      </c>
    </row>
    <row r="197" spans="1:16" ht="18.95" customHeight="1">
      <c r="A197" s="1172" t="s">
        <v>1767</v>
      </c>
      <c r="B197" s="786" t="s">
        <v>1736</v>
      </c>
      <c r="C197" s="852"/>
      <c r="D197" s="852"/>
      <c r="E197" s="766"/>
      <c r="F197" s="799"/>
      <c r="G197" s="843"/>
      <c r="H197" s="783"/>
      <c r="I197" s="783"/>
      <c r="J197" s="843"/>
      <c r="K197" s="790"/>
      <c r="L197" s="799"/>
      <c r="M197" s="757"/>
      <c r="N197" s="837"/>
      <c r="O197" s="663">
        <v>0.93490804699999996</v>
      </c>
    </row>
    <row r="198" spans="1:16" ht="18.95" customHeight="1">
      <c r="A198" s="855"/>
      <c r="B198" s="789" t="s">
        <v>273</v>
      </c>
      <c r="C198" s="852" t="s">
        <v>1737</v>
      </c>
      <c r="D198" s="852"/>
      <c r="E198" s="757">
        <v>396</v>
      </c>
      <c r="F198" s="799" t="s">
        <v>211</v>
      </c>
      <c r="G198" s="759">
        <v>242</v>
      </c>
      <c r="H198" s="783">
        <f t="shared" si="16"/>
        <v>226.247747374</v>
      </c>
      <c r="I198" s="783">
        <f t="shared" si="17"/>
        <v>89594.107960103996</v>
      </c>
      <c r="J198" s="759">
        <v>72.599999999999994</v>
      </c>
      <c r="K198" s="790">
        <f t="shared" si="18"/>
        <v>67.874324212199994</v>
      </c>
      <c r="L198" s="799">
        <f t="shared" si="19"/>
        <v>26878.232388031196</v>
      </c>
      <c r="M198" s="757">
        <f t="shared" si="20"/>
        <v>116472.34034813519</v>
      </c>
      <c r="N198" s="837"/>
      <c r="O198" s="663">
        <v>0.93490804699999996</v>
      </c>
    </row>
    <row r="199" spans="1:16" ht="18.95" customHeight="1">
      <c r="A199" s="856"/>
      <c r="B199" s="1169" t="s">
        <v>1768</v>
      </c>
      <c r="C199" s="801"/>
      <c r="D199" s="815"/>
      <c r="E199" s="854"/>
      <c r="F199" s="857"/>
      <c r="G199" s="843"/>
      <c r="H199" s="783"/>
      <c r="I199" s="783"/>
      <c r="J199" s="843"/>
      <c r="K199" s="790"/>
      <c r="L199" s="799"/>
      <c r="M199" s="757"/>
      <c r="N199" s="837"/>
      <c r="O199" s="663">
        <v>0.93490804699999996</v>
      </c>
    </row>
    <row r="200" spans="1:16" ht="18.95" customHeight="1">
      <c r="A200" s="1171" t="s">
        <v>1769</v>
      </c>
      <c r="B200" s="786" t="s">
        <v>1683</v>
      </c>
      <c r="C200" s="809"/>
      <c r="D200" s="810"/>
      <c r="E200" s="757">
        <v>141</v>
      </c>
      <c r="F200" s="766" t="s">
        <v>1684</v>
      </c>
      <c r="G200" s="782"/>
      <c r="H200" s="783">
        <f t="shared" si="16"/>
        <v>0</v>
      </c>
      <c r="I200" s="783">
        <f t="shared" si="17"/>
        <v>0</v>
      </c>
      <c r="J200" s="782">
        <v>112</v>
      </c>
      <c r="K200" s="790">
        <f t="shared" si="18"/>
        <v>104.70970126399999</v>
      </c>
      <c r="L200" s="799">
        <f t="shared" si="19"/>
        <v>14764.067878223999</v>
      </c>
      <c r="M200" s="757">
        <f t="shared" si="20"/>
        <v>14764.067878223999</v>
      </c>
      <c r="N200" s="841"/>
      <c r="O200" s="663">
        <v>0.93490804699999996</v>
      </c>
    </row>
    <row r="201" spans="1:16" ht="18.95" customHeight="1">
      <c r="A201" s="1171" t="s">
        <v>1770</v>
      </c>
      <c r="B201" s="812" t="s">
        <v>1685</v>
      </c>
      <c r="C201" s="813"/>
      <c r="D201" s="785"/>
      <c r="E201" s="757">
        <v>3</v>
      </c>
      <c r="F201" s="766" t="s">
        <v>1684</v>
      </c>
      <c r="G201" s="782">
        <v>508.33</v>
      </c>
      <c r="H201" s="783">
        <f t="shared" si="16"/>
        <v>475.24180753150995</v>
      </c>
      <c r="I201" s="783">
        <f t="shared" si="17"/>
        <v>1425.7254225945298</v>
      </c>
      <c r="J201" s="782">
        <v>104</v>
      </c>
      <c r="K201" s="790">
        <f t="shared" si="18"/>
        <v>97.230436888</v>
      </c>
      <c r="L201" s="799">
        <f t="shared" si="19"/>
        <v>291.69131066400001</v>
      </c>
      <c r="M201" s="757">
        <f t="shared" si="20"/>
        <v>1717.4167332585298</v>
      </c>
      <c r="N201" s="841"/>
      <c r="O201" s="663">
        <v>0.93490804699999996</v>
      </c>
    </row>
    <row r="202" spans="1:16" ht="18.95" customHeight="1">
      <c r="A202" s="1171" t="s">
        <v>1771</v>
      </c>
      <c r="B202" s="812" t="s">
        <v>1686</v>
      </c>
      <c r="C202" s="813"/>
      <c r="D202" s="785"/>
      <c r="E202" s="757">
        <v>3</v>
      </c>
      <c r="F202" s="766" t="s">
        <v>1684</v>
      </c>
      <c r="G202" s="798">
        <v>2460</v>
      </c>
      <c r="H202" s="783">
        <f t="shared" si="16"/>
        <v>2299.8737956199998</v>
      </c>
      <c r="I202" s="783">
        <f t="shared" si="17"/>
        <v>6899.6213868599989</v>
      </c>
      <c r="J202" s="843">
        <v>426</v>
      </c>
      <c r="K202" s="790">
        <f t="shared" si="18"/>
        <v>398.27082802199999</v>
      </c>
      <c r="L202" s="799">
        <f t="shared" si="19"/>
        <v>1194.812484066</v>
      </c>
      <c r="M202" s="757">
        <f t="shared" si="20"/>
        <v>8094.4338709259991</v>
      </c>
      <c r="N202" s="841"/>
      <c r="O202" s="663">
        <v>0.93490804699999996</v>
      </c>
    </row>
    <row r="203" spans="1:16" ht="18.95" customHeight="1">
      <c r="A203" s="1171" t="s">
        <v>1772</v>
      </c>
      <c r="B203" s="786" t="s">
        <v>1687</v>
      </c>
      <c r="C203" s="809"/>
      <c r="D203" s="815"/>
      <c r="E203" s="790"/>
      <c r="F203" s="799"/>
      <c r="G203" s="798"/>
      <c r="H203" s="783"/>
      <c r="I203" s="783"/>
      <c r="J203" s="843"/>
      <c r="K203" s="790"/>
      <c r="L203" s="799"/>
      <c r="M203" s="757"/>
      <c r="N203" s="837"/>
      <c r="O203" s="663">
        <v>0.93490804699999996</v>
      </c>
    </row>
    <row r="204" spans="1:16" ht="18.95" customHeight="1">
      <c r="A204" s="851"/>
      <c r="B204" s="789" t="s">
        <v>273</v>
      </c>
      <c r="C204" s="1170" t="s">
        <v>1688</v>
      </c>
      <c r="D204" s="852"/>
      <c r="E204" s="757">
        <v>4638</v>
      </c>
      <c r="F204" s="799" t="s">
        <v>397</v>
      </c>
      <c r="G204" s="765">
        <v>19.45</v>
      </c>
      <c r="H204" s="783">
        <f t="shared" si="16"/>
        <v>18.183961514149999</v>
      </c>
      <c r="I204" s="783">
        <f t="shared" si="17"/>
        <v>84337.213502627696</v>
      </c>
      <c r="J204" s="843">
        <v>3.6</v>
      </c>
      <c r="K204" s="790">
        <f t="shared" si="18"/>
        <v>3.3656689692000001</v>
      </c>
      <c r="L204" s="799">
        <f t="shared" si="19"/>
        <v>15609.972679149601</v>
      </c>
      <c r="M204" s="757">
        <f t="shared" si="20"/>
        <v>99947.186181777302</v>
      </c>
      <c r="N204" s="841"/>
      <c r="O204" s="663">
        <v>0.93490804699999996</v>
      </c>
      <c r="P204" s="725" t="s">
        <v>1689</v>
      </c>
    </row>
    <row r="205" spans="1:16" ht="18.95" customHeight="1">
      <c r="A205" s="851"/>
      <c r="B205" s="789" t="s">
        <v>273</v>
      </c>
      <c r="C205" s="1170" t="s">
        <v>1690</v>
      </c>
      <c r="D205" s="852"/>
      <c r="E205" s="757">
        <v>621</v>
      </c>
      <c r="F205" s="799" t="s">
        <v>397</v>
      </c>
      <c r="G205" s="765">
        <v>19.25</v>
      </c>
      <c r="H205" s="783">
        <f t="shared" si="16"/>
        <v>17.996979904749999</v>
      </c>
      <c r="I205" s="783">
        <f t="shared" si="17"/>
        <v>11176.124520849749</v>
      </c>
      <c r="J205" s="843">
        <v>3.6</v>
      </c>
      <c r="K205" s="790">
        <f t="shared" si="18"/>
        <v>3.3656689692000001</v>
      </c>
      <c r="L205" s="799">
        <f t="shared" si="19"/>
        <v>2090.0804298732</v>
      </c>
      <c r="M205" s="757">
        <f t="shared" si="20"/>
        <v>13266.204950722949</v>
      </c>
      <c r="N205" s="841"/>
      <c r="O205" s="663">
        <v>0.93490804699999996</v>
      </c>
      <c r="P205" s="725" t="s">
        <v>1689</v>
      </c>
    </row>
    <row r="206" spans="1:16" ht="18.95" customHeight="1">
      <c r="A206" s="853"/>
      <c r="B206" s="789" t="s">
        <v>273</v>
      </c>
      <c r="C206" s="1170" t="s">
        <v>1694</v>
      </c>
      <c r="D206" s="852"/>
      <c r="E206" s="757">
        <v>95</v>
      </c>
      <c r="F206" s="799" t="s">
        <v>397</v>
      </c>
      <c r="G206" s="765">
        <v>27.1</v>
      </c>
      <c r="H206" s="783">
        <f t="shared" si="16"/>
        <v>25.3360080737</v>
      </c>
      <c r="I206" s="783">
        <f t="shared" si="17"/>
        <v>2406.9207670014998</v>
      </c>
      <c r="J206" s="843">
        <v>0</v>
      </c>
      <c r="K206" s="790">
        <f t="shared" si="18"/>
        <v>0</v>
      </c>
      <c r="L206" s="799">
        <f t="shared" si="19"/>
        <v>0</v>
      </c>
      <c r="M206" s="757">
        <f t="shared" si="20"/>
        <v>2406.9207670014998</v>
      </c>
      <c r="N206" s="841"/>
      <c r="O206" s="663">
        <v>0.93490804699999996</v>
      </c>
      <c r="P206" s="725" t="s">
        <v>1689</v>
      </c>
    </row>
    <row r="207" spans="1:16" ht="18.95" customHeight="1">
      <c r="A207" s="1172" t="s">
        <v>1773</v>
      </c>
      <c r="B207" s="786" t="s">
        <v>1696</v>
      </c>
      <c r="C207" s="809"/>
      <c r="D207" s="858"/>
      <c r="E207" s="854"/>
      <c r="F207" s="857"/>
      <c r="G207" s="765"/>
      <c r="H207" s="783"/>
      <c r="I207" s="783"/>
      <c r="J207" s="765"/>
      <c r="K207" s="790"/>
      <c r="L207" s="799"/>
      <c r="M207" s="757"/>
      <c r="N207" s="837"/>
      <c r="O207" s="663">
        <v>0.93490804699999996</v>
      </c>
    </row>
    <row r="208" spans="1:16" ht="18.95" customHeight="1">
      <c r="A208" s="853"/>
      <c r="B208" s="789" t="s">
        <v>273</v>
      </c>
      <c r="C208" s="1170" t="s">
        <v>1697</v>
      </c>
      <c r="D208" s="852"/>
      <c r="E208" s="766">
        <v>120</v>
      </c>
      <c r="F208" s="799" t="s">
        <v>211</v>
      </c>
      <c r="G208" s="765">
        <v>245.2</v>
      </c>
      <c r="H208" s="783">
        <f t="shared" si="16"/>
        <v>229.23945312439997</v>
      </c>
      <c r="I208" s="783">
        <f t="shared" si="17"/>
        <v>27508.734374927997</v>
      </c>
      <c r="J208" s="843">
        <v>0</v>
      </c>
      <c r="K208" s="790">
        <f t="shared" si="18"/>
        <v>0</v>
      </c>
      <c r="L208" s="799">
        <f t="shared" si="19"/>
        <v>0</v>
      </c>
      <c r="M208" s="757">
        <f t="shared" si="20"/>
        <v>27508.734374927997</v>
      </c>
      <c r="N208" s="841"/>
      <c r="O208" s="663">
        <v>0.93490804699999996</v>
      </c>
    </row>
    <row r="209" spans="1:16" ht="18.95" customHeight="1">
      <c r="A209" s="853"/>
      <c r="B209" s="789" t="s">
        <v>273</v>
      </c>
      <c r="C209" s="1170" t="s">
        <v>1698</v>
      </c>
      <c r="D209" s="852"/>
      <c r="E209" s="766">
        <v>239</v>
      </c>
      <c r="F209" s="799" t="s">
        <v>211</v>
      </c>
      <c r="G209" s="765"/>
      <c r="H209" s="783">
        <f t="shared" si="16"/>
        <v>0</v>
      </c>
      <c r="I209" s="783">
        <f t="shared" si="17"/>
        <v>0</v>
      </c>
      <c r="J209" s="843">
        <v>121</v>
      </c>
      <c r="K209" s="790">
        <f t="shared" si="18"/>
        <v>113.123873687</v>
      </c>
      <c r="L209" s="799">
        <f t="shared" si="19"/>
        <v>27036.605811193</v>
      </c>
      <c r="M209" s="757">
        <f t="shared" si="20"/>
        <v>27036.605811193</v>
      </c>
      <c r="N209" s="841"/>
      <c r="O209" s="663">
        <v>0.93490804699999996</v>
      </c>
    </row>
    <row r="210" spans="1:16" ht="18.95" customHeight="1">
      <c r="A210" s="853"/>
      <c r="B210" s="789" t="s">
        <v>273</v>
      </c>
      <c r="C210" s="1170" t="s">
        <v>1699</v>
      </c>
      <c r="D210" s="852"/>
      <c r="E210" s="766">
        <v>36</v>
      </c>
      <c r="F210" s="799" t="s">
        <v>1700</v>
      </c>
      <c r="G210" s="765">
        <v>309.42</v>
      </c>
      <c r="H210" s="783">
        <f t="shared" si="16"/>
        <v>289.27924790274</v>
      </c>
      <c r="I210" s="783">
        <f t="shared" si="17"/>
        <v>10414.052924498639</v>
      </c>
      <c r="J210" s="843">
        <v>0</v>
      </c>
      <c r="K210" s="790">
        <f t="shared" si="18"/>
        <v>0</v>
      </c>
      <c r="L210" s="799">
        <f t="shared" si="19"/>
        <v>0</v>
      </c>
      <c r="M210" s="757">
        <f t="shared" si="20"/>
        <v>10414.052924498639</v>
      </c>
      <c r="N210" s="841"/>
      <c r="O210" s="663">
        <v>0.93490804699999996</v>
      </c>
    </row>
    <row r="211" spans="1:16" ht="18.95" customHeight="1">
      <c r="A211" s="853"/>
      <c r="B211" s="789" t="s">
        <v>273</v>
      </c>
      <c r="C211" s="1170" t="s">
        <v>1701</v>
      </c>
      <c r="D211" s="852"/>
      <c r="E211" s="757">
        <v>30</v>
      </c>
      <c r="F211" s="799" t="s">
        <v>397</v>
      </c>
      <c r="G211" s="765">
        <v>23.36</v>
      </c>
      <c r="H211" s="783">
        <f t="shared" si="16"/>
        <v>21.83945197792</v>
      </c>
      <c r="I211" s="783">
        <f t="shared" si="17"/>
        <v>655.18355933759995</v>
      </c>
      <c r="J211" s="843">
        <v>0</v>
      </c>
      <c r="K211" s="790">
        <f t="shared" si="18"/>
        <v>0</v>
      </c>
      <c r="L211" s="799">
        <f t="shared" si="19"/>
        <v>0</v>
      </c>
      <c r="M211" s="757">
        <f t="shared" si="20"/>
        <v>655.18355933759995</v>
      </c>
      <c r="N211" s="841"/>
      <c r="O211" s="663">
        <v>0.93490804699999996</v>
      </c>
      <c r="P211" s="725" t="s">
        <v>1689</v>
      </c>
    </row>
    <row r="212" spans="1:16" ht="18.95" customHeight="1">
      <c r="A212" s="1172" t="s">
        <v>1774</v>
      </c>
      <c r="B212" s="786" t="s">
        <v>1702</v>
      </c>
      <c r="C212" s="809"/>
      <c r="D212" s="860"/>
      <c r="E212" s="766"/>
      <c r="F212" s="857"/>
      <c r="G212" s="798"/>
      <c r="H212" s="783"/>
      <c r="I212" s="783"/>
      <c r="J212" s="843"/>
      <c r="K212" s="790"/>
      <c r="L212" s="799"/>
      <c r="M212" s="757"/>
      <c r="N212" s="837"/>
      <c r="O212" s="663">
        <v>0.93490804699999996</v>
      </c>
    </row>
    <row r="213" spans="1:16" ht="18.95" customHeight="1">
      <c r="A213" s="855"/>
      <c r="B213" s="789" t="s">
        <v>273</v>
      </c>
      <c r="C213" s="852" t="s">
        <v>1711</v>
      </c>
      <c r="D213" s="852"/>
      <c r="E213" s="757">
        <v>54</v>
      </c>
      <c r="F213" s="799" t="s">
        <v>1684</v>
      </c>
      <c r="G213" s="759">
        <v>2260</v>
      </c>
      <c r="H213" s="783">
        <f t="shared" si="16"/>
        <v>2112.89218622</v>
      </c>
      <c r="I213" s="783">
        <f t="shared" si="17"/>
        <v>114096.17805587999</v>
      </c>
      <c r="J213" s="759">
        <v>519</v>
      </c>
      <c r="K213" s="790">
        <f t="shared" si="18"/>
        <v>485.21727639299996</v>
      </c>
      <c r="L213" s="799">
        <f t="shared" si="19"/>
        <v>26201.732925221997</v>
      </c>
      <c r="M213" s="757">
        <f t="shared" si="20"/>
        <v>140297.910981102</v>
      </c>
      <c r="N213" s="841"/>
      <c r="O213" s="663">
        <v>0.93490804699999996</v>
      </c>
    </row>
    <row r="214" spans="1:16" ht="18.95" customHeight="1">
      <c r="A214" s="855"/>
      <c r="B214" s="789"/>
      <c r="C214" s="852"/>
      <c r="D214" s="852"/>
      <c r="E214" s="790"/>
      <c r="F214" s="799"/>
      <c r="G214" s="843"/>
      <c r="H214" s="783"/>
      <c r="I214" s="783"/>
      <c r="J214" s="843"/>
      <c r="K214" s="790"/>
      <c r="L214" s="799"/>
      <c r="M214" s="757"/>
      <c r="N214" s="841"/>
      <c r="O214" s="663">
        <v>0.93490804699999996</v>
      </c>
    </row>
    <row r="215" spans="1:16" ht="18.95" customHeight="1">
      <c r="A215" s="856"/>
      <c r="B215" s="1169" t="s">
        <v>1775</v>
      </c>
      <c r="C215" s="801"/>
      <c r="D215" s="815"/>
      <c r="E215" s="854"/>
      <c r="F215" s="857"/>
      <c r="G215" s="843"/>
      <c r="H215" s="783"/>
      <c r="I215" s="783"/>
      <c r="J215" s="843"/>
      <c r="K215" s="790"/>
      <c r="L215" s="799"/>
      <c r="M215" s="757"/>
      <c r="N215" s="837"/>
      <c r="O215" s="663">
        <v>0.93490804699999996</v>
      </c>
    </row>
    <row r="216" spans="1:16" ht="18.95" customHeight="1">
      <c r="A216" s="1171" t="s">
        <v>1776</v>
      </c>
      <c r="B216" s="786" t="s">
        <v>1683</v>
      </c>
      <c r="C216" s="809"/>
      <c r="D216" s="810"/>
      <c r="E216" s="757">
        <v>213.2</v>
      </c>
      <c r="F216" s="766" t="s">
        <v>1684</v>
      </c>
      <c r="G216" s="782"/>
      <c r="H216" s="783">
        <f t="shared" si="16"/>
        <v>0</v>
      </c>
      <c r="I216" s="783">
        <f t="shared" si="17"/>
        <v>0</v>
      </c>
      <c r="J216" s="782">
        <v>112</v>
      </c>
      <c r="K216" s="790">
        <f t="shared" si="18"/>
        <v>104.70970126399999</v>
      </c>
      <c r="L216" s="799">
        <f t="shared" si="19"/>
        <v>22324.108309484796</v>
      </c>
      <c r="M216" s="757">
        <f t="shared" si="20"/>
        <v>22324.108309484796</v>
      </c>
      <c r="N216" s="841"/>
      <c r="O216" s="663">
        <v>0.93490804699999996</v>
      </c>
    </row>
    <row r="217" spans="1:16" ht="18.95" customHeight="1">
      <c r="A217" s="1171" t="s">
        <v>1777</v>
      </c>
      <c r="B217" s="812" t="s">
        <v>1685</v>
      </c>
      <c r="C217" s="813"/>
      <c r="D217" s="785"/>
      <c r="E217" s="757">
        <v>11</v>
      </c>
      <c r="F217" s="766" t="s">
        <v>1684</v>
      </c>
      <c r="G217" s="782">
        <v>508.33</v>
      </c>
      <c r="H217" s="783">
        <f t="shared" si="16"/>
        <v>475.24180753150995</v>
      </c>
      <c r="I217" s="783">
        <f t="shared" si="17"/>
        <v>5227.6598828466094</v>
      </c>
      <c r="J217" s="782">
        <v>104</v>
      </c>
      <c r="K217" s="790">
        <f t="shared" si="18"/>
        <v>97.230436888</v>
      </c>
      <c r="L217" s="799">
        <f t="shared" si="19"/>
        <v>1069.5348057680001</v>
      </c>
      <c r="M217" s="757">
        <f t="shared" si="20"/>
        <v>6297.1946886146097</v>
      </c>
      <c r="N217" s="841"/>
      <c r="O217" s="663">
        <v>0.93490804699999996</v>
      </c>
    </row>
    <row r="218" spans="1:16" ht="18.95" customHeight="1">
      <c r="A218" s="1171" t="s">
        <v>1778</v>
      </c>
      <c r="B218" s="812" t="s">
        <v>1686</v>
      </c>
      <c r="C218" s="813"/>
      <c r="D218" s="785"/>
      <c r="E218" s="757">
        <v>11</v>
      </c>
      <c r="F218" s="766" t="s">
        <v>1684</v>
      </c>
      <c r="G218" s="798">
        <v>2460</v>
      </c>
      <c r="H218" s="783">
        <f t="shared" si="16"/>
        <v>2299.8737956199998</v>
      </c>
      <c r="I218" s="783">
        <f t="shared" si="17"/>
        <v>25298.611751819997</v>
      </c>
      <c r="J218" s="843">
        <v>426</v>
      </c>
      <c r="K218" s="790">
        <f t="shared" si="18"/>
        <v>398.27082802199999</v>
      </c>
      <c r="L218" s="799">
        <f t="shared" si="19"/>
        <v>4380.9791082419997</v>
      </c>
      <c r="M218" s="757">
        <f t="shared" si="20"/>
        <v>29679.590860061995</v>
      </c>
      <c r="N218" s="841"/>
      <c r="O218" s="663">
        <v>0.93490804699999996</v>
      </c>
    </row>
    <row r="219" spans="1:16" ht="18.95" customHeight="1">
      <c r="A219" s="1171" t="s">
        <v>1779</v>
      </c>
      <c r="B219" s="786" t="s">
        <v>1687</v>
      </c>
      <c r="C219" s="809"/>
      <c r="D219" s="815"/>
      <c r="E219" s="790"/>
      <c r="F219" s="799"/>
      <c r="G219" s="798"/>
      <c r="H219" s="783"/>
      <c r="I219" s="783"/>
      <c r="J219" s="843"/>
      <c r="K219" s="790"/>
      <c r="L219" s="799"/>
      <c r="M219" s="757"/>
      <c r="N219" s="837"/>
      <c r="O219" s="663">
        <v>0.93490804699999996</v>
      </c>
    </row>
    <row r="220" spans="1:16" ht="18.95" customHeight="1">
      <c r="A220" s="851"/>
      <c r="B220" s="789" t="s">
        <v>273</v>
      </c>
      <c r="C220" s="1170" t="s">
        <v>1690</v>
      </c>
      <c r="D220" s="852"/>
      <c r="E220" s="757">
        <v>10487</v>
      </c>
      <c r="F220" s="799" t="s">
        <v>397</v>
      </c>
      <c r="G220" s="765">
        <v>19.25</v>
      </c>
      <c r="H220" s="783">
        <f t="shared" si="16"/>
        <v>17.996979904749999</v>
      </c>
      <c r="I220" s="783">
        <f t="shared" si="17"/>
        <v>188734.32826111323</v>
      </c>
      <c r="J220" s="843">
        <v>3.6</v>
      </c>
      <c r="K220" s="790">
        <f t="shared" si="18"/>
        <v>3.3656689692000001</v>
      </c>
      <c r="L220" s="799">
        <f t="shared" si="19"/>
        <v>35295.770480000399</v>
      </c>
      <c r="M220" s="757">
        <f t="shared" si="20"/>
        <v>224030.09874111362</v>
      </c>
      <c r="N220" s="841"/>
      <c r="O220" s="663">
        <v>0.93490804699999996</v>
      </c>
      <c r="P220" s="725" t="s">
        <v>1689</v>
      </c>
    </row>
    <row r="221" spans="1:16" ht="18.95" customHeight="1">
      <c r="A221" s="853"/>
      <c r="B221" s="789" t="s">
        <v>273</v>
      </c>
      <c r="C221" s="1170" t="s">
        <v>1694</v>
      </c>
      <c r="D221" s="852"/>
      <c r="E221" s="757">
        <v>189</v>
      </c>
      <c r="F221" s="799" t="s">
        <v>397</v>
      </c>
      <c r="G221" s="765">
        <v>27.1</v>
      </c>
      <c r="H221" s="783">
        <f t="shared" si="16"/>
        <v>25.3360080737</v>
      </c>
      <c r="I221" s="783">
        <f t="shared" si="17"/>
        <v>4788.5055259293003</v>
      </c>
      <c r="J221" s="843">
        <v>0</v>
      </c>
      <c r="K221" s="790">
        <f t="shared" si="18"/>
        <v>0</v>
      </c>
      <c r="L221" s="799">
        <f t="shared" si="19"/>
        <v>0</v>
      </c>
      <c r="M221" s="757">
        <f t="shared" si="20"/>
        <v>4788.5055259293003</v>
      </c>
      <c r="N221" s="841"/>
      <c r="O221" s="663">
        <v>0.93490804699999996</v>
      </c>
      <c r="P221" s="725" t="s">
        <v>1689</v>
      </c>
    </row>
    <row r="222" spans="1:16" ht="18.95" customHeight="1">
      <c r="A222" s="1172" t="s">
        <v>1780</v>
      </c>
      <c r="B222" s="786" t="s">
        <v>1696</v>
      </c>
      <c r="C222" s="809"/>
      <c r="D222" s="858"/>
      <c r="E222" s="854"/>
      <c r="F222" s="857"/>
      <c r="G222" s="765"/>
      <c r="H222" s="783"/>
      <c r="I222" s="783"/>
      <c r="J222" s="765"/>
      <c r="K222" s="790"/>
      <c r="L222" s="799"/>
      <c r="M222" s="757"/>
      <c r="N222" s="837"/>
      <c r="O222" s="663">
        <v>0.93490804699999996</v>
      </c>
    </row>
    <row r="223" spans="1:16" ht="18.95" customHeight="1">
      <c r="A223" s="853"/>
      <c r="B223" s="789" t="s">
        <v>273</v>
      </c>
      <c r="C223" s="1170" t="s">
        <v>1697</v>
      </c>
      <c r="D223" s="852"/>
      <c r="E223" s="766">
        <v>48</v>
      </c>
      <c r="F223" s="799" t="s">
        <v>211</v>
      </c>
      <c r="G223" s="765">
        <v>245.2</v>
      </c>
      <c r="H223" s="783">
        <f t="shared" si="16"/>
        <v>229.23945312439997</v>
      </c>
      <c r="I223" s="783">
        <f t="shared" si="17"/>
        <v>11003.4937499712</v>
      </c>
      <c r="J223" s="843">
        <v>0</v>
      </c>
      <c r="K223" s="790">
        <f t="shared" si="18"/>
        <v>0</v>
      </c>
      <c r="L223" s="799">
        <f t="shared" si="19"/>
        <v>0</v>
      </c>
      <c r="M223" s="757">
        <f t="shared" si="20"/>
        <v>11003.4937499712</v>
      </c>
      <c r="N223" s="841"/>
      <c r="O223" s="663">
        <v>0.93490804699999996</v>
      </c>
    </row>
    <row r="224" spans="1:16" ht="18.95" customHeight="1">
      <c r="A224" s="853"/>
      <c r="B224" s="789" t="s">
        <v>273</v>
      </c>
      <c r="C224" s="1170" t="s">
        <v>1698</v>
      </c>
      <c r="D224" s="852"/>
      <c r="E224" s="766">
        <v>95</v>
      </c>
      <c r="F224" s="799" t="s">
        <v>211</v>
      </c>
      <c r="G224" s="765"/>
      <c r="H224" s="783">
        <f t="shared" si="16"/>
        <v>0</v>
      </c>
      <c r="I224" s="783">
        <f t="shared" si="17"/>
        <v>0</v>
      </c>
      <c r="J224" s="843">
        <v>121</v>
      </c>
      <c r="K224" s="790">
        <f t="shared" si="18"/>
        <v>113.123873687</v>
      </c>
      <c r="L224" s="799">
        <f t="shared" si="19"/>
        <v>10746.768000265</v>
      </c>
      <c r="M224" s="757">
        <f t="shared" si="20"/>
        <v>10746.768000265</v>
      </c>
      <c r="N224" s="841"/>
      <c r="O224" s="663">
        <v>0.93490804699999996</v>
      </c>
    </row>
    <row r="225" spans="1:16" ht="18.95" customHeight="1">
      <c r="A225" s="853"/>
      <c r="B225" s="789" t="s">
        <v>273</v>
      </c>
      <c r="C225" s="1170" t="s">
        <v>1699</v>
      </c>
      <c r="D225" s="852"/>
      <c r="E225" s="766">
        <v>15</v>
      </c>
      <c r="F225" s="799" t="s">
        <v>1700</v>
      </c>
      <c r="G225" s="765">
        <v>309.42</v>
      </c>
      <c r="H225" s="783">
        <f t="shared" si="16"/>
        <v>289.27924790274</v>
      </c>
      <c r="I225" s="783">
        <f t="shared" si="17"/>
        <v>4339.1887185410997</v>
      </c>
      <c r="J225" s="843">
        <v>0</v>
      </c>
      <c r="K225" s="790">
        <f t="shared" si="18"/>
        <v>0</v>
      </c>
      <c r="L225" s="799">
        <f t="shared" si="19"/>
        <v>0</v>
      </c>
      <c r="M225" s="757">
        <f t="shared" si="20"/>
        <v>4339.1887185410997</v>
      </c>
      <c r="N225" s="841"/>
      <c r="O225" s="663">
        <v>0.93490804699999996</v>
      </c>
    </row>
    <row r="226" spans="1:16" ht="18.95" customHeight="1">
      <c r="A226" s="853"/>
      <c r="B226" s="789" t="s">
        <v>273</v>
      </c>
      <c r="C226" s="1170" t="s">
        <v>1701</v>
      </c>
      <c r="D226" s="852"/>
      <c r="E226" s="757">
        <v>12</v>
      </c>
      <c r="F226" s="799" t="s">
        <v>397</v>
      </c>
      <c r="G226" s="765">
        <v>23.36</v>
      </c>
      <c r="H226" s="783">
        <f t="shared" si="16"/>
        <v>21.83945197792</v>
      </c>
      <c r="I226" s="783">
        <f t="shared" si="17"/>
        <v>262.07342373504002</v>
      </c>
      <c r="J226" s="843">
        <v>0</v>
      </c>
      <c r="K226" s="790">
        <f t="shared" si="18"/>
        <v>0</v>
      </c>
      <c r="L226" s="799">
        <f t="shared" si="19"/>
        <v>0</v>
      </c>
      <c r="M226" s="757">
        <f t="shared" si="20"/>
        <v>262.07342373504002</v>
      </c>
      <c r="N226" s="841"/>
      <c r="O226" s="663">
        <v>0.93490804699999996</v>
      </c>
      <c r="P226" s="725" t="s">
        <v>1689</v>
      </c>
    </row>
    <row r="227" spans="1:16" ht="18.95" customHeight="1">
      <c r="A227" s="1172" t="s">
        <v>1781</v>
      </c>
      <c r="B227" s="786" t="s">
        <v>1702</v>
      </c>
      <c r="C227" s="809"/>
      <c r="D227" s="860"/>
      <c r="E227" s="766"/>
      <c r="F227" s="857"/>
      <c r="G227" s="798"/>
      <c r="H227" s="783"/>
      <c r="I227" s="783"/>
      <c r="J227" s="843"/>
      <c r="K227" s="790"/>
      <c r="L227" s="799"/>
      <c r="M227" s="757"/>
      <c r="N227" s="837"/>
      <c r="O227" s="663">
        <v>0.93490804699999996</v>
      </c>
    </row>
    <row r="228" spans="1:16" ht="18.95" customHeight="1">
      <c r="A228" s="855"/>
      <c r="B228" s="789" t="s">
        <v>273</v>
      </c>
      <c r="C228" s="852" t="s">
        <v>1711</v>
      </c>
      <c r="D228" s="852"/>
      <c r="E228" s="757">
        <v>136.80000000000001</v>
      </c>
      <c r="F228" s="799" t="s">
        <v>1684</v>
      </c>
      <c r="G228" s="759">
        <v>2260</v>
      </c>
      <c r="H228" s="783">
        <f t="shared" si="16"/>
        <v>2112.89218622</v>
      </c>
      <c r="I228" s="783">
        <f>H228*E228</f>
        <v>289043.65107489604</v>
      </c>
      <c r="J228" s="759">
        <v>519</v>
      </c>
      <c r="K228" s="790">
        <f t="shared" si="18"/>
        <v>485.21727639299996</v>
      </c>
      <c r="L228" s="799">
        <f t="shared" si="19"/>
        <v>66377.723410562394</v>
      </c>
      <c r="M228" s="757">
        <f t="shared" si="20"/>
        <v>355421.37448545842</v>
      </c>
      <c r="N228" s="841"/>
      <c r="O228" s="663">
        <v>0.93490804699999996</v>
      </c>
    </row>
    <row r="229" spans="1:16" ht="18.95" customHeight="1">
      <c r="A229" s="855"/>
      <c r="B229" s="789"/>
      <c r="C229" s="852"/>
      <c r="D229" s="852"/>
      <c r="E229" s="766"/>
      <c r="F229" s="799"/>
      <c r="G229" s="843"/>
      <c r="H229" s="783"/>
      <c r="I229" s="790"/>
      <c r="J229" s="843"/>
      <c r="K229" s="790"/>
      <c r="L229" s="799"/>
      <c r="M229" s="757"/>
      <c r="N229" s="837"/>
      <c r="O229" s="663">
        <v>0.93490804699999996</v>
      </c>
    </row>
    <row r="230" spans="1:16" s="724" customFormat="1" ht="18.95" customHeight="1">
      <c r="A230" s="791"/>
      <c r="B230" s="1336" t="s">
        <v>1782</v>
      </c>
      <c r="C230" s="1337"/>
      <c r="D230" s="1338"/>
      <c r="E230" s="792"/>
      <c r="F230" s="793"/>
      <c r="G230" s="794"/>
      <c r="H230" s="864"/>
      <c r="I230" s="795"/>
      <c r="J230" s="844"/>
      <c r="K230" s="873"/>
      <c r="L230" s="845"/>
      <c r="M230" s="846">
        <f>SUM(M61:M229)</f>
        <v>37614118.413418911</v>
      </c>
      <c r="N230" s="847"/>
      <c r="O230" s="848">
        <v>0.93490804699999996</v>
      </c>
    </row>
    <row r="231" spans="1:16" ht="18.95" customHeight="1">
      <c r="A231" s="778"/>
      <c r="B231" s="865"/>
      <c r="C231" s="866"/>
      <c r="D231" s="867"/>
      <c r="E231" s="757"/>
      <c r="F231" s="766"/>
      <c r="G231" s="868"/>
      <c r="H231" s="783"/>
      <c r="I231" s="840"/>
      <c r="J231" s="874"/>
      <c r="K231" s="790"/>
      <c r="L231" s="799"/>
      <c r="M231" s="805"/>
      <c r="N231" s="841"/>
      <c r="O231" s="663">
        <v>0.93490804699999996</v>
      </c>
    </row>
    <row r="232" spans="1:16" ht="18.95" customHeight="1">
      <c r="A232" s="778"/>
      <c r="B232" s="865"/>
      <c r="C232" s="866"/>
      <c r="D232" s="867"/>
      <c r="E232" s="757"/>
      <c r="F232" s="766"/>
      <c r="G232" s="868"/>
      <c r="H232" s="783"/>
      <c r="I232" s="840"/>
      <c r="J232" s="874"/>
      <c r="K232" s="790"/>
      <c r="L232" s="799"/>
      <c r="M232" s="805"/>
      <c r="N232" s="841"/>
      <c r="O232" s="663">
        <v>0.93490804699999996</v>
      </c>
    </row>
    <row r="233" spans="1:16" ht="18.95" customHeight="1">
      <c r="A233" s="778"/>
      <c r="B233" s="865"/>
      <c r="C233" s="866"/>
      <c r="D233" s="867"/>
      <c r="E233" s="757"/>
      <c r="F233" s="766"/>
      <c r="G233" s="868"/>
      <c r="H233" s="783"/>
      <c r="I233" s="840"/>
      <c r="J233" s="874"/>
      <c r="K233" s="790"/>
      <c r="L233" s="799"/>
      <c r="M233" s="805"/>
      <c r="N233" s="841"/>
      <c r="O233" s="663">
        <v>0.93490804699999996</v>
      </c>
    </row>
    <row r="234" spans="1:16" ht="18.95" customHeight="1">
      <c r="A234" s="778"/>
      <c r="B234" s="865"/>
      <c r="C234" s="866"/>
      <c r="D234" s="867"/>
      <c r="E234" s="757"/>
      <c r="F234" s="766"/>
      <c r="G234" s="868"/>
      <c r="H234" s="783"/>
      <c r="I234" s="840"/>
      <c r="J234" s="874"/>
      <c r="K234" s="790"/>
      <c r="L234" s="799"/>
      <c r="M234" s="805"/>
      <c r="N234" s="841"/>
      <c r="O234" s="663">
        <v>0.93490804699999996</v>
      </c>
    </row>
    <row r="235" spans="1:16" ht="18.95" customHeight="1">
      <c r="A235" s="778"/>
      <c r="B235" s="865"/>
      <c r="C235" s="866"/>
      <c r="D235" s="867"/>
      <c r="E235" s="757"/>
      <c r="F235" s="766"/>
      <c r="G235" s="868"/>
      <c r="H235" s="783"/>
      <c r="I235" s="840"/>
      <c r="J235" s="874"/>
      <c r="K235" s="790"/>
      <c r="L235" s="799"/>
      <c r="M235" s="805"/>
      <c r="N235" s="841"/>
      <c r="O235" s="663">
        <v>0.93490804699999996</v>
      </c>
    </row>
    <row r="236" spans="1:16" ht="18.95" customHeight="1">
      <c r="A236" s="778"/>
      <c r="B236" s="865"/>
      <c r="C236" s="866"/>
      <c r="D236" s="867"/>
      <c r="E236" s="757"/>
      <c r="F236" s="766"/>
      <c r="G236" s="868"/>
      <c r="H236" s="783"/>
      <c r="I236" s="840"/>
      <c r="J236" s="874"/>
      <c r="K236" s="790"/>
      <c r="L236" s="799"/>
      <c r="M236" s="805"/>
      <c r="N236" s="841"/>
      <c r="O236" s="663">
        <v>0.93490804699999996</v>
      </c>
    </row>
    <row r="237" spans="1:16" ht="18.95" customHeight="1">
      <c r="A237" s="778"/>
      <c r="B237" s="865"/>
      <c r="C237" s="866"/>
      <c r="D237" s="867"/>
      <c r="E237" s="757"/>
      <c r="F237" s="766"/>
      <c r="G237" s="868"/>
      <c r="H237" s="783"/>
      <c r="I237" s="840"/>
      <c r="J237" s="874"/>
      <c r="K237" s="790"/>
      <c r="L237" s="799"/>
      <c r="M237" s="805"/>
      <c r="N237" s="841"/>
      <c r="O237" s="663">
        <v>0.93490804699999996</v>
      </c>
    </row>
    <row r="238" spans="1:16" ht="18.95" customHeight="1">
      <c r="A238" s="778"/>
      <c r="B238" s="865"/>
      <c r="C238" s="866"/>
      <c r="D238" s="867"/>
      <c r="E238" s="757"/>
      <c r="F238" s="766"/>
      <c r="G238" s="868"/>
      <c r="H238" s="783"/>
      <c r="I238" s="840"/>
      <c r="J238" s="874"/>
      <c r="K238" s="790"/>
      <c r="L238" s="799"/>
      <c r="M238" s="805"/>
      <c r="N238" s="841"/>
      <c r="O238" s="663">
        <v>0.93490804699999996</v>
      </c>
    </row>
    <row r="239" spans="1:16" ht="18.95" customHeight="1">
      <c r="A239" s="778"/>
      <c r="B239" s="865"/>
      <c r="C239" s="866"/>
      <c r="D239" s="867"/>
      <c r="E239" s="757"/>
      <c r="F239" s="766"/>
      <c r="G239" s="868"/>
      <c r="H239" s="783"/>
      <c r="I239" s="840"/>
      <c r="J239" s="874"/>
      <c r="K239" s="790"/>
      <c r="L239" s="799"/>
      <c r="M239" s="805"/>
      <c r="N239" s="841"/>
      <c r="O239" s="663">
        <v>0.93490804699999996</v>
      </c>
    </row>
    <row r="240" spans="1:16" ht="18.95" customHeight="1">
      <c r="A240" s="778"/>
      <c r="B240" s="865"/>
      <c r="C240" s="866"/>
      <c r="D240" s="867"/>
      <c r="E240" s="757"/>
      <c r="F240" s="766"/>
      <c r="G240" s="868"/>
      <c r="H240" s="783"/>
      <c r="I240" s="840"/>
      <c r="J240" s="874"/>
      <c r="K240" s="790"/>
      <c r="L240" s="799"/>
      <c r="M240" s="805"/>
      <c r="N240" s="841"/>
      <c r="O240" s="663">
        <v>0.93490804699999996</v>
      </c>
    </row>
    <row r="241" spans="1:16" ht="18.95" customHeight="1">
      <c r="A241" s="778"/>
      <c r="B241" s="865"/>
      <c r="C241" s="866"/>
      <c r="D241" s="867"/>
      <c r="E241" s="757"/>
      <c r="F241" s="766"/>
      <c r="G241" s="868"/>
      <c r="H241" s="783"/>
      <c r="I241" s="840"/>
      <c r="J241" s="874"/>
      <c r="K241" s="790"/>
      <c r="L241" s="799"/>
      <c r="M241" s="805"/>
      <c r="N241" s="841"/>
      <c r="O241" s="663">
        <v>0.93490804699999996</v>
      </c>
    </row>
    <row r="242" spans="1:16" ht="18.95" customHeight="1">
      <c r="A242" s="778"/>
      <c r="B242" s="865"/>
      <c r="C242" s="866"/>
      <c r="D242" s="867"/>
      <c r="E242" s="757"/>
      <c r="F242" s="766"/>
      <c r="G242" s="868"/>
      <c r="H242" s="783"/>
      <c r="I242" s="840"/>
      <c r="J242" s="874"/>
      <c r="K242" s="790"/>
      <c r="L242" s="799"/>
      <c r="M242" s="805"/>
      <c r="N242" s="841"/>
      <c r="O242" s="663">
        <v>0.93490804699999996</v>
      </c>
    </row>
    <row r="243" spans="1:16" ht="18.95" customHeight="1">
      <c r="A243" s="778"/>
      <c r="B243" s="865"/>
      <c r="C243" s="866"/>
      <c r="D243" s="867"/>
      <c r="E243" s="757"/>
      <c r="F243" s="766"/>
      <c r="G243" s="868"/>
      <c r="H243" s="783"/>
      <c r="I243" s="840"/>
      <c r="J243" s="874"/>
      <c r="K243" s="790"/>
      <c r="L243" s="799"/>
      <c r="M243" s="805"/>
      <c r="N243" s="841"/>
      <c r="O243" s="663">
        <v>0.93490804699999996</v>
      </c>
    </row>
    <row r="244" spans="1:16" ht="18.95" customHeight="1">
      <c r="A244" s="869"/>
      <c r="B244" s="870"/>
      <c r="C244" s="871"/>
      <c r="D244" s="872"/>
      <c r="E244" s="757"/>
      <c r="F244" s="766"/>
      <c r="G244" s="868"/>
      <c r="H244" s="783"/>
      <c r="I244" s="840"/>
      <c r="J244" s="874"/>
      <c r="K244" s="790"/>
      <c r="L244" s="799"/>
      <c r="M244" s="805"/>
      <c r="N244" s="837"/>
      <c r="O244" s="663">
        <v>0.93490804699999996</v>
      </c>
    </row>
    <row r="245" spans="1:16" ht="18.95" customHeight="1">
      <c r="A245" s="776">
        <v>3</v>
      </c>
      <c r="B245" s="1169" t="s">
        <v>1659</v>
      </c>
      <c r="C245" s="801"/>
      <c r="D245" s="785"/>
      <c r="E245" s="781"/>
      <c r="F245" s="758"/>
      <c r="G245" s="782"/>
      <c r="H245" s="783"/>
      <c r="I245" s="783"/>
      <c r="J245" s="782"/>
      <c r="K245" s="790"/>
      <c r="L245" s="799"/>
      <c r="M245" s="757"/>
      <c r="N245" s="837"/>
      <c r="O245" s="663">
        <v>0.93490804699999996</v>
      </c>
    </row>
    <row r="246" spans="1:16" ht="18.95" customHeight="1">
      <c r="A246" s="856"/>
      <c r="B246" s="800"/>
      <c r="C246" s="801"/>
      <c r="D246" s="815"/>
      <c r="E246" s="854"/>
      <c r="F246" s="857"/>
      <c r="G246" s="843"/>
      <c r="H246" s="783"/>
      <c r="I246" s="783"/>
      <c r="J246" s="843"/>
      <c r="K246" s="790"/>
      <c r="L246" s="799"/>
      <c r="M246" s="757"/>
      <c r="N246" s="837"/>
      <c r="O246" s="663">
        <v>0.93490804699999996</v>
      </c>
    </row>
    <row r="247" spans="1:16" ht="18.95" customHeight="1">
      <c r="A247" s="856"/>
      <c r="B247" s="1169" t="s">
        <v>1783</v>
      </c>
      <c r="C247" s="801"/>
      <c r="D247" s="815"/>
      <c r="E247" s="854"/>
      <c r="F247" s="857"/>
      <c r="G247" s="843"/>
      <c r="H247" s="783"/>
      <c r="I247" s="783"/>
      <c r="J247" s="843"/>
      <c r="K247" s="790"/>
      <c r="L247" s="799"/>
      <c r="M247" s="757"/>
      <c r="N247" s="837"/>
      <c r="O247" s="663">
        <v>0.93490804699999996</v>
      </c>
    </row>
    <row r="248" spans="1:16" ht="18.95" customHeight="1">
      <c r="A248" s="1172" t="s">
        <v>1784</v>
      </c>
      <c r="B248" s="786" t="s">
        <v>1683</v>
      </c>
      <c r="C248" s="809"/>
      <c r="D248" s="810"/>
      <c r="E248" s="757">
        <v>231</v>
      </c>
      <c r="F248" s="766" t="s">
        <v>1684</v>
      </c>
      <c r="G248" s="782">
        <v>0</v>
      </c>
      <c r="H248" s="783">
        <f t="shared" si="16"/>
        <v>0</v>
      </c>
      <c r="I248" s="783">
        <f>H248*E248</f>
        <v>0</v>
      </c>
      <c r="J248" s="782">
        <v>112</v>
      </c>
      <c r="K248" s="790">
        <f t="shared" si="18"/>
        <v>104.70970126399999</v>
      </c>
      <c r="L248" s="799">
        <f t="shared" si="19"/>
        <v>24187.940991983996</v>
      </c>
      <c r="M248" s="757">
        <f>L248+I248</f>
        <v>24187.940991983996</v>
      </c>
      <c r="N248" s="841"/>
      <c r="O248" s="663">
        <v>0.93490804699999996</v>
      </c>
    </row>
    <row r="249" spans="1:16" ht="18.95" customHeight="1">
      <c r="A249" s="1172" t="s">
        <v>1785</v>
      </c>
      <c r="B249" s="812" t="s">
        <v>1685</v>
      </c>
      <c r="C249" s="813"/>
      <c r="D249" s="785"/>
      <c r="E249" s="757">
        <v>7</v>
      </c>
      <c r="F249" s="766" t="s">
        <v>1684</v>
      </c>
      <c r="G249" s="782">
        <v>508.33</v>
      </c>
      <c r="H249" s="783">
        <f t="shared" si="16"/>
        <v>475.24180753150995</v>
      </c>
      <c r="I249" s="783">
        <f t="shared" ref="I249:I312" si="21">H249*E249</f>
        <v>3326.6926527205696</v>
      </c>
      <c r="J249" s="782">
        <v>104</v>
      </c>
      <c r="K249" s="790">
        <f t="shared" si="18"/>
        <v>97.230436888</v>
      </c>
      <c r="L249" s="799">
        <f t="shared" si="19"/>
        <v>680.61305821600001</v>
      </c>
      <c r="M249" s="757">
        <f t="shared" ref="M249:M312" si="22">L249+I249</f>
        <v>4007.3057109365695</v>
      </c>
      <c r="N249" s="841"/>
      <c r="O249" s="663">
        <v>0.93490804699999996</v>
      </c>
    </row>
    <row r="250" spans="1:16" ht="18.95" customHeight="1">
      <c r="A250" s="1172" t="s">
        <v>1786</v>
      </c>
      <c r="B250" s="812" t="s">
        <v>1686</v>
      </c>
      <c r="C250" s="813"/>
      <c r="D250" s="785"/>
      <c r="E250" s="757">
        <v>7</v>
      </c>
      <c r="F250" s="766" t="s">
        <v>1684</v>
      </c>
      <c r="G250" s="798">
        <v>2460</v>
      </c>
      <c r="H250" s="783">
        <f t="shared" si="16"/>
        <v>2299.8737956199998</v>
      </c>
      <c r="I250" s="783">
        <f t="shared" si="21"/>
        <v>16099.116569339998</v>
      </c>
      <c r="J250" s="843">
        <v>426</v>
      </c>
      <c r="K250" s="790">
        <f t="shared" si="18"/>
        <v>398.27082802199999</v>
      </c>
      <c r="L250" s="799">
        <f t="shared" si="19"/>
        <v>2787.895796154</v>
      </c>
      <c r="M250" s="757">
        <f t="shared" si="22"/>
        <v>18887.012365493996</v>
      </c>
      <c r="N250" s="841"/>
      <c r="O250" s="663">
        <v>0.93490804699999996</v>
      </c>
    </row>
    <row r="251" spans="1:16" ht="18.95" customHeight="1">
      <c r="A251" s="1172" t="s">
        <v>1787</v>
      </c>
      <c r="B251" s="786" t="s">
        <v>1687</v>
      </c>
      <c r="C251" s="809"/>
      <c r="D251" s="815"/>
      <c r="E251" s="790"/>
      <c r="F251" s="799"/>
      <c r="G251" s="798"/>
      <c r="H251" s="783"/>
      <c r="I251" s="783"/>
      <c r="J251" s="843"/>
      <c r="K251" s="790"/>
      <c r="L251" s="799"/>
      <c r="M251" s="757"/>
      <c r="N251" s="837"/>
      <c r="O251" s="663">
        <v>0.93490804699999996</v>
      </c>
    </row>
    <row r="252" spans="1:16" ht="18.95" customHeight="1">
      <c r="A252" s="851"/>
      <c r="B252" s="789" t="s">
        <v>273</v>
      </c>
      <c r="C252" s="1170" t="s">
        <v>1720</v>
      </c>
      <c r="D252" s="852"/>
      <c r="E252" s="757">
        <v>29</v>
      </c>
      <c r="F252" s="799" t="s">
        <v>397</v>
      </c>
      <c r="G252" s="765">
        <v>19.600000000000001</v>
      </c>
      <c r="H252" s="783">
        <f t="shared" si="16"/>
        <v>18.324197721200001</v>
      </c>
      <c r="I252" s="783">
        <f t="shared" si="21"/>
        <v>531.40173391480005</v>
      </c>
      <c r="J252" s="843">
        <v>4.4000000000000004</v>
      </c>
      <c r="K252" s="790">
        <f t="shared" si="18"/>
        <v>4.1135954068</v>
      </c>
      <c r="L252" s="799">
        <f t="shared" si="19"/>
        <v>119.2942667972</v>
      </c>
      <c r="M252" s="757">
        <f t="shared" si="22"/>
        <v>650.696000712</v>
      </c>
      <c r="N252" s="841"/>
      <c r="O252" s="663">
        <v>0.93490804699999996</v>
      </c>
      <c r="P252" s="725" t="s">
        <v>1689</v>
      </c>
    </row>
    <row r="253" spans="1:16" ht="18.95" customHeight="1">
      <c r="A253" s="851"/>
      <c r="B253" s="789" t="s">
        <v>273</v>
      </c>
      <c r="C253" s="1170" t="s">
        <v>1688</v>
      </c>
      <c r="D253" s="852"/>
      <c r="E253" s="757">
        <v>21547</v>
      </c>
      <c r="F253" s="799" t="s">
        <v>397</v>
      </c>
      <c r="G253" s="765">
        <v>19.45</v>
      </c>
      <c r="H253" s="783">
        <f t="shared" ref="H253:H315" si="23">G253*O253</f>
        <v>18.183961514149999</v>
      </c>
      <c r="I253" s="783">
        <f t="shared" si="21"/>
        <v>391809.81874539005</v>
      </c>
      <c r="J253" s="843">
        <v>3.6</v>
      </c>
      <c r="K253" s="790">
        <f t="shared" si="18"/>
        <v>3.3656689692000001</v>
      </c>
      <c r="L253" s="799">
        <f t="shared" si="19"/>
        <v>72520.069279352407</v>
      </c>
      <c r="M253" s="757">
        <f t="shared" si="22"/>
        <v>464329.88802474248</v>
      </c>
      <c r="N253" s="841"/>
      <c r="O253" s="663">
        <v>0.93490804699999996</v>
      </c>
      <c r="P253" s="725" t="s">
        <v>1689</v>
      </c>
    </row>
    <row r="254" spans="1:16" ht="18.95" customHeight="1">
      <c r="A254" s="851"/>
      <c r="B254" s="789" t="s">
        <v>273</v>
      </c>
      <c r="C254" s="1170" t="s">
        <v>1690</v>
      </c>
      <c r="D254" s="852"/>
      <c r="E254" s="757">
        <v>22957</v>
      </c>
      <c r="F254" s="799" t="s">
        <v>397</v>
      </c>
      <c r="G254" s="765">
        <v>19.25</v>
      </c>
      <c r="H254" s="783">
        <f t="shared" si="23"/>
        <v>17.996979904749999</v>
      </c>
      <c r="I254" s="783">
        <f t="shared" si="21"/>
        <v>413156.66767334571</v>
      </c>
      <c r="J254" s="843">
        <v>3.6</v>
      </c>
      <c r="K254" s="790">
        <f t="shared" ref="K254:K317" si="24">J254*O254</f>
        <v>3.3656689692000001</v>
      </c>
      <c r="L254" s="799">
        <f t="shared" ref="L254:L317" si="25">K254*E254</f>
        <v>77265.662525924403</v>
      </c>
      <c r="M254" s="757">
        <f t="shared" si="22"/>
        <v>490422.3301992701</v>
      </c>
      <c r="N254" s="841"/>
      <c r="O254" s="663">
        <v>0.93490804699999996</v>
      </c>
      <c r="P254" s="725" t="s">
        <v>1689</v>
      </c>
    </row>
    <row r="255" spans="1:16" ht="18.95" customHeight="1">
      <c r="A255" s="853"/>
      <c r="B255" s="789" t="s">
        <v>273</v>
      </c>
      <c r="C255" s="1170" t="s">
        <v>1691</v>
      </c>
      <c r="D255" s="852"/>
      <c r="E255" s="757">
        <v>1765</v>
      </c>
      <c r="F255" s="799" t="s">
        <v>397</v>
      </c>
      <c r="G255" s="765">
        <v>19.25</v>
      </c>
      <c r="H255" s="783">
        <f t="shared" si="23"/>
        <v>17.996979904749999</v>
      </c>
      <c r="I255" s="783">
        <f t="shared" si="21"/>
        <v>31764.669531883748</v>
      </c>
      <c r="J255" s="843">
        <v>3.1</v>
      </c>
      <c r="K255" s="790">
        <f t="shared" si="24"/>
        <v>2.8982149456999999</v>
      </c>
      <c r="L255" s="799">
        <f t="shared" si="25"/>
        <v>5115.3493791604997</v>
      </c>
      <c r="M255" s="757">
        <f t="shared" si="22"/>
        <v>36880.018911044244</v>
      </c>
      <c r="N255" s="841"/>
      <c r="O255" s="663">
        <v>0.93490804699999996</v>
      </c>
      <c r="P255" s="725" t="s">
        <v>1689</v>
      </c>
    </row>
    <row r="256" spans="1:16" ht="18.95" customHeight="1">
      <c r="A256" s="853"/>
      <c r="B256" s="789" t="s">
        <v>273</v>
      </c>
      <c r="C256" s="1170" t="s">
        <v>1692</v>
      </c>
      <c r="D256" s="852"/>
      <c r="E256" s="757">
        <v>6517</v>
      </c>
      <c r="F256" s="799" t="s">
        <v>397</v>
      </c>
      <c r="G256" s="765">
        <v>19.25</v>
      </c>
      <c r="H256" s="783">
        <f t="shared" si="23"/>
        <v>17.996979904749999</v>
      </c>
      <c r="I256" s="783">
        <f t="shared" si="21"/>
        <v>117286.31803925574</v>
      </c>
      <c r="J256" s="843">
        <v>3.1</v>
      </c>
      <c r="K256" s="790">
        <f t="shared" si="24"/>
        <v>2.8982149456999999</v>
      </c>
      <c r="L256" s="799">
        <f t="shared" si="25"/>
        <v>18887.666801126899</v>
      </c>
      <c r="M256" s="757">
        <f t="shared" si="22"/>
        <v>136173.98484038265</v>
      </c>
      <c r="N256" s="841"/>
      <c r="O256" s="663">
        <v>0.93490804699999996</v>
      </c>
      <c r="P256" s="725" t="s">
        <v>1689</v>
      </c>
    </row>
    <row r="257" spans="1:16" ht="18.95" customHeight="1">
      <c r="A257" s="853"/>
      <c r="B257" s="789" t="s">
        <v>273</v>
      </c>
      <c r="C257" s="1170" t="s">
        <v>1694</v>
      </c>
      <c r="D257" s="852"/>
      <c r="E257" s="757">
        <v>951</v>
      </c>
      <c r="F257" s="799" t="s">
        <v>397</v>
      </c>
      <c r="G257" s="765">
        <v>27.1</v>
      </c>
      <c r="H257" s="783">
        <f t="shared" si="23"/>
        <v>25.3360080737</v>
      </c>
      <c r="I257" s="783">
        <f t="shared" si="21"/>
        <v>24094.543678088699</v>
      </c>
      <c r="J257" s="843">
        <v>0</v>
      </c>
      <c r="K257" s="790">
        <f t="shared" si="24"/>
        <v>0</v>
      </c>
      <c r="L257" s="799">
        <f t="shared" si="25"/>
        <v>0</v>
      </c>
      <c r="M257" s="757">
        <f t="shared" si="22"/>
        <v>24094.543678088699</v>
      </c>
      <c r="N257" s="841"/>
      <c r="O257" s="663">
        <v>0.93490804699999996</v>
      </c>
      <c r="P257" s="725" t="s">
        <v>1689</v>
      </c>
    </row>
    <row r="258" spans="1:16" ht="18.95" customHeight="1">
      <c r="A258" s="767">
        <v>3.5</v>
      </c>
      <c r="B258" s="786" t="s">
        <v>1696</v>
      </c>
      <c r="C258" s="809"/>
      <c r="D258" s="858"/>
      <c r="E258" s="854"/>
      <c r="F258" s="857"/>
      <c r="G258" s="765"/>
      <c r="H258" s="783"/>
      <c r="I258" s="783"/>
      <c r="J258" s="765"/>
      <c r="K258" s="790"/>
      <c r="L258" s="799"/>
      <c r="M258" s="757"/>
      <c r="N258" s="837"/>
      <c r="O258" s="663">
        <v>0.93490804699999996</v>
      </c>
    </row>
    <row r="259" spans="1:16" ht="18.95" customHeight="1">
      <c r="A259" s="853"/>
      <c r="B259" s="789" t="s">
        <v>273</v>
      </c>
      <c r="C259" s="1170" t="s">
        <v>1697</v>
      </c>
      <c r="D259" s="852"/>
      <c r="E259" s="766">
        <v>772</v>
      </c>
      <c r="F259" s="799" t="s">
        <v>211</v>
      </c>
      <c r="G259" s="765">
        <v>245.2</v>
      </c>
      <c r="H259" s="783">
        <f t="shared" si="23"/>
        <v>229.23945312439997</v>
      </c>
      <c r="I259" s="783">
        <f t="shared" si="21"/>
        <v>176972.85781203679</v>
      </c>
      <c r="J259" s="843">
        <v>0</v>
      </c>
      <c r="K259" s="790">
        <f t="shared" si="24"/>
        <v>0</v>
      </c>
      <c r="L259" s="799">
        <f t="shared" si="25"/>
        <v>0</v>
      </c>
      <c r="M259" s="757">
        <f t="shared" si="22"/>
        <v>176972.85781203679</v>
      </c>
      <c r="N259" s="841"/>
      <c r="O259" s="663">
        <v>0.93490804699999996</v>
      </c>
    </row>
    <row r="260" spans="1:16" ht="18.95" customHeight="1">
      <c r="A260" s="853"/>
      <c r="B260" s="789" t="s">
        <v>273</v>
      </c>
      <c r="C260" s="1170" t="s">
        <v>1698</v>
      </c>
      <c r="D260" s="852"/>
      <c r="E260" s="766">
        <v>1544</v>
      </c>
      <c r="F260" s="799" t="s">
        <v>211</v>
      </c>
      <c r="G260" s="765"/>
      <c r="H260" s="783">
        <f t="shared" si="23"/>
        <v>0</v>
      </c>
      <c r="I260" s="783">
        <f t="shared" si="21"/>
        <v>0</v>
      </c>
      <c r="J260" s="843">
        <v>121</v>
      </c>
      <c r="K260" s="790">
        <f t="shared" si="24"/>
        <v>113.123873687</v>
      </c>
      <c r="L260" s="799">
        <f t="shared" si="25"/>
        <v>174663.26097272799</v>
      </c>
      <c r="M260" s="757">
        <f t="shared" si="22"/>
        <v>174663.26097272799</v>
      </c>
      <c r="N260" s="841"/>
      <c r="O260" s="663">
        <v>0.93490804699999996</v>
      </c>
    </row>
    <row r="261" spans="1:16" ht="18.95" customHeight="1">
      <c r="A261" s="853"/>
      <c r="B261" s="789" t="s">
        <v>273</v>
      </c>
      <c r="C261" s="1170" t="s">
        <v>1699</v>
      </c>
      <c r="D261" s="852"/>
      <c r="E261" s="766">
        <v>232</v>
      </c>
      <c r="F261" s="799" t="s">
        <v>1700</v>
      </c>
      <c r="G261" s="765">
        <v>309.42</v>
      </c>
      <c r="H261" s="783">
        <f t="shared" si="23"/>
        <v>289.27924790274</v>
      </c>
      <c r="I261" s="783">
        <f t="shared" si="21"/>
        <v>67112.78551343568</v>
      </c>
      <c r="J261" s="843">
        <v>0</v>
      </c>
      <c r="K261" s="790">
        <f t="shared" si="24"/>
        <v>0</v>
      </c>
      <c r="L261" s="799">
        <f t="shared" si="25"/>
        <v>0</v>
      </c>
      <c r="M261" s="757">
        <f t="shared" si="22"/>
        <v>67112.78551343568</v>
      </c>
      <c r="N261" s="841"/>
      <c r="O261" s="663">
        <v>0.93490804699999996</v>
      </c>
    </row>
    <row r="262" spans="1:16" ht="18.95" customHeight="1">
      <c r="A262" s="853"/>
      <c r="B262" s="789" t="s">
        <v>273</v>
      </c>
      <c r="C262" s="1170" t="s">
        <v>1701</v>
      </c>
      <c r="D262" s="852"/>
      <c r="E262" s="757">
        <v>193</v>
      </c>
      <c r="F262" s="799" t="s">
        <v>397</v>
      </c>
      <c r="G262" s="765">
        <v>23.36</v>
      </c>
      <c r="H262" s="783">
        <f t="shared" si="23"/>
        <v>21.83945197792</v>
      </c>
      <c r="I262" s="783">
        <f t="shared" si="21"/>
        <v>4215.0142317385598</v>
      </c>
      <c r="J262" s="843">
        <v>0</v>
      </c>
      <c r="K262" s="790">
        <f t="shared" si="24"/>
        <v>0</v>
      </c>
      <c r="L262" s="799">
        <f t="shared" si="25"/>
        <v>0</v>
      </c>
      <c r="M262" s="757">
        <f t="shared" si="22"/>
        <v>4215.0142317385598</v>
      </c>
      <c r="N262" s="841"/>
      <c r="O262" s="663">
        <v>0.93490804699999996</v>
      </c>
      <c r="P262" s="725" t="s">
        <v>1689</v>
      </c>
    </row>
    <row r="263" spans="1:16" ht="18.95" customHeight="1">
      <c r="A263" s="767">
        <v>3.6</v>
      </c>
      <c r="B263" s="786" t="s">
        <v>1702</v>
      </c>
      <c r="C263" s="809"/>
      <c r="D263" s="860"/>
      <c r="E263" s="766"/>
      <c r="F263" s="857"/>
      <c r="G263" s="798"/>
      <c r="H263" s="783"/>
      <c r="I263" s="783"/>
      <c r="J263" s="843"/>
      <c r="K263" s="790"/>
      <c r="L263" s="799"/>
      <c r="M263" s="757"/>
      <c r="N263" s="837"/>
      <c r="O263" s="663">
        <v>0.93490804699999996</v>
      </c>
    </row>
    <row r="264" spans="1:16" ht="18.95" customHeight="1">
      <c r="A264" s="855"/>
      <c r="B264" s="789" t="s">
        <v>273</v>
      </c>
      <c r="C264" s="852" t="s">
        <v>1723</v>
      </c>
      <c r="D264" s="852"/>
      <c r="E264" s="757">
        <v>425.37</v>
      </c>
      <c r="F264" s="799" t="s">
        <v>1684</v>
      </c>
      <c r="G264" s="759">
        <v>2679.9</v>
      </c>
      <c r="H264" s="783">
        <f t="shared" si="23"/>
        <v>2505.4600751552998</v>
      </c>
      <c r="I264" s="783">
        <f t="shared" si="21"/>
        <v>1065747.5521688098</v>
      </c>
      <c r="J264" s="759">
        <v>519</v>
      </c>
      <c r="K264" s="790">
        <f t="shared" si="24"/>
        <v>485.21727639299996</v>
      </c>
      <c r="L264" s="799">
        <f t="shared" si="25"/>
        <v>206396.87285929039</v>
      </c>
      <c r="M264" s="757">
        <f t="shared" si="22"/>
        <v>1272144.4250281001</v>
      </c>
      <c r="N264" s="841"/>
      <c r="O264" s="663">
        <v>0.93490804699999996</v>
      </c>
    </row>
    <row r="265" spans="1:16" ht="18.95" customHeight="1">
      <c r="A265" s="856"/>
      <c r="B265" s="1169" t="s">
        <v>1788</v>
      </c>
      <c r="C265" s="801"/>
      <c r="D265" s="815"/>
      <c r="E265" s="854"/>
      <c r="F265" s="857"/>
      <c r="G265" s="843"/>
      <c r="H265" s="783"/>
      <c r="I265" s="783"/>
      <c r="J265" s="843"/>
      <c r="K265" s="790"/>
      <c r="L265" s="799"/>
      <c r="M265" s="757"/>
      <c r="N265" s="837"/>
      <c r="O265" s="663">
        <v>0.93490804699999996</v>
      </c>
    </row>
    <row r="266" spans="1:16" ht="18.95" customHeight="1">
      <c r="A266" s="814">
        <v>3.7</v>
      </c>
      <c r="B266" s="786" t="s">
        <v>1687</v>
      </c>
      <c r="C266" s="809"/>
      <c r="D266" s="815"/>
      <c r="E266" s="790"/>
      <c r="F266" s="799"/>
      <c r="G266" s="798"/>
      <c r="H266" s="783"/>
      <c r="I266" s="783"/>
      <c r="J266" s="843"/>
      <c r="K266" s="790"/>
      <c r="L266" s="799"/>
      <c r="M266" s="757"/>
      <c r="N266" s="837"/>
      <c r="O266" s="663">
        <v>0.93490804699999996</v>
      </c>
    </row>
    <row r="267" spans="1:16" ht="18.95" customHeight="1">
      <c r="A267" s="851"/>
      <c r="B267" s="789" t="s">
        <v>273</v>
      </c>
      <c r="C267" s="1170" t="s">
        <v>1789</v>
      </c>
      <c r="D267" s="852"/>
      <c r="E267" s="757">
        <v>3348</v>
      </c>
      <c r="F267" s="799" t="s">
        <v>397</v>
      </c>
      <c r="G267" s="765">
        <v>20.350000000000001</v>
      </c>
      <c r="H267" s="783">
        <f t="shared" si="23"/>
        <v>19.025378756449999</v>
      </c>
      <c r="I267" s="783">
        <f t="shared" si="21"/>
        <v>63696.968076594596</v>
      </c>
      <c r="J267" s="843">
        <v>4.4000000000000004</v>
      </c>
      <c r="K267" s="790">
        <f t="shared" si="24"/>
        <v>4.1135954068</v>
      </c>
      <c r="L267" s="799">
        <f t="shared" si="25"/>
        <v>13772.3174219664</v>
      </c>
      <c r="M267" s="757">
        <f t="shared" si="22"/>
        <v>77469.285498560988</v>
      </c>
      <c r="N267" s="841"/>
      <c r="O267" s="663">
        <v>0.93490804699999996</v>
      </c>
      <c r="P267" s="725" t="s">
        <v>1689</v>
      </c>
    </row>
    <row r="268" spans="1:16" ht="18.95" customHeight="1">
      <c r="A268" s="851"/>
      <c r="B268" s="789" t="s">
        <v>273</v>
      </c>
      <c r="C268" s="1170" t="s">
        <v>1720</v>
      </c>
      <c r="D268" s="852"/>
      <c r="E268" s="757">
        <v>5065</v>
      </c>
      <c r="F268" s="799" t="s">
        <v>397</v>
      </c>
      <c r="G268" s="765">
        <v>19.600000000000001</v>
      </c>
      <c r="H268" s="783">
        <f t="shared" si="23"/>
        <v>18.324197721200001</v>
      </c>
      <c r="I268" s="783">
        <f t="shared" si="21"/>
        <v>92812.061457878008</v>
      </c>
      <c r="J268" s="843">
        <v>4.4000000000000004</v>
      </c>
      <c r="K268" s="790">
        <f t="shared" si="24"/>
        <v>4.1135954068</v>
      </c>
      <c r="L268" s="799">
        <f t="shared" si="25"/>
        <v>20835.360735442002</v>
      </c>
      <c r="M268" s="757">
        <f t="shared" si="22"/>
        <v>113647.42219332</v>
      </c>
      <c r="N268" s="841"/>
      <c r="O268" s="663">
        <v>0.93490804699999996</v>
      </c>
      <c r="P268" s="725" t="s">
        <v>1689</v>
      </c>
    </row>
    <row r="269" spans="1:16" ht="18.95" customHeight="1">
      <c r="A269" s="851"/>
      <c r="B269" s="789" t="s">
        <v>273</v>
      </c>
      <c r="C269" s="1170" t="s">
        <v>1688</v>
      </c>
      <c r="D269" s="852"/>
      <c r="E269" s="757">
        <v>27129</v>
      </c>
      <c r="F269" s="799" t="s">
        <v>397</v>
      </c>
      <c r="G269" s="765">
        <v>19.45</v>
      </c>
      <c r="H269" s="783">
        <f t="shared" si="23"/>
        <v>18.183961514149999</v>
      </c>
      <c r="I269" s="783">
        <f t="shared" si="21"/>
        <v>493312.69191737531</v>
      </c>
      <c r="J269" s="843">
        <v>3.6</v>
      </c>
      <c r="K269" s="790">
        <f t="shared" si="24"/>
        <v>3.3656689692000001</v>
      </c>
      <c r="L269" s="799">
        <f t="shared" si="25"/>
        <v>91307.233465426805</v>
      </c>
      <c r="M269" s="757">
        <f t="shared" si="22"/>
        <v>584619.92538280215</v>
      </c>
      <c r="N269" s="841"/>
      <c r="O269" s="663">
        <v>0.93490804699999996</v>
      </c>
      <c r="P269" s="725" t="s">
        <v>1689</v>
      </c>
    </row>
    <row r="270" spans="1:16" ht="18.95" customHeight="1">
      <c r="A270" s="851"/>
      <c r="B270" s="789" t="s">
        <v>273</v>
      </c>
      <c r="C270" s="1170" t="s">
        <v>1690</v>
      </c>
      <c r="D270" s="852"/>
      <c r="E270" s="757">
        <v>38186</v>
      </c>
      <c r="F270" s="799" t="s">
        <v>397</v>
      </c>
      <c r="G270" s="765">
        <v>19.25</v>
      </c>
      <c r="H270" s="783">
        <f t="shared" si="23"/>
        <v>17.996979904749999</v>
      </c>
      <c r="I270" s="783">
        <f t="shared" si="21"/>
        <v>687232.67464278347</v>
      </c>
      <c r="J270" s="843">
        <v>3.6</v>
      </c>
      <c r="K270" s="790">
        <f t="shared" si="24"/>
        <v>3.3656689692000001</v>
      </c>
      <c r="L270" s="799">
        <f t="shared" si="25"/>
        <v>128521.4352578712</v>
      </c>
      <c r="M270" s="757">
        <f t="shared" si="22"/>
        <v>815754.10990065464</v>
      </c>
      <c r="N270" s="841"/>
      <c r="O270" s="663">
        <v>0.93490804699999996</v>
      </c>
      <c r="P270" s="725" t="s">
        <v>1689</v>
      </c>
    </row>
    <row r="271" spans="1:16" ht="18.95" customHeight="1">
      <c r="A271" s="853"/>
      <c r="B271" s="789" t="s">
        <v>273</v>
      </c>
      <c r="C271" s="1170" t="s">
        <v>1691</v>
      </c>
      <c r="D271" s="852"/>
      <c r="E271" s="757">
        <v>74736</v>
      </c>
      <c r="F271" s="799" t="s">
        <v>397</v>
      </c>
      <c r="G271" s="765">
        <v>19.25</v>
      </c>
      <c r="H271" s="783">
        <f t="shared" si="23"/>
        <v>17.996979904749999</v>
      </c>
      <c r="I271" s="783">
        <f t="shared" si="21"/>
        <v>1345022.2901613959</v>
      </c>
      <c r="J271" s="843">
        <v>3.1</v>
      </c>
      <c r="K271" s="790">
        <f t="shared" si="24"/>
        <v>2.8982149456999999</v>
      </c>
      <c r="L271" s="799">
        <f t="shared" si="25"/>
        <v>216600.9921818352</v>
      </c>
      <c r="M271" s="757">
        <f t="shared" si="22"/>
        <v>1561623.2823432311</v>
      </c>
      <c r="N271" s="841"/>
      <c r="O271" s="663">
        <v>0.93490804699999996</v>
      </c>
      <c r="P271" s="725" t="s">
        <v>1689</v>
      </c>
    </row>
    <row r="272" spans="1:16" ht="18.95" customHeight="1">
      <c r="A272" s="853"/>
      <c r="B272" s="789" t="s">
        <v>273</v>
      </c>
      <c r="C272" s="1170" t="s">
        <v>1692</v>
      </c>
      <c r="D272" s="852"/>
      <c r="E272" s="757">
        <v>5367</v>
      </c>
      <c r="F272" s="799" t="s">
        <v>397</v>
      </c>
      <c r="G272" s="765">
        <v>19.25</v>
      </c>
      <c r="H272" s="783">
        <f t="shared" si="23"/>
        <v>17.996979904749999</v>
      </c>
      <c r="I272" s="783">
        <f t="shared" si="21"/>
        <v>96589.791148793243</v>
      </c>
      <c r="J272" s="843">
        <v>3.1</v>
      </c>
      <c r="K272" s="790">
        <f t="shared" si="24"/>
        <v>2.8982149456999999</v>
      </c>
      <c r="L272" s="799">
        <f t="shared" si="25"/>
        <v>15554.7196135719</v>
      </c>
      <c r="M272" s="757">
        <f t="shared" si="22"/>
        <v>112144.51076236514</v>
      </c>
      <c r="N272" s="841"/>
      <c r="O272" s="663">
        <v>0.93490804699999996</v>
      </c>
      <c r="P272" s="725" t="s">
        <v>1689</v>
      </c>
    </row>
    <row r="273" spans="1:16" ht="18.95" customHeight="1">
      <c r="A273" s="853"/>
      <c r="B273" s="789" t="s">
        <v>273</v>
      </c>
      <c r="C273" s="1170" t="s">
        <v>1694</v>
      </c>
      <c r="D273" s="852"/>
      <c r="E273" s="757">
        <v>2769</v>
      </c>
      <c r="F273" s="799" t="s">
        <v>397</v>
      </c>
      <c r="G273" s="765">
        <v>27.1</v>
      </c>
      <c r="H273" s="783">
        <f t="shared" si="23"/>
        <v>25.3360080737</v>
      </c>
      <c r="I273" s="783">
        <f t="shared" si="21"/>
        <v>70155.406356075298</v>
      </c>
      <c r="J273" s="843">
        <v>0</v>
      </c>
      <c r="K273" s="790">
        <f t="shared" si="24"/>
        <v>0</v>
      </c>
      <c r="L273" s="799">
        <f t="shared" si="25"/>
        <v>0</v>
      </c>
      <c r="M273" s="757">
        <f t="shared" si="22"/>
        <v>70155.406356075298</v>
      </c>
      <c r="N273" s="841"/>
      <c r="O273" s="663">
        <v>0.93490804699999996</v>
      </c>
      <c r="P273" s="725" t="s">
        <v>1689</v>
      </c>
    </row>
    <row r="274" spans="1:16" ht="18.95" customHeight="1">
      <c r="A274" s="767">
        <v>3.8</v>
      </c>
      <c r="B274" s="786" t="s">
        <v>1696</v>
      </c>
      <c r="C274" s="809"/>
      <c r="D274" s="858"/>
      <c r="E274" s="854"/>
      <c r="F274" s="857"/>
      <c r="G274" s="765"/>
      <c r="H274" s="783"/>
      <c r="I274" s="783"/>
      <c r="J274" s="765"/>
      <c r="K274" s="790"/>
      <c r="L274" s="799"/>
      <c r="M274" s="757"/>
      <c r="N274" s="837"/>
      <c r="O274" s="663">
        <v>0.93490804699999996</v>
      </c>
    </row>
    <row r="275" spans="1:16" ht="18.95" customHeight="1">
      <c r="A275" s="853"/>
      <c r="B275" s="789" t="s">
        <v>273</v>
      </c>
      <c r="C275" s="1170" t="s">
        <v>1697</v>
      </c>
      <c r="D275" s="852"/>
      <c r="E275" s="766">
        <v>2790</v>
      </c>
      <c r="F275" s="799" t="s">
        <v>211</v>
      </c>
      <c r="G275" s="765">
        <v>245.2</v>
      </c>
      <c r="H275" s="783">
        <f t="shared" si="23"/>
        <v>229.23945312439997</v>
      </c>
      <c r="I275" s="783">
        <f t="shared" si="21"/>
        <v>639578.07421707595</v>
      </c>
      <c r="J275" s="843">
        <v>0</v>
      </c>
      <c r="K275" s="790">
        <f t="shared" si="24"/>
        <v>0</v>
      </c>
      <c r="L275" s="799">
        <f t="shared" si="25"/>
        <v>0</v>
      </c>
      <c r="M275" s="757">
        <f t="shared" si="22"/>
        <v>639578.07421707595</v>
      </c>
      <c r="N275" s="841"/>
      <c r="O275" s="663">
        <v>0.93490804699999996</v>
      </c>
    </row>
    <row r="276" spans="1:16" ht="18.95" customHeight="1">
      <c r="A276" s="853"/>
      <c r="B276" s="789" t="s">
        <v>273</v>
      </c>
      <c r="C276" s="1170" t="s">
        <v>1698</v>
      </c>
      <c r="D276" s="852"/>
      <c r="E276" s="766">
        <v>5579</v>
      </c>
      <c r="F276" s="799" t="s">
        <v>211</v>
      </c>
      <c r="G276" s="765">
        <v>0</v>
      </c>
      <c r="H276" s="783">
        <f t="shared" si="23"/>
        <v>0</v>
      </c>
      <c r="I276" s="783">
        <f t="shared" si="21"/>
        <v>0</v>
      </c>
      <c r="J276" s="843">
        <v>121</v>
      </c>
      <c r="K276" s="790">
        <f t="shared" si="24"/>
        <v>113.123873687</v>
      </c>
      <c r="L276" s="799">
        <f t="shared" si="25"/>
        <v>631118.09129977296</v>
      </c>
      <c r="M276" s="757">
        <f t="shared" si="22"/>
        <v>631118.09129977296</v>
      </c>
      <c r="N276" s="841"/>
      <c r="O276" s="663">
        <v>0.93490804699999996</v>
      </c>
    </row>
    <row r="277" spans="1:16" ht="18.95" customHeight="1">
      <c r="A277" s="853"/>
      <c r="B277" s="789" t="s">
        <v>273</v>
      </c>
      <c r="C277" s="1170" t="s">
        <v>1699</v>
      </c>
      <c r="D277" s="852"/>
      <c r="E277" s="766">
        <v>837</v>
      </c>
      <c r="F277" s="799" t="s">
        <v>1700</v>
      </c>
      <c r="G277" s="765">
        <v>309.42</v>
      </c>
      <c r="H277" s="783">
        <f t="shared" si="23"/>
        <v>289.27924790274</v>
      </c>
      <c r="I277" s="783">
        <f t="shared" si="21"/>
        <v>242126.73049459339</v>
      </c>
      <c r="J277" s="843">
        <v>0</v>
      </c>
      <c r="K277" s="790">
        <f t="shared" si="24"/>
        <v>0</v>
      </c>
      <c r="L277" s="799">
        <f t="shared" si="25"/>
        <v>0</v>
      </c>
      <c r="M277" s="757">
        <f t="shared" si="22"/>
        <v>242126.73049459339</v>
      </c>
      <c r="N277" s="841"/>
      <c r="O277" s="663">
        <v>0.93490804699999996</v>
      </c>
    </row>
    <row r="278" spans="1:16" ht="18.95" customHeight="1">
      <c r="A278" s="853"/>
      <c r="B278" s="789" t="s">
        <v>273</v>
      </c>
      <c r="C278" s="1170" t="s">
        <v>1701</v>
      </c>
      <c r="D278" s="852"/>
      <c r="E278" s="757">
        <v>698</v>
      </c>
      <c r="F278" s="799" t="s">
        <v>397</v>
      </c>
      <c r="G278" s="765">
        <v>23.36</v>
      </c>
      <c r="H278" s="783">
        <f t="shared" si="23"/>
        <v>21.83945197792</v>
      </c>
      <c r="I278" s="783">
        <f t="shared" si="21"/>
        <v>15243.93748058816</v>
      </c>
      <c r="J278" s="843">
        <v>0</v>
      </c>
      <c r="K278" s="790">
        <f t="shared" si="24"/>
        <v>0</v>
      </c>
      <c r="L278" s="799">
        <f t="shared" si="25"/>
        <v>0</v>
      </c>
      <c r="M278" s="757">
        <f t="shared" si="22"/>
        <v>15243.93748058816</v>
      </c>
      <c r="N278" s="841"/>
      <c r="O278" s="663">
        <v>0.93490804699999996</v>
      </c>
      <c r="P278" s="725" t="s">
        <v>1689</v>
      </c>
    </row>
    <row r="279" spans="1:16" ht="18.95" customHeight="1">
      <c r="A279" s="767">
        <v>3.9</v>
      </c>
      <c r="B279" s="786" t="s">
        <v>1702</v>
      </c>
      <c r="C279" s="809"/>
      <c r="D279" s="860"/>
      <c r="E279" s="766"/>
      <c r="F279" s="857"/>
      <c r="G279" s="798"/>
      <c r="H279" s="783"/>
      <c r="I279" s="783"/>
      <c r="J279" s="843"/>
      <c r="K279" s="790"/>
      <c r="L279" s="799"/>
      <c r="M279" s="757"/>
      <c r="N279" s="837"/>
      <c r="O279" s="663">
        <v>0.93490804699999996</v>
      </c>
    </row>
    <row r="280" spans="1:16" ht="18.95" customHeight="1">
      <c r="A280" s="855"/>
      <c r="B280" s="789" t="s">
        <v>273</v>
      </c>
      <c r="C280" s="852" t="s">
        <v>1723</v>
      </c>
      <c r="D280" s="852"/>
      <c r="E280" s="757">
        <v>1741</v>
      </c>
      <c r="F280" s="799" t="s">
        <v>1684</v>
      </c>
      <c r="G280" s="759">
        <v>2679.9</v>
      </c>
      <c r="H280" s="783">
        <f t="shared" si="23"/>
        <v>2505.4600751552998</v>
      </c>
      <c r="I280" s="783">
        <f t="shared" si="21"/>
        <v>4362005.9908453766</v>
      </c>
      <c r="J280" s="759">
        <v>519</v>
      </c>
      <c r="K280" s="790">
        <f t="shared" si="24"/>
        <v>485.21727639299996</v>
      </c>
      <c r="L280" s="799">
        <f t="shared" si="25"/>
        <v>844763.27820021298</v>
      </c>
      <c r="M280" s="757">
        <f t="shared" si="22"/>
        <v>5206769.2690455895</v>
      </c>
      <c r="N280" s="841"/>
      <c r="O280" s="663">
        <v>0.93490804699999996</v>
      </c>
    </row>
    <row r="281" spans="1:16" ht="18.95" customHeight="1">
      <c r="A281" s="1175" t="s">
        <v>1790</v>
      </c>
      <c r="B281" s="1176" t="s">
        <v>1791</v>
      </c>
      <c r="C281" s="809"/>
      <c r="D281" s="810"/>
      <c r="E281" s="757">
        <v>2334</v>
      </c>
      <c r="F281" s="799" t="s">
        <v>211</v>
      </c>
      <c r="G281" s="765">
        <v>450</v>
      </c>
      <c r="H281" s="783">
        <f t="shared" si="23"/>
        <v>420.70862115</v>
      </c>
      <c r="I281" s="783">
        <f t="shared" si="21"/>
        <v>981933.92176409997</v>
      </c>
      <c r="J281" s="765">
        <v>0</v>
      </c>
      <c r="K281" s="790">
        <f t="shared" si="24"/>
        <v>0</v>
      </c>
      <c r="L281" s="799">
        <f t="shared" si="25"/>
        <v>0</v>
      </c>
      <c r="M281" s="757">
        <f t="shared" si="22"/>
        <v>981933.92176409997</v>
      </c>
      <c r="N281" s="837"/>
      <c r="O281" s="663">
        <v>0.93490804699999996</v>
      </c>
    </row>
    <row r="282" spans="1:16" ht="18.95" customHeight="1">
      <c r="A282" s="876"/>
      <c r="B282" s="786"/>
      <c r="C282" s="809"/>
      <c r="D282" s="809"/>
      <c r="E282" s="790"/>
      <c r="F282" s="799"/>
      <c r="G282" s="798"/>
      <c r="H282" s="783"/>
      <c r="I282" s="783"/>
      <c r="J282" s="798"/>
      <c r="K282" s="790"/>
      <c r="L282" s="799"/>
      <c r="M282" s="757"/>
      <c r="N282" s="837"/>
      <c r="O282" s="663">
        <v>0.93490804699999996</v>
      </c>
    </row>
    <row r="283" spans="1:16" ht="18.95" customHeight="1">
      <c r="A283" s="856"/>
      <c r="B283" s="1169" t="s">
        <v>1792</v>
      </c>
      <c r="C283" s="801"/>
      <c r="D283" s="815"/>
      <c r="E283" s="854"/>
      <c r="F283" s="857"/>
      <c r="G283" s="843"/>
      <c r="H283" s="783"/>
      <c r="I283" s="783"/>
      <c r="J283" s="843"/>
      <c r="K283" s="790"/>
      <c r="L283" s="799"/>
      <c r="M283" s="757"/>
      <c r="N283" s="837"/>
      <c r="O283" s="663">
        <v>0.93490804699999996</v>
      </c>
    </row>
    <row r="284" spans="1:16" ht="18.95" customHeight="1">
      <c r="A284" s="1175" t="s">
        <v>1793</v>
      </c>
      <c r="B284" s="786" t="s">
        <v>1687</v>
      </c>
      <c r="C284" s="809"/>
      <c r="D284" s="815"/>
      <c r="E284" s="790"/>
      <c r="F284" s="799"/>
      <c r="G284" s="798"/>
      <c r="H284" s="783"/>
      <c r="I284" s="783"/>
      <c r="J284" s="843"/>
      <c r="K284" s="790"/>
      <c r="L284" s="799"/>
      <c r="M284" s="757"/>
      <c r="N284" s="837"/>
      <c r="O284" s="663">
        <v>0.93490804699999996</v>
      </c>
    </row>
    <row r="285" spans="1:16" ht="18.95" customHeight="1">
      <c r="A285" s="851"/>
      <c r="B285" s="789" t="s">
        <v>273</v>
      </c>
      <c r="C285" s="1170" t="s">
        <v>1720</v>
      </c>
      <c r="D285" s="852"/>
      <c r="E285" s="757">
        <v>2864</v>
      </c>
      <c r="F285" s="799" t="s">
        <v>397</v>
      </c>
      <c r="G285" s="765">
        <v>19.600000000000001</v>
      </c>
      <c r="H285" s="783">
        <f t="shared" si="23"/>
        <v>18.324197721200001</v>
      </c>
      <c r="I285" s="783">
        <f t="shared" si="21"/>
        <v>52480.502273516802</v>
      </c>
      <c r="J285" s="843">
        <v>4.4000000000000004</v>
      </c>
      <c r="K285" s="790">
        <f t="shared" si="24"/>
        <v>4.1135954068</v>
      </c>
      <c r="L285" s="799">
        <f t="shared" si="25"/>
        <v>11781.337245075199</v>
      </c>
      <c r="M285" s="757">
        <f t="shared" si="22"/>
        <v>64261.839518592002</v>
      </c>
      <c r="N285" s="841"/>
      <c r="O285" s="663">
        <v>0.93490804699999996</v>
      </c>
      <c r="P285" s="725" t="s">
        <v>1689</v>
      </c>
    </row>
    <row r="286" spans="1:16" ht="18.95" customHeight="1">
      <c r="A286" s="851"/>
      <c r="B286" s="789" t="s">
        <v>273</v>
      </c>
      <c r="C286" s="1170" t="s">
        <v>1688</v>
      </c>
      <c r="D286" s="852"/>
      <c r="E286" s="757">
        <v>1804</v>
      </c>
      <c r="F286" s="799" t="s">
        <v>397</v>
      </c>
      <c r="G286" s="765">
        <v>19.45</v>
      </c>
      <c r="H286" s="783">
        <f t="shared" si="23"/>
        <v>18.183961514149999</v>
      </c>
      <c r="I286" s="783">
        <f t="shared" si="21"/>
        <v>32803.866571526596</v>
      </c>
      <c r="J286" s="843">
        <v>3.6</v>
      </c>
      <c r="K286" s="790">
        <f t="shared" si="24"/>
        <v>3.3656689692000001</v>
      </c>
      <c r="L286" s="799">
        <f t="shared" si="25"/>
        <v>6071.6668204368007</v>
      </c>
      <c r="M286" s="757">
        <f t="shared" si="22"/>
        <v>38875.533391963399</v>
      </c>
      <c r="N286" s="841"/>
      <c r="O286" s="663">
        <v>0.93490804699999996</v>
      </c>
      <c r="P286" s="725" t="s">
        <v>1689</v>
      </c>
    </row>
    <row r="287" spans="1:16" ht="18.95" customHeight="1">
      <c r="A287" s="851"/>
      <c r="B287" s="789" t="s">
        <v>273</v>
      </c>
      <c r="C287" s="1170" t="s">
        <v>1690</v>
      </c>
      <c r="D287" s="852"/>
      <c r="E287" s="757">
        <v>942</v>
      </c>
      <c r="F287" s="799" t="s">
        <v>397</v>
      </c>
      <c r="G287" s="765">
        <v>19.25</v>
      </c>
      <c r="H287" s="783">
        <f t="shared" si="23"/>
        <v>17.996979904749999</v>
      </c>
      <c r="I287" s="783">
        <f t="shared" si="21"/>
        <v>16953.155070274501</v>
      </c>
      <c r="J287" s="843">
        <v>3.6</v>
      </c>
      <c r="K287" s="790">
        <f t="shared" si="24"/>
        <v>3.3656689692000001</v>
      </c>
      <c r="L287" s="799">
        <f t="shared" si="25"/>
        <v>3170.4601689864003</v>
      </c>
      <c r="M287" s="757">
        <f t="shared" si="22"/>
        <v>20123.6152392609</v>
      </c>
      <c r="N287" s="841"/>
      <c r="O287" s="663">
        <v>0.93490804699999996</v>
      </c>
      <c r="P287" s="725" t="s">
        <v>1689</v>
      </c>
    </row>
    <row r="288" spans="1:16" ht="18.95" customHeight="1">
      <c r="A288" s="853"/>
      <c r="B288" s="789" t="s">
        <v>273</v>
      </c>
      <c r="C288" s="1170" t="s">
        <v>1691</v>
      </c>
      <c r="D288" s="852"/>
      <c r="E288" s="757">
        <v>2700</v>
      </c>
      <c r="F288" s="799" t="s">
        <v>397</v>
      </c>
      <c r="G288" s="765">
        <v>19.25</v>
      </c>
      <c r="H288" s="783">
        <f t="shared" si="23"/>
        <v>17.996979904749999</v>
      </c>
      <c r="I288" s="783">
        <f t="shared" si="21"/>
        <v>48591.845742824997</v>
      </c>
      <c r="J288" s="843">
        <v>3.1</v>
      </c>
      <c r="K288" s="790">
        <f t="shared" si="24"/>
        <v>2.8982149456999999</v>
      </c>
      <c r="L288" s="799">
        <f t="shared" si="25"/>
        <v>7825.1803533900002</v>
      </c>
      <c r="M288" s="757">
        <f t="shared" si="22"/>
        <v>56417.026096214999</v>
      </c>
      <c r="N288" s="841"/>
      <c r="O288" s="663">
        <v>0.93490804699999996</v>
      </c>
      <c r="P288" s="725" t="s">
        <v>1689</v>
      </c>
    </row>
    <row r="289" spans="1:16" ht="18.95" customHeight="1">
      <c r="A289" s="853"/>
      <c r="B289" s="789" t="s">
        <v>273</v>
      </c>
      <c r="C289" s="1170" t="s">
        <v>1692</v>
      </c>
      <c r="D289" s="852"/>
      <c r="E289" s="757">
        <v>10230</v>
      </c>
      <c r="F289" s="799" t="s">
        <v>397</v>
      </c>
      <c r="G289" s="765">
        <v>19.25</v>
      </c>
      <c r="H289" s="783">
        <f t="shared" si="23"/>
        <v>17.996979904749999</v>
      </c>
      <c r="I289" s="783">
        <f t="shared" si="21"/>
        <v>184109.10442559249</v>
      </c>
      <c r="J289" s="843">
        <v>3.1</v>
      </c>
      <c r="K289" s="790">
        <f t="shared" si="24"/>
        <v>2.8982149456999999</v>
      </c>
      <c r="L289" s="799">
        <f t="shared" si="25"/>
        <v>29648.738894511</v>
      </c>
      <c r="M289" s="757">
        <f t="shared" si="22"/>
        <v>213757.84332010348</v>
      </c>
      <c r="N289" s="841"/>
      <c r="O289" s="663">
        <v>0.93490804699999996</v>
      </c>
      <c r="P289" s="725" t="s">
        <v>1689</v>
      </c>
    </row>
    <row r="290" spans="1:16" ht="18.95" customHeight="1">
      <c r="A290" s="853"/>
      <c r="B290" s="789" t="s">
        <v>273</v>
      </c>
      <c r="C290" s="1170" t="s">
        <v>1693</v>
      </c>
      <c r="D290" s="852"/>
      <c r="E290" s="757">
        <v>5232</v>
      </c>
      <c r="F290" s="799" t="s">
        <v>397</v>
      </c>
      <c r="G290" s="765">
        <v>19.25</v>
      </c>
      <c r="H290" s="783">
        <f t="shared" si="23"/>
        <v>17.996979904749999</v>
      </c>
      <c r="I290" s="783">
        <f t="shared" si="21"/>
        <v>94160.198861651996</v>
      </c>
      <c r="J290" s="843">
        <v>3.1</v>
      </c>
      <c r="K290" s="790">
        <f t="shared" si="24"/>
        <v>2.8982149456999999</v>
      </c>
      <c r="L290" s="799">
        <f t="shared" si="25"/>
        <v>15163.460595902399</v>
      </c>
      <c r="M290" s="757">
        <f t="shared" si="22"/>
        <v>109323.6594575544</v>
      </c>
      <c r="N290" s="841"/>
      <c r="O290" s="663">
        <v>0.93490804699999996</v>
      </c>
      <c r="P290" s="725" t="s">
        <v>1689</v>
      </c>
    </row>
    <row r="291" spans="1:16" ht="18.95" customHeight="1">
      <c r="A291" s="853"/>
      <c r="B291" s="789" t="s">
        <v>273</v>
      </c>
      <c r="C291" s="1170" t="s">
        <v>1709</v>
      </c>
      <c r="D291" s="852"/>
      <c r="E291" s="757">
        <v>14965</v>
      </c>
      <c r="F291" s="799" t="s">
        <v>397</v>
      </c>
      <c r="G291" s="765">
        <v>19.25</v>
      </c>
      <c r="H291" s="783">
        <f t="shared" si="23"/>
        <v>17.996979904749999</v>
      </c>
      <c r="I291" s="783">
        <f t="shared" si="21"/>
        <v>269324.80427458376</v>
      </c>
      <c r="J291" s="843">
        <v>3.1</v>
      </c>
      <c r="K291" s="790">
        <f t="shared" si="24"/>
        <v>2.8982149456999999</v>
      </c>
      <c r="L291" s="799">
        <f t="shared" si="25"/>
        <v>43371.786662400496</v>
      </c>
      <c r="M291" s="757">
        <f t="shared" si="22"/>
        <v>312696.59093698428</v>
      </c>
      <c r="N291" s="841"/>
      <c r="O291" s="663">
        <v>0.93490804699999996</v>
      </c>
      <c r="P291" s="725" t="s">
        <v>1689</v>
      </c>
    </row>
    <row r="292" spans="1:16" ht="18.95" customHeight="1">
      <c r="A292" s="853"/>
      <c r="B292" s="789" t="s">
        <v>273</v>
      </c>
      <c r="C292" s="1170" t="s">
        <v>1694</v>
      </c>
      <c r="D292" s="852"/>
      <c r="E292" s="757">
        <v>697</v>
      </c>
      <c r="F292" s="799" t="s">
        <v>397</v>
      </c>
      <c r="G292" s="765">
        <v>27.1</v>
      </c>
      <c r="H292" s="783">
        <f t="shared" si="23"/>
        <v>25.3360080737</v>
      </c>
      <c r="I292" s="783">
        <f t="shared" si="21"/>
        <v>17659.1976273689</v>
      </c>
      <c r="J292" s="843">
        <v>0</v>
      </c>
      <c r="K292" s="790">
        <f t="shared" si="24"/>
        <v>0</v>
      </c>
      <c r="L292" s="799">
        <f t="shared" si="25"/>
        <v>0</v>
      </c>
      <c r="M292" s="757">
        <f t="shared" si="22"/>
        <v>17659.1976273689</v>
      </c>
      <c r="N292" s="841"/>
      <c r="O292" s="663">
        <v>0.93490804699999996</v>
      </c>
      <c r="P292" s="725" t="s">
        <v>1689</v>
      </c>
    </row>
    <row r="293" spans="1:16" ht="18.95" customHeight="1">
      <c r="A293" s="859">
        <v>3.12</v>
      </c>
      <c r="B293" s="786" t="s">
        <v>1696</v>
      </c>
      <c r="C293" s="809"/>
      <c r="D293" s="858"/>
      <c r="E293" s="854"/>
      <c r="F293" s="857"/>
      <c r="G293" s="765"/>
      <c r="H293" s="783"/>
      <c r="I293" s="783"/>
      <c r="J293" s="765"/>
      <c r="K293" s="790"/>
      <c r="L293" s="799"/>
      <c r="M293" s="757"/>
      <c r="N293" s="837"/>
      <c r="O293" s="663">
        <v>0.93490804699999996</v>
      </c>
    </row>
    <row r="294" spans="1:16" ht="18.95" customHeight="1">
      <c r="A294" s="853"/>
      <c r="B294" s="789" t="s">
        <v>273</v>
      </c>
      <c r="C294" s="1170" t="s">
        <v>1697</v>
      </c>
      <c r="D294" s="852"/>
      <c r="E294" s="766">
        <v>389</v>
      </c>
      <c r="F294" s="799" t="s">
        <v>211</v>
      </c>
      <c r="G294" s="765">
        <v>245.2</v>
      </c>
      <c r="H294" s="783">
        <f t="shared" si="23"/>
        <v>229.23945312439997</v>
      </c>
      <c r="I294" s="783">
        <f t="shared" si="21"/>
        <v>89174.147265391584</v>
      </c>
      <c r="J294" s="843">
        <v>0</v>
      </c>
      <c r="K294" s="790">
        <f t="shared" si="24"/>
        <v>0</v>
      </c>
      <c r="L294" s="799">
        <f t="shared" si="25"/>
        <v>0</v>
      </c>
      <c r="M294" s="757">
        <f t="shared" si="22"/>
        <v>89174.147265391584</v>
      </c>
      <c r="N294" s="841"/>
      <c r="O294" s="663">
        <v>0.93490804699999996</v>
      </c>
    </row>
    <row r="295" spans="1:16" ht="18.95" customHeight="1">
      <c r="A295" s="853"/>
      <c r="B295" s="789" t="s">
        <v>273</v>
      </c>
      <c r="C295" s="1170" t="s">
        <v>1698</v>
      </c>
      <c r="D295" s="852"/>
      <c r="E295" s="766">
        <v>778</v>
      </c>
      <c r="F295" s="799" t="s">
        <v>211</v>
      </c>
      <c r="G295" s="765"/>
      <c r="H295" s="783">
        <f t="shared" si="23"/>
        <v>0</v>
      </c>
      <c r="I295" s="783">
        <f t="shared" si="21"/>
        <v>0</v>
      </c>
      <c r="J295" s="843">
        <v>121</v>
      </c>
      <c r="K295" s="790">
        <f t="shared" si="24"/>
        <v>113.123873687</v>
      </c>
      <c r="L295" s="799">
        <f t="shared" si="25"/>
        <v>88010.373728485996</v>
      </c>
      <c r="M295" s="757">
        <f t="shared" si="22"/>
        <v>88010.373728485996</v>
      </c>
      <c r="N295" s="841"/>
      <c r="O295" s="663">
        <v>0.93490804699999996</v>
      </c>
    </row>
    <row r="296" spans="1:16" ht="18.95" customHeight="1">
      <c r="A296" s="853"/>
      <c r="B296" s="789" t="s">
        <v>273</v>
      </c>
      <c r="C296" s="1170" t="s">
        <v>1699</v>
      </c>
      <c r="D296" s="852"/>
      <c r="E296" s="766">
        <v>117</v>
      </c>
      <c r="F296" s="799" t="s">
        <v>1700</v>
      </c>
      <c r="G296" s="765">
        <v>309.42</v>
      </c>
      <c r="H296" s="783">
        <f t="shared" si="23"/>
        <v>289.27924790274</v>
      </c>
      <c r="I296" s="783">
        <f t="shared" si="21"/>
        <v>33845.672004620581</v>
      </c>
      <c r="J296" s="843">
        <v>0</v>
      </c>
      <c r="K296" s="790">
        <f t="shared" si="24"/>
        <v>0</v>
      </c>
      <c r="L296" s="799">
        <f t="shared" si="25"/>
        <v>0</v>
      </c>
      <c r="M296" s="757">
        <f t="shared" si="22"/>
        <v>33845.672004620581</v>
      </c>
      <c r="N296" s="841"/>
      <c r="O296" s="663">
        <v>0.93490804699999996</v>
      </c>
    </row>
    <row r="297" spans="1:16" ht="18.600000000000001" customHeight="1">
      <c r="A297" s="853"/>
      <c r="B297" s="789" t="s">
        <v>273</v>
      </c>
      <c r="C297" s="1170" t="s">
        <v>1701</v>
      </c>
      <c r="D297" s="852"/>
      <c r="E297" s="757">
        <v>97</v>
      </c>
      <c r="F297" s="799" t="s">
        <v>397</v>
      </c>
      <c r="G297" s="765">
        <v>23.36</v>
      </c>
      <c r="H297" s="783">
        <f t="shared" si="23"/>
        <v>21.83945197792</v>
      </c>
      <c r="I297" s="783">
        <f t="shared" si="21"/>
        <v>2118.4268418582401</v>
      </c>
      <c r="J297" s="843">
        <v>0</v>
      </c>
      <c r="K297" s="790">
        <f t="shared" si="24"/>
        <v>0</v>
      </c>
      <c r="L297" s="799">
        <f t="shared" si="25"/>
        <v>0</v>
      </c>
      <c r="M297" s="757">
        <f t="shared" si="22"/>
        <v>2118.4268418582401</v>
      </c>
      <c r="N297" s="841"/>
      <c r="O297" s="663">
        <v>0.93490804699999996</v>
      </c>
      <c r="P297" s="725" t="s">
        <v>1689</v>
      </c>
    </row>
    <row r="298" spans="1:16" ht="18.95" customHeight="1">
      <c r="A298" s="859">
        <v>3.13</v>
      </c>
      <c r="B298" s="786" t="s">
        <v>1702</v>
      </c>
      <c r="C298" s="809"/>
      <c r="D298" s="860"/>
      <c r="E298" s="766"/>
      <c r="F298" s="857"/>
      <c r="G298" s="798"/>
      <c r="H298" s="783"/>
      <c r="I298" s="783"/>
      <c r="J298" s="843"/>
      <c r="K298" s="790"/>
      <c r="L298" s="799"/>
      <c r="M298" s="757"/>
      <c r="N298" s="837"/>
      <c r="O298" s="663">
        <v>0.93490804699999996</v>
      </c>
    </row>
    <row r="299" spans="1:16" ht="18.95" customHeight="1">
      <c r="A299" s="855"/>
      <c r="B299" s="789" t="s">
        <v>273</v>
      </c>
      <c r="C299" s="852" t="s">
        <v>1723</v>
      </c>
      <c r="D299" s="852"/>
      <c r="E299" s="757">
        <v>45</v>
      </c>
      <c r="F299" s="799" t="s">
        <v>1684</v>
      </c>
      <c r="G299" s="759">
        <v>2679.9</v>
      </c>
      <c r="H299" s="783">
        <f t="shared" si="23"/>
        <v>2505.4600751552998</v>
      </c>
      <c r="I299" s="783">
        <f t="shared" si="21"/>
        <v>112745.7033819885</v>
      </c>
      <c r="J299" s="759">
        <v>519</v>
      </c>
      <c r="K299" s="790">
        <f t="shared" si="24"/>
        <v>485.21727639299996</v>
      </c>
      <c r="L299" s="799">
        <f t="shared" si="25"/>
        <v>21834.777437684999</v>
      </c>
      <c r="M299" s="757">
        <f t="shared" si="22"/>
        <v>134580.48081967351</v>
      </c>
      <c r="N299" s="841"/>
      <c r="O299" s="663">
        <v>0.93490804699999996</v>
      </c>
    </row>
    <row r="300" spans="1:16" ht="18.95" customHeight="1">
      <c r="A300" s="855"/>
      <c r="B300" s="789" t="s">
        <v>273</v>
      </c>
      <c r="C300" s="852" t="s">
        <v>1724</v>
      </c>
      <c r="D300" s="852"/>
      <c r="E300" s="757">
        <v>66</v>
      </c>
      <c r="F300" s="799" t="s">
        <v>1684</v>
      </c>
      <c r="G300" s="759">
        <v>3025</v>
      </c>
      <c r="H300" s="783">
        <f t="shared" si="23"/>
        <v>2828.0968421749999</v>
      </c>
      <c r="I300" s="783">
        <f t="shared" si="21"/>
        <v>186654.39158354999</v>
      </c>
      <c r="J300" s="759">
        <v>519</v>
      </c>
      <c r="K300" s="790">
        <f t="shared" si="24"/>
        <v>485.21727639299996</v>
      </c>
      <c r="L300" s="799">
        <f t="shared" si="25"/>
        <v>32024.340241937996</v>
      </c>
      <c r="M300" s="757">
        <f t="shared" si="22"/>
        <v>218678.73182548798</v>
      </c>
      <c r="N300" s="841"/>
      <c r="O300" s="663">
        <v>0.93490804699999996</v>
      </c>
    </row>
    <row r="301" spans="1:16" ht="18.95" customHeight="1">
      <c r="A301" s="859">
        <v>3.14</v>
      </c>
      <c r="B301" s="786" t="s">
        <v>1726</v>
      </c>
      <c r="C301" s="852"/>
      <c r="D301" s="852"/>
      <c r="E301" s="766"/>
      <c r="F301" s="799"/>
      <c r="G301" s="765"/>
      <c r="H301" s="783"/>
      <c r="I301" s="783"/>
      <c r="J301" s="843"/>
      <c r="K301" s="790"/>
      <c r="L301" s="799"/>
      <c r="M301" s="757"/>
      <c r="N301" s="841"/>
      <c r="O301" s="663">
        <v>0.93490804699999996</v>
      </c>
    </row>
    <row r="302" spans="1:16" ht="18.95" customHeight="1">
      <c r="A302" s="853"/>
      <c r="B302" s="789" t="s">
        <v>273</v>
      </c>
      <c r="C302" s="852" t="s">
        <v>1727</v>
      </c>
      <c r="D302" s="852"/>
      <c r="E302" s="757">
        <v>4465</v>
      </c>
      <c r="F302" s="799" t="s">
        <v>397</v>
      </c>
      <c r="G302" s="798">
        <v>36.520000000000003</v>
      </c>
      <c r="H302" s="783">
        <f t="shared" si="23"/>
        <v>34.142841876440002</v>
      </c>
      <c r="I302" s="783">
        <f t="shared" si="21"/>
        <v>152447.7889783046</v>
      </c>
      <c r="J302" s="843">
        <v>14</v>
      </c>
      <c r="K302" s="790">
        <f t="shared" si="24"/>
        <v>13.088712657999999</v>
      </c>
      <c r="L302" s="799">
        <f t="shared" si="25"/>
        <v>58441.102017969992</v>
      </c>
      <c r="M302" s="757">
        <f t="shared" si="22"/>
        <v>210888.8909962746</v>
      </c>
      <c r="N302" s="841"/>
      <c r="O302" s="663">
        <v>0.93490804699999996</v>
      </c>
    </row>
    <row r="303" spans="1:16" ht="18.95" customHeight="1">
      <c r="A303" s="853"/>
      <c r="B303" s="789"/>
      <c r="C303" s="852"/>
      <c r="D303" s="852"/>
      <c r="E303" s="790"/>
      <c r="F303" s="799"/>
      <c r="G303" s="798"/>
      <c r="H303" s="783"/>
      <c r="I303" s="783"/>
      <c r="J303" s="843"/>
      <c r="K303" s="790"/>
      <c r="L303" s="799"/>
      <c r="M303" s="757"/>
      <c r="N303" s="841"/>
      <c r="O303" s="663">
        <v>0.93490804699999996</v>
      </c>
    </row>
    <row r="304" spans="1:16" ht="18.95" customHeight="1">
      <c r="A304" s="853"/>
      <c r="B304" s="789"/>
      <c r="C304" s="862"/>
      <c r="D304" s="815"/>
      <c r="E304" s="790"/>
      <c r="F304" s="799"/>
      <c r="G304" s="798"/>
      <c r="H304" s="783"/>
      <c r="I304" s="783"/>
      <c r="J304" s="843"/>
      <c r="K304" s="790"/>
      <c r="L304" s="799"/>
      <c r="M304" s="757"/>
      <c r="N304" s="841"/>
      <c r="O304" s="663">
        <v>0.93490804699999996</v>
      </c>
    </row>
    <row r="305" spans="1:16" ht="18.95" customHeight="1">
      <c r="A305" s="856"/>
      <c r="B305" s="1169" t="s">
        <v>1794</v>
      </c>
      <c r="C305" s="801"/>
      <c r="D305" s="815"/>
      <c r="E305" s="854"/>
      <c r="F305" s="857"/>
      <c r="G305" s="843"/>
      <c r="H305" s="783"/>
      <c r="I305" s="783"/>
      <c r="J305" s="843"/>
      <c r="K305" s="790"/>
      <c r="L305" s="799"/>
      <c r="M305" s="757"/>
      <c r="N305" s="837"/>
      <c r="O305" s="663">
        <v>0.93490804699999996</v>
      </c>
    </row>
    <row r="306" spans="1:16" ht="18.95" customHeight="1">
      <c r="A306" s="877">
        <v>3.15</v>
      </c>
      <c r="B306" s="786" t="s">
        <v>1687</v>
      </c>
      <c r="C306" s="809"/>
      <c r="D306" s="815"/>
      <c r="E306" s="790"/>
      <c r="F306" s="799"/>
      <c r="G306" s="798"/>
      <c r="H306" s="783"/>
      <c r="I306" s="783"/>
      <c r="J306" s="843"/>
      <c r="K306" s="790"/>
      <c r="L306" s="799"/>
      <c r="M306" s="757"/>
      <c r="N306" s="837"/>
      <c r="O306" s="663">
        <v>0.93490804699999996</v>
      </c>
    </row>
    <row r="307" spans="1:16" ht="18.95" customHeight="1">
      <c r="A307" s="851"/>
      <c r="B307" s="789" t="s">
        <v>273</v>
      </c>
      <c r="C307" s="1170" t="s">
        <v>1688</v>
      </c>
      <c r="D307" s="852"/>
      <c r="E307" s="757">
        <v>11001</v>
      </c>
      <c r="F307" s="799" t="s">
        <v>397</v>
      </c>
      <c r="G307" s="765">
        <v>19.45</v>
      </c>
      <c r="H307" s="783">
        <f t="shared" si="23"/>
        <v>18.183961514149999</v>
      </c>
      <c r="I307" s="783">
        <f t="shared" si="21"/>
        <v>200041.76061716414</v>
      </c>
      <c r="J307" s="843">
        <v>3.6</v>
      </c>
      <c r="K307" s="790">
        <f t="shared" si="24"/>
        <v>3.3656689692000001</v>
      </c>
      <c r="L307" s="799">
        <f t="shared" si="25"/>
        <v>37025.7243301692</v>
      </c>
      <c r="M307" s="757">
        <f t="shared" si="22"/>
        <v>237067.48494733335</v>
      </c>
      <c r="N307" s="841"/>
      <c r="O307" s="663">
        <v>0.93490804699999996</v>
      </c>
      <c r="P307" s="725" t="s">
        <v>1689</v>
      </c>
    </row>
    <row r="308" spans="1:16" ht="18.95" customHeight="1">
      <c r="A308" s="851"/>
      <c r="B308" s="789" t="s">
        <v>273</v>
      </c>
      <c r="C308" s="1170" t="s">
        <v>1690</v>
      </c>
      <c r="D308" s="852"/>
      <c r="E308" s="757">
        <v>2022</v>
      </c>
      <c r="F308" s="799" t="s">
        <v>397</v>
      </c>
      <c r="G308" s="765">
        <v>19.25</v>
      </c>
      <c r="H308" s="783">
        <f t="shared" si="23"/>
        <v>17.996979904749999</v>
      </c>
      <c r="I308" s="783">
        <f t="shared" si="21"/>
        <v>36389.893367404497</v>
      </c>
      <c r="J308" s="843">
        <v>3.6</v>
      </c>
      <c r="K308" s="790">
        <f t="shared" si="24"/>
        <v>3.3656689692000001</v>
      </c>
      <c r="L308" s="799">
        <f t="shared" si="25"/>
        <v>6805.3826557224002</v>
      </c>
      <c r="M308" s="757">
        <f t="shared" si="22"/>
        <v>43195.276023126899</v>
      </c>
      <c r="N308" s="841"/>
      <c r="O308" s="663">
        <v>0.93490804699999996</v>
      </c>
      <c r="P308" s="725" t="s">
        <v>1689</v>
      </c>
    </row>
    <row r="309" spans="1:16" ht="18.95" customHeight="1">
      <c r="A309" s="853"/>
      <c r="B309" s="789" t="s">
        <v>273</v>
      </c>
      <c r="C309" s="1170" t="s">
        <v>1691</v>
      </c>
      <c r="D309" s="852"/>
      <c r="E309" s="757">
        <v>3414</v>
      </c>
      <c r="F309" s="799" t="s">
        <v>397</v>
      </c>
      <c r="G309" s="765">
        <v>19.25</v>
      </c>
      <c r="H309" s="783">
        <f t="shared" si="23"/>
        <v>17.996979904749999</v>
      </c>
      <c r="I309" s="783">
        <f t="shared" si="21"/>
        <v>61441.689394816494</v>
      </c>
      <c r="J309" s="843">
        <v>3.1</v>
      </c>
      <c r="K309" s="790">
        <f t="shared" si="24"/>
        <v>2.8982149456999999</v>
      </c>
      <c r="L309" s="799">
        <f t="shared" si="25"/>
        <v>9894.5058246198005</v>
      </c>
      <c r="M309" s="757">
        <f t="shared" si="22"/>
        <v>71336.195219436297</v>
      </c>
      <c r="N309" s="841"/>
      <c r="O309" s="663">
        <v>0.93490804699999996</v>
      </c>
      <c r="P309" s="725" t="s">
        <v>1689</v>
      </c>
    </row>
    <row r="310" spans="1:16" ht="18.95" customHeight="1">
      <c r="A310" s="853"/>
      <c r="B310" s="789" t="s">
        <v>273</v>
      </c>
      <c r="C310" s="1170" t="s">
        <v>1694</v>
      </c>
      <c r="D310" s="852"/>
      <c r="E310" s="757">
        <v>296</v>
      </c>
      <c r="F310" s="799" t="s">
        <v>397</v>
      </c>
      <c r="G310" s="765">
        <v>27.1</v>
      </c>
      <c r="H310" s="783">
        <f t="shared" si="23"/>
        <v>25.3360080737</v>
      </c>
      <c r="I310" s="783">
        <f t="shared" si="21"/>
        <v>7499.4583898152005</v>
      </c>
      <c r="J310" s="843">
        <v>0</v>
      </c>
      <c r="K310" s="790">
        <f t="shared" si="24"/>
        <v>0</v>
      </c>
      <c r="L310" s="799">
        <f t="shared" si="25"/>
        <v>0</v>
      </c>
      <c r="M310" s="757">
        <f t="shared" si="22"/>
        <v>7499.4583898152005</v>
      </c>
      <c r="N310" s="841"/>
      <c r="O310" s="663">
        <v>0.93490804699999996</v>
      </c>
      <c r="P310" s="725" t="s">
        <v>1689</v>
      </c>
    </row>
    <row r="311" spans="1:16" ht="18.95" customHeight="1">
      <c r="A311" s="1172" t="s">
        <v>1795</v>
      </c>
      <c r="B311" s="786" t="s">
        <v>1696</v>
      </c>
      <c r="C311" s="809"/>
      <c r="D311" s="858"/>
      <c r="E311" s="854"/>
      <c r="F311" s="857"/>
      <c r="G311" s="765"/>
      <c r="H311" s="783"/>
      <c r="I311" s="783"/>
      <c r="J311" s="765"/>
      <c r="K311" s="790"/>
      <c r="L311" s="799"/>
      <c r="M311" s="757"/>
      <c r="N311" s="837"/>
      <c r="O311" s="663">
        <v>0.93490804699999996</v>
      </c>
    </row>
    <row r="312" spans="1:16" ht="18.95" customHeight="1">
      <c r="A312" s="853"/>
      <c r="B312" s="789" t="s">
        <v>273</v>
      </c>
      <c r="C312" s="1170" t="s">
        <v>1697</v>
      </c>
      <c r="D312" s="852"/>
      <c r="E312" s="766">
        <v>768</v>
      </c>
      <c r="F312" s="799" t="s">
        <v>211</v>
      </c>
      <c r="G312" s="765">
        <v>245.2</v>
      </c>
      <c r="H312" s="783">
        <f t="shared" si="23"/>
        <v>229.23945312439997</v>
      </c>
      <c r="I312" s="783">
        <f t="shared" si="21"/>
        <v>176055.89999953919</v>
      </c>
      <c r="J312" s="843">
        <v>0</v>
      </c>
      <c r="K312" s="790">
        <f t="shared" si="24"/>
        <v>0</v>
      </c>
      <c r="L312" s="799">
        <f t="shared" si="25"/>
        <v>0</v>
      </c>
      <c r="M312" s="757">
        <f t="shared" si="22"/>
        <v>176055.89999953919</v>
      </c>
      <c r="N312" s="841"/>
      <c r="O312" s="663">
        <v>0.93490804699999996</v>
      </c>
    </row>
    <row r="313" spans="1:16" ht="18.95" customHeight="1">
      <c r="A313" s="853"/>
      <c r="B313" s="789" t="s">
        <v>273</v>
      </c>
      <c r="C313" s="1170" t="s">
        <v>1698</v>
      </c>
      <c r="D313" s="852"/>
      <c r="E313" s="766">
        <v>1536</v>
      </c>
      <c r="F313" s="799" t="s">
        <v>211</v>
      </c>
      <c r="G313" s="765"/>
      <c r="H313" s="783">
        <f t="shared" si="23"/>
        <v>0</v>
      </c>
      <c r="I313" s="783">
        <f t="shared" ref="I313:I345" si="26">H313*E313</f>
        <v>0</v>
      </c>
      <c r="J313" s="843">
        <v>121</v>
      </c>
      <c r="K313" s="790">
        <f t="shared" si="24"/>
        <v>113.123873687</v>
      </c>
      <c r="L313" s="799">
        <f t="shared" si="25"/>
        <v>173758.26998323199</v>
      </c>
      <c r="M313" s="757">
        <f t="shared" ref="M313:M345" si="27">L313+I313</f>
        <v>173758.26998323199</v>
      </c>
      <c r="N313" s="841"/>
      <c r="O313" s="663">
        <v>0.93490804699999996</v>
      </c>
    </row>
    <row r="314" spans="1:16" ht="18.95" customHeight="1">
      <c r="A314" s="853"/>
      <c r="B314" s="789" t="s">
        <v>273</v>
      </c>
      <c r="C314" s="1170" t="s">
        <v>1699</v>
      </c>
      <c r="D314" s="852"/>
      <c r="E314" s="766">
        <v>231</v>
      </c>
      <c r="F314" s="799" t="s">
        <v>1700</v>
      </c>
      <c r="G314" s="765">
        <v>309.42</v>
      </c>
      <c r="H314" s="783">
        <f t="shared" si="23"/>
        <v>289.27924790274</v>
      </c>
      <c r="I314" s="783">
        <f t="shared" si="26"/>
        <v>66823.506265532938</v>
      </c>
      <c r="J314" s="843">
        <v>0</v>
      </c>
      <c r="K314" s="790">
        <f t="shared" si="24"/>
        <v>0</v>
      </c>
      <c r="L314" s="799">
        <f t="shared" si="25"/>
        <v>0</v>
      </c>
      <c r="M314" s="757">
        <f t="shared" si="27"/>
        <v>66823.506265532938</v>
      </c>
      <c r="N314" s="841"/>
      <c r="O314" s="663">
        <v>0.93490804699999996</v>
      </c>
    </row>
    <row r="315" spans="1:16" ht="18.95" customHeight="1">
      <c r="A315" s="853"/>
      <c r="B315" s="789" t="s">
        <v>273</v>
      </c>
      <c r="C315" s="1170" t="s">
        <v>1701</v>
      </c>
      <c r="D315" s="852"/>
      <c r="E315" s="757">
        <v>192</v>
      </c>
      <c r="F315" s="799" t="s">
        <v>397</v>
      </c>
      <c r="G315" s="765">
        <v>23.36</v>
      </c>
      <c r="H315" s="783">
        <f t="shared" si="23"/>
        <v>21.83945197792</v>
      </c>
      <c r="I315" s="783">
        <f t="shared" si="26"/>
        <v>4193.1747797606404</v>
      </c>
      <c r="J315" s="843">
        <v>0</v>
      </c>
      <c r="K315" s="790">
        <f t="shared" si="24"/>
        <v>0</v>
      </c>
      <c r="L315" s="799">
        <f t="shared" si="25"/>
        <v>0</v>
      </c>
      <c r="M315" s="757">
        <f t="shared" si="27"/>
        <v>4193.1747797606404</v>
      </c>
      <c r="N315" s="841"/>
      <c r="O315" s="663">
        <v>0.93490804699999996</v>
      </c>
      <c r="P315" s="725" t="s">
        <v>1689</v>
      </c>
    </row>
    <row r="316" spans="1:16" ht="18.95" customHeight="1">
      <c r="A316" s="1172" t="s">
        <v>1796</v>
      </c>
      <c r="B316" s="786" t="s">
        <v>1702</v>
      </c>
      <c r="C316" s="809"/>
      <c r="D316" s="860"/>
      <c r="E316" s="766"/>
      <c r="F316" s="857"/>
      <c r="G316" s="798"/>
      <c r="H316" s="783"/>
      <c r="I316" s="783"/>
      <c r="J316" s="843"/>
      <c r="K316" s="790"/>
      <c r="L316" s="799"/>
      <c r="M316" s="757"/>
      <c r="N316" s="837"/>
      <c r="O316" s="663">
        <v>0.93490804699999996</v>
      </c>
    </row>
    <row r="317" spans="1:16" ht="18.95" customHeight="1">
      <c r="A317" s="855"/>
      <c r="B317" s="789" t="s">
        <v>273</v>
      </c>
      <c r="C317" s="852" t="s">
        <v>1723</v>
      </c>
      <c r="D317" s="852"/>
      <c r="E317" s="757">
        <v>156</v>
      </c>
      <c r="F317" s="799" t="s">
        <v>1684</v>
      </c>
      <c r="G317" s="759">
        <v>2679.9</v>
      </c>
      <c r="H317" s="783">
        <f t="shared" ref="H317:H380" si="28">G317*O317</f>
        <v>2505.4600751552998</v>
      </c>
      <c r="I317" s="783">
        <f t="shared" si="26"/>
        <v>390851.77172422677</v>
      </c>
      <c r="J317" s="759">
        <v>519</v>
      </c>
      <c r="K317" s="790">
        <f t="shared" si="24"/>
        <v>485.21727639299996</v>
      </c>
      <c r="L317" s="799">
        <f t="shared" si="25"/>
        <v>75693.895117307999</v>
      </c>
      <c r="M317" s="757">
        <f t="shared" si="27"/>
        <v>466545.66684153478</v>
      </c>
      <c r="N317" s="841"/>
      <c r="O317" s="663">
        <v>0.93490804699999996</v>
      </c>
    </row>
    <row r="318" spans="1:16" ht="18.95" customHeight="1">
      <c r="A318" s="856"/>
      <c r="B318" s="1169" t="s">
        <v>1797</v>
      </c>
      <c r="C318" s="801"/>
      <c r="D318" s="815"/>
      <c r="E318" s="854"/>
      <c r="F318" s="857"/>
      <c r="G318" s="843"/>
      <c r="H318" s="783">
        <f t="shared" si="28"/>
        <v>0</v>
      </c>
      <c r="I318" s="783">
        <f t="shared" si="26"/>
        <v>0</v>
      </c>
      <c r="J318" s="843">
        <v>0</v>
      </c>
      <c r="K318" s="790">
        <f t="shared" ref="K318:K381" si="29">J318*O318</f>
        <v>0</v>
      </c>
      <c r="L318" s="799">
        <f t="shared" ref="L318:L381" si="30">K318*E318</f>
        <v>0</v>
      </c>
      <c r="M318" s="757">
        <f t="shared" si="27"/>
        <v>0</v>
      </c>
      <c r="N318" s="837"/>
      <c r="O318" s="663">
        <v>0.93490804699999996</v>
      </c>
    </row>
    <row r="319" spans="1:16" ht="18.95" customHeight="1">
      <c r="A319" s="1171" t="s">
        <v>1798</v>
      </c>
      <c r="B319" s="786" t="s">
        <v>1683</v>
      </c>
      <c r="C319" s="809"/>
      <c r="D319" s="810"/>
      <c r="E319" s="757">
        <v>282</v>
      </c>
      <c r="F319" s="766" t="s">
        <v>1684</v>
      </c>
      <c r="G319" s="782"/>
      <c r="H319" s="783">
        <f t="shared" si="28"/>
        <v>0</v>
      </c>
      <c r="I319" s="783">
        <f t="shared" si="26"/>
        <v>0</v>
      </c>
      <c r="J319" s="782">
        <v>112</v>
      </c>
      <c r="K319" s="790">
        <f t="shared" si="29"/>
        <v>104.70970126399999</v>
      </c>
      <c r="L319" s="799">
        <f t="shared" si="30"/>
        <v>29528.135756447999</v>
      </c>
      <c r="M319" s="757">
        <f t="shared" si="27"/>
        <v>29528.135756447999</v>
      </c>
      <c r="N319" s="841"/>
      <c r="O319" s="663">
        <v>0.93490804699999996</v>
      </c>
    </row>
    <row r="320" spans="1:16" ht="18.95" customHeight="1">
      <c r="A320" s="1171" t="s">
        <v>1799</v>
      </c>
      <c r="B320" s="812" t="s">
        <v>1685</v>
      </c>
      <c r="C320" s="813"/>
      <c r="D320" s="785"/>
      <c r="E320" s="757">
        <v>13</v>
      </c>
      <c r="F320" s="766" t="s">
        <v>1684</v>
      </c>
      <c r="G320" s="782">
        <v>508.33</v>
      </c>
      <c r="H320" s="783">
        <f t="shared" si="28"/>
        <v>475.24180753150995</v>
      </c>
      <c r="I320" s="783">
        <f t="shared" si="26"/>
        <v>6178.1434979096293</v>
      </c>
      <c r="J320" s="782">
        <v>104</v>
      </c>
      <c r="K320" s="790">
        <f t="shared" si="29"/>
        <v>97.230436888</v>
      </c>
      <c r="L320" s="799">
        <f t="shared" si="30"/>
        <v>1263.995679544</v>
      </c>
      <c r="M320" s="757">
        <f t="shared" si="27"/>
        <v>7442.1391774536296</v>
      </c>
      <c r="N320" s="841"/>
      <c r="O320" s="663">
        <v>0.93490804699999996</v>
      </c>
    </row>
    <row r="321" spans="1:16" ht="18.95" customHeight="1">
      <c r="A321" s="1171" t="s">
        <v>1800</v>
      </c>
      <c r="B321" s="812" t="s">
        <v>1686</v>
      </c>
      <c r="C321" s="813"/>
      <c r="D321" s="785"/>
      <c r="E321" s="757">
        <v>13</v>
      </c>
      <c r="F321" s="766" t="s">
        <v>1684</v>
      </c>
      <c r="G321" s="798">
        <v>2460</v>
      </c>
      <c r="H321" s="783">
        <f t="shared" si="28"/>
        <v>2299.8737956199998</v>
      </c>
      <c r="I321" s="783">
        <f t="shared" si="26"/>
        <v>29898.359343059998</v>
      </c>
      <c r="J321" s="843">
        <v>426</v>
      </c>
      <c r="K321" s="790">
        <f t="shared" si="29"/>
        <v>398.27082802199999</v>
      </c>
      <c r="L321" s="799">
        <f t="shared" si="30"/>
        <v>5177.5207642859996</v>
      </c>
      <c r="M321" s="757">
        <f t="shared" si="27"/>
        <v>35075.880107345998</v>
      </c>
      <c r="N321" s="841"/>
      <c r="O321" s="663">
        <v>0.93490804699999996</v>
      </c>
    </row>
    <row r="322" spans="1:16" ht="18.95" customHeight="1">
      <c r="A322" s="1171" t="s">
        <v>1801</v>
      </c>
      <c r="B322" s="786" t="s">
        <v>1687</v>
      </c>
      <c r="C322" s="809"/>
      <c r="D322" s="815"/>
      <c r="E322" s="790"/>
      <c r="F322" s="799"/>
      <c r="G322" s="798"/>
      <c r="H322" s="783"/>
      <c r="I322" s="783"/>
      <c r="J322" s="843"/>
      <c r="K322" s="790"/>
      <c r="L322" s="799"/>
      <c r="M322" s="757"/>
      <c r="N322" s="837"/>
      <c r="O322" s="663">
        <v>0.93490804699999996</v>
      </c>
    </row>
    <row r="323" spans="1:16" ht="18.95" customHeight="1">
      <c r="A323" s="851"/>
      <c r="B323" s="789" t="s">
        <v>273</v>
      </c>
      <c r="C323" s="1170" t="s">
        <v>1690</v>
      </c>
      <c r="D323" s="852"/>
      <c r="E323" s="757">
        <v>11414</v>
      </c>
      <c r="F323" s="799" t="s">
        <v>397</v>
      </c>
      <c r="G323" s="765">
        <v>19.25</v>
      </c>
      <c r="H323" s="783">
        <f t="shared" si="28"/>
        <v>17.996979904749999</v>
      </c>
      <c r="I323" s="783">
        <f t="shared" si="26"/>
        <v>205417.52863281648</v>
      </c>
      <c r="J323" s="843">
        <v>3.6</v>
      </c>
      <c r="K323" s="790">
        <f t="shared" si="29"/>
        <v>3.3656689692000001</v>
      </c>
      <c r="L323" s="799">
        <f t="shared" si="30"/>
        <v>38415.745614448802</v>
      </c>
      <c r="M323" s="757">
        <f t="shared" si="27"/>
        <v>243833.27424726528</v>
      </c>
      <c r="N323" s="841"/>
      <c r="O323" s="663">
        <v>0.93490804699999996</v>
      </c>
      <c r="P323" s="725" t="s">
        <v>1689</v>
      </c>
    </row>
    <row r="324" spans="1:16" ht="18.95" customHeight="1">
      <c r="A324" s="853"/>
      <c r="B324" s="789" t="s">
        <v>273</v>
      </c>
      <c r="C324" s="1170" t="s">
        <v>1694</v>
      </c>
      <c r="D324" s="852"/>
      <c r="E324" s="757">
        <v>205</v>
      </c>
      <c r="F324" s="799" t="s">
        <v>397</v>
      </c>
      <c r="G324" s="765">
        <v>27.1</v>
      </c>
      <c r="H324" s="783">
        <f t="shared" si="28"/>
        <v>25.3360080737</v>
      </c>
      <c r="I324" s="783">
        <f t="shared" si="26"/>
        <v>5193.8816551085001</v>
      </c>
      <c r="J324" s="843">
        <v>0</v>
      </c>
      <c r="K324" s="790">
        <f t="shared" si="29"/>
        <v>0</v>
      </c>
      <c r="L324" s="799">
        <f t="shared" si="30"/>
        <v>0</v>
      </c>
      <c r="M324" s="757">
        <f t="shared" si="27"/>
        <v>5193.8816551085001</v>
      </c>
      <c r="N324" s="841"/>
      <c r="O324" s="663">
        <v>0.93490804699999996</v>
      </c>
      <c r="P324" s="725" t="s">
        <v>1689</v>
      </c>
    </row>
    <row r="325" spans="1:16" ht="18.95" customHeight="1">
      <c r="A325" s="1171" t="s">
        <v>1802</v>
      </c>
      <c r="B325" s="786" t="s">
        <v>1696</v>
      </c>
      <c r="C325" s="809"/>
      <c r="D325" s="858"/>
      <c r="E325" s="854"/>
      <c r="F325" s="857"/>
      <c r="G325" s="765"/>
      <c r="H325" s="783"/>
      <c r="I325" s="783"/>
      <c r="J325" s="765"/>
      <c r="K325" s="790"/>
      <c r="L325" s="799"/>
      <c r="M325" s="757"/>
      <c r="N325" s="837"/>
      <c r="O325" s="663">
        <v>0.93490804699999996</v>
      </c>
    </row>
    <row r="326" spans="1:16" ht="18.95" customHeight="1">
      <c r="A326" s="853"/>
      <c r="B326" s="789" t="s">
        <v>273</v>
      </c>
      <c r="C326" s="1170" t="s">
        <v>1697</v>
      </c>
      <c r="D326" s="852"/>
      <c r="E326" s="766">
        <v>73</v>
      </c>
      <c r="F326" s="799" t="s">
        <v>211</v>
      </c>
      <c r="G326" s="765">
        <v>245.2</v>
      </c>
      <c r="H326" s="783">
        <f t="shared" si="28"/>
        <v>229.23945312439997</v>
      </c>
      <c r="I326" s="783">
        <f t="shared" si="26"/>
        <v>16734.480078081197</v>
      </c>
      <c r="J326" s="843">
        <v>0</v>
      </c>
      <c r="K326" s="790">
        <f t="shared" si="29"/>
        <v>0</v>
      </c>
      <c r="L326" s="799">
        <f t="shared" si="30"/>
        <v>0</v>
      </c>
      <c r="M326" s="757">
        <f t="shared" si="27"/>
        <v>16734.480078081197</v>
      </c>
      <c r="N326" s="841"/>
      <c r="O326" s="663">
        <v>0.93490804699999996</v>
      </c>
    </row>
    <row r="327" spans="1:16" ht="18.95" customHeight="1">
      <c r="A327" s="853"/>
      <c r="B327" s="789" t="s">
        <v>273</v>
      </c>
      <c r="C327" s="1170" t="s">
        <v>1698</v>
      </c>
      <c r="D327" s="852"/>
      <c r="E327" s="766">
        <v>144.9</v>
      </c>
      <c r="F327" s="799" t="s">
        <v>211</v>
      </c>
      <c r="G327" s="765"/>
      <c r="H327" s="783">
        <f t="shared" si="28"/>
        <v>0</v>
      </c>
      <c r="I327" s="783">
        <f t="shared" si="26"/>
        <v>0</v>
      </c>
      <c r="J327" s="843">
        <v>121</v>
      </c>
      <c r="K327" s="790">
        <f t="shared" si="29"/>
        <v>113.123873687</v>
      </c>
      <c r="L327" s="799">
        <f t="shared" si="30"/>
        <v>16391.649297246302</v>
      </c>
      <c r="M327" s="757">
        <f t="shared" si="27"/>
        <v>16391.649297246302</v>
      </c>
      <c r="N327" s="841"/>
      <c r="O327" s="663">
        <v>0.93490804699999996</v>
      </c>
    </row>
    <row r="328" spans="1:16" ht="18.95" customHeight="1">
      <c r="A328" s="853"/>
      <c r="B328" s="789" t="s">
        <v>273</v>
      </c>
      <c r="C328" s="1170" t="s">
        <v>1699</v>
      </c>
      <c r="D328" s="852"/>
      <c r="E328" s="766">
        <v>22</v>
      </c>
      <c r="F328" s="799" t="s">
        <v>1700</v>
      </c>
      <c r="G328" s="765">
        <v>309.42</v>
      </c>
      <c r="H328" s="783">
        <f t="shared" si="28"/>
        <v>289.27924790274</v>
      </c>
      <c r="I328" s="783">
        <f t="shared" si="26"/>
        <v>6364.1434538602798</v>
      </c>
      <c r="J328" s="843">
        <v>0</v>
      </c>
      <c r="K328" s="790">
        <f t="shared" si="29"/>
        <v>0</v>
      </c>
      <c r="L328" s="799">
        <f t="shared" si="30"/>
        <v>0</v>
      </c>
      <c r="M328" s="757">
        <f t="shared" si="27"/>
        <v>6364.1434538602798</v>
      </c>
      <c r="N328" s="841"/>
      <c r="O328" s="663">
        <v>0.93490804699999996</v>
      </c>
    </row>
    <row r="329" spans="1:16" ht="18.95" customHeight="1">
      <c r="A329" s="853"/>
      <c r="B329" s="789" t="s">
        <v>273</v>
      </c>
      <c r="C329" s="1170" t="s">
        <v>1701</v>
      </c>
      <c r="D329" s="852"/>
      <c r="E329" s="757">
        <v>18</v>
      </c>
      <c r="F329" s="799" t="s">
        <v>397</v>
      </c>
      <c r="G329" s="765">
        <v>23.36</v>
      </c>
      <c r="H329" s="783">
        <f t="shared" si="28"/>
        <v>21.83945197792</v>
      </c>
      <c r="I329" s="783">
        <f t="shared" si="26"/>
        <v>393.11013560255998</v>
      </c>
      <c r="J329" s="843">
        <v>0</v>
      </c>
      <c r="K329" s="790">
        <f t="shared" si="29"/>
        <v>0</v>
      </c>
      <c r="L329" s="799">
        <f t="shared" si="30"/>
        <v>0</v>
      </c>
      <c r="M329" s="757">
        <f t="shared" si="27"/>
        <v>393.11013560255998</v>
      </c>
      <c r="N329" s="841"/>
      <c r="O329" s="663">
        <v>0.93490804699999996</v>
      </c>
      <c r="P329" s="725" t="s">
        <v>1689</v>
      </c>
    </row>
    <row r="330" spans="1:16" ht="18.95" customHeight="1">
      <c r="A330" s="1172" t="s">
        <v>1803</v>
      </c>
      <c r="B330" s="786" t="s">
        <v>1702</v>
      </c>
      <c r="C330" s="809"/>
      <c r="D330" s="860"/>
      <c r="E330" s="766"/>
      <c r="F330" s="857"/>
      <c r="G330" s="798"/>
      <c r="H330" s="783"/>
      <c r="I330" s="783"/>
      <c r="J330" s="843"/>
      <c r="K330" s="790"/>
      <c r="L330" s="799"/>
      <c r="M330" s="757"/>
      <c r="N330" s="837"/>
      <c r="O330" s="663">
        <v>0.93490804699999996</v>
      </c>
    </row>
    <row r="331" spans="1:16" ht="18.95" customHeight="1">
      <c r="A331" s="855"/>
      <c r="B331" s="789" t="s">
        <v>273</v>
      </c>
      <c r="C331" s="852" t="s">
        <v>1711</v>
      </c>
      <c r="D331" s="852"/>
      <c r="E331" s="757">
        <v>186.3</v>
      </c>
      <c r="F331" s="799" t="s">
        <v>1684</v>
      </c>
      <c r="G331" s="759">
        <v>2260</v>
      </c>
      <c r="H331" s="783">
        <f t="shared" si="28"/>
        <v>2112.89218622</v>
      </c>
      <c r="I331" s="783">
        <f t="shared" si="26"/>
        <v>393631.814292786</v>
      </c>
      <c r="J331" s="759">
        <v>519</v>
      </c>
      <c r="K331" s="790">
        <f t="shared" si="29"/>
        <v>485.21727639299996</v>
      </c>
      <c r="L331" s="799">
        <f t="shared" si="30"/>
        <v>90395.978592015905</v>
      </c>
      <c r="M331" s="757">
        <f t="shared" si="27"/>
        <v>484027.79288480192</v>
      </c>
      <c r="N331" s="841"/>
      <c r="O331" s="663">
        <v>0.93490804699999996</v>
      </c>
    </row>
    <row r="332" spans="1:16" ht="18.95" customHeight="1">
      <c r="A332" s="856"/>
      <c r="B332" s="1169" t="s">
        <v>1804</v>
      </c>
      <c r="C332" s="801"/>
      <c r="D332" s="815"/>
      <c r="E332" s="854"/>
      <c r="F332" s="857"/>
      <c r="G332" s="843"/>
      <c r="H332" s="783"/>
      <c r="I332" s="783"/>
      <c r="J332" s="843"/>
      <c r="K332" s="790"/>
      <c r="L332" s="799"/>
      <c r="M332" s="757"/>
      <c r="N332" s="837"/>
      <c r="O332" s="663">
        <v>0.93490804699999996</v>
      </c>
    </row>
    <row r="333" spans="1:16" ht="18.95" customHeight="1">
      <c r="A333" s="1171" t="s">
        <v>1805</v>
      </c>
      <c r="B333" s="786" t="s">
        <v>1687</v>
      </c>
      <c r="C333" s="809"/>
      <c r="D333" s="815"/>
      <c r="E333" s="790"/>
      <c r="F333" s="799"/>
      <c r="G333" s="798"/>
      <c r="H333" s="783"/>
      <c r="I333" s="783"/>
      <c r="J333" s="843"/>
      <c r="K333" s="790"/>
      <c r="L333" s="799"/>
      <c r="M333" s="757"/>
      <c r="N333" s="837"/>
      <c r="O333" s="663">
        <v>0.93490804699999996</v>
      </c>
    </row>
    <row r="334" spans="1:16" ht="18.95" customHeight="1">
      <c r="A334" s="851"/>
      <c r="B334" s="789" t="s">
        <v>273</v>
      </c>
      <c r="C334" s="1170" t="s">
        <v>1720</v>
      </c>
      <c r="D334" s="852"/>
      <c r="E334" s="757">
        <v>576</v>
      </c>
      <c r="F334" s="799" t="s">
        <v>397</v>
      </c>
      <c r="G334" s="765">
        <v>19.600000000000001</v>
      </c>
      <c r="H334" s="783">
        <f t="shared" si="28"/>
        <v>18.324197721200001</v>
      </c>
      <c r="I334" s="783">
        <f t="shared" si="26"/>
        <v>10554.7378874112</v>
      </c>
      <c r="J334" s="843">
        <v>4.4000000000000004</v>
      </c>
      <c r="K334" s="790">
        <f t="shared" si="29"/>
        <v>4.1135954068</v>
      </c>
      <c r="L334" s="799">
        <f t="shared" si="30"/>
        <v>2369.4309543168001</v>
      </c>
      <c r="M334" s="757">
        <f t="shared" si="27"/>
        <v>12924.168841728</v>
      </c>
      <c r="N334" s="841"/>
      <c r="O334" s="663">
        <v>0.93490804699999996</v>
      </c>
      <c r="P334" s="725" t="s">
        <v>1689</v>
      </c>
    </row>
    <row r="335" spans="1:16" ht="18.95" customHeight="1">
      <c r="A335" s="851"/>
      <c r="B335" s="789" t="s">
        <v>273</v>
      </c>
      <c r="C335" s="1170" t="s">
        <v>1688</v>
      </c>
      <c r="D335" s="852"/>
      <c r="E335" s="757">
        <v>6136</v>
      </c>
      <c r="F335" s="799" t="s">
        <v>397</v>
      </c>
      <c r="G335" s="765">
        <v>19.45</v>
      </c>
      <c r="H335" s="783">
        <f t="shared" si="28"/>
        <v>18.183961514149999</v>
      </c>
      <c r="I335" s="783">
        <f t="shared" si="26"/>
        <v>111576.78785082439</v>
      </c>
      <c r="J335" s="843">
        <v>3.6</v>
      </c>
      <c r="K335" s="790">
        <f t="shared" si="29"/>
        <v>3.3656689692000001</v>
      </c>
      <c r="L335" s="799">
        <f t="shared" si="30"/>
        <v>20651.7447950112</v>
      </c>
      <c r="M335" s="757">
        <f t="shared" si="27"/>
        <v>132228.5326458356</v>
      </c>
      <c r="N335" s="841"/>
      <c r="O335" s="663">
        <v>0.93490804699999996</v>
      </c>
      <c r="P335" s="725" t="s">
        <v>1689</v>
      </c>
    </row>
    <row r="336" spans="1:16" ht="18.95" customHeight="1">
      <c r="A336" s="851"/>
      <c r="B336" s="789" t="s">
        <v>273</v>
      </c>
      <c r="C336" s="1170" t="s">
        <v>1690</v>
      </c>
      <c r="D336" s="852"/>
      <c r="E336" s="757">
        <v>1279</v>
      </c>
      <c r="F336" s="799" t="s">
        <v>397</v>
      </c>
      <c r="G336" s="765">
        <v>19.25</v>
      </c>
      <c r="H336" s="783">
        <f t="shared" si="28"/>
        <v>17.996979904749999</v>
      </c>
      <c r="I336" s="783">
        <f t="shared" si="26"/>
        <v>23018.13729817525</v>
      </c>
      <c r="J336" s="843">
        <v>3.6</v>
      </c>
      <c r="K336" s="790">
        <f t="shared" si="29"/>
        <v>3.3656689692000001</v>
      </c>
      <c r="L336" s="799">
        <f t="shared" si="30"/>
        <v>4304.6906116068003</v>
      </c>
      <c r="M336" s="757">
        <f t="shared" si="27"/>
        <v>27322.827909782049</v>
      </c>
      <c r="N336" s="841"/>
      <c r="O336" s="663">
        <v>0.93490804699999996</v>
      </c>
      <c r="P336" s="725" t="s">
        <v>1689</v>
      </c>
    </row>
    <row r="337" spans="1:16" ht="18.95" customHeight="1">
      <c r="A337" s="851"/>
      <c r="B337" s="789" t="s">
        <v>273</v>
      </c>
      <c r="C337" s="1170" t="s">
        <v>1691</v>
      </c>
      <c r="D337" s="852"/>
      <c r="E337" s="757">
        <v>11150</v>
      </c>
      <c r="F337" s="799" t="s">
        <v>397</v>
      </c>
      <c r="G337" s="765">
        <v>19.25</v>
      </c>
      <c r="H337" s="783">
        <f t="shared" si="28"/>
        <v>17.996979904749999</v>
      </c>
      <c r="I337" s="783">
        <f t="shared" si="26"/>
        <v>200666.32593796248</v>
      </c>
      <c r="J337" s="843">
        <v>3.1</v>
      </c>
      <c r="K337" s="790">
        <f t="shared" si="29"/>
        <v>2.8982149456999999</v>
      </c>
      <c r="L337" s="799">
        <f t="shared" si="30"/>
        <v>32315.096644555</v>
      </c>
      <c r="M337" s="757">
        <f t="shared" si="27"/>
        <v>232981.42258251749</v>
      </c>
      <c r="N337" s="841"/>
      <c r="O337" s="663">
        <v>0.93490804699999996</v>
      </c>
      <c r="P337" s="725" t="s">
        <v>1689</v>
      </c>
    </row>
    <row r="338" spans="1:16" ht="18.95" customHeight="1">
      <c r="A338" s="853"/>
      <c r="B338" s="789" t="s">
        <v>273</v>
      </c>
      <c r="C338" s="1170" t="s">
        <v>1694</v>
      </c>
      <c r="D338" s="852"/>
      <c r="E338" s="757">
        <v>345</v>
      </c>
      <c r="F338" s="799" t="s">
        <v>397</v>
      </c>
      <c r="G338" s="765">
        <v>27.1</v>
      </c>
      <c r="H338" s="783">
        <f t="shared" si="28"/>
        <v>25.3360080737</v>
      </c>
      <c r="I338" s="783">
        <f t="shared" si="26"/>
        <v>8740.9227854265009</v>
      </c>
      <c r="J338" s="843">
        <v>0</v>
      </c>
      <c r="K338" s="790">
        <f t="shared" si="29"/>
        <v>0</v>
      </c>
      <c r="L338" s="799">
        <f t="shared" si="30"/>
        <v>0</v>
      </c>
      <c r="M338" s="757">
        <f t="shared" si="27"/>
        <v>8740.9227854265009</v>
      </c>
      <c r="N338" s="841"/>
      <c r="O338" s="663">
        <v>0.93490804699999996</v>
      </c>
      <c r="P338" s="725" t="s">
        <v>1689</v>
      </c>
    </row>
    <row r="339" spans="1:16" ht="18.95" customHeight="1">
      <c r="A339" s="1171" t="s">
        <v>1806</v>
      </c>
      <c r="B339" s="786" t="s">
        <v>1696</v>
      </c>
      <c r="C339" s="809"/>
      <c r="D339" s="858"/>
      <c r="E339" s="854"/>
      <c r="F339" s="857"/>
      <c r="G339" s="765"/>
      <c r="H339" s="783"/>
      <c r="I339" s="783"/>
      <c r="J339" s="765"/>
      <c r="K339" s="790"/>
      <c r="L339" s="799"/>
      <c r="M339" s="757"/>
      <c r="N339" s="837"/>
      <c r="O339" s="663">
        <v>0.93490804699999996</v>
      </c>
    </row>
    <row r="340" spans="1:16" ht="18.95" customHeight="1">
      <c r="A340" s="853"/>
      <c r="B340" s="789" t="s">
        <v>273</v>
      </c>
      <c r="C340" s="1170" t="s">
        <v>1697</v>
      </c>
      <c r="D340" s="852"/>
      <c r="E340" s="766">
        <v>526</v>
      </c>
      <c r="F340" s="799" t="s">
        <v>211</v>
      </c>
      <c r="G340" s="765">
        <v>245.2</v>
      </c>
      <c r="H340" s="783">
        <f t="shared" si="28"/>
        <v>229.23945312439997</v>
      </c>
      <c r="I340" s="783">
        <f t="shared" si="26"/>
        <v>120579.95234343439</v>
      </c>
      <c r="J340" s="843">
        <v>0</v>
      </c>
      <c r="K340" s="790">
        <f t="shared" si="29"/>
        <v>0</v>
      </c>
      <c r="L340" s="799">
        <f t="shared" si="30"/>
        <v>0</v>
      </c>
      <c r="M340" s="757">
        <f t="shared" si="27"/>
        <v>120579.95234343439</v>
      </c>
      <c r="N340" s="841"/>
      <c r="O340" s="663">
        <v>0.93490804699999996</v>
      </c>
    </row>
    <row r="341" spans="1:16" ht="18.95" customHeight="1">
      <c r="A341" s="853"/>
      <c r="B341" s="789" t="s">
        <v>273</v>
      </c>
      <c r="C341" s="1170" t="s">
        <v>1698</v>
      </c>
      <c r="D341" s="852"/>
      <c r="E341" s="766">
        <v>1051</v>
      </c>
      <c r="F341" s="799" t="s">
        <v>211</v>
      </c>
      <c r="G341" s="765"/>
      <c r="H341" s="783">
        <f t="shared" si="28"/>
        <v>0</v>
      </c>
      <c r="I341" s="783">
        <f t="shared" si="26"/>
        <v>0</v>
      </c>
      <c r="J341" s="843">
        <v>121</v>
      </c>
      <c r="K341" s="790">
        <f t="shared" si="29"/>
        <v>113.123873687</v>
      </c>
      <c r="L341" s="799">
        <f t="shared" si="30"/>
        <v>118893.191245037</v>
      </c>
      <c r="M341" s="757">
        <f t="shared" si="27"/>
        <v>118893.191245037</v>
      </c>
      <c r="N341" s="841"/>
      <c r="O341" s="663">
        <v>0.93490804699999996</v>
      </c>
    </row>
    <row r="342" spans="1:16" ht="18.95" customHeight="1">
      <c r="A342" s="853"/>
      <c r="B342" s="789" t="s">
        <v>273</v>
      </c>
      <c r="C342" s="1170" t="s">
        <v>1699</v>
      </c>
      <c r="D342" s="852"/>
      <c r="E342" s="766">
        <v>158</v>
      </c>
      <c r="F342" s="799" t="s">
        <v>1700</v>
      </c>
      <c r="G342" s="765">
        <v>309.42</v>
      </c>
      <c r="H342" s="783">
        <f t="shared" si="28"/>
        <v>289.27924790274</v>
      </c>
      <c r="I342" s="783">
        <f t="shared" si="26"/>
        <v>45706.121168632919</v>
      </c>
      <c r="J342" s="843">
        <v>0</v>
      </c>
      <c r="K342" s="790">
        <f t="shared" si="29"/>
        <v>0</v>
      </c>
      <c r="L342" s="799">
        <f t="shared" si="30"/>
        <v>0</v>
      </c>
      <c r="M342" s="757">
        <f t="shared" si="27"/>
        <v>45706.121168632919</v>
      </c>
      <c r="N342" s="841"/>
      <c r="O342" s="663">
        <v>0.93490804699999996</v>
      </c>
    </row>
    <row r="343" spans="1:16" ht="18.95" customHeight="1">
      <c r="A343" s="853"/>
      <c r="B343" s="789" t="s">
        <v>273</v>
      </c>
      <c r="C343" s="1170" t="s">
        <v>1701</v>
      </c>
      <c r="D343" s="852"/>
      <c r="E343" s="757">
        <v>132</v>
      </c>
      <c r="F343" s="799" t="s">
        <v>397</v>
      </c>
      <c r="G343" s="765">
        <v>23.36</v>
      </c>
      <c r="H343" s="783">
        <f t="shared" si="28"/>
        <v>21.83945197792</v>
      </c>
      <c r="I343" s="783">
        <f t="shared" si="26"/>
        <v>2882.80766108544</v>
      </c>
      <c r="J343" s="843">
        <v>0</v>
      </c>
      <c r="K343" s="790">
        <f t="shared" si="29"/>
        <v>0</v>
      </c>
      <c r="L343" s="799">
        <f t="shared" si="30"/>
        <v>0</v>
      </c>
      <c r="M343" s="757">
        <f t="shared" si="27"/>
        <v>2882.80766108544</v>
      </c>
      <c r="N343" s="841"/>
      <c r="O343" s="663">
        <v>0.93490804699999996</v>
      </c>
      <c r="P343" s="725" t="s">
        <v>1689</v>
      </c>
    </row>
    <row r="344" spans="1:16" ht="18.95" customHeight="1">
      <c r="A344" s="1172" t="s">
        <v>1807</v>
      </c>
      <c r="B344" s="786" t="s">
        <v>1702</v>
      </c>
      <c r="C344" s="809"/>
      <c r="D344" s="860"/>
      <c r="E344" s="766"/>
      <c r="F344" s="857"/>
      <c r="G344" s="798"/>
      <c r="H344" s="783"/>
      <c r="I344" s="783"/>
      <c r="J344" s="843"/>
      <c r="K344" s="790"/>
      <c r="L344" s="799"/>
      <c r="M344" s="757"/>
      <c r="N344" s="837"/>
      <c r="O344" s="663">
        <v>0.93490804699999996</v>
      </c>
    </row>
    <row r="345" spans="1:16" ht="18.95" customHeight="1">
      <c r="A345" s="855"/>
      <c r="B345" s="789" t="s">
        <v>273</v>
      </c>
      <c r="C345" s="852" t="s">
        <v>1711</v>
      </c>
      <c r="D345" s="852"/>
      <c r="E345" s="757">
        <v>105</v>
      </c>
      <c r="F345" s="799" t="s">
        <v>1684</v>
      </c>
      <c r="G345" s="759">
        <v>2260</v>
      </c>
      <c r="H345" s="783">
        <f t="shared" si="28"/>
        <v>2112.89218622</v>
      </c>
      <c r="I345" s="783">
        <f t="shared" si="26"/>
        <v>221853.6795531</v>
      </c>
      <c r="J345" s="759">
        <v>519</v>
      </c>
      <c r="K345" s="790">
        <f t="shared" si="29"/>
        <v>485.21727639299996</v>
      </c>
      <c r="L345" s="799">
        <f t="shared" si="30"/>
        <v>50947.814021264996</v>
      </c>
      <c r="M345" s="757">
        <f t="shared" si="27"/>
        <v>272801.49357436498</v>
      </c>
      <c r="N345" s="841"/>
      <c r="O345" s="663">
        <v>0.93490804699999996</v>
      </c>
    </row>
    <row r="346" spans="1:16" ht="18.95" customHeight="1">
      <c r="A346" s="855"/>
      <c r="B346" s="789"/>
      <c r="C346" s="852"/>
      <c r="D346" s="852"/>
      <c r="E346" s="766"/>
      <c r="F346" s="799"/>
      <c r="G346" s="843"/>
      <c r="H346" s="783"/>
      <c r="I346" s="783"/>
      <c r="J346" s="843"/>
      <c r="K346" s="790"/>
      <c r="L346" s="799"/>
      <c r="M346" s="757"/>
      <c r="N346" s="837"/>
      <c r="O346" s="663">
        <v>0.93490804699999996</v>
      </c>
    </row>
    <row r="347" spans="1:16" s="724" customFormat="1" ht="18.95" customHeight="1">
      <c r="A347" s="791"/>
      <c r="B347" s="1336" t="s">
        <v>1808</v>
      </c>
      <c r="C347" s="1337"/>
      <c r="D347" s="1338"/>
      <c r="E347" s="792"/>
      <c r="F347" s="793"/>
      <c r="G347" s="794"/>
      <c r="H347" s="864"/>
      <c r="I347" s="795"/>
      <c r="J347" s="844"/>
      <c r="K347" s="873"/>
      <c r="L347" s="845"/>
      <c r="M347" s="846">
        <f>SUM(M248:M346)</f>
        <v>18623858.920089632</v>
      </c>
      <c r="N347" s="847"/>
      <c r="O347" s="848">
        <v>0.93490804699999996</v>
      </c>
    </row>
    <row r="348" spans="1:16" ht="18.95" customHeight="1">
      <c r="A348" s="875"/>
      <c r="B348" s="870"/>
      <c r="C348" s="871"/>
      <c r="D348" s="872"/>
      <c r="E348" s="757"/>
      <c r="F348" s="766"/>
      <c r="G348" s="868"/>
      <c r="H348" s="783"/>
      <c r="I348" s="783"/>
      <c r="J348" s="874"/>
      <c r="K348" s="790"/>
      <c r="L348" s="799"/>
      <c r="M348" s="805"/>
      <c r="N348" s="837"/>
      <c r="O348" s="663">
        <v>0.93490804699999996</v>
      </c>
    </row>
    <row r="349" spans="1:16" ht="18.95" customHeight="1">
      <c r="A349" s="875"/>
      <c r="B349" s="870"/>
      <c r="C349" s="871"/>
      <c r="D349" s="872"/>
      <c r="E349" s="757"/>
      <c r="F349" s="766"/>
      <c r="G349" s="868"/>
      <c r="H349" s="783"/>
      <c r="I349" s="783"/>
      <c r="J349" s="874"/>
      <c r="K349" s="790"/>
      <c r="L349" s="799"/>
      <c r="M349" s="805"/>
      <c r="N349" s="837"/>
      <c r="O349" s="663">
        <v>0.93490804699999996</v>
      </c>
    </row>
    <row r="350" spans="1:16" ht="18.95" customHeight="1">
      <c r="A350" s="875"/>
      <c r="B350" s="870"/>
      <c r="C350" s="871"/>
      <c r="D350" s="872"/>
      <c r="E350" s="757"/>
      <c r="F350" s="766"/>
      <c r="G350" s="868"/>
      <c r="H350" s="783"/>
      <c r="I350" s="783"/>
      <c r="J350" s="874"/>
      <c r="K350" s="790"/>
      <c r="L350" s="799"/>
      <c r="M350" s="805"/>
      <c r="N350" s="837"/>
      <c r="O350" s="663">
        <v>0.93490804699999996</v>
      </c>
    </row>
    <row r="351" spans="1:16" ht="18.95" customHeight="1">
      <c r="A351" s="875"/>
      <c r="B351" s="870"/>
      <c r="C351" s="871"/>
      <c r="D351" s="872"/>
      <c r="E351" s="757"/>
      <c r="F351" s="766"/>
      <c r="G351" s="868"/>
      <c r="H351" s="783"/>
      <c r="I351" s="783"/>
      <c r="J351" s="874"/>
      <c r="K351" s="790"/>
      <c r="L351" s="799"/>
      <c r="M351" s="805"/>
      <c r="N351" s="837"/>
      <c r="O351" s="663">
        <v>0.93490804699999996</v>
      </c>
    </row>
    <row r="352" spans="1:16" ht="18.95" customHeight="1">
      <c r="A352" s="875"/>
      <c r="B352" s="870"/>
      <c r="C352" s="871"/>
      <c r="D352" s="872"/>
      <c r="E352" s="757"/>
      <c r="F352" s="766"/>
      <c r="G352" s="868"/>
      <c r="H352" s="783"/>
      <c r="I352" s="783"/>
      <c r="J352" s="874"/>
      <c r="K352" s="790"/>
      <c r="L352" s="799"/>
      <c r="M352" s="805"/>
      <c r="N352" s="837"/>
      <c r="O352" s="663">
        <v>0.93490804699999996</v>
      </c>
    </row>
    <row r="353" spans="1:16" ht="18.95" customHeight="1">
      <c r="A353" s="875"/>
      <c r="B353" s="870"/>
      <c r="C353" s="871"/>
      <c r="D353" s="872"/>
      <c r="E353" s="757"/>
      <c r="F353" s="766"/>
      <c r="G353" s="868"/>
      <c r="H353" s="783"/>
      <c r="I353" s="783"/>
      <c r="J353" s="874"/>
      <c r="K353" s="790"/>
      <c r="L353" s="799"/>
      <c r="M353" s="805"/>
      <c r="N353" s="837"/>
      <c r="O353" s="663">
        <v>0.93490804699999996</v>
      </c>
    </row>
    <row r="354" spans="1:16" ht="18.95" customHeight="1">
      <c r="A354" s="875"/>
      <c r="B354" s="870"/>
      <c r="C354" s="871"/>
      <c r="D354" s="872"/>
      <c r="E354" s="757"/>
      <c r="F354" s="766"/>
      <c r="G354" s="868"/>
      <c r="H354" s="783"/>
      <c r="I354" s="783"/>
      <c r="J354" s="874"/>
      <c r="K354" s="790"/>
      <c r="L354" s="799"/>
      <c r="M354" s="805"/>
      <c r="N354" s="837"/>
      <c r="O354" s="663">
        <v>0.93490804699999996</v>
      </c>
    </row>
    <row r="355" spans="1:16" ht="18.95" customHeight="1">
      <c r="A355" s="875"/>
      <c r="B355" s="870"/>
      <c r="C355" s="871"/>
      <c r="D355" s="872"/>
      <c r="E355" s="757"/>
      <c r="F355" s="766"/>
      <c r="G355" s="868"/>
      <c r="H355" s="783"/>
      <c r="I355" s="783"/>
      <c r="J355" s="874"/>
      <c r="K355" s="790"/>
      <c r="L355" s="799"/>
      <c r="M355" s="805"/>
      <c r="N355" s="837"/>
      <c r="O355" s="663">
        <v>0.93490804699999996</v>
      </c>
    </row>
    <row r="356" spans="1:16" ht="18.95" customHeight="1">
      <c r="A356" s="875"/>
      <c r="B356" s="870"/>
      <c r="C356" s="871"/>
      <c r="D356" s="872"/>
      <c r="E356" s="757"/>
      <c r="F356" s="766"/>
      <c r="G356" s="868"/>
      <c r="H356" s="783"/>
      <c r="I356" s="783"/>
      <c r="J356" s="874"/>
      <c r="K356" s="790"/>
      <c r="L356" s="799"/>
      <c r="M356" s="805"/>
      <c r="N356" s="837"/>
      <c r="O356" s="663">
        <v>0.93490804699999996</v>
      </c>
    </row>
    <row r="357" spans="1:16" ht="18.95" customHeight="1">
      <c r="A357" s="875"/>
      <c r="B357" s="870"/>
      <c r="C357" s="871"/>
      <c r="D357" s="872"/>
      <c r="E357" s="757"/>
      <c r="F357" s="766"/>
      <c r="G357" s="868"/>
      <c r="H357" s="783"/>
      <c r="I357" s="783"/>
      <c r="J357" s="874"/>
      <c r="K357" s="790"/>
      <c r="L357" s="799"/>
      <c r="M357" s="805"/>
      <c r="N357" s="837"/>
      <c r="O357" s="663">
        <v>0.93490804699999996</v>
      </c>
    </row>
    <row r="358" spans="1:16" ht="18.95" customHeight="1">
      <c r="A358" s="875"/>
      <c r="B358" s="870"/>
      <c r="C358" s="871"/>
      <c r="D358" s="872"/>
      <c r="E358" s="757"/>
      <c r="F358" s="766"/>
      <c r="G358" s="868"/>
      <c r="H358" s="783"/>
      <c r="I358" s="783"/>
      <c r="J358" s="874"/>
      <c r="K358" s="790"/>
      <c r="L358" s="799"/>
      <c r="M358" s="805"/>
      <c r="N358" s="837"/>
      <c r="O358" s="663">
        <v>0.93490804699999996</v>
      </c>
    </row>
    <row r="359" spans="1:16" ht="18.95" customHeight="1">
      <c r="A359" s="776">
        <v>4</v>
      </c>
      <c r="B359" s="1169" t="s">
        <v>1660</v>
      </c>
      <c r="C359" s="801"/>
      <c r="D359" s="785"/>
      <c r="E359" s="781"/>
      <c r="F359" s="758"/>
      <c r="G359" s="782"/>
      <c r="H359" s="783"/>
      <c r="I359" s="783"/>
      <c r="J359" s="782"/>
      <c r="K359" s="790"/>
      <c r="L359" s="799"/>
      <c r="M359" s="757"/>
      <c r="N359" s="837"/>
      <c r="O359" s="663">
        <v>0.93490804699999996</v>
      </c>
    </row>
    <row r="360" spans="1:16" ht="18.95" customHeight="1">
      <c r="A360" s="856"/>
      <c r="B360" s="1169" t="s">
        <v>1809</v>
      </c>
      <c r="C360" s="801"/>
      <c r="D360" s="815"/>
      <c r="E360" s="854"/>
      <c r="F360" s="857"/>
      <c r="G360" s="843"/>
      <c r="H360" s="783"/>
      <c r="I360" s="783"/>
      <c r="J360" s="843"/>
      <c r="K360" s="790"/>
      <c r="L360" s="799"/>
      <c r="M360" s="757"/>
      <c r="N360" s="837"/>
      <c r="O360" s="663">
        <v>0.93490804699999996</v>
      </c>
    </row>
    <row r="361" spans="1:16" ht="18.95" customHeight="1">
      <c r="A361" s="814">
        <v>4.0999999999999996</v>
      </c>
      <c r="B361" s="786" t="s">
        <v>1687</v>
      </c>
      <c r="C361" s="809"/>
      <c r="D361" s="815"/>
      <c r="E361" s="790"/>
      <c r="F361" s="799"/>
      <c r="G361" s="798"/>
      <c r="H361" s="783"/>
      <c r="I361" s="783"/>
      <c r="J361" s="843"/>
      <c r="K361" s="790"/>
      <c r="L361" s="799"/>
      <c r="M361" s="757"/>
      <c r="N361" s="841"/>
      <c r="O361" s="663">
        <v>0.93490804699999996</v>
      </c>
    </row>
    <row r="362" spans="1:16" ht="18.95" customHeight="1">
      <c r="A362" s="851"/>
      <c r="B362" s="789" t="s">
        <v>273</v>
      </c>
      <c r="C362" s="1170" t="s">
        <v>1720</v>
      </c>
      <c r="D362" s="852"/>
      <c r="E362" s="757">
        <v>283</v>
      </c>
      <c r="F362" s="799" t="s">
        <v>397</v>
      </c>
      <c r="G362" s="765">
        <v>19.600000000000001</v>
      </c>
      <c r="H362" s="783">
        <f t="shared" si="28"/>
        <v>18.324197721200001</v>
      </c>
      <c r="I362" s="783">
        <f t="shared" ref="I362:I425" si="31">H362*E362</f>
        <v>5185.7479550996004</v>
      </c>
      <c r="J362" s="843">
        <v>4.4000000000000004</v>
      </c>
      <c r="K362" s="790">
        <f t="shared" si="29"/>
        <v>4.1135954068</v>
      </c>
      <c r="L362" s="799">
        <f t="shared" si="30"/>
        <v>1164.1475001244</v>
      </c>
      <c r="M362" s="757">
        <f>L362+I362</f>
        <v>6349.8954552240002</v>
      </c>
      <c r="N362" s="841"/>
      <c r="O362" s="663">
        <v>0.93490804699999996</v>
      </c>
      <c r="P362" s="725" t="s">
        <v>1689</v>
      </c>
    </row>
    <row r="363" spans="1:16" ht="18.95" customHeight="1">
      <c r="A363" s="851"/>
      <c r="B363" s="789" t="s">
        <v>273</v>
      </c>
      <c r="C363" s="1170" t="s">
        <v>1688</v>
      </c>
      <c r="D363" s="852"/>
      <c r="E363" s="757">
        <v>20449</v>
      </c>
      <c r="F363" s="799" t="s">
        <v>397</v>
      </c>
      <c r="G363" s="765">
        <v>19.45</v>
      </c>
      <c r="H363" s="783">
        <f t="shared" si="28"/>
        <v>18.183961514149999</v>
      </c>
      <c r="I363" s="783">
        <f t="shared" si="31"/>
        <v>371843.82900285331</v>
      </c>
      <c r="J363" s="843">
        <v>3.6</v>
      </c>
      <c r="K363" s="790">
        <f t="shared" si="29"/>
        <v>3.3656689692000001</v>
      </c>
      <c r="L363" s="799">
        <f t="shared" si="30"/>
        <v>68824.564751170808</v>
      </c>
      <c r="M363" s="757">
        <f t="shared" ref="M363:M426" si="32">L363+I363</f>
        <v>440668.39375402412</v>
      </c>
      <c r="N363" s="841"/>
      <c r="O363" s="663">
        <v>0.93490804699999996</v>
      </c>
      <c r="P363" s="725" t="s">
        <v>1689</v>
      </c>
    </row>
    <row r="364" spans="1:16" ht="18.95" customHeight="1">
      <c r="A364" s="851"/>
      <c r="B364" s="789" t="s">
        <v>273</v>
      </c>
      <c r="C364" s="1170" t="s">
        <v>1690</v>
      </c>
      <c r="D364" s="852"/>
      <c r="E364" s="757">
        <v>31519</v>
      </c>
      <c r="F364" s="799" t="s">
        <v>397</v>
      </c>
      <c r="G364" s="765">
        <v>19.25</v>
      </c>
      <c r="H364" s="783">
        <f t="shared" si="28"/>
        <v>17.996979904749999</v>
      </c>
      <c r="I364" s="783">
        <f t="shared" si="31"/>
        <v>567246.80961781519</v>
      </c>
      <c r="J364" s="843">
        <v>3.6</v>
      </c>
      <c r="K364" s="790">
        <f t="shared" si="29"/>
        <v>3.3656689692000001</v>
      </c>
      <c r="L364" s="799">
        <f t="shared" si="30"/>
        <v>106082.5202402148</v>
      </c>
      <c r="M364" s="757">
        <f t="shared" si="32"/>
        <v>673329.32985802996</v>
      </c>
      <c r="N364" s="841"/>
      <c r="O364" s="663">
        <v>0.93490804699999996</v>
      </c>
      <c r="P364" s="725" t="s">
        <v>1689</v>
      </c>
    </row>
    <row r="365" spans="1:16" ht="18.95" customHeight="1">
      <c r="A365" s="853"/>
      <c r="B365" s="789" t="s">
        <v>273</v>
      </c>
      <c r="C365" s="1170" t="s">
        <v>1691</v>
      </c>
      <c r="D365" s="852"/>
      <c r="E365" s="757">
        <v>8460</v>
      </c>
      <c r="F365" s="799" t="s">
        <v>397</v>
      </c>
      <c r="G365" s="765">
        <v>19.25</v>
      </c>
      <c r="H365" s="783">
        <f t="shared" si="28"/>
        <v>17.996979904749999</v>
      </c>
      <c r="I365" s="783">
        <f t="shared" si="31"/>
        <v>152254.44999418498</v>
      </c>
      <c r="J365" s="843">
        <v>3.1</v>
      </c>
      <c r="K365" s="790">
        <f t="shared" si="29"/>
        <v>2.8982149456999999</v>
      </c>
      <c r="L365" s="799">
        <f t="shared" si="30"/>
        <v>24518.898440622001</v>
      </c>
      <c r="M365" s="757">
        <f t="shared" si="32"/>
        <v>176773.34843480698</v>
      </c>
      <c r="N365" s="841"/>
      <c r="O365" s="663">
        <v>0.93490804699999996</v>
      </c>
      <c r="P365" s="725" t="s">
        <v>1689</v>
      </c>
    </row>
    <row r="366" spans="1:16" ht="18.95" customHeight="1">
      <c r="A366" s="853"/>
      <c r="B366" s="789" t="s">
        <v>273</v>
      </c>
      <c r="C366" s="1170" t="s">
        <v>1692</v>
      </c>
      <c r="D366" s="852"/>
      <c r="E366" s="757">
        <v>349</v>
      </c>
      <c r="F366" s="799" t="s">
        <v>397</v>
      </c>
      <c r="G366" s="765">
        <v>19.25</v>
      </c>
      <c r="H366" s="783">
        <f t="shared" si="28"/>
        <v>17.996979904749999</v>
      </c>
      <c r="I366" s="783">
        <f t="shared" si="31"/>
        <v>6280.9459867577498</v>
      </c>
      <c r="J366" s="843">
        <v>3.1</v>
      </c>
      <c r="K366" s="790">
        <f t="shared" si="29"/>
        <v>2.8982149456999999</v>
      </c>
      <c r="L366" s="799">
        <f t="shared" si="30"/>
        <v>1011.4770160493</v>
      </c>
      <c r="M366" s="757">
        <f t="shared" si="32"/>
        <v>7292.4230028070497</v>
      </c>
      <c r="N366" s="841"/>
      <c r="O366" s="663">
        <v>0.93490804699999996</v>
      </c>
      <c r="P366" s="725" t="s">
        <v>1689</v>
      </c>
    </row>
    <row r="367" spans="1:16" ht="18.95" customHeight="1">
      <c r="A367" s="853"/>
      <c r="B367" s="789" t="s">
        <v>273</v>
      </c>
      <c r="C367" s="1170" t="s">
        <v>1693</v>
      </c>
      <c r="D367" s="852"/>
      <c r="E367" s="757">
        <v>3385</v>
      </c>
      <c r="F367" s="799" t="s">
        <v>397</v>
      </c>
      <c r="G367" s="765">
        <v>19.25</v>
      </c>
      <c r="H367" s="783">
        <f t="shared" si="28"/>
        <v>17.996979904749999</v>
      </c>
      <c r="I367" s="783">
        <f t="shared" si="31"/>
        <v>60919.776977578746</v>
      </c>
      <c r="J367" s="843">
        <v>3.1</v>
      </c>
      <c r="K367" s="790">
        <f t="shared" si="29"/>
        <v>2.8982149456999999</v>
      </c>
      <c r="L367" s="799">
        <f t="shared" si="30"/>
        <v>9810.4575911944994</v>
      </c>
      <c r="M367" s="757">
        <f t="shared" si="32"/>
        <v>70730.234568773245</v>
      </c>
      <c r="N367" s="841"/>
      <c r="O367" s="663">
        <v>0.93490804699999996</v>
      </c>
      <c r="P367" s="725" t="s">
        <v>1689</v>
      </c>
    </row>
    <row r="368" spans="1:16" ht="18.95" customHeight="1">
      <c r="A368" s="853"/>
      <c r="B368" s="789" t="s">
        <v>273</v>
      </c>
      <c r="C368" s="1170" t="s">
        <v>1709</v>
      </c>
      <c r="D368" s="852"/>
      <c r="E368" s="757">
        <v>24818</v>
      </c>
      <c r="F368" s="799" t="s">
        <v>397</v>
      </c>
      <c r="G368" s="765">
        <v>19.25</v>
      </c>
      <c r="H368" s="783">
        <f t="shared" si="28"/>
        <v>17.996979904749999</v>
      </c>
      <c r="I368" s="783">
        <f t="shared" si="31"/>
        <v>446649.04727608548</v>
      </c>
      <c r="J368" s="843">
        <v>3.1</v>
      </c>
      <c r="K368" s="790">
        <f t="shared" si="29"/>
        <v>2.8982149456999999</v>
      </c>
      <c r="L368" s="799">
        <f t="shared" si="30"/>
        <v>71927.898522382602</v>
      </c>
      <c r="M368" s="757">
        <f t="shared" si="32"/>
        <v>518576.94579846808</v>
      </c>
      <c r="N368" s="841"/>
      <c r="O368" s="663">
        <v>0.93490804699999996</v>
      </c>
      <c r="P368" s="725" t="s">
        <v>1689</v>
      </c>
    </row>
    <row r="369" spans="1:16" ht="18.95" customHeight="1">
      <c r="A369" s="853"/>
      <c r="B369" s="789" t="s">
        <v>273</v>
      </c>
      <c r="C369" s="1170" t="s">
        <v>1694</v>
      </c>
      <c r="D369" s="852"/>
      <c r="E369" s="757">
        <v>1607</v>
      </c>
      <c r="F369" s="799" t="s">
        <v>397</v>
      </c>
      <c r="G369" s="765">
        <v>27.1</v>
      </c>
      <c r="H369" s="783">
        <f t="shared" si="28"/>
        <v>25.3360080737</v>
      </c>
      <c r="I369" s="783">
        <f t="shared" si="31"/>
        <v>40714.964974435898</v>
      </c>
      <c r="J369" s="843">
        <v>0</v>
      </c>
      <c r="K369" s="790">
        <f t="shared" si="29"/>
        <v>0</v>
      </c>
      <c r="L369" s="799">
        <f t="shared" si="30"/>
        <v>0</v>
      </c>
      <c r="M369" s="757">
        <f t="shared" si="32"/>
        <v>40714.964974435898</v>
      </c>
      <c r="N369" s="841"/>
      <c r="O369" s="663">
        <v>0.93490804699999996</v>
      </c>
      <c r="P369" s="725" t="s">
        <v>1689</v>
      </c>
    </row>
    <row r="370" spans="1:16" ht="18.95" customHeight="1">
      <c r="A370" s="767">
        <v>4.2</v>
      </c>
      <c r="B370" s="786" t="s">
        <v>1696</v>
      </c>
      <c r="C370" s="809"/>
      <c r="D370" s="858"/>
      <c r="E370" s="766"/>
      <c r="F370" s="799"/>
      <c r="G370" s="765"/>
      <c r="H370" s="783"/>
      <c r="I370" s="783"/>
      <c r="J370" s="765"/>
      <c r="K370" s="790"/>
      <c r="L370" s="799"/>
      <c r="M370" s="757"/>
      <c r="N370" s="837"/>
      <c r="O370" s="663">
        <v>0.93490804699999996</v>
      </c>
    </row>
    <row r="371" spans="1:16" ht="18.95" customHeight="1">
      <c r="A371" s="853"/>
      <c r="B371" s="789" t="s">
        <v>273</v>
      </c>
      <c r="C371" s="1170" t="s">
        <v>1697</v>
      </c>
      <c r="D371" s="852"/>
      <c r="E371" s="766">
        <v>891</v>
      </c>
      <c r="F371" s="799" t="s">
        <v>211</v>
      </c>
      <c r="G371" s="765">
        <v>245.2</v>
      </c>
      <c r="H371" s="783">
        <f t="shared" si="28"/>
        <v>229.23945312439997</v>
      </c>
      <c r="I371" s="783">
        <f t="shared" si="31"/>
        <v>204252.35273384038</v>
      </c>
      <c r="J371" s="843">
        <v>0</v>
      </c>
      <c r="K371" s="790">
        <f t="shared" si="29"/>
        <v>0</v>
      </c>
      <c r="L371" s="799">
        <f t="shared" si="30"/>
        <v>0</v>
      </c>
      <c r="M371" s="757">
        <f t="shared" si="32"/>
        <v>204252.35273384038</v>
      </c>
      <c r="N371" s="841"/>
      <c r="O371" s="663">
        <v>0.93490804699999996</v>
      </c>
    </row>
    <row r="372" spans="1:16" ht="18.95" customHeight="1">
      <c r="A372" s="853"/>
      <c r="B372" s="789" t="s">
        <v>273</v>
      </c>
      <c r="C372" s="1170" t="s">
        <v>1698</v>
      </c>
      <c r="D372" s="852"/>
      <c r="E372" s="766">
        <v>1781</v>
      </c>
      <c r="F372" s="799" t="s">
        <v>211</v>
      </c>
      <c r="G372" s="765"/>
      <c r="H372" s="783">
        <f t="shared" si="28"/>
        <v>0</v>
      </c>
      <c r="I372" s="783">
        <f t="shared" si="31"/>
        <v>0</v>
      </c>
      <c r="J372" s="843">
        <v>121</v>
      </c>
      <c r="K372" s="790">
        <f t="shared" si="29"/>
        <v>113.123873687</v>
      </c>
      <c r="L372" s="799">
        <f t="shared" si="30"/>
        <v>201473.619036547</v>
      </c>
      <c r="M372" s="757">
        <f t="shared" si="32"/>
        <v>201473.619036547</v>
      </c>
      <c r="N372" s="841"/>
      <c r="O372" s="663">
        <v>0.93490804699999996</v>
      </c>
    </row>
    <row r="373" spans="1:16" ht="18.95" customHeight="1">
      <c r="A373" s="853"/>
      <c r="B373" s="789" t="s">
        <v>273</v>
      </c>
      <c r="C373" s="1170" t="s">
        <v>1699</v>
      </c>
      <c r="D373" s="852"/>
      <c r="E373" s="766">
        <v>268</v>
      </c>
      <c r="F373" s="799" t="s">
        <v>1700</v>
      </c>
      <c r="G373" s="765">
        <v>309.42</v>
      </c>
      <c r="H373" s="783">
        <f t="shared" si="28"/>
        <v>289.27924790274</v>
      </c>
      <c r="I373" s="783">
        <f t="shared" si="31"/>
        <v>77526.838437934319</v>
      </c>
      <c r="J373" s="843">
        <v>0</v>
      </c>
      <c r="K373" s="790">
        <f t="shared" si="29"/>
        <v>0</v>
      </c>
      <c r="L373" s="799">
        <f t="shared" si="30"/>
        <v>0</v>
      </c>
      <c r="M373" s="757">
        <f t="shared" si="32"/>
        <v>77526.838437934319</v>
      </c>
      <c r="N373" s="841"/>
      <c r="O373" s="663">
        <v>0.93490804699999996</v>
      </c>
    </row>
    <row r="374" spans="1:16" ht="18.95" customHeight="1">
      <c r="A374" s="853"/>
      <c r="B374" s="789" t="s">
        <v>273</v>
      </c>
      <c r="C374" s="1170" t="s">
        <v>1701</v>
      </c>
      <c r="D374" s="852"/>
      <c r="E374" s="757">
        <v>223</v>
      </c>
      <c r="F374" s="799" t="s">
        <v>397</v>
      </c>
      <c r="G374" s="765">
        <v>23.36</v>
      </c>
      <c r="H374" s="783">
        <f t="shared" si="28"/>
        <v>21.83945197792</v>
      </c>
      <c r="I374" s="783">
        <f t="shared" si="31"/>
        <v>4870.1977910761598</v>
      </c>
      <c r="J374" s="843">
        <v>0</v>
      </c>
      <c r="K374" s="790">
        <f t="shared" si="29"/>
        <v>0</v>
      </c>
      <c r="L374" s="799">
        <f t="shared" si="30"/>
        <v>0</v>
      </c>
      <c r="M374" s="757">
        <f t="shared" si="32"/>
        <v>4870.1977910761598</v>
      </c>
      <c r="N374" s="841"/>
      <c r="O374" s="663">
        <v>0.93490804699999996</v>
      </c>
      <c r="P374" s="725" t="s">
        <v>1689</v>
      </c>
    </row>
    <row r="375" spans="1:16" ht="18.95" customHeight="1">
      <c r="A375" s="767">
        <v>4.3</v>
      </c>
      <c r="B375" s="786" t="s">
        <v>1702</v>
      </c>
      <c r="C375" s="809"/>
      <c r="D375" s="860"/>
      <c r="E375" s="766"/>
      <c r="F375" s="857"/>
      <c r="G375" s="798"/>
      <c r="H375" s="783"/>
      <c r="I375" s="783"/>
      <c r="J375" s="843"/>
      <c r="K375" s="790"/>
      <c r="L375" s="799"/>
      <c r="M375" s="757"/>
      <c r="N375" s="837"/>
      <c r="O375" s="663">
        <v>0.93490804699999996</v>
      </c>
    </row>
    <row r="376" spans="1:16" ht="18.95" customHeight="1">
      <c r="A376" s="855"/>
      <c r="B376" s="789" t="s">
        <v>273</v>
      </c>
      <c r="C376" s="852" t="s">
        <v>1723</v>
      </c>
      <c r="D376" s="852"/>
      <c r="E376" s="757">
        <v>558.77</v>
      </c>
      <c r="F376" s="799" t="s">
        <v>1684</v>
      </c>
      <c r="G376" s="759">
        <v>2679.9</v>
      </c>
      <c r="H376" s="783">
        <f t="shared" si="28"/>
        <v>2505.4600751552998</v>
      </c>
      <c r="I376" s="783">
        <f t="shared" si="31"/>
        <v>1399975.9261945267</v>
      </c>
      <c r="J376" s="759">
        <v>519</v>
      </c>
      <c r="K376" s="790">
        <f t="shared" si="29"/>
        <v>485.21727639299996</v>
      </c>
      <c r="L376" s="799">
        <f t="shared" si="30"/>
        <v>271124.85753011657</v>
      </c>
      <c r="M376" s="757">
        <f t="shared" si="32"/>
        <v>1671100.7837246433</v>
      </c>
      <c r="N376" s="837"/>
      <c r="O376" s="663">
        <v>0.93490804699999996</v>
      </c>
    </row>
    <row r="377" spans="1:16" ht="18.95" customHeight="1">
      <c r="A377" s="856"/>
      <c r="B377" s="1169" t="s">
        <v>1810</v>
      </c>
      <c r="C377" s="801"/>
      <c r="D377" s="815"/>
      <c r="E377" s="854"/>
      <c r="F377" s="857"/>
      <c r="G377" s="843"/>
      <c r="H377" s="783"/>
      <c r="I377" s="783"/>
      <c r="J377" s="843"/>
      <c r="K377" s="790"/>
      <c r="L377" s="799"/>
      <c r="M377" s="757"/>
      <c r="N377" s="837"/>
      <c r="O377" s="663">
        <v>0.93490804699999996</v>
      </c>
    </row>
    <row r="378" spans="1:16" ht="18.95" customHeight="1">
      <c r="A378" s="814">
        <v>4.4000000000000004</v>
      </c>
      <c r="B378" s="786" t="s">
        <v>1687</v>
      </c>
      <c r="C378" s="809"/>
      <c r="D378" s="815"/>
      <c r="E378" s="790"/>
      <c r="F378" s="799"/>
      <c r="G378" s="798"/>
      <c r="H378" s="783"/>
      <c r="I378" s="783"/>
      <c r="J378" s="843"/>
      <c r="K378" s="790"/>
      <c r="L378" s="799"/>
      <c r="M378" s="757"/>
      <c r="N378" s="841"/>
      <c r="O378" s="663">
        <v>0.93490804699999996</v>
      </c>
    </row>
    <row r="379" spans="1:16" ht="18.95" customHeight="1">
      <c r="A379" s="851"/>
      <c r="B379" s="789" t="s">
        <v>273</v>
      </c>
      <c r="C379" s="1170" t="s">
        <v>1688</v>
      </c>
      <c r="D379" s="852"/>
      <c r="E379" s="757">
        <v>19097</v>
      </c>
      <c r="F379" s="799" t="s">
        <v>397</v>
      </c>
      <c r="G379" s="765">
        <v>19.45</v>
      </c>
      <c r="H379" s="783">
        <f t="shared" si="28"/>
        <v>18.183961514149999</v>
      </c>
      <c r="I379" s="783">
        <f t="shared" si="31"/>
        <v>347259.11303572252</v>
      </c>
      <c r="J379" s="843">
        <v>3.6</v>
      </c>
      <c r="K379" s="790">
        <f t="shared" si="29"/>
        <v>3.3656689692000001</v>
      </c>
      <c r="L379" s="799">
        <f t="shared" si="30"/>
        <v>64274.180304812406</v>
      </c>
      <c r="M379" s="757">
        <f t="shared" si="32"/>
        <v>411533.2933405349</v>
      </c>
      <c r="N379" s="837"/>
      <c r="O379" s="663">
        <v>0.93490804699999996</v>
      </c>
      <c r="P379" s="725" t="s">
        <v>1689</v>
      </c>
    </row>
    <row r="380" spans="1:16" ht="18.95" customHeight="1">
      <c r="A380" s="851"/>
      <c r="B380" s="789" t="s">
        <v>273</v>
      </c>
      <c r="C380" s="1170" t="s">
        <v>1690</v>
      </c>
      <c r="D380" s="852"/>
      <c r="E380" s="757">
        <v>28914</v>
      </c>
      <c r="F380" s="799" t="s">
        <v>397</v>
      </c>
      <c r="G380" s="765">
        <v>19.25</v>
      </c>
      <c r="H380" s="783">
        <f t="shared" si="28"/>
        <v>17.996979904749999</v>
      </c>
      <c r="I380" s="783">
        <f t="shared" si="31"/>
        <v>520364.67696594144</v>
      </c>
      <c r="J380" s="843">
        <v>3.6</v>
      </c>
      <c r="K380" s="790">
        <f t="shared" si="29"/>
        <v>3.3656689692000001</v>
      </c>
      <c r="L380" s="799">
        <f t="shared" si="30"/>
        <v>97314.952575448799</v>
      </c>
      <c r="M380" s="757">
        <f t="shared" si="32"/>
        <v>617679.62954139023</v>
      </c>
      <c r="N380" s="837"/>
      <c r="O380" s="663">
        <v>0.93490804699999996</v>
      </c>
      <c r="P380" s="725" t="s">
        <v>1689</v>
      </c>
    </row>
    <row r="381" spans="1:16" ht="18.95" customHeight="1">
      <c r="A381" s="853"/>
      <c r="B381" s="789" t="s">
        <v>273</v>
      </c>
      <c r="C381" s="1170" t="s">
        <v>1692</v>
      </c>
      <c r="D381" s="852"/>
      <c r="E381" s="757">
        <v>8076</v>
      </c>
      <c r="F381" s="799" t="s">
        <v>397</v>
      </c>
      <c r="G381" s="765">
        <v>19.25</v>
      </c>
      <c r="H381" s="783">
        <f t="shared" ref="H381:H428" si="33">G381*O381</f>
        <v>17.996979904749999</v>
      </c>
      <c r="I381" s="783">
        <f t="shared" si="31"/>
        <v>145343.609710761</v>
      </c>
      <c r="J381" s="843">
        <v>3.1</v>
      </c>
      <c r="K381" s="790">
        <f t="shared" si="29"/>
        <v>2.8982149456999999</v>
      </c>
      <c r="L381" s="799">
        <f t="shared" si="30"/>
        <v>23405.983901473199</v>
      </c>
      <c r="M381" s="757">
        <f t="shared" si="32"/>
        <v>168749.5936122342</v>
      </c>
      <c r="N381" s="837"/>
      <c r="O381" s="663">
        <v>0.93490804699999996</v>
      </c>
      <c r="P381" s="725" t="s">
        <v>1689</v>
      </c>
    </row>
    <row r="382" spans="1:16" ht="18.95" customHeight="1">
      <c r="A382" s="853"/>
      <c r="B382" s="789" t="s">
        <v>273</v>
      </c>
      <c r="C382" s="1170" t="s">
        <v>1694</v>
      </c>
      <c r="D382" s="852"/>
      <c r="E382" s="757">
        <v>1010</v>
      </c>
      <c r="F382" s="799" t="s">
        <v>397</v>
      </c>
      <c r="G382" s="765">
        <v>27.1</v>
      </c>
      <c r="H382" s="783">
        <f t="shared" si="33"/>
        <v>25.3360080737</v>
      </c>
      <c r="I382" s="783">
        <f t="shared" si="31"/>
        <v>25589.368154437001</v>
      </c>
      <c r="J382" s="843">
        <v>0</v>
      </c>
      <c r="K382" s="790">
        <f t="shared" ref="K382:K428" si="34">J382*O382</f>
        <v>0</v>
      </c>
      <c r="L382" s="799">
        <f t="shared" ref="L382:L428" si="35">K382*E382</f>
        <v>0</v>
      </c>
      <c r="M382" s="757">
        <f t="shared" si="32"/>
        <v>25589.368154437001</v>
      </c>
      <c r="N382" s="837"/>
      <c r="O382" s="663">
        <v>0.93490804699999996</v>
      </c>
      <c r="P382" s="725" t="s">
        <v>1689</v>
      </c>
    </row>
    <row r="383" spans="1:16" ht="18.95" customHeight="1">
      <c r="A383" s="767">
        <v>4.5</v>
      </c>
      <c r="B383" s="786" t="s">
        <v>1696</v>
      </c>
      <c r="C383" s="809"/>
      <c r="D383" s="858"/>
      <c r="E383" s="766"/>
      <c r="F383" s="799"/>
      <c r="G383" s="765"/>
      <c r="H383" s="783"/>
      <c r="I383" s="783"/>
      <c r="J383" s="765"/>
      <c r="K383" s="790"/>
      <c r="L383" s="799"/>
      <c r="M383" s="757"/>
      <c r="N383" s="837"/>
      <c r="O383" s="663">
        <v>0.93490804699999996</v>
      </c>
    </row>
    <row r="384" spans="1:16" ht="18.95" customHeight="1">
      <c r="A384" s="853"/>
      <c r="B384" s="789" t="s">
        <v>273</v>
      </c>
      <c r="C384" s="1170" t="s">
        <v>1697</v>
      </c>
      <c r="D384" s="852"/>
      <c r="E384" s="766">
        <v>1531</v>
      </c>
      <c r="F384" s="799" t="s">
        <v>211</v>
      </c>
      <c r="G384" s="765">
        <v>245.2</v>
      </c>
      <c r="H384" s="783">
        <f t="shared" si="33"/>
        <v>229.23945312439997</v>
      </c>
      <c r="I384" s="783">
        <f t="shared" si="31"/>
        <v>350965.60273345636</v>
      </c>
      <c r="J384" s="843">
        <v>0</v>
      </c>
      <c r="K384" s="790">
        <f t="shared" si="34"/>
        <v>0</v>
      </c>
      <c r="L384" s="799">
        <f t="shared" si="35"/>
        <v>0</v>
      </c>
      <c r="M384" s="757">
        <f t="shared" si="32"/>
        <v>350965.60273345636</v>
      </c>
      <c r="N384" s="841"/>
      <c r="O384" s="663">
        <v>0.93490804699999996</v>
      </c>
    </row>
    <row r="385" spans="1:16" ht="18.95" customHeight="1">
      <c r="A385" s="853"/>
      <c r="B385" s="789" t="s">
        <v>273</v>
      </c>
      <c r="C385" s="1170" t="s">
        <v>1698</v>
      </c>
      <c r="D385" s="852"/>
      <c r="E385" s="766">
        <v>3061</v>
      </c>
      <c r="F385" s="799" t="s">
        <v>211</v>
      </c>
      <c r="G385" s="765"/>
      <c r="H385" s="783">
        <f t="shared" si="33"/>
        <v>0</v>
      </c>
      <c r="I385" s="783">
        <f t="shared" si="31"/>
        <v>0</v>
      </c>
      <c r="J385" s="843">
        <v>121</v>
      </c>
      <c r="K385" s="790">
        <f t="shared" si="34"/>
        <v>113.123873687</v>
      </c>
      <c r="L385" s="799">
        <f t="shared" si="35"/>
        <v>346272.17735590698</v>
      </c>
      <c r="M385" s="757">
        <f t="shared" si="32"/>
        <v>346272.17735590698</v>
      </c>
      <c r="N385" s="841"/>
      <c r="O385" s="663">
        <v>0.93490804699999996</v>
      </c>
    </row>
    <row r="386" spans="1:16" ht="18.95" customHeight="1">
      <c r="A386" s="853"/>
      <c r="B386" s="789" t="s">
        <v>273</v>
      </c>
      <c r="C386" s="1170" t="s">
        <v>1699</v>
      </c>
      <c r="D386" s="852"/>
      <c r="E386" s="766">
        <v>460</v>
      </c>
      <c r="F386" s="799" t="s">
        <v>1700</v>
      </c>
      <c r="G386" s="765">
        <v>309.42</v>
      </c>
      <c r="H386" s="783">
        <f t="shared" si="33"/>
        <v>289.27924790274</v>
      </c>
      <c r="I386" s="783">
        <f t="shared" si="31"/>
        <v>133068.45403526039</v>
      </c>
      <c r="J386" s="843">
        <v>0</v>
      </c>
      <c r="K386" s="790">
        <f t="shared" si="34"/>
        <v>0</v>
      </c>
      <c r="L386" s="799">
        <f t="shared" si="35"/>
        <v>0</v>
      </c>
      <c r="M386" s="757">
        <f t="shared" si="32"/>
        <v>133068.45403526039</v>
      </c>
      <c r="N386" s="841"/>
      <c r="O386" s="663">
        <v>0.93490804699999996</v>
      </c>
    </row>
    <row r="387" spans="1:16" ht="18.95" customHeight="1">
      <c r="A387" s="853"/>
      <c r="B387" s="789" t="s">
        <v>273</v>
      </c>
      <c r="C387" s="1170" t="s">
        <v>1701</v>
      </c>
      <c r="D387" s="852"/>
      <c r="E387" s="757">
        <v>383</v>
      </c>
      <c r="F387" s="799" t="s">
        <v>397</v>
      </c>
      <c r="G387" s="765">
        <v>23.36</v>
      </c>
      <c r="H387" s="783">
        <f t="shared" si="33"/>
        <v>21.83945197792</v>
      </c>
      <c r="I387" s="783">
        <f t="shared" si="31"/>
        <v>8364.5101075433595</v>
      </c>
      <c r="J387" s="843">
        <v>0</v>
      </c>
      <c r="K387" s="790">
        <f t="shared" si="34"/>
        <v>0</v>
      </c>
      <c r="L387" s="799">
        <f t="shared" si="35"/>
        <v>0</v>
      </c>
      <c r="M387" s="757">
        <f t="shared" si="32"/>
        <v>8364.5101075433595</v>
      </c>
      <c r="N387" s="841"/>
      <c r="O387" s="663">
        <v>0.93490804699999996</v>
      </c>
      <c r="P387" s="725" t="s">
        <v>1689</v>
      </c>
    </row>
    <row r="388" spans="1:16" ht="18.95" customHeight="1">
      <c r="A388" s="767">
        <v>4.5999999999999996</v>
      </c>
      <c r="B388" s="786" t="s">
        <v>1702</v>
      </c>
      <c r="C388" s="809"/>
      <c r="D388" s="858"/>
      <c r="E388" s="766"/>
      <c r="F388" s="799"/>
      <c r="G388" s="765"/>
      <c r="H388" s="783"/>
      <c r="I388" s="783"/>
      <c r="J388" s="765"/>
      <c r="K388" s="790"/>
      <c r="L388" s="799"/>
      <c r="M388" s="757"/>
      <c r="N388" s="837"/>
      <c r="O388" s="663">
        <v>0.93490804699999996</v>
      </c>
    </row>
    <row r="389" spans="1:16" ht="18.95" customHeight="1">
      <c r="A389" s="855"/>
      <c r="B389" s="789" t="s">
        <v>273</v>
      </c>
      <c r="C389" s="852" t="s">
        <v>1811</v>
      </c>
      <c r="D389" s="852"/>
      <c r="E389" s="757">
        <v>884</v>
      </c>
      <c r="F389" s="799" t="s">
        <v>1684</v>
      </c>
      <c r="G389" s="759">
        <v>2679.9</v>
      </c>
      <c r="H389" s="783">
        <f t="shared" si="33"/>
        <v>2505.4600751552998</v>
      </c>
      <c r="I389" s="783">
        <f t="shared" si="31"/>
        <v>2214826.7064372851</v>
      </c>
      <c r="J389" s="759">
        <v>519</v>
      </c>
      <c r="K389" s="790">
        <f t="shared" si="34"/>
        <v>485.21727639299996</v>
      </c>
      <c r="L389" s="799">
        <f t="shared" si="35"/>
        <v>428932.07233141194</v>
      </c>
      <c r="M389" s="757">
        <f t="shared" si="32"/>
        <v>2643758.7787686968</v>
      </c>
      <c r="N389" s="837"/>
      <c r="O389" s="663">
        <v>0.93490804699999996</v>
      </c>
    </row>
    <row r="390" spans="1:16" ht="18.95" customHeight="1">
      <c r="A390" s="875">
        <v>4.7</v>
      </c>
      <c r="B390" s="1176" t="s">
        <v>1791</v>
      </c>
      <c r="C390" s="809"/>
      <c r="D390" s="810"/>
      <c r="E390" s="757">
        <v>2397</v>
      </c>
      <c r="F390" s="799" t="s">
        <v>211</v>
      </c>
      <c r="G390" s="765">
        <v>450</v>
      </c>
      <c r="H390" s="783">
        <f t="shared" si="33"/>
        <v>420.70862115</v>
      </c>
      <c r="I390" s="783">
        <f t="shared" si="31"/>
        <v>1008438.56489655</v>
      </c>
      <c r="J390" s="765">
        <v>0</v>
      </c>
      <c r="K390" s="790">
        <f t="shared" si="34"/>
        <v>0</v>
      </c>
      <c r="L390" s="799">
        <f t="shared" si="35"/>
        <v>0</v>
      </c>
      <c r="M390" s="757">
        <f t="shared" si="32"/>
        <v>1008438.56489655</v>
      </c>
      <c r="N390" s="837"/>
      <c r="O390" s="663">
        <v>0.93490804699999996</v>
      </c>
    </row>
    <row r="391" spans="1:16" ht="18.95" customHeight="1">
      <c r="A391" s="856"/>
      <c r="B391" s="1169" t="s">
        <v>1812</v>
      </c>
      <c r="C391" s="801"/>
      <c r="D391" s="815"/>
      <c r="E391" s="854"/>
      <c r="F391" s="857"/>
      <c r="G391" s="843"/>
      <c r="H391" s="783"/>
      <c r="I391" s="783"/>
      <c r="J391" s="843"/>
      <c r="K391" s="790"/>
      <c r="L391" s="799"/>
      <c r="M391" s="757"/>
      <c r="N391" s="837"/>
      <c r="O391" s="663">
        <v>0.93490804699999996</v>
      </c>
    </row>
    <row r="392" spans="1:16" ht="18.95" customHeight="1">
      <c r="A392" s="814">
        <v>4.8</v>
      </c>
      <c r="B392" s="786" t="s">
        <v>1687</v>
      </c>
      <c r="C392" s="809"/>
      <c r="D392" s="815"/>
      <c r="E392" s="790"/>
      <c r="F392" s="799"/>
      <c r="G392" s="798"/>
      <c r="H392" s="783"/>
      <c r="I392" s="783"/>
      <c r="J392" s="843"/>
      <c r="K392" s="790"/>
      <c r="L392" s="799"/>
      <c r="M392" s="757"/>
      <c r="N392" s="841"/>
      <c r="O392" s="663">
        <v>0.93490804699999996</v>
      </c>
    </row>
    <row r="393" spans="1:16" s="204" customFormat="1" ht="18.95" customHeight="1">
      <c r="A393" s="851"/>
      <c r="B393" s="789" t="s">
        <v>273</v>
      </c>
      <c r="C393" s="1170" t="s">
        <v>1720</v>
      </c>
      <c r="D393" s="852"/>
      <c r="E393" s="757">
        <v>1902</v>
      </c>
      <c r="F393" s="799" t="s">
        <v>397</v>
      </c>
      <c r="G393" s="765">
        <v>19.600000000000001</v>
      </c>
      <c r="H393" s="783">
        <f t="shared" si="33"/>
        <v>18.324197721200001</v>
      </c>
      <c r="I393" s="783">
        <f t="shared" si="31"/>
        <v>34852.624065722404</v>
      </c>
      <c r="J393" s="843">
        <v>4.4000000000000004</v>
      </c>
      <c r="K393" s="790">
        <f t="shared" si="34"/>
        <v>4.1135954068</v>
      </c>
      <c r="L393" s="799">
        <f t="shared" si="35"/>
        <v>7824.0584637335996</v>
      </c>
      <c r="M393" s="757">
        <f t="shared" si="32"/>
        <v>42676.682529456004</v>
      </c>
      <c r="N393" s="841"/>
      <c r="O393" s="663">
        <v>0.93490804699999996</v>
      </c>
      <c r="P393" s="725" t="s">
        <v>1689</v>
      </c>
    </row>
    <row r="394" spans="1:16" s="204" customFormat="1" ht="18.95" customHeight="1">
      <c r="A394" s="851"/>
      <c r="B394" s="789" t="s">
        <v>273</v>
      </c>
      <c r="C394" s="1170" t="s">
        <v>1688</v>
      </c>
      <c r="D394" s="852"/>
      <c r="E394" s="757">
        <v>1280</v>
      </c>
      <c r="F394" s="799" t="s">
        <v>397</v>
      </c>
      <c r="G394" s="765">
        <v>19.45</v>
      </c>
      <c r="H394" s="783">
        <f t="shared" si="33"/>
        <v>18.183961514149999</v>
      </c>
      <c r="I394" s="783">
        <f t="shared" si="31"/>
        <v>23275.470738111999</v>
      </c>
      <c r="J394" s="843">
        <v>3.6</v>
      </c>
      <c r="K394" s="790">
        <f t="shared" si="34"/>
        <v>3.3656689692000001</v>
      </c>
      <c r="L394" s="799">
        <f t="shared" si="35"/>
        <v>4308.0562805760001</v>
      </c>
      <c r="M394" s="757">
        <f t="shared" si="32"/>
        <v>27583.527018688001</v>
      </c>
      <c r="N394" s="841"/>
      <c r="O394" s="663">
        <v>0.93490804699999996</v>
      </c>
      <c r="P394" s="725" t="s">
        <v>1689</v>
      </c>
    </row>
    <row r="395" spans="1:16" s="204" customFormat="1" ht="18.95" customHeight="1">
      <c r="A395" s="853"/>
      <c r="B395" s="789" t="s">
        <v>273</v>
      </c>
      <c r="C395" s="1170" t="s">
        <v>1691</v>
      </c>
      <c r="D395" s="852"/>
      <c r="E395" s="757">
        <v>1980</v>
      </c>
      <c r="F395" s="799" t="s">
        <v>397</v>
      </c>
      <c r="G395" s="765">
        <v>19.25</v>
      </c>
      <c r="H395" s="783">
        <f t="shared" si="33"/>
        <v>17.996979904749999</v>
      </c>
      <c r="I395" s="783">
        <f t="shared" si="31"/>
        <v>35634.020211404997</v>
      </c>
      <c r="J395" s="843">
        <v>3.1</v>
      </c>
      <c r="K395" s="790">
        <f t="shared" si="34"/>
        <v>2.8982149456999999</v>
      </c>
      <c r="L395" s="799">
        <f t="shared" si="35"/>
        <v>5738.4655924859999</v>
      </c>
      <c r="M395" s="757">
        <f t="shared" si="32"/>
        <v>41372.485803890995</v>
      </c>
      <c r="N395" s="841"/>
      <c r="O395" s="663">
        <v>0.93490804699999996</v>
      </c>
      <c r="P395" s="725" t="s">
        <v>1689</v>
      </c>
    </row>
    <row r="396" spans="1:16" s="204" customFormat="1" ht="18.95" customHeight="1">
      <c r="A396" s="853"/>
      <c r="B396" s="789" t="s">
        <v>273</v>
      </c>
      <c r="C396" s="1170" t="s">
        <v>1692</v>
      </c>
      <c r="D396" s="852"/>
      <c r="E396" s="757">
        <v>8087</v>
      </c>
      <c r="F396" s="799" t="s">
        <v>397</v>
      </c>
      <c r="G396" s="765">
        <v>19.25</v>
      </c>
      <c r="H396" s="783">
        <f t="shared" si="33"/>
        <v>17.996979904749999</v>
      </c>
      <c r="I396" s="783">
        <f t="shared" si="31"/>
        <v>145541.57648971325</v>
      </c>
      <c r="J396" s="843">
        <v>3.1</v>
      </c>
      <c r="K396" s="790">
        <f t="shared" si="34"/>
        <v>2.8982149456999999</v>
      </c>
      <c r="L396" s="799">
        <f t="shared" si="35"/>
        <v>23437.864265875898</v>
      </c>
      <c r="M396" s="757">
        <f t="shared" si="32"/>
        <v>168979.44075558914</v>
      </c>
      <c r="N396" s="841"/>
      <c r="O396" s="663">
        <v>0.93490804699999996</v>
      </c>
      <c r="P396" s="725" t="s">
        <v>1689</v>
      </c>
    </row>
    <row r="397" spans="1:16" s="204" customFormat="1" ht="18.95" customHeight="1">
      <c r="A397" s="853"/>
      <c r="B397" s="789" t="s">
        <v>273</v>
      </c>
      <c r="C397" s="1170" t="s">
        <v>1693</v>
      </c>
      <c r="D397" s="852"/>
      <c r="E397" s="757">
        <v>3346</v>
      </c>
      <c r="F397" s="799" t="s">
        <v>397</v>
      </c>
      <c r="G397" s="765">
        <v>19.25</v>
      </c>
      <c r="H397" s="783">
        <f t="shared" si="33"/>
        <v>17.996979904749999</v>
      </c>
      <c r="I397" s="783">
        <f t="shared" si="31"/>
        <v>60217.894761293494</v>
      </c>
      <c r="J397" s="843">
        <v>3.1</v>
      </c>
      <c r="K397" s="790">
        <f t="shared" si="34"/>
        <v>2.8982149456999999</v>
      </c>
      <c r="L397" s="799">
        <f t="shared" si="35"/>
        <v>9697.4272083121996</v>
      </c>
      <c r="M397" s="757">
        <f t="shared" si="32"/>
        <v>69915.321969605691</v>
      </c>
      <c r="N397" s="841"/>
      <c r="O397" s="663">
        <v>0.93490804699999996</v>
      </c>
      <c r="P397" s="725" t="s">
        <v>1689</v>
      </c>
    </row>
    <row r="398" spans="1:16" s="204" customFormat="1" ht="18.95" customHeight="1">
      <c r="A398" s="853"/>
      <c r="B398" s="789" t="s">
        <v>273</v>
      </c>
      <c r="C398" s="1170" t="s">
        <v>1709</v>
      </c>
      <c r="D398" s="852"/>
      <c r="E398" s="757">
        <v>10944</v>
      </c>
      <c r="F398" s="799" t="s">
        <v>397</v>
      </c>
      <c r="G398" s="765">
        <v>19.25</v>
      </c>
      <c r="H398" s="783">
        <f t="shared" si="33"/>
        <v>17.996979904749999</v>
      </c>
      <c r="I398" s="783">
        <f t="shared" si="31"/>
        <v>196958.94807758398</v>
      </c>
      <c r="J398" s="843">
        <v>3.1</v>
      </c>
      <c r="K398" s="790">
        <f t="shared" si="34"/>
        <v>2.8982149456999999</v>
      </c>
      <c r="L398" s="799">
        <f t="shared" si="35"/>
        <v>31718.0643657408</v>
      </c>
      <c r="M398" s="757">
        <f t="shared" si="32"/>
        <v>228677.01244332478</v>
      </c>
      <c r="N398" s="841"/>
      <c r="O398" s="663">
        <v>0.93490804699999996</v>
      </c>
      <c r="P398" s="725" t="s">
        <v>1689</v>
      </c>
    </row>
    <row r="399" spans="1:16" s="204" customFormat="1" ht="18.95" customHeight="1">
      <c r="A399" s="853"/>
      <c r="B399" s="789" t="s">
        <v>273</v>
      </c>
      <c r="C399" s="1170" t="s">
        <v>1694</v>
      </c>
      <c r="D399" s="852"/>
      <c r="E399" s="757">
        <v>496</v>
      </c>
      <c r="F399" s="799" t="s">
        <v>397</v>
      </c>
      <c r="G399" s="765">
        <v>27.1</v>
      </c>
      <c r="H399" s="783">
        <f t="shared" si="33"/>
        <v>25.3360080737</v>
      </c>
      <c r="I399" s="783">
        <f t="shared" si="31"/>
        <v>12566.6600045552</v>
      </c>
      <c r="J399" s="843">
        <v>0</v>
      </c>
      <c r="K399" s="790">
        <f t="shared" si="34"/>
        <v>0</v>
      </c>
      <c r="L399" s="799">
        <f t="shared" si="35"/>
        <v>0</v>
      </c>
      <c r="M399" s="757">
        <f t="shared" si="32"/>
        <v>12566.6600045552</v>
      </c>
      <c r="N399" s="841"/>
      <c r="O399" s="663">
        <v>0.93490804699999996</v>
      </c>
      <c r="P399" s="725" t="s">
        <v>1689</v>
      </c>
    </row>
    <row r="400" spans="1:16" s="204" customFormat="1" ht="18.95" customHeight="1">
      <c r="A400" s="767">
        <v>4.9000000000000004</v>
      </c>
      <c r="B400" s="786" t="s">
        <v>1696</v>
      </c>
      <c r="C400" s="809"/>
      <c r="D400" s="858"/>
      <c r="E400" s="766"/>
      <c r="F400" s="799"/>
      <c r="G400" s="765"/>
      <c r="H400" s="783"/>
      <c r="I400" s="783"/>
      <c r="J400" s="765"/>
      <c r="K400" s="790"/>
      <c r="L400" s="799"/>
      <c r="M400" s="757"/>
      <c r="N400" s="837"/>
      <c r="O400" s="663">
        <v>0.93490804699999996</v>
      </c>
    </row>
    <row r="401" spans="1:16" s="204" customFormat="1" ht="18.95" customHeight="1">
      <c r="A401" s="853"/>
      <c r="B401" s="789" t="s">
        <v>273</v>
      </c>
      <c r="C401" s="1170" t="s">
        <v>1697</v>
      </c>
      <c r="D401" s="852"/>
      <c r="E401" s="766">
        <v>251</v>
      </c>
      <c r="F401" s="799" t="s">
        <v>211</v>
      </c>
      <c r="G401" s="765">
        <v>245.2</v>
      </c>
      <c r="H401" s="783">
        <f t="shared" si="33"/>
        <v>229.23945312439997</v>
      </c>
      <c r="I401" s="783">
        <f t="shared" si="31"/>
        <v>57539.102734224391</v>
      </c>
      <c r="J401" s="843">
        <v>0</v>
      </c>
      <c r="K401" s="790">
        <f t="shared" si="34"/>
        <v>0</v>
      </c>
      <c r="L401" s="799">
        <f t="shared" si="35"/>
        <v>0</v>
      </c>
      <c r="M401" s="757">
        <f t="shared" si="32"/>
        <v>57539.102734224391</v>
      </c>
      <c r="N401" s="841"/>
      <c r="O401" s="663">
        <v>0.93490804699999996</v>
      </c>
    </row>
    <row r="402" spans="1:16" s="204" customFormat="1" ht="18.95" customHeight="1">
      <c r="A402" s="853"/>
      <c r="B402" s="789" t="s">
        <v>273</v>
      </c>
      <c r="C402" s="1170" t="s">
        <v>1698</v>
      </c>
      <c r="D402" s="852"/>
      <c r="E402" s="766">
        <v>501</v>
      </c>
      <c r="F402" s="799" t="s">
        <v>211</v>
      </c>
      <c r="G402" s="765"/>
      <c r="H402" s="783">
        <f t="shared" si="33"/>
        <v>0</v>
      </c>
      <c r="I402" s="783">
        <f t="shared" si="31"/>
        <v>0</v>
      </c>
      <c r="J402" s="843">
        <v>121</v>
      </c>
      <c r="K402" s="790">
        <f t="shared" si="34"/>
        <v>113.123873687</v>
      </c>
      <c r="L402" s="799">
        <f t="shared" si="35"/>
        <v>56675.060717187</v>
      </c>
      <c r="M402" s="757">
        <f t="shared" si="32"/>
        <v>56675.060717187</v>
      </c>
      <c r="N402" s="841"/>
      <c r="O402" s="663">
        <v>0.93490804699999996</v>
      </c>
    </row>
    <row r="403" spans="1:16" s="204" customFormat="1" ht="18.95" customHeight="1">
      <c r="A403" s="853"/>
      <c r="B403" s="789" t="s">
        <v>273</v>
      </c>
      <c r="C403" s="1170" t="s">
        <v>1699</v>
      </c>
      <c r="D403" s="852"/>
      <c r="E403" s="766">
        <v>76</v>
      </c>
      <c r="F403" s="799" t="s">
        <v>1700</v>
      </c>
      <c r="G403" s="765">
        <v>309.42</v>
      </c>
      <c r="H403" s="783">
        <f t="shared" si="33"/>
        <v>289.27924790274</v>
      </c>
      <c r="I403" s="783">
        <f t="shared" si="31"/>
        <v>21985.222840608239</v>
      </c>
      <c r="J403" s="843">
        <v>0</v>
      </c>
      <c r="K403" s="790">
        <f t="shared" si="34"/>
        <v>0</v>
      </c>
      <c r="L403" s="799">
        <f t="shared" si="35"/>
        <v>0</v>
      </c>
      <c r="M403" s="757">
        <f t="shared" si="32"/>
        <v>21985.222840608239</v>
      </c>
      <c r="N403" s="841"/>
      <c r="O403" s="663">
        <v>0.93490804699999996</v>
      </c>
    </row>
    <row r="404" spans="1:16" s="204" customFormat="1" ht="18.95" customHeight="1">
      <c r="A404" s="853"/>
      <c r="B404" s="789" t="s">
        <v>273</v>
      </c>
      <c r="C404" s="1170" t="s">
        <v>1701</v>
      </c>
      <c r="D404" s="852"/>
      <c r="E404" s="757">
        <v>63</v>
      </c>
      <c r="F404" s="799" t="s">
        <v>397</v>
      </c>
      <c r="G404" s="765">
        <v>23.36</v>
      </c>
      <c r="H404" s="783">
        <f t="shared" si="33"/>
        <v>21.83945197792</v>
      </c>
      <c r="I404" s="783">
        <f t="shared" si="31"/>
        <v>1375.8854746089601</v>
      </c>
      <c r="J404" s="843">
        <v>0</v>
      </c>
      <c r="K404" s="790">
        <f t="shared" si="34"/>
        <v>0</v>
      </c>
      <c r="L404" s="799">
        <f t="shared" si="35"/>
        <v>0</v>
      </c>
      <c r="M404" s="757">
        <f t="shared" si="32"/>
        <v>1375.8854746089601</v>
      </c>
      <c r="N404" s="841"/>
      <c r="O404" s="663">
        <v>0.93490804699999996</v>
      </c>
      <c r="P404" s="725" t="s">
        <v>1689</v>
      </c>
    </row>
    <row r="405" spans="1:16" s="204" customFormat="1" ht="18.95" customHeight="1">
      <c r="A405" s="1173" t="s">
        <v>1813</v>
      </c>
      <c r="B405" s="786" t="s">
        <v>1702</v>
      </c>
      <c r="C405" s="809"/>
      <c r="D405" s="860"/>
      <c r="E405" s="766"/>
      <c r="F405" s="857"/>
      <c r="G405" s="798"/>
      <c r="H405" s="783"/>
      <c r="I405" s="783"/>
      <c r="J405" s="843"/>
      <c r="K405" s="790"/>
      <c r="L405" s="799"/>
      <c r="M405" s="757"/>
      <c r="N405" s="837"/>
      <c r="O405" s="663">
        <v>0.93490804699999996</v>
      </c>
    </row>
    <row r="406" spans="1:16" s="204" customFormat="1" ht="18.95" customHeight="1">
      <c r="A406" s="855"/>
      <c r="B406" s="789" t="s">
        <v>273</v>
      </c>
      <c r="C406" s="852" t="s">
        <v>1723</v>
      </c>
      <c r="D406" s="852"/>
      <c r="E406" s="757">
        <v>23</v>
      </c>
      <c r="F406" s="799" t="s">
        <v>1684</v>
      </c>
      <c r="G406" s="759">
        <v>2679.9</v>
      </c>
      <c r="H406" s="783">
        <f t="shared" si="33"/>
        <v>2505.4600751552998</v>
      </c>
      <c r="I406" s="783">
        <f t="shared" si="31"/>
        <v>57625.581728571895</v>
      </c>
      <c r="J406" s="759">
        <v>519</v>
      </c>
      <c r="K406" s="790">
        <f t="shared" si="34"/>
        <v>485.21727639299996</v>
      </c>
      <c r="L406" s="799">
        <f t="shared" si="35"/>
        <v>11159.997357038999</v>
      </c>
      <c r="M406" s="757">
        <f t="shared" si="32"/>
        <v>68785.579085610894</v>
      </c>
      <c r="N406" s="841"/>
      <c r="O406" s="663">
        <v>0.93490804699999996</v>
      </c>
    </row>
    <row r="407" spans="1:16" s="204" customFormat="1" ht="18.95" customHeight="1">
      <c r="A407" s="855"/>
      <c r="B407" s="789" t="s">
        <v>273</v>
      </c>
      <c r="C407" s="852" t="s">
        <v>1724</v>
      </c>
      <c r="D407" s="852"/>
      <c r="E407" s="757">
        <v>49</v>
      </c>
      <c r="F407" s="799" t="s">
        <v>1684</v>
      </c>
      <c r="G407" s="759">
        <v>3025</v>
      </c>
      <c r="H407" s="783">
        <f t="shared" si="33"/>
        <v>2828.0968421749999</v>
      </c>
      <c r="I407" s="783">
        <f t="shared" si="31"/>
        <v>138576.74526657499</v>
      </c>
      <c r="J407" s="759">
        <v>519</v>
      </c>
      <c r="K407" s="790">
        <f t="shared" si="34"/>
        <v>485.21727639299996</v>
      </c>
      <c r="L407" s="799">
        <f t="shared" si="35"/>
        <v>23775.646543256997</v>
      </c>
      <c r="M407" s="757">
        <f t="shared" si="32"/>
        <v>162352.39180983198</v>
      </c>
      <c r="N407" s="841"/>
      <c r="O407" s="663">
        <v>0.93490804699999996</v>
      </c>
    </row>
    <row r="408" spans="1:16" s="204" customFormat="1" ht="18.95" customHeight="1">
      <c r="A408" s="1173" t="s">
        <v>1814</v>
      </c>
      <c r="B408" s="786" t="s">
        <v>1726</v>
      </c>
      <c r="C408" s="852"/>
      <c r="D408" s="852"/>
      <c r="E408" s="766"/>
      <c r="F408" s="799"/>
      <c r="G408" s="765"/>
      <c r="H408" s="783"/>
      <c r="I408" s="783"/>
      <c r="J408" s="843"/>
      <c r="K408" s="790"/>
      <c r="L408" s="799"/>
      <c r="M408" s="757"/>
      <c r="N408" s="841"/>
      <c r="O408" s="663">
        <v>0.93490804699999996</v>
      </c>
    </row>
    <row r="409" spans="1:16" s="204" customFormat="1" ht="18.95" customHeight="1">
      <c r="A409" s="853"/>
      <c r="B409" s="789" t="s">
        <v>273</v>
      </c>
      <c r="C409" s="852" t="s">
        <v>1727</v>
      </c>
      <c r="D409" s="852"/>
      <c r="E409" s="757">
        <v>3125.5</v>
      </c>
      <c r="F409" s="799" t="s">
        <v>397</v>
      </c>
      <c r="G409" s="798">
        <v>36.520000000000003</v>
      </c>
      <c r="H409" s="783">
        <f t="shared" si="33"/>
        <v>34.142841876440002</v>
      </c>
      <c r="I409" s="783">
        <f t="shared" si="31"/>
        <v>106713.45228481323</v>
      </c>
      <c r="J409" s="843">
        <v>14</v>
      </c>
      <c r="K409" s="790">
        <f t="shared" si="34"/>
        <v>13.088712657999999</v>
      </c>
      <c r="L409" s="799">
        <f t="shared" si="35"/>
        <v>40908.771412578993</v>
      </c>
      <c r="M409" s="757">
        <f t="shared" si="32"/>
        <v>147622.22369739221</v>
      </c>
      <c r="N409" s="841"/>
      <c r="O409" s="663">
        <v>0.93490804699999996</v>
      </c>
    </row>
    <row r="410" spans="1:16" s="204" customFormat="1" ht="18.95" customHeight="1">
      <c r="A410" s="856"/>
      <c r="B410" s="1169" t="s">
        <v>1815</v>
      </c>
      <c r="C410" s="801"/>
      <c r="D410" s="815"/>
      <c r="E410" s="854"/>
      <c r="F410" s="857"/>
      <c r="G410" s="843"/>
      <c r="H410" s="783"/>
      <c r="I410" s="783"/>
      <c r="J410" s="843"/>
      <c r="K410" s="790"/>
      <c r="L410" s="799"/>
      <c r="M410" s="757"/>
      <c r="N410" s="837"/>
      <c r="O410" s="663">
        <v>0.93490804699999996</v>
      </c>
    </row>
    <row r="411" spans="1:16" ht="18.95" customHeight="1">
      <c r="A411" s="1173" t="s">
        <v>1816</v>
      </c>
      <c r="B411" s="786" t="s">
        <v>1687</v>
      </c>
      <c r="C411" s="809"/>
      <c r="D411" s="815"/>
      <c r="E411" s="790"/>
      <c r="F411" s="799"/>
      <c r="G411" s="798"/>
      <c r="H411" s="783"/>
      <c r="I411" s="783"/>
      <c r="J411" s="843"/>
      <c r="K411" s="790"/>
      <c r="L411" s="799"/>
      <c r="M411" s="757"/>
      <c r="N411" s="837"/>
      <c r="O411" s="663">
        <v>0.93490804699999996</v>
      </c>
    </row>
    <row r="412" spans="1:16" ht="18.95" customHeight="1">
      <c r="A412" s="851"/>
      <c r="B412" s="789" t="s">
        <v>273</v>
      </c>
      <c r="C412" s="1170" t="s">
        <v>1688</v>
      </c>
      <c r="D412" s="852"/>
      <c r="E412" s="757">
        <v>8600</v>
      </c>
      <c r="F412" s="799" t="s">
        <v>397</v>
      </c>
      <c r="G412" s="765">
        <v>19.45</v>
      </c>
      <c r="H412" s="783">
        <f t="shared" si="33"/>
        <v>18.183961514149999</v>
      </c>
      <c r="I412" s="783">
        <f t="shared" si="31"/>
        <v>156382.06902169</v>
      </c>
      <c r="J412" s="843">
        <v>3.6</v>
      </c>
      <c r="K412" s="790">
        <f t="shared" si="34"/>
        <v>3.3656689692000001</v>
      </c>
      <c r="L412" s="799">
        <f t="shared" si="35"/>
        <v>28944.753135120001</v>
      </c>
      <c r="M412" s="757">
        <f t="shared" si="32"/>
        <v>185326.82215681</v>
      </c>
      <c r="N412" s="841"/>
      <c r="O412" s="663">
        <v>0.93490804699999996</v>
      </c>
      <c r="P412" s="725" t="s">
        <v>1689</v>
      </c>
    </row>
    <row r="413" spans="1:16" ht="18.95" customHeight="1">
      <c r="A413" s="851"/>
      <c r="B413" s="789" t="s">
        <v>273</v>
      </c>
      <c r="C413" s="1170" t="s">
        <v>1690</v>
      </c>
      <c r="D413" s="852"/>
      <c r="E413" s="757">
        <v>1480</v>
      </c>
      <c r="F413" s="799" t="s">
        <v>397</v>
      </c>
      <c r="G413" s="765">
        <v>19.25</v>
      </c>
      <c r="H413" s="783">
        <f t="shared" si="33"/>
        <v>17.996979904749999</v>
      </c>
      <c r="I413" s="783">
        <f t="shared" si="31"/>
        <v>26635.530259029998</v>
      </c>
      <c r="J413" s="843">
        <v>3.6</v>
      </c>
      <c r="K413" s="790">
        <f t="shared" si="34"/>
        <v>3.3656689692000001</v>
      </c>
      <c r="L413" s="799">
        <f t="shared" si="35"/>
        <v>4981.1900744160002</v>
      </c>
      <c r="M413" s="757">
        <f t="shared" si="32"/>
        <v>31616.720333445999</v>
      </c>
      <c r="N413" s="841"/>
      <c r="O413" s="663">
        <v>0.93490804699999996</v>
      </c>
      <c r="P413" s="725" t="s">
        <v>1689</v>
      </c>
    </row>
    <row r="414" spans="1:16" ht="18.95" customHeight="1">
      <c r="A414" s="853"/>
      <c r="B414" s="789" t="s">
        <v>273</v>
      </c>
      <c r="C414" s="1170" t="s">
        <v>1694</v>
      </c>
      <c r="D414" s="852"/>
      <c r="E414" s="757">
        <v>181</v>
      </c>
      <c r="F414" s="799" t="s">
        <v>397</v>
      </c>
      <c r="G414" s="765">
        <v>27.1</v>
      </c>
      <c r="H414" s="783">
        <f t="shared" si="33"/>
        <v>25.3360080737</v>
      </c>
      <c r="I414" s="783">
        <f t="shared" si="31"/>
        <v>4585.8174613397005</v>
      </c>
      <c r="J414" s="843">
        <v>0</v>
      </c>
      <c r="K414" s="790">
        <f t="shared" si="34"/>
        <v>0</v>
      </c>
      <c r="L414" s="799">
        <f t="shared" si="35"/>
        <v>0</v>
      </c>
      <c r="M414" s="757">
        <f t="shared" si="32"/>
        <v>4585.8174613397005</v>
      </c>
      <c r="N414" s="841"/>
      <c r="O414" s="663">
        <v>0.93490804699999996</v>
      </c>
      <c r="P414" s="725" t="s">
        <v>1689</v>
      </c>
    </row>
    <row r="415" spans="1:16" ht="18.95" customHeight="1">
      <c r="A415" s="1173" t="s">
        <v>1817</v>
      </c>
      <c r="B415" s="786" t="s">
        <v>1696</v>
      </c>
      <c r="C415" s="809"/>
      <c r="D415" s="858"/>
      <c r="E415" s="854"/>
      <c r="F415" s="857"/>
      <c r="G415" s="765"/>
      <c r="H415" s="783"/>
      <c r="I415" s="783"/>
      <c r="J415" s="765"/>
      <c r="K415" s="790"/>
      <c r="L415" s="799"/>
      <c r="M415" s="757"/>
      <c r="N415" s="837"/>
      <c r="O415" s="663">
        <v>0.93490804699999996</v>
      </c>
    </row>
    <row r="416" spans="1:16" ht="18.95" customHeight="1">
      <c r="A416" s="853"/>
      <c r="B416" s="789" t="s">
        <v>273</v>
      </c>
      <c r="C416" s="1170" t="s">
        <v>1697</v>
      </c>
      <c r="D416" s="852"/>
      <c r="E416" s="766">
        <v>538</v>
      </c>
      <c r="F416" s="799" t="s">
        <v>211</v>
      </c>
      <c r="G416" s="765">
        <v>245.2</v>
      </c>
      <c r="H416" s="783">
        <f t="shared" si="33"/>
        <v>229.23945312439997</v>
      </c>
      <c r="I416" s="783">
        <f t="shared" si="31"/>
        <v>123330.82578092719</v>
      </c>
      <c r="J416" s="843">
        <v>0</v>
      </c>
      <c r="K416" s="790">
        <f t="shared" si="34"/>
        <v>0</v>
      </c>
      <c r="L416" s="799">
        <f t="shared" si="35"/>
        <v>0</v>
      </c>
      <c r="M416" s="757">
        <f t="shared" si="32"/>
        <v>123330.82578092719</v>
      </c>
      <c r="N416" s="841"/>
      <c r="O416" s="663">
        <v>0.93490804699999996</v>
      </c>
    </row>
    <row r="417" spans="1:16" ht="18.95" customHeight="1">
      <c r="A417" s="853"/>
      <c r="B417" s="789" t="s">
        <v>273</v>
      </c>
      <c r="C417" s="1170" t="s">
        <v>1698</v>
      </c>
      <c r="D417" s="852"/>
      <c r="E417" s="766">
        <v>1076</v>
      </c>
      <c r="F417" s="799" t="s">
        <v>211</v>
      </c>
      <c r="G417" s="765"/>
      <c r="H417" s="783">
        <f t="shared" si="33"/>
        <v>0</v>
      </c>
      <c r="I417" s="783">
        <f t="shared" si="31"/>
        <v>0</v>
      </c>
      <c r="J417" s="843">
        <v>121</v>
      </c>
      <c r="K417" s="790">
        <f t="shared" si="34"/>
        <v>113.123873687</v>
      </c>
      <c r="L417" s="799">
        <f t="shared" si="35"/>
        <v>121721.288087212</v>
      </c>
      <c r="M417" s="757">
        <f t="shared" si="32"/>
        <v>121721.288087212</v>
      </c>
      <c r="N417" s="841"/>
      <c r="O417" s="663">
        <v>0.93490804699999996</v>
      </c>
    </row>
    <row r="418" spans="1:16" ht="18.95" customHeight="1">
      <c r="A418" s="853"/>
      <c r="B418" s="789" t="s">
        <v>273</v>
      </c>
      <c r="C418" s="1170" t="s">
        <v>1699</v>
      </c>
      <c r="D418" s="852"/>
      <c r="E418" s="766">
        <v>162</v>
      </c>
      <c r="F418" s="799" t="s">
        <v>1700</v>
      </c>
      <c r="G418" s="765">
        <v>309.42</v>
      </c>
      <c r="H418" s="783">
        <f t="shared" si="33"/>
        <v>289.27924790274</v>
      </c>
      <c r="I418" s="783">
        <f t="shared" si="31"/>
        <v>46863.238160243876</v>
      </c>
      <c r="J418" s="843">
        <v>0</v>
      </c>
      <c r="K418" s="790">
        <f t="shared" si="34"/>
        <v>0</v>
      </c>
      <c r="L418" s="799">
        <f t="shared" si="35"/>
        <v>0</v>
      </c>
      <c r="M418" s="757">
        <f t="shared" si="32"/>
        <v>46863.238160243876</v>
      </c>
      <c r="N418" s="841"/>
      <c r="O418" s="663">
        <v>0.93490804699999996</v>
      </c>
    </row>
    <row r="419" spans="1:16" ht="18.95" customHeight="1">
      <c r="A419" s="853"/>
      <c r="B419" s="789" t="s">
        <v>273</v>
      </c>
      <c r="C419" s="1170" t="s">
        <v>1701</v>
      </c>
      <c r="D419" s="852"/>
      <c r="E419" s="757">
        <v>135</v>
      </c>
      <c r="F419" s="799" t="s">
        <v>397</v>
      </c>
      <c r="G419" s="765">
        <v>23.36</v>
      </c>
      <c r="H419" s="783">
        <f t="shared" si="33"/>
        <v>21.83945197792</v>
      </c>
      <c r="I419" s="783">
        <f t="shared" si="31"/>
        <v>2948.3260170191998</v>
      </c>
      <c r="J419" s="843">
        <v>0</v>
      </c>
      <c r="K419" s="790">
        <f t="shared" si="34"/>
        <v>0</v>
      </c>
      <c r="L419" s="799">
        <f t="shared" si="35"/>
        <v>0</v>
      </c>
      <c r="M419" s="757">
        <f t="shared" si="32"/>
        <v>2948.3260170191998</v>
      </c>
      <c r="N419" s="841"/>
      <c r="O419" s="663">
        <v>0.93490804699999996</v>
      </c>
      <c r="P419" s="725" t="s">
        <v>1689</v>
      </c>
    </row>
    <row r="420" spans="1:16" ht="18.95" customHeight="1">
      <c r="A420" s="1173" t="s">
        <v>1818</v>
      </c>
      <c r="B420" s="786" t="s">
        <v>1702</v>
      </c>
      <c r="C420" s="809"/>
      <c r="D420" s="860"/>
      <c r="E420" s="766"/>
      <c r="F420" s="857"/>
      <c r="G420" s="798"/>
      <c r="H420" s="783"/>
      <c r="I420" s="783"/>
      <c r="J420" s="843"/>
      <c r="K420" s="790"/>
      <c r="L420" s="799"/>
      <c r="M420" s="757"/>
      <c r="N420" s="837"/>
      <c r="O420" s="663">
        <v>0.93490804699999996</v>
      </c>
    </row>
    <row r="421" spans="1:16" ht="18.95" customHeight="1">
      <c r="A421" s="855"/>
      <c r="B421" s="789" t="s">
        <v>273</v>
      </c>
      <c r="C421" s="852" t="s">
        <v>1723</v>
      </c>
      <c r="D421" s="852"/>
      <c r="E421" s="757">
        <v>108</v>
      </c>
      <c r="F421" s="799" t="s">
        <v>1684</v>
      </c>
      <c r="G421" s="759">
        <v>2679.9</v>
      </c>
      <c r="H421" s="783">
        <f t="shared" si="33"/>
        <v>2505.4600751552998</v>
      </c>
      <c r="I421" s="783">
        <f t="shared" si="31"/>
        <v>270589.68811677239</v>
      </c>
      <c r="J421" s="759">
        <v>519</v>
      </c>
      <c r="K421" s="790">
        <f t="shared" si="34"/>
        <v>485.21727639299996</v>
      </c>
      <c r="L421" s="799">
        <f t="shared" si="35"/>
        <v>52403.465850443994</v>
      </c>
      <c r="M421" s="757">
        <f t="shared" si="32"/>
        <v>322993.15396721638</v>
      </c>
      <c r="N421" s="841"/>
      <c r="O421" s="663">
        <v>0.93490804699999996</v>
      </c>
    </row>
    <row r="422" spans="1:16" ht="18.95" customHeight="1">
      <c r="A422" s="859">
        <v>4.1500000000000004</v>
      </c>
      <c r="B422" s="786" t="s">
        <v>1819</v>
      </c>
      <c r="C422" s="852"/>
      <c r="D422" s="852"/>
      <c r="E422" s="766"/>
      <c r="F422" s="799"/>
      <c r="G422" s="765"/>
      <c r="H422" s="783"/>
      <c r="I422" s="783"/>
      <c r="J422" s="843"/>
      <c r="K422" s="790"/>
      <c r="L422" s="799"/>
      <c r="M422" s="757"/>
      <c r="N422" s="841"/>
      <c r="O422" s="663">
        <v>0.93490804699999996</v>
      </c>
    </row>
    <row r="423" spans="1:16" ht="18.95" customHeight="1">
      <c r="A423" s="853"/>
      <c r="B423" s="789" t="s">
        <v>273</v>
      </c>
      <c r="C423" s="852" t="s">
        <v>1820</v>
      </c>
      <c r="D423" s="852"/>
      <c r="E423" s="757">
        <v>211</v>
      </c>
      <c r="F423" s="799" t="s">
        <v>397</v>
      </c>
      <c r="G423" s="798">
        <v>26.54</v>
      </c>
      <c r="H423" s="783">
        <f t="shared" si="33"/>
        <v>24.812459567379999</v>
      </c>
      <c r="I423" s="783">
        <f t="shared" si="31"/>
        <v>5235.4289687171795</v>
      </c>
      <c r="J423" s="843">
        <v>14</v>
      </c>
      <c r="K423" s="790">
        <f t="shared" si="34"/>
        <v>13.088712657999999</v>
      </c>
      <c r="L423" s="799">
        <f t="shared" si="35"/>
        <v>2761.7183708379998</v>
      </c>
      <c r="M423" s="757">
        <f t="shared" si="32"/>
        <v>7997.1473395551793</v>
      </c>
      <c r="N423" s="841"/>
      <c r="O423" s="663">
        <v>0.93490804699999996</v>
      </c>
    </row>
    <row r="424" spans="1:16" ht="18.95" customHeight="1">
      <c r="A424" s="853"/>
      <c r="B424" s="789" t="s">
        <v>273</v>
      </c>
      <c r="C424" s="852" t="s">
        <v>1821</v>
      </c>
      <c r="D424" s="852"/>
      <c r="E424" s="757">
        <v>526</v>
      </c>
      <c r="F424" s="799" t="s">
        <v>397</v>
      </c>
      <c r="G424" s="798">
        <v>26.75</v>
      </c>
      <c r="H424" s="783">
        <f t="shared" si="33"/>
        <v>25.008790257249998</v>
      </c>
      <c r="I424" s="783">
        <f t="shared" si="31"/>
        <v>13154.6236753135</v>
      </c>
      <c r="J424" s="843">
        <v>14</v>
      </c>
      <c r="K424" s="790">
        <f t="shared" si="34"/>
        <v>13.088712657999999</v>
      </c>
      <c r="L424" s="799">
        <f t="shared" si="35"/>
        <v>6884.6628581079995</v>
      </c>
      <c r="M424" s="757">
        <f t="shared" si="32"/>
        <v>20039.286533421498</v>
      </c>
      <c r="N424" s="841"/>
      <c r="O424" s="663">
        <v>0.93490804699999996</v>
      </c>
    </row>
    <row r="425" spans="1:16" ht="18.95" customHeight="1">
      <c r="A425" s="853"/>
      <c r="B425" s="789" t="s">
        <v>273</v>
      </c>
      <c r="C425" s="852" t="s">
        <v>1822</v>
      </c>
      <c r="D425" s="852"/>
      <c r="E425" s="757">
        <v>425</v>
      </c>
      <c r="F425" s="799" t="s">
        <v>397</v>
      </c>
      <c r="G425" s="798">
        <v>26.78</v>
      </c>
      <c r="H425" s="783">
        <f t="shared" si="33"/>
        <v>25.036837498659999</v>
      </c>
      <c r="I425" s="783">
        <f t="shared" si="31"/>
        <v>10640.6559369305</v>
      </c>
      <c r="J425" s="843">
        <v>14</v>
      </c>
      <c r="K425" s="790">
        <f t="shared" si="34"/>
        <v>13.088712657999999</v>
      </c>
      <c r="L425" s="799">
        <f t="shared" si="35"/>
        <v>5562.702879649999</v>
      </c>
      <c r="M425" s="757">
        <f t="shared" si="32"/>
        <v>16203.358816580498</v>
      </c>
      <c r="N425" s="841"/>
      <c r="O425" s="663">
        <v>0.93490804699999996</v>
      </c>
    </row>
    <row r="426" spans="1:16" ht="18.95" customHeight="1">
      <c r="A426" s="814"/>
      <c r="B426" s="789" t="s">
        <v>273</v>
      </c>
      <c r="C426" s="1174" t="s">
        <v>1744</v>
      </c>
      <c r="D426" s="815"/>
      <c r="E426" s="757">
        <v>63</v>
      </c>
      <c r="F426" s="799" t="s">
        <v>211</v>
      </c>
      <c r="G426" s="798">
        <v>28.02</v>
      </c>
      <c r="H426" s="783">
        <f t="shared" si="33"/>
        <v>26.196123476939999</v>
      </c>
      <c r="I426" s="783">
        <f t="shared" ref="I426:I489" si="36">H426*E426</f>
        <v>1650.3557790472198</v>
      </c>
      <c r="J426" s="759">
        <v>30</v>
      </c>
      <c r="K426" s="790">
        <f t="shared" si="34"/>
        <v>28.047241409999998</v>
      </c>
      <c r="L426" s="799">
        <f t="shared" si="35"/>
        <v>1766.9762088299999</v>
      </c>
      <c r="M426" s="757">
        <f t="shared" si="32"/>
        <v>3417.3319878772199</v>
      </c>
      <c r="N426" s="837"/>
      <c r="O426" s="663">
        <v>0.93490804699999996</v>
      </c>
    </row>
    <row r="427" spans="1:16" ht="18.95" customHeight="1">
      <c r="A427" s="814"/>
      <c r="B427" s="789" t="s">
        <v>273</v>
      </c>
      <c r="C427" s="1170" t="s">
        <v>1745</v>
      </c>
      <c r="D427" s="852"/>
      <c r="E427" s="757">
        <v>63</v>
      </c>
      <c r="F427" s="799" t="s">
        <v>211</v>
      </c>
      <c r="G427" s="765">
        <v>32.32</v>
      </c>
      <c r="H427" s="783">
        <f t="shared" si="33"/>
        <v>30.21622807904</v>
      </c>
      <c r="I427" s="783">
        <f t="shared" si="36"/>
        <v>1903.6223689795199</v>
      </c>
      <c r="J427" s="843">
        <v>35</v>
      </c>
      <c r="K427" s="790">
        <f t="shared" si="34"/>
        <v>32.721781645</v>
      </c>
      <c r="L427" s="799">
        <f t="shared" si="35"/>
        <v>2061.4722436349998</v>
      </c>
      <c r="M427" s="757">
        <f t="shared" ref="M427:M428" si="37">L427+I427</f>
        <v>3965.09461261452</v>
      </c>
      <c r="N427" s="837"/>
      <c r="O427" s="663">
        <v>0.93490804699999996</v>
      </c>
      <c r="P427" s="725" t="s">
        <v>1689</v>
      </c>
    </row>
    <row r="428" spans="1:16" ht="18.95" customHeight="1">
      <c r="A428" s="814"/>
      <c r="B428" s="789" t="s">
        <v>273</v>
      </c>
      <c r="C428" s="1174" t="s">
        <v>1746</v>
      </c>
      <c r="D428" s="815"/>
      <c r="E428" s="757">
        <v>63</v>
      </c>
      <c r="F428" s="799" t="s">
        <v>211</v>
      </c>
      <c r="G428" s="798">
        <v>130</v>
      </c>
      <c r="H428" s="783">
        <f t="shared" si="33"/>
        <v>121.53804611</v>
      </c>
      <c r="I428" s="783">
        <f t="shared" si="36"/>
        <v>7656.8969049299994</v>
      </c>
      <c r="J428" s="843">
        <v>30</v>
      </c>
      <c r="K428" s="790">
        <f t="shared" si="34"/>
        <v>28.047241409999998</v>
      </c>
      <c r="L428" s="799">
        <f t="shared" si="35"/>
        <v>1766.9762088299999</v>
      </c>
      <c r="M428" s="757">
        <f t="shared" si="37"/>
        <v>9423.8731137599989</v>
      </c>
      <c r="N428" s="837"/>
      <c r="O428" s="663">
        <v>0.93490804699999996</v>
      </c>
    </row>
    <row r="429" spans="1:16" ht="18.95" customHeight="1">
      <c r="A429" s="875"/>
      <c r="B429" s="786"/>
      <c r="C429" s="809"/>
      <c r="D429" s="810"/>
      <c r="E429" s="766"/>
      <c r="F429" s="799"/>
      <c r="G429" s="798"/>
      <c r="H429" s="783"/>
      <c r="I429" s="783"/>
      <c r="J429" s="798"/>
      <c r="K429" s="790"/>
      <c r="L429" s="799"/>
      <c r="M429" s="757"/>
      <c r="N429" s="837"/>
      <c r="O429" s="663">
        <v>0.93490804699999996</v>
      </c>
    </row>
    <row r="430" spans="1:16" s="724" customFormat="1" ht="18.95" customHeight="1">
      <c r="A430" s="791"/>
      <c r="B430" s="1336" t="s">
        <v>1823</v>
      </c>
      <c r="C430" s="1337"/>
      <c r="D430" s="1338"/>
      <c r="E430" s="792"/>
      <c r="F430" s="793"/>
      <c r="G430" s="794"/>
      <c r="H430" s="864"/>
      <c r="I430" s="864"/>
      <c r="J430" s="844"/>
      <c r="K430" s="873"/>
      <c r="L430" s="845"/>
      <c r="M430" s="846">
        <f>SUM(M362:M428)</f>
        <v>11816618.181369217</v>
      </c>
      <c r="N430" s="878"/>
      <c r="O430" s="848">
        <v>0.93490804699999996</v>
      </c>
    </row>
    <row r="431" spans="1:16" ht="18.95" customHeight="1">
      <c r="A431" s="778"/>
      <c r="B431" s="865"/>
      <c r="C431" s="866"/>
      <c r="D431" s="867"/>
      <c r="E431" s="757"/>
      <c r="F431" s="766"/>
      <c r="G431" s="868"/>
      <c r="H431" s="783"/>
      <c r="I431" s="783"/>
      <c r="J431" s="874"/>
      <c r="K431" s="790"/>
      <c r="L431" s="799"/>
      <c r="M431" s="805"/>
      <c r="N431" s="841"/>
      <c r="O431" s="663">
        <v>0.93490804699999996</v>
      </c>
    </row>
    <row r="432" spans="1:16" ht="18.95" customHeight="1">
      <c r="A432" s="778"/>
      <c r="B432" s="865"/>
      <c r="C432" s="866"/>
      <c r="D432" s="867"/>
      <c r="E432" s="757"/>
      <c r="F432" s="766"/>
      <c r="G432" s="868"/>
      <c r="H432" s="783"/>
      <c r="I432" s="783"/>
      <c r="J432" s="874"/>
      <c r="K432" s="790"/>
      <c r="L432" s="799"/>
      <c r="M432" s="805"/>
      <c r="N432" s="841"/>
      <c r="O432" s="663">
        <v>0.93490804699999996</v>
      </c>
    </row>
    <row r="433" spans="1:15" ht="18.95" customHeight="1">
      <c r="A433" s="778"/>
      <c r="B433" s="865"/>
      <c r="C433" s="866"/>
      <c r="D433" s="867"/>
      <c r="E433" s="757"/>
      <c r="F433" s="766"/>
      <c r="G433" s="868"/>
      <c r="H433" s="783"/>
      <c r="I433" s="783"/>
      <c r="J433" s="874"/>
      <c r="K433" s="790"/>
      <c r="L433" s="799"/>
      <c r="M433" s="805"/>
      <c r="N433" s="841"/>
      <c r="O433" s="663">
        <v>0.93490804699999996</v>
      </c>
    </row>
    <row r="434" spans="1:15" ht="18.95" customHeight="1">
      <c r="A434" s="778"/>
      <c r="B434" s="865"/>
      <c r="C434" s="866"/>
      <c r="D434" s="867"/>
      <c r="E434" s="757"/>
      <c r="F434" s="766"/>
      <c r="G434" s="868"/>
      <c r="H434" s="783"/>
      <c r="I434" s="783"/>
      <c r="J434" s="874"/>
      <c r="K434" s="790"/>
      <c r="L434" s="799"/>
      <c r="M434" s="805"/>
      <c r="N434" s="841"/>
      <c r="O434" s="663">
        <v>0.93490804699999996</v>
      </c>
    </row>
    <row r="435" spans="1:15" ht="18.95" customHeight="1">
      <c r="A435" s="778"/>
      <c r="B435" s="865"/>
      <c r="C435" s="866"/>
      <c r="D435" s="867"/>
      <c r="E435" s="757"/>
      <c r="F435" s="766"/>
      <c r="G435" s="868"/>
      <c r="H435" s="783"/>
      <c r="I435" s="783"/>
      <c r="J435" s="874"/>
      <c r="K435" s="790"/>
      <c r="L435" s="799"/>
      <c r="M435" s="805"/>
      <c r="N435" s="841"/>
      <c r="O435" s="663">
        <v>0.93490804699999996</v>
      </c>
    </row>
    <row r="436" spans="1:15" ht="18.95" customHeight="1">
      <c r="A436" s="778"/>
      <c r="B436" s="865"/>
      <c r="C436" s="866"/>
      <c r="D436" s="867"/>
      <c r="E436" s="757"/>
      <c r="F436" s="766"/>
      <c r="G436" s="868"/>
      <c r="H436" s="783"/>
      <c r="I436" s="783"/>
      <c r="J436" s="874"/>
      <c r="K436" s="790"/>
      <c r="L436" s="799"/>
      <c r="M436" s="805"/>
      <c r="N436" s="841"/>
      <c r="O436" s="663">
        <v>0.93490804699999996</v>
      </c>
    </row>
    <row r="437" spans="1:15" ht="18.95" customHeight="1">
      <c r="A437" s="778"/>
      <c r="B437" s="865"/>
      <c r="C437" s="866"/>
      <c r="D437" s="867"/>
      <c r="E437" s="757"/>
      <c r="F437" s="766"/>
      <c r="G437" s="868"/>
      <c r="H437" s="783"/>
      <c r="I437" s="783"/>
      <c r="J437" s="874"/>
      <c r="K437" s="790"/>
      <c r="L437" s="799"/>
      <c r="M437" s="805"/>
      <c r="N437" s="841"/>
      <c r="O437" s="663">
        <v>0.93490804699999996</v>
      </c>
    </row>
    <row r="438" spans="1:15" ht="18.95" customHeight="1">
      <c r="A438" s="778"/>
      <c r="B438" s="865"/>
      <c r="C438" s="866"/>
      <c r="D438" s="867"/>
      <c r="E438" s="757"/>
      <c r="F438" s="766"/>
      <c r="G438" s="868"/>
      <c r="H438" s="783"/>
      <c r="I438" s="783"/>
      <c r="J438" s="874"/>
      <c r="K438" s="790"/>
      <c r="L438" s="799"/>
      <c r="M438" s="805"/>
      <c r="N438" s="841"/>
      <c r="O438" s="663">
        <v>0.93490804699999996</v>
      </c>
    </row>
    <row r="439" spans="1:15" ht="18.95" customHeight="1">
      <c r="A439" s="778"/>
      <c r="B439" s="865"/>
      <c r="C439" s="866"/>
      <c r="D439" s="867"/>
      <c r="E439" s="757"/>
      <c r="F439" s="766"/>
      <c r="G439" s="868"/>
      <c r="H439" s="783"/>
      <c r="I439" s="783"/>
      <c r="J439" s="874"/>
      <c r="K439" s="790"/>
      <c r="L439" s="799"/>
      <c r="M439" s="805"/>
      <c r="N439" s="841"/>
      <c r="O439" s="663">
        <v>0.93490804699999996</v>
      </c>
    </row>
    <row r="440" spans="1:15" ht="18.95" customHeight="1">
      <c r="A440" s="778"/>
      <c r="B440" s="865"/>
      <c r="C440" s="866"/>
      <c r="D440" s="867"/>
      <c r="E440" s="757"/>
      <c r="F440" s="766"/>
      <c r="G440" s="868"/>
      <c r="H440" s="783"/>
      <c r="I440" s="783"/>
      <c r="J440" s="874"/>
      <c r="K440" s="790"/>
      <c r="L440" s="799"/>
      <c r="M440" s="805"/>
      <c r="N440" s="841"/>
      <c r="O440" s="663">
        <v>0.93490804699999996</v>
      </c>
    </row>
    <row r="441" spans="1:15" ht="18.95" customHeight="1">
      <c r="A441" s="778"/>
      <c r="B441" s="865"/>
      <c r="C441" s="866"/>
      <c r="D441" s="867"/>
      <c r="E441" s="757"/>
      <c r="F441" s="766"/>
      <c r="G441" s="868"/>
      <c r="H441" s="783"/>
      <c r="I441" s="783"/>
      <c r="J441" s="874"/>
      <c r="K441" s="790"/>
      <c r="L441" s="799"/>
      <c r="M441" s="805"/>
      <c r="N441" s="841"/>
      <c r="O441" s="663">
        <v>0.93490804699999996</v>
      </c>
    </row>
    <row r="442" spans="1:15" ht="18.95" customHeight="1">
      <c r="A442" s="778"/>
      <c r="B442" s="865"/>
      <c r="C442" s="866"/>
      <c r="D442" s="867"/>
      <c r="E442" s="757"/>
      <c r="F442" s="766"/>
      <c r="G442" s="868"/>
      <c r="H442" s="783"/>
      <c r="I442" s="783"/>
      <c r="J442" s="874"/>
      <c r="K442" s="790"/>
      <c r="L442" s="799"/>
      <c r="M442" s="805"/>
      <c r="N442" s="841"/>
      <c r="O442" s="663">
        <v>0.93490804699999996</v>
      </c>
    </row>
    <row r="443" spans="1:15" ht="18.95" customHeight="1">
      <c r="A443" s="778"/>
      <c r="B443" s="865"/>
      <c r="C443" s="866"/>
      <c r="D443" s="867"/>
      <c r="E443" s="757"/>
      <c r="F443" s="766"/>
      <c r="G443" s="868"/>
      <c r="H443" s="783"/>
      <c r="I443" s="783"/>
      <c r="J443" s="874"/>
      <c r="K443" s="790"/>
      <c r="L443" s="799"/>
      <c r="M443" s="805"/>
      <c r="N443" s="841"/>
      <c r="O443" s="663">
        <v>0.93490804699999996</v>
      </c>
    </row>
    <row r="444" spans="1:15" ht="18.95" customHeight="1">
      <c r="A444" s="778"/>
      <c r="B444" s="865"/>
      <c r="C444" s="866"/>
      <c r="D444" s="867"/>
      <c r="E444" s="757"/>
      <c r="F444" s="766"/>
      <c r="G444" s="868"/>
      <c r="H444" s="783"/>
      <c r="I444" s="783"/>
      <c r="J444" s="874"/>
      <c r="K444" s="790"/>
      <c r="L444" s="799"/>
      <c r="M444" s="805"/>
      <c r="N444" s="841"/>
      <c r="O444" s="663">
        <v>0.93490804699999996</v>
      </c>
    </row>
    <row r="445" spans="1:15" ht="18.95" customHeight="1">
      <c r="A445" s="778"/>
      <c r="B445" s="865"/>
      <c r="C445" s="866"/>
      <c r="D445" s="867"/>
      <c r="E445" s="757"/>
      <c r="F445" s="766"/>
      <c r="G445" s="868"/>
      <c r="H445" s="783"/>
      <c r="I445" s="783"/>
      <c r="J445" s="874"/>
      <c r="K445" s="790"/>
      <c r="L445" s="799"/>
      <c r="M445" s="805"/>
      <c r="N445" s="841"/>
      <c r="O445" s="663">
        <v>0.93490804699999996</v>
      </c>
    </row>
    <row r="446" spans="1:15" ht="18.95" customHeight="1">
      <c r="A446" s="778"/>
      <c r="B446" s="865"/>
      <c r="C446" s="866"/>
      <c r="D446" s="867"/>
      <c r="E446" s="757"/>
      <c r="F446" s="766"/>
      <c r="G446" s="868"/>
      <c r="H446" s="783"/>
      <c r="I446" s="783"/>
      <c r="J446" s="874"/>
      <c r="K446" s="790"/>
      <c r="L446" s="799"/>
      <c r="M446" s="805"/>
      <c r="N446" s="841"/>
      <c r="O446" s="663">
        <v>0.93490804699999996</v>
      </c>
    </row>
    <row r="447" spans="1:15" ht="18.95" customHeight="1">
      <c r="A447" s="778"/>
      <c r="B447" s="865"/>
      <c r="C447" s="866"/>
      <c r="D447" s="867"/>
      <c r="E447" s="757"/>
      <c r="F447" s="766"/>
      <c r="G447" s="868"/>
      <c r="H447" s="783"/>
      <c r="I447" s="783"/>
      <c r="J447" s="874"/>
      <c r="K447" s="790"/>
      <c r="L447" s="799"/>
      <c r="M447" s="805"/>
      <c r="N447" s="841"/>
      <c r="O447" s="663">
        <v>0.93490804699999996</v>
      </c>
    </row>
    <row r="448" spans="1:15" ht="18.95" customHeight="1">
      <c r="A448" s="875"/>
      <c r="B448" s="870"/>
      <c r="C448" s="871"/>
      <c r="D448" s="872"/>
      <c r="E448" s="757"/>
      <c r="F448" s="766"/>
      <c r="G448" s="868"/>
      <c r="H448" s="783"/>
      <c r="I448" s="783"/>
      <c r="J448" s="874"/>
      <c r="K448" s="790"/>
      <c r="L448" s="799"/>
      <c r="M448" s="805"/>
      <c r="N448" s="837"/>
      <c r="O448" s="663">
        <v>0.93490804699999996</v>
      </c>
    </row>
    <row r="449" spans="1:16" ht="18.95" customHeight="1">
      <c r="A449" s="776">
        <v>5</v>
      </c>
      <c r="B449" s="1169" t="s">
        <v>1661</v>
      </c>
      <c r="C449" s="801"/>
      <c r="D449" s="785"/>
      <c r="E449" s="781"/>
      <c r="F449" s="758"/>
      <c r="G449" s="782"/>
      <c r="H449" s="783"/>
      <c r="I449" s="783"/>
      <c r="J449" s="782"/>
      <c r="K449" s="790"/>
      <c r="L449" s="799"/>
      <c r="M449" s="757"/>
      <c r="N449" s="837"/>
      <c r="O449" s="663">
        <v>0.93490804699999996</v>
      </c>
    </row>
    <row r="450" spans="1:16" ht="18.95" customHeight="1">
      <c r="A450" s="856"/>
      <c r="B450" s="800"/>
      <c r="C450" s="801"/>
      <c r="D450" s="815"/>
      <c r="E450" s="854"/>
      <c r="F450" s="857"/>
      <c r="G450" s="843"/>
      <c r="H450" s="783"/>
      <c r="I450" s="783"/>
      <c r="J450" s="843"/>
      <c r="K450" s="790"/>
      <c r="L450" s="799"/>
      <c r="M450" s="757"/>
      <c r="N450" s="837"/>
      <c r="O450" s="663">
        <v>0.93490804699999996</v>
      </c>
    </row>
    <row r="451" spans="1:16" ht="18.95" customHeight="1">
      <c r="A451" s="856"/>
      <c r="B451" s="1169" t="s">
        <v>1824</v>
      </c>
      <c r="C451" s="801"/>
      <c r="D451" s="815"/>
      <c r="E451" s="854"/>
      <c r="F451" s="857"/>
      <c r="G451" s="843"/>
      <c r="H451" s="783"/>
      <c r="I451" s="783"/>
      <c r="J451" s="843"/>
      <c r="K451" s="790"/>
      <c r="L451" s="799"/>
      <c r="M451" s="757"/>
      <c r="N451" s="837"/>
      <c r="O451" s="663">
        <v>0.93490804699999996</v>
      </c>
    </row>
    <row r="452" spans="1:16" ht="18.95" customHeight="1">
      <c r="A452" s="814">
        <v>5.0999999999999996</v>
      </c>
      <c r="B452" s="786" t="s">
        <v>1825</v>
      </c>
      <c r="C452" s="809"/>
      <c r="D452" s="815"/>
      <c r="E452" s="790"/>
      <c r="F452" s="799"/>
      <c r="G452" s="798"/>
      <c r="H452" s="783"/>
      <c r="I452" s="783"/>
      <c r="J452" s="843"/>
      <c r="K452" s="790"/>
      <c r="L452" s="799"/>
      <c r="M452" s="757"/>
      <c r="N452" s="841"/>
      <c r="O452" s="663">
        <v>0.93490804699999996</v>
      </c>
    </row>
    <row r="453" spans="1:16" ht="18.95" customHeight="1">
      <c r="A453" s="851"/>
      <c r="B453" s="789" t="s">
        <v>273</v>
      </c>
      <c r="C453" s="1170" t="s">
        <v>1720</v>
      </c>
      <c r="D453" s="852"/>
      <c r="E453" s="757">
        <v>244</v>
      </c>
      <c r="F453" s="799" t="s">
        <v>397</v>
      </c>
      <c r="G453" s="765">
        <v>19.600000000000001</v>
      </c>
      <c r="H453" s="783">
        <f t="shared" ref="H453:H508" si="38">G453*O453</f>
        <v>18.324197721200001</v>
      </c>
      <c r="I453" s="783">
        <f t="shared" si="36"/>
        <v>4471.1042439727998</v>
      </c>
      <c r="J453" s="843">
        <v>4.4000000000000004</v>
      </c>
      <c r="K453" s="790">
        <f t="shared" ref="K453:K509" si="39">J453*O453</f>
        <v>4.1135954068</v>
      </c>
      <c r="L453" s="799">
        <f t="shared" ref="L453:L509" si="40">K453*E453</f>
        <v>1003.7172792592</v>
      </c>
      <c r="M453" s="757">
        <f>L453+I453</f>
        <v>5474.8215232319999</v>
      </c>
      <c r="N453" s="841"/>
      <c r="O453" s="663">
        <v>0.93490804699999996</v>
      </c>
      <c r="P453" s="725" t="s">
        <v>1689</v>
      </c>
    </row>
    <row r="454" spans="1:16" ht="18.95" customHeight="1">
      <c r="A454" s="851"/>
      <c r="B454" s="789" t="s">
        <v>273</v>
      </c>
      <c r="C454" s="1170" t="s">
        <v>1688</v>
      </c>
      <c r="D454" s="852"/>
      <c r="E454" s="757">
        <v>30882</v>
      </c>
      <c r="F454" s="799" t="s">
        <v>397</v>
      </c>
      <c r="G454" s="765">
        <v>19.45</v>
      </c>
      <c r="H454" s="783">
        <f t="shared" si="38"/>
        <v>18.183961514149999</v>
      </c>
      <c r="I454" s="783">
        <f t="shared" si="36"/>
        <v>561557.0994799803</v>
      </c>
      <c r="J454" s="843">
        <v>3.6</v>
      </c>
      <c r="K454" s="790">
        <f t="shared" si="39"/>
        <v>3.3656689692000001</v>
      </c>
      <c r="L454" s="799">
        <f t="shared" si="40"/>
        <v>103938.58910683441</v>
      </c>
      <c r="M454" s="757">
        <f t="shared" ref="M454:M517" si="41">L454+I454</f>
        <v>665495.68858681468</v>
      </c>
      <c r="N454" s="841"/>
      <c r="O454" s="663">
        <v>0.93490804699999996</v>
      </c>
      <c r="P454" s="725" t="s">
        <v>1689</v>
      </c>
    </row>
    <row r="455" spans="1:16" ht="18.95" customHeight="1">
      <c r="A455" s="851"/>
      <c r="B455" s="789" t="s">
        <v>273</v>
      </c>
      <c r="C455" s="1170" t="s">
        <v>1690</v>
      </c>
      <c r="D455" s="852"/>
      <c r="E455" s="757">
        <v>29140</v>
      </c>
      <c r="F455" s="799" t="s">
        <v>397</v>
      </c>
      <c r="G455" s="765">
        <v>19.25</v>
      </c>
      <c r="H455" s="783">
        <f t="shared" si="38"/>
        <v>17.996979904749999</v>
      </c>
      <c r="I455" s="783">
        <f t="shared" si="36"/>
        <v>524431.99442441494</v>
      </c>
      <c r="J455" s="843">
        <v>3.6</v>
      </c>
      <c r="K455" s="790">
        <f t="shared" si="39"/>
        <v>3.3656689692000001</v>
      </c>
      <c r="L455" s="799">
        <f t="shared" si="40"/>
        <v>98075.593762488003</v>
      </c>
      <c r="M455" s="757">
        <f t="shared" si="41"/>
        <v>622507.58818690293</v>
      </c>
      <c r="N455" s="841"/>
      <c r="O455" s="663">
        <v>0.93490804699999996</v>
      </c>
      <c r="P455" s="725" t="s">
        <v>1689</v>
      </c>
    </row>
    <row r="456" spans="1:16" ht="18.95" customHeight="1">
      <c r="A456" s="853"/>
      <c r="B456" s="789" t="s">
        <v>273</v>
      </c>
      <c r="C456" s="1170" t="s">
        <v>1691</v>
      </c>
      <c r="D456" s="852"/>
      <c r="E456" s="757">
        <v>4234</v>
      </c>
      <c r="F456" s="799" t="s">
        <v>397</v>
      </c>
      <c r="G456" s="765">
        <v>19.25</v>
      </c>
      <c r="H456" s="783">
        <f t="shared" si="38"/>
        <v>17.996979904749999</v>
      </c>
      <c r="I456" s="783">
        <f t="shared" si="36"/>
        <v>76199.212916711491</v>
      </c>
      <c r="J456" s="843">
        <v>3.1</v>
      </c>
      <c r="K456" s="790">
        <f t="shared" si="39"/>
        <v>2.8982149456999999</v>
      </c>
      <c r="L456" s="799">
        <f t="shared" si="40"/>
        <v>12271.042080093799</v>
      </c>
      <c r="M456" s="757">
        <f t="shared" si="41"/>
        <v>88470.254996805292</v>
      </c>
      <c r="N456" s="841"/>
      <c r="O456" s="663">
        <v>0.93490804699999996</v>
      </c>
      <c r="P456" s="725" t="s">
        <v>1689</v>
      </c>
    </row>
    <row r="457" spans="1:16" ht="18.95" customHeight="1">
      <c r="A457" s="853"/>
      <c r="B457" s="789" t="s">
        <v>273</v>
      </c>
      <c r="C457" s="1170" t="s">
        <v>1692</v>
      </c>
      <c r="D457" s="852"/>
      <c r="E457" s="757">
        <v>4041</v>
      </c>
      <c r="F457" s="799" t="s">
        <v>397</v>
      </c>
      <c r="G457" s="765">
        <v>19.25</v>
      </c>
      <c r="H457" s="783">
        <f t="shared" si="38"/>
        <v>17.996979904749999</v>
      </c>
      <c r="I457" s="783">
        <f t="shared" si="36"/>
        <v>72725.795795094746</v>
      </c>
      <c r="J457" s="843">
        <v>3.1</v>
      </c>
      <c r="K457" s="790">
        <f t="shared" si="39"/>
        <v>2.8982149456999999</v>
      </c>
      <c r="L457" s="799">
        <f t="shared" si="40"/>
        <v>11711.686595573699</v>
      </c>
      <c r="M457" s="757">
        <f t="shared" si="41"/>
        <v>84437.482390668447</v>
      </c>
      <c r="N457" s="841"/>
      <c r="O457" s="663">
        <v>0.93490804699999996</v>
      </c>
      <c r="P457" s="725" t="s">
        <v>1689</v>
      </c>
    </row>
    <row r="458" spans="1:16" ht="18.95" customHeight="1">
      <c r="A458" s="853"/>
      <c r="B458" s="789" t="s">
        <v>273</v>
      </c>
      <c r="C458" s="1170" t="s">
        <v>1694</v>
      </c>
      <c r="D458" s="852"/>
      <c r="E458" s="757">
        <v>1234</v>
      </c>
      <c r="F458" s="799" t="s">
        <v>397</v>
      </c>
      <c r="G458" s="765">
        <v>27.1</v>
      </c>
      <c r="H458" s="783">
        <f t="shared" si="38"/>
        <v>25.3360080737</v>
      </c>
      <c r="I458" s="783">
        <f t="shared" si="36"/>
        <v>31264.633962945802</v>
      </c>
      <c r="J458" s="843">
        <v>0</v>
      </c>
      <c r="K458" s="790">
        <f t="shared" si="39"/>
        <v>0</v>
      </c>
      <c r="L458" s="799">
        <f t="shared" si="40"/>
        <v>0</v>
      </c>
      <c r="M458" s="757">
        <f t="shared" si="41"/>
        <v>31264.633962945802</v>
      </c>
      <c r="N458" s="841"/>
      <c r="O458" s="663">
        <v>0.93490804699999996</v>
      </c>
      <c r="P458" s="725" t="s">
        <v>1689</v>
      </c>
    </row>
    <row r="459" spans="1:16" ht="18.95" customHeight="1">
      <c r="A459" s="767">
        <v>5.2</v>
      </c>
      <c r="B459" s="786" t="s">
        <v>1696</v>
      </c>
      <c r="C459" s="809"/>
      <c r="D459" s="858"/>
      <c r="E459" s="766"/>
      <c r="F459" s="799"/>
      <c r="G459" s="765"/>
      <c r="H459" s="783"/>
      <c r="I459" s="783"/>
      <c r="J459" s="765"/>
      <c r="K459" s="790"/>
      <c r="L459" s="799"/>
      <c r="M459" s="757"/>
      <c r="N459" s="837"/>
      <c r="O459" s="663">
        <v>0.93490804699999996</v>
      </c>
    </row>
    <row r="460" spans="1:16" ht="18.95" customHeight="1">
      <c r="A460" s="853"/>
      <c r="B460" s="789" t="s">
        <v>273</v>
      </c>
      <c r="C460" s="1170" t="s">
        <v>1697</v>
      </c>
      <c r="D460" s="852"/>
      <c r="E460" s="766">
        <v>1209</v>
      </c>
      <c r="F460" s="799" t="s">
        <v>211</v>
      </c>
      <c r="G460" s="765">
        <v>245.2</v>
      </c>
      <c r="H460" s="783">
        <f t="shared" si="38"/>
        <v>229.23945312439997</v>
      </c>
      <c r="I460" s="783">
        <f t="shared" si="36"/>
        <v>277150.49882739957</v>
      </c>
      <c r="J460" s="843">
        <v>0</v>
      </c>
      <c r="K460" s="790">
        <f t="shared" si="39"/>
        <v>0</v>
      </c>
      <c r="L460" s="799">
        <f t="shared" si="40"/>
        <v>0</v>
      </c>
      <c r="M460" s="757">
        <f t="shared" si="41"/>
        <v>277150.49882739957</v>
      </c>
      <c r="N460" s="841"/>
      <c r="O460" s="663">
        <v>0.93490804699999996</v>
      </c>
    </row>
    <row r="461" spans="1:16" ht="18.95" customHeight="1">
      <c r="A461" s="853"/>
      <c r="B461" s="789" t="s">
        <v>273</v>
      </c>
      <c r="C461" s="1170" t="s">
        <v>1698</v>
      </c>
      <c r="D461" s="852"/>
      <c r="E461" s="766">
        <v>2417</v>
      </c>
      <c r="F461" s="799" t="s">
        <v>211</v>
      </c>
      <c r="G461" s="765"/>
      <c r="H461" s="783">
        <f t="shared" si="38"/>
        <v>0</v>
      </c>
      <c r="I461" s="783">
        <f t="shared" si="36"/>
        <v>0</v>
      </c>
      <c r="J461" s="843">
        <v>121</v>
      </c>
      <c r="K461" s="790">
        <f t="shared" si="39"/>
        <v>113.123873687</v>
      </c>
      <c r="L461" s="799">
        <f t="shared" si="40"/>
        <v>273420.40270147898</v>
      </c>
      <c r="M461" s="757">
        <f t="shared" si="41"/>
        <v>273420.40270147898</v>
      </c>
      <c r="N461" s="841"/>
      <c r="O461" s="663">
        <v>0.93490804699999996</v>
      </c>
    </row>
    <row r="462" spans="1:16" ht="18.95" customHeight="1">
      <c r="A462" s="853"/>
      <c r="B462" s="789" t="s">
        <v>273</v>
      </c>
      <c r="C462" s="1170" t="s">
        <v>1699</v>
      </c>
      <c r="D462" s="852"/>
      <c r="E462" s="766">
        <v>363</v>
      </c>
      <c r="F462" s="799" t="s">
        <v>1700</v>
      </c>
      <c r="G462" s="765">
        <v>309.42</v>
      </c>
      <c r="H462" s="783">
        <f t="shared" si="38"/>
        <v>289.27924790274</v>
      </c>
      <c r="I462" s="783">
        <f t="shared" si="36"/>
        <v>105008.36698869462</v>
      </c>
      <c r="J462" s="843">
        <v>0</v>
      </c>
      <c r="K462" s="790">
        <f t="shared" si="39"/>
        <v>0</v>
      </c>
      <c r="L462" s="799">
        <f t="shared" si="40"/>
        <v>0</v>
      </c>
      <c r="M462" s="757">
        <f t="shared" si="41"/>
        <v>105008.36698869462</v>
      </c>
      <c r="N462" s="841"/>
      <c r="O462" s="663">
        <v>0.93490804699999996</v>
      </c>
    </row>
    <row r="463" spans="1:16" ht="18.95" customHeight="1">
      <c r="A463" s="853"/>
      <c r="B463" s="789" t="s">
        <v>273</v>
      </c>
      <c r="C463" s="1170" t="s">
        <v>1701</v>
      </c>
      <c r="D463" s="852"/>
      <c r="E463" s="757">
        <v>302</v>
      </c>
      <c r="F463" s="799" t="s">
        <v>397</v>
      </c>
      <c r="G463" s="765">
        <v>23.36</v>
      </c>
      <c r="H463" s="783">
        <f t="shared" si="38"/>
        <v>21.83945197792</v>
      </c>
      <c r="I463" s="783">
        <f t="shared" si="36"/>
        <v>6595.5144973318402</v>
      </c>
      <c r="J463" s="843">
        <v>0</v>
      </c>
      <c r="K463" s="790">
        <f t="shared" si="39"/>
        <v>0</v>
      </c>
      <c r="L463" s="799">
        <f t="shared" si="40"/>
        <v>0</v>
      </c>
      <c r="M463" s="757">
        <f t="shared" si="41"/>
        <v>6595.5144973318402</v>
      </c>
      <c r="N463" s="841"/>
      <c r="O463" s="663">
        <v>0.93490804699999996</v>
      </c>
      <c r="P463" s="725" t="s">
        <v>1689</v>
      </c>
    </row>
    <row r="464" spans="1:16" ht="18.95" customHeight="1">
      <c r="A464" s="767">
        <v>5.3</v>
      </c>
      <c r="B464" s="786" t="s">
        <v>1702</v>
      </c>
      <c r="C464" s="809"/>
      <c r="D464" s="860"/>
      <c r="E464" s="766"/>
      <c r="F464" s="857"/>
      <c r="G464" s="798"/>
      <c r="H464" s="783"/>
      <c r="I464" s="783"/>
      <c r="J464" s="843"/>
      <c r="K464" s="790"/>
      <c r="L464" s="799"/>
      <c r="M464" s="757"/>
      <c r="N464" s="837"/>
      <c r="O464" s="663">
        <v>0.93490804699999996</v>
      </c>
    </row>
    <row r="465" spans="1:16" ht="18.95" customHeight="1">
      <c r="A465" s="855"/>
      <c r="B465" s="789" t="s">
        <v>273</v>
      </c>
      <c r="C465" s="852" t="s">
        <v>1723</v>
      </c>
      <c r="D465" s="852"/>
      <c r="E465" s="757">
        <v>688.37</v>
      </c>
      <c r="F465" s="799" t="s">
        <v>1684</v>
      </c>
      <c r="G465" s="759">
        <v>2679.9</v>
      </c>
      <c r="H465" s="783">
        <f t="shared" si="38"/>
        <v>2505.4600751552998</v>
      </c>
      <c r="I465" s="783">
        <f t="shared" si="36"/>
        <v>1724683.5519346537</v>
      </c>
      <c r="J465" s="759">
        <v>519</v>
      </c>
      <c r="K465" s="790">
        <f t="shared" si="39"/>
        <v>485.21727639299996</v>
      </c>
      <c r="L465" s="799">
        <f t="shared" si="40"/>
        <v>334009.01655064936</v>
      </c>
      <c r="M465" s="757">
        <f t="shared" si="41"/>
        <v>2058692.5684853031</v>
      </c>
      <c r="N465" s="837"/>
      <c r="O465" s="663">
        <v>0.93490804699999996</v>
      </c>
    </row>
    <row r="466" spans="1:16" ht="18.95" customHeight="1">
      <c r="A466" s="856"/>
      <c r="B466" s="1169" t="s">
        <v>1826</v>
      </c>
      <c r="C466" s="801"/>
      <c r="D466" s="815"/>
      <c r="E466" s="854"/>
      <c r="F466" s="857"/>
      <c r="G466" s="843"/>
      <c r="H466" s="783"/>
      <c r="I466" s="783"/>
      <c r="J466" s="843"/>
      <c r="K466" s="790"/>
      <c r="L466" s="799"/>
      <c r="M466" s="757"/>
      <c r="N466" s="837"/>
      <c r="O466" s="663">
        <v>0.93490804699999996</v>
      </c>
    </row>
    <row r="467" spans="1:16" ht="18.95" customHeight="1">
      <c r="A467" s="814">
        <v>5.4</v>
      </c>
      <c r="B467" s="786" t="s">
        <v>1687</v>
      </c>
      <c r="C467" s="809"/>
      <c r="D467" s="815"/>
      <c r="E467" s="790"/>
      <c r="F467" s="799"/>
      <c r="G467" s="798"/>
      <c r="H467" s="783"/>
      <c r="I467" s="783"/>
      <c r="J467" s="843"/>
      <c r="K467" s="790"/>
      <c r="L467" s="799"/>
      <c r="M467" s="757"/>
      <c r="N467" s="841"/>
      <c r="O467" s="663">
        <v>0.93490804699999996</v>
      </c>
    </row>
    <row r="468" spans="1:16" ht="18.95" customHeight="1">
      <c r="A468" s="851"/>
      <c r="B468" s="789" t="s">
        <v>273</v>
      </c>
      <c r="C468" s="1170" t="s">
        <v>1688</v>
      </c>
      <c r="D468" s="852"/>
      <c r="E468" s="757">
        <v>26997</v>
      </c>
      <c r="F468" s="799" t="s">
        <v>397</v>
      </c>
      <c r="G468" s="765">
        <v>19.45</v>
      </c>
      <c r="H468" s="783">
        <f t="shared" si="38"/>
        <v>18.183961514149999</v>
      </c>
      <c r="I468" s="783">
        <f t="shared" si="36"/>
        <v>490912.40899750753</v>
      </c>
      <c r="J468" s="843">
        <v>3.6</v>
      </c>
      <c r="K468" s="790">
        <f t="shared" si="39"/>
        <v>3.3656689692000001</v>
      </c>
      <c r="L468" s="799">
        <f t="shared" si="40"/>
        <v>90862.965161492408</v>
      </c>
      <c r="M468" s="757">
        <f t="shared" si="41"/>
        <v>581775.37415899988</v>
      </c>
      <c r="N468" s="837"/>
      <c r="O468" s="663">
        <v>0.93490804699999996</v>
      </c>
      <c r="P468" s="725" t="s">
        <v>1689</v>
      </c>
    </row>
    <row r="469" spans="1:16" ht="18.95" customHeight="1">
      <c r="A469" s="851"/>
      <c r="B469" s="789" t="s">
        <v>273</v>
      </c>
      <c r="C469" s="1170" t="s">
        <v>1690</v>
      </c>
      <c r="D469" s="852"/>
      <c r="E469" s="757">
        <v>20720</v>
      </c>
      <c r="F469" s="799" t="s">
        <v>397</v>
      </c>
      <c r="G469" s="765">
        <v>19.25</v>
      </c>
      <c r="H469" s="783">
        <f t="shared" si="38"/>
        <v>17.996979904749999</v>
      </c>
      <c r="I469" s="783">
        <f t="shared" si="36"/>
        <v>372897.42362641997</v>
      </c>
      <c r="J469" s="843">
        <v>3.6</v>
      </c>
      <c r="K469" s="790">
        <f t="shared" si="39"/>
        <v>3.3656689692000001</v>
      </c>
      <c r="L469" s="799">
        <f t="shared" si="40"/>
        <v>69736.661041824002</v>
      </c>
      <c r="M469" s="757">
        <f t="shared" si="41"/>
        <v>442634.084668244</v>
      </c>
      <c r="N469" s="837"/>
      <c r="O469" s="663">
        <v>0.93490804699999996</v>
      </c>
      <c r="P469" s="725" t="s">
        <v>1689</v>
      </c>
    </row>
    <row r="470" spans="1:16" ht="18.95" customHeight="1">
      <c r="A470" s="853"/>
      <c r="B470" s="789" t="s">
        <v>273</v>
      </c>
      <c r="C470" s="1170" t="s">
        <v>1692</v>
      </c>
      <c r="D470" s="852"/>
      <c r="E470" s="757">
        <v>7864</v>
      </c>
      <c r="F470" s="799" t="s">
        <v>397</v>
      </c>
      <c r="G470" s="765">
        <v>19.25</v>
      </c>
      <c r="H470" s="783">
        <f t="shared" si="38"/>
        <v>17.996979904749999</v>
      </c>
      <c r="I470" s="783">
        <f t="shared" si="36"/>
        <v>141528.249970954</v>
      </c>
      <c r="J470" s="843">
        <v>3.1</v>
      </c>
      <c r="K470" s="790">
        <f t="shared" si="39"/>
        <v>2.8982149456999999</v>
      </c>
      <c r="L470" s="799">
        <f t="shared" si="40"/>
        <v>22791.562332984799</v>
      </c>
      <c r="M470" s="757">
        <f t="shared" si="41"/>
        <v>164319.81230393879</v>
      </c>
      <c r="N470" s="837"/>
      <c r="O470" s="663">
        <v>0.93490804699999996</v>
      </c>
      <c r="P470" s="725" t="s">
        <v>1689</v>
      </c>
    </row>
    <row r="471" spans="1:16" ht="18.95" customHeight="1">
      <c r="A471" s="853"/>
      <c r="B471" s="789" t="s">
        <v>273</v>
      </c>
      <c r="C471" s="1170" t="s">
        <v>1694</v>
      </c>
      <c r="D471" s="852"/>
      <c r="E471" s="757">
        <v>1000</v>
      </c>
      <c r="F471" s="799" t="s">
        <v>397</v>
      </c>
      <c r="G471" s="765">
        <v>27.1</v>
      </c>
      <c r="H471" s="783">
        <f t="shared" si="38"/>
        <v>25.3360080737</v>
      </c>
      <c r="I471" s="783">
        <f t="shared" si="36"/>
        <v>25336.008073699999</v>
      </c>
      <c r="J471" s="843">
        <v>0</v>
      </c>
      <c r="K471" s="790">
        <f t="shared" si="39"/>
        <v>0</v>
      </c>
      <c r="L471" s="799">
        <f t="shared" si="40"/>
        <v>0</v>
      </c>
      <c r="M471" s="757">
        <f t="shared" si="41"/>
        <v>25336.008073699999</v>
      </c>
      <c r="N471" s="837"/>
      <c r="O471" s="663">
        <v>0.93490804699999996</v>
      </c>
      <c r="P471" s="725" t="s">
        <v>1689</v>
      </c>
    </row>
    <row r="472" spans="1:16" ht="18.95" customHeight="1">
      <c r="A472" s="767">
        <v>5.5</v>
      </c>
      <c r="B472" s="786" t="s">
        <v>1696</v>
      </c>
      <c r="C472" s="809"/>
      <c r="D472" s="858"/>
      <c r="E472" s="766"/>
      <c r="F472" s="799"/>
      <c r="G472" s="765"/>
      <c r="H472" s="783"/>
      <c r="I472" s="783"/>
      <c r="J472" s="765"/>
      <c r="K472" s="790"/>
      <c r="L472" s="799"/>
      <c r="M472" s="757"/>
      <c r="N472" s="837"/>
      <c r="O472" s="663">
        <v>0.93490804699999996</v>
      </c>
    </row>
    <row r="473" spans="1:16" ht="18.95" customHeight="1">
      <c r="A473" s="853"/>
      <c r="B473" s="789" t="s">
        <v>273</v>
      </c>
      <c r="C473" s="1170" t="s">
        <v>1697</v>
      </c>
      <c r="D473" s="852"/>
      <c r="E473" s="766">
        <v>1929</v>
      </c>
      <c r="F473" s="799" t="s">
        <v>211</v>
      </c>
      <c r="G473" s="765">
        <v>245.2</v>
      </c>
      <c r="H473" s="783">
        <f t="shared" si="38"/>
        <v>229.23945312439997</v>
      </c>
      <c r="I473" s="783">
        <f t="shared" si="36"/>
        <v>442202.90507696755</v>
      </c>
      <c r="J473" s="843">
        <v>0</v>
      </c>
      <c r="K473" s="790">
        <f t="shared" si="39"/>
        <v>0</v>
      </c>
      <c r="L473" s="799">
        <f t="shared" si="40"/>
        <v>0</v>
      </c>
      <c r="M473" s="757">
        <f t="shared" si="41"/>
        <v>442202.90507696755</v>
      </c>
      <c r="N473" s="841"/>
      <c r="O473" s="663">
        <v>0.93490804699999996</v>
      </c>
    </row>
    <row r="474" spans="1:16" ht="18.95" customHeight="1">
      <c r="A474" s="853"/>
      <c r="B474" s="789" t="s">
        <v>273</v>
      </c>
      <c r="C474" s="1170" t="s">
        <v>1698</v>
      </c>
      <c r="D474" s="852"/>
      <c r="E474" s="766">
        <v>3858</v>
      </c>
      <c r="F474" s="799" t="s">
        <v>211</v>
      </c>
      <c r="G474" s="765"/>
      <c r="H474" s="783">
        <f t="shared" si="38"/>
        <v>0</v>
      </c>
      <c r="I474" s="783">
        <f t="shared" si="36"/>
        <v>0</v>
      </c>
      <c r="J474" s="843">
        <v>121</v>
      </c>
      <c r="K474" s="790">
        <f t="shared" si="39"/>
        <v>113.123873687</v>
      </c>
      <c r="L474" s="799">
        <f t="shared" si="40"/>
        <v>436431.904684446</v>
      </c>
      <c r="M474" s="757">
        <f t="shared" si="41"/>
        <v>436431.904684446</v>
      </c>
      <c r="N474" s="841"/>
      <c r="O474" s="663">
        <v>0.93490804699999996</v>
      </c>
    </row>
    <row r="475" spans="1:16" ht="18.95" customHeight="1">
      <c r="A475" s="853"/>
      <c r="B475" s="789" t="s">
        <v>273</v>
      </c>
      <c r="C475" s="1170" t="s">
        <v>1699</v>
      </c>
      <c r="D475" s="852"/>
      <c r="E475" s="766">
        <v>579</v>
      </c>
      <c r="F475" s="799" t="s">
        <v>1700</v>
      </c>
      <c r="G475" s="765">
        <v>309.42</v>
      </c>
      <c r="H475" s="783">
        <f t="shared" si="38"/>
        <v>289.27924790274</v>
      </c>
      <c r="I475" s="783">
        <f t="shared" si="36"/>
        <v>167492.68453568645</v>
      </c>
      <c r="J475" s="843">
        <v>0</v>
      </c>
      <c r="K475" s="790">
        <f t="shared" si="39"/>
        <v>0</v>
      </c>
      <c r="L475" s="799">
        <f t="shared" si="40"/>
        <v>0</v>
      </c>
      <c r="M475" s="757">
        <f t="shared" si="41"/>
        <v>167492.68453568645</v>
      </c>
      <c r="N475" s="841"/>
      <c r="O475" s="663">
        <v>0.93490804699999996</v>
      </c>
    </row>
    <row r="476" spans="1:16" ht="18.95" customHeight="1">
      <c r="A476" s="853"/>
      <c r="B476" s="789" t="s">
        <v>273</v>
      </c>
      <c r="C476" s="1170" t="s">
        <v>1701</v>
      </c>
      <c r="D476" s="852"/>
      <c r="E476" s="757">
        <v>482</v>
      </c>
      <c r="F476" s="799" t="s">
        <v>397</v>
      </c>
      <c r="G476" s="765">
        <v>23.36</v>
      </c>
      <c r="H476" s="783">
        <f t="shared" si="38"/>
        <v>21.83945197792</v>
      </c>
      <c r="I476" s="783">
        <f t="shared" si="36"/>
        <v>10526.61585335744</v>
      </c>
      <c r="J476" s="843">
        <v>0</v>
      </c>
      <c r="K476" s="790">
        <f t="shared" si="39"/>
        <v>0</v>
      </c>
      <c r="L476" s="799">
        <f t="shared" si="40"/>
        <v>0</v>
      </c>
      <c r="M476" s="757">
        <f t="shared" si="41"/>
        <v>10526.61585335744</v>
      </c>
      <c r="N476" s="841"/>
      <c r="O476" s="663">
        <v>0.93490804699999996</v>
      </c>
      <c r="P476" s="725" t="s">
        <v>1689</v>
      </c>
    </row>
    <row r="477" spans="1:16" ht="18.95" customHeight="1">
      <c r="A477" s="767">
        <v>5.6</v>
      </c>
      <c r="B477" s="786" t="s">
        <v>1702</v>
      </c>
      <c r="C477" s="809"/>
      <c r="D477" s="860"/>
      <c r="E477" s="766"/>
      <c r="F477" s="857"/>
      <c r="G477" s="798"/>
      <c r="H477" s="783"/>
      <c r="I477" s="783"/>
      <c r="J477" s="843"/>
      <c r="K477" s="790"/>
      <c r="L477" s="799"/>
      <c r="M477" s="757"/>
      <c r="N477" s="837"/>
      <c r="O477" s="663">
        <v>0.93490804699999996</v>
      </c>
    </row>
    <row r="478" spans="1:16" ht="18.95" customHeight="1">
      <c r="A478" s="855"/>
      <c r="B478" s="789" t="s">
        <v>273</v>
      </c>
      <c r="C478" s="852" t="s">
        <v>1723</v>
      </c>
      <c r="D478" s="852"/>
      <c r="E478" s="757">
        <v>888</v>
      </c>
      <c r="F478" s="799" t="s">
        <v>1684</v>
      </c>
      <c r="G478" s="759">
        <v>2679.9</v>
      </c>
      <c r="H478" s="783">
        <f t="shared" si="38"/>
        <v>2505.4600751552998</v>
      </c>
      <c r="I478" s="783">
        <f t="shared" si="36"/>
        <v>2224848.5467379061</v>
      </c>
      <c r="J478" s="759">
        <v>519</v>
      </c>
      <c r="K478" s="790">
        <f t="shared" si="39"/>
        <v>485.21727639299996</v>
      </c>
      <c r="L478" s="799">
        <f t="shared" si="40"/>
        <v>430872.94143698399</v>
      </c>
      <c r="M478" s="757">
        <f t="shared" si="41"/>
        <v>2655721.4881748902</v>
      </c>
      <c r="N478" s="837"/>
      <c r="O478" s="663">
        <v>0.93490804699999996</v>
      </c>
    </row>
    <row r="479" spans="1:16" ht="18.95" customHeight="1">
      <c r="A479" s="875">
        <v>5.7</v>
      </c>
      <c r="B479" s="1176" t="s">
        <v>1791</v>
      </c>
      <c r="C479" s="809"/>
      <c r="D479" s="810"/>
      <c r="E479" s="757">
        <v>3858</v>
      </c>
      <c r="F479" s="799" t="s">
        <v>211</v>
      </c>
      <c r="G479" s="765">
        <v>450</v>
      </c>
      <c r="H479" s="783">
        <f t="shared" si="38"/>
        <v>420.70862115</v>
      </c>
      <c r="I479" s="783">
        <f t="shared" si="36"/>
        <v>1623093.8603967</v>
      </c>
      <c r="J479" s="765">
        <v>0</v>
      </c>
      <c r="K479" s="790">
        <f t="shared" si="39"/>
        <v>0</v>
      </c>
      <c r="L479" s="799">
        <f t="shared" si="40"/>
        <v>0</v>
      </c>
      <c r="M479" s="757">
        <f t="shared" si="41"/>
        <v>1623093.8603967</v>
      </c>
      <c r="N479" s="837"/>
      <c r="O479" s="663">
        <v>0.93490804699999996</v>
      </c>
    </row>
    <row r="480" spans="1:16" ht="18.95" customHeight="1">
      <c r="A480" s="855"/>
      <c r="B480" s="789"/>
      <c r="C480" s="852"/>
      <c r="D480" s="852"/>
      <c r="E480" s="790"/>
      <c r="F480" s="799"/>
      <c r="G480" s="843"/>
      <c r="H480" s="783"/>
      <c r="I480" s="783"/>
      <c r="J480" s="843"/>
      <c r="K480" s="790"/>
      <c r="L480" s="799"/>
      <c r="M480" s="757"/>
      <c r="N480" s="841"/>
      <c r="O480" s="663">
        <v>0.93490804699999996</v>
      </c>
    </row>
    <row r="481" spans="1:16" ht="18.95" customHeight="1">
      <c r="A481" s="856"/>
      <c r="B481" s="1169" t="s">
        <v>1827</v>
      </c>
      <c r="C481" s="801"/>
      <c r="D481" s="815"/>
      <c r="E481" s="854"/>
      <c r="F481" s="857"/>
      <c r="G481" s="843"/>
      <c r="H481" s="783"/>
      <c r="I481" s="783"/>
      <c r="J481" s="843"/>
      <c r="K481" s="790"/>
      <c r="L481" s="799"/>
      <c r="M481" s="757"/>
      <c r="N481" s="837"/>
      <c r="O481" s="663">
        <v>0.93490804699999996</v>
      </c>
    </row>
    <row r="482" spans="1:16" ht="18.95" customHeight="1">
      <c r="A482" s="814">
        <v>5.8</v>
      </c>
      <c r="B482" s="786" t="s">
        <v>1687</v>
      </c>
      <c r="C482" s="809"/>
      <c r="D482" s="815"/>
      <c r="E482" s="790"/>
      <c r="F482" s="799"/>
      <c r="G482" s="798"/>
      <c r="H482" s="783"/>
      <c r="I482" s="783"/>
      <c r="J482" s="843"/>
      <c r="K482" s="790"/>
      <c r="L482" s="799"/>
      <c r="M482" s="757"/>
      <c r="N482" s="841"/>
      <c r="O482" s="663">
        <v>0.93490804699999996</v>
      </c>
    </row>
    <row r="483" spans="1:16" ht="18.95" customHeight="1">
      <c r="A483" s="851"/>
      <c r="B483" s="789" t="s">
        <v>273</v>
      </c>
      <c r="C483" s="1170" t="s">
        <v>1720</v>
      </c>
      <c r="D483" s="852"/>
      <c r="E483" s="757">
        <v>1363</v>
      </c>
      <c r="F483" s="799" t="s">
        <v>397</v>
      </c>
      <c r="G483" s="765">
        <v>19.600000000000001</v>
      </c>
      <c r="H483" s="783">
        <f t="shared" si="38"/>
        <v>18.324197721200001</v>
      </c>
      <c r="I483" s="783">
        <f t="shared" si="36"/>
        <v>24975.881493995603</v>
      </c>
      <c r="J483" s="843">
        <v>4.4000000000000004</v>
      </c>
      <c r="K483" s="790">
        <f t="shared" si="39"/>
        <v>4.1135954068</v>
      </c>
      <c r="L483" s="799">
        <f t="shared" si="40"/>
        <v>5606.8305394684003</v>
      </c>
      <c r="M483" s="757">
        <f t="shared" si="41"/>
        <v>30582.712033464002</v>
      </c>
      <c r="N483" s="837"/>
      <c r="O483" s="663">
        <v>0.93490804699999996</v>
      </c>
      <c r="P483" s="725" t="s">
        <v>1689</v>
      </c>
    </row>
    <row r="484" spans="1:16" ht="18.95" customHeight="1">
      <c r="A484" s="851"/>
      <c r="B484" s="789" t="s">
        <v>273</v>
      </c>
      <c r="C484" s="1170" t="s">
        <v>1688</v>
      </c>
      <c r="D484" s="852"/>
      <c r="E484" s="757">
        <v>558</v>
      </c>
      <c r="F484" s="799" t="s">
        <v>397</v>
      </c>
      <c r="G484" s="765">
        <v>19.45</v>
      </c>
      <c r="H484" s="783">
        <f t="shared" si="38"/>
        <v>18.183961514149999</v>
      </c>
      <c r="I484" s="783">
        <f t="shared" si="36"/>
        <v>10146.6505248957</v>
      </c>
      <c r="J484" s="843">
        <v>3.6</v>
      </c>
      <c r="K484" s="790">
        <f t="shared" si="39"/>
        <v>3.3656689692000001</v>
      </c>
      <c r="L484" s="799">
        <f t="shared" si="40"/>
        <v>1878.0432848136002</v>
      </c>
      <c r="M484" s="757">
        <f t="shared" si="41"/>
        <v>12024.693809709301</v>
      </c>
      <c r="N484" s="837"/>
      <c r="O484" s="663">
        <v>0.93490804699999996</v>
      </c>
      <c r="P484" s="725" t="s">
        <v>1689</v>
      </c>
    </row>
    <row r="485" spans="1:16" ht="18.95" customHeight="1">
      <c r="A485" s="851"/>
      <c r="B485" s="789" t="s">
        <v>273</v>
      </c>
      <c r="C485" s="1170" t="s">
        <v>1690</v>
      </c>
      <c r="D485" s="852"/>
      <c r="E485" s="757">
        <v>345</v>
      </c>
      <c r="F485" s="799" t="s">
        <v>397</v>
      </c>
      <c r="G485" s="765">
        <v>19.25</v>
      </c>
      <c r="H485" s="783">
        <f t="shared" si="38"/>
        <v>17.996979904749999</v>
      </c>
      <c r="I485" s="783">
        <f t="shared" si="36"/>
        <v>6208.9580671387494</v>
      </c>
      <c r="J485" s="843">
        <v>3.6</v>
      </c>
      <c r="K485" s="790">
        <f t="shared" si="39"/>
        <v>3.3656689692000001</v>
      </c>
      <c r="L485" s="799">
        <f t="shared" si="40"/>
        <v>1161.1557943740002</v>
      </c>
      <c r="M485" s="757">
        <f t="shared" si="41"/>
        <v>7370.1138615127493</v>
      </c>
      <c r="N485" s="837"/>
      <c r="O485" s="663">
        <v>0.93490804699999996</v>
      </c>
      <c r="P485" s="725" t="s">
        <v>1689</v>
      </c>
    </row>
    <row r="486" spans="1:16" ht="18.95" customHeight="1">
      <c r="A486" s="853"/>
      <c r="B486" s="789" t="s">
        <v>273</v>
      </c>
      <c r="C486" s="1170" t="s">
        <v>1691</v>
      </c>
      <c r="D486" s="852"/>
      <c r="E486" s="757">
        <v>1875</v>
      </c>
      <c r="F486" s="799" t="s">
        <v>397</v>
      </c>
      <c r="G486" s="765">
        <v>19.25</v>
      </c>
      <c r="H486" s="783">
        <f t="shared" si="38"/>
        <v>17.996979904749999</v>
      </c>
      <c r="I486" s="783">
        <f t="shared" si="36"/>
        <v>33744.337321406245</v>
      </c>
      <c r="J486" s="843">
        <v>3.1</v>
      </c>
      <c r="K486" s="790">
        <f t="shared" si="39"/>
        <v>2.8982149456999999</v>
      </c>
      <c r="L486" s="799">
        <f t="shared" si="40"/>
        <v>5434.1530231874995</v>
      </c>
      <c r="M486" s="757">
        <f t="shared" si="41"/>
        <v>39178.490344593745</v>
      </c>
      <c r="N486" s="837"/>
      <c r="O486" s="663">
        <v>0.93490804699999996</v>
      </c>
      <c r="P486" s="725" t="s">
        <v>1689</v>
      </c>
    </row>
    <row r="487" spans="1:16" ht="18.95" customHeight="1">
      <c r="A487" s="853"/>
      <c r="B487" s="789" t="s">
        <v>273</v>
      </c>
      <c r="C487" s="1170" t="s">
        <v>1692</v>
      </c>
      <c r="D487" s="852"/>
      <c r="E487" s="757">
        <v>6051</v>
      </c>
      <c r="F487" s="799" t="s">
        <v>397</v>
      </c>
      <c r="G487" s="765">
        <v>19.25</v>
      </c>
      <c r="H487" s="783">
        <f t="shared" si="38"/>
        <v>17.996979904749999</v>
      </c>
      <c r="I487" s="783">
        <f t="shared" si="36"/>
        <v>108899.72540364224</v>
      </c>
      <c r="J487" s="843">
        <v>3.1</v>
      </c>
      <c r="K487" s="790">
        <f t="shared" si="39"/>
        <v>2.8982149456999999</v>
      </c>
      <c r="L487" s="799">
        <f t="shared" si="40"/>
        <v>17537.098636430699</v>
      </c>
      <c r="M487" s="757">
        <f t="shared" si="41"/>
        <v>126436.82404007294</v>
      </c>
      <c r="N487" s="837"/>
      <c r="O487" s="663">
        <v>0.93490804699999996</v>
      </c>
      <c r="P487" s="725" t="s">
        <v>1689</v>
      </c>
    </row>
    <row r="488" spans="1:16" ht="18.95" customHeight="1">
      <c r="A488" s="853"/>
      <c r="B488" s="789" t="s">
        <v>273</v>
      </c>
      <c r="C488" s="1170" t="s">
        <v>1693</v>
      </c>
      <c r="D488" s="852"/>
      <c r="E488" s="757">
        <v>0</v>
      </c>
      <c r="F488" s="799" t="s">
        <v>397</v>
      </c>
      <c r="G488" s="765">
        <v>19.25</v>
      </c>
      <c r="H488" s="783">
        <f t="shared" si="38"/>
        <v>17.996979904749999</v>
      </c>
      <c r="I488" s="783">
        <f t="shared" si="36"/>
        <v>0</v>
      </c>
      <c r="J488" s="843">
        <v>3.1</v>
      </c>
      <c r="K488" s="790">
        <f t="shared" si="39"/>
        <v>2.8982149456999999</v>
      </c>
      <c r="L488" s="799">
        <f t="shared" si="40"/>
        <v>0</v>
      </c>
      <c r="M488" s="757">
        <f t="shared" si="41"/>
        <v>0</v>
      </c>
      <c r="N488" s="837"/>
      <c r="O488" s="663">
        <v>0.93490804699999996</v>
      </c>
      <c r="P488" s="725" t="s">
        <v>1689</v>
      </c>
    </row>
    <row r="489" spans="1:16" ht="18.95" customHeight="1">
      <c r="A489" s="853"/>
      <c r="B489" s="789" t="s">
        <v>273</v>
      </c>
      <c r="C489" s="1170" t="s">
        <v>1709</v>
      </c>
      <c r="D489" s="852"/>
      <c r="E489" s="757">
        <v>1864</v>
      </c>
      <c r="F489" s="799" t="s">
        <v>397</v>
      </c>
      <c r="G489" s="765">
        <v>19.25</v>
      </c>
      <c r="H489" s="783">
        <f t="shared" si="38"/>
        <v>17.996979904749999</v>
      </c>
      <c r="I489" s="783">
        <f t="shared" si="36"/>
        <v>33546.370542453995</v>
      </c>
      <c r="J489" s="843">
        <v>3.1</v>
      </c>
      <c r="K489" s="790">
        <f t="shared" si="39"/>
        <v>2.8982149456999999</v>
      </c>
      <c r="L489" s="799">
        <f t="shared" si="40"/>
        <v>5402.2726587848001</v>
      </c>
      <c r="M489" s="757">
        <f t="shared" si="41"/>
        <v>38948.643201238796</v>
      </c>
      <c r="N489" s="837"/>
      <c r="O489" s="663">
        <v>0.93490804699999996</v>
      </c>
      <c r="P489" s="725" t="s">
        <v>1689</v>
      </c>
    </row>
    <row r="490" spans="1:16" ht="18.95" customHeight="1">
      <c r="A490" s="853"/>
      <c r="B490" s="789" t="s">
        <v>273</v>
      </c>
      <c r="C490" s="1170" t="s">
        <v>1694</v>
      </c>
      <c r="D490" s="852"/>
      <c r="E490" s="757">
        <v>217</v>
      </c>
      <c r="F490" s="799" t="s">
        <v>397</v>
      </c>
      <c r="G490" s="765">
        <v>27.1</v>
      </c>
      <c r="H490" s="783">
        <f t="shared" si="38"/>
        <v>25.3360080737</v>
      </c>
      <c r="I490" s="783">
        <f t="shared" ref="I490:I553" si="42">H490*E490</f>
        <v>5497.9137519929</v>
      </c>
      <c r="J490" s="843">
        <v>0</v>
      </c>
      <c r="K490" s="790">
        <f t="shared" si="39"/>
        <v>0</v>
      </c>
      <c r="L490" s="799">
        <f t="shared" si="40"/>
        <v>0</v>
      </c>
      <c r="M490" s="757">
        <f t="shared" si="41"/>
        <v>5497.9137519929</v>
      </c>
      <c r="N490" s="837"/>
      <c r="O490" s="663">
        <v>0.93490804699999996</v>
      </c>
      <c r="P490" s="725" t="s">
        <v>1689</v>
      </c>
    </row>
    <row r="491" spans="1:16" ht="18.95" customHeight="1">
      <c r="A491" s="767">
        <v>5.9</v>
      </c>
      <c r="B491" s="786" t="s">
        <v>1696</v>
      </c>
      <c r="C491" s="809"/>
      <c r="D491" s="858"/>
      <c r="E491" s="766"/>
      <c r="F491" s="799"/>
      <c r="G491" s="765"/>
      <c r="H491" s="783"/>
      <c r="I491" s="783"/>
      <c r="J491" s="765"/>
      <c r="K491" s="790"/>
      <c r="L491" s="799"/>
      <c r="M491" s="757"/>
      <c r="N491" s="837"/>
      <c r="O491" s="663">
        <v>0.93490804699999996</v>
      </c>
    </row>
    <row r="492" spans="1:16" ht="18.95" customHeight="1">
      <c r="A492" s="853"/>
      <c r="B492" s="789" t="s">
        <v>273</v>
      </c>
      <c r="C492" s="1170" t="s">
        <v>1697</v>
      </c>
      <c r="D492" s="852"/>
      <c r="E492" s="766">
        <v>146</v>
      </c>
      <c r="F492" s="799" t="s">
        <v>211</v>
      </c>
      <c r="G492" s="765">
        <v>245.2</v>
      </c>
      <c r="H492" s="783">
        <f t="shared" si="38"/>
        <v>229.23945312439997</v>
      </c>
      <c r="I492" s="783">
        <f t="shared" si="42"/>
        <v>33468.960156162393</v>
      </c>
      <c r="J492" s="843">
        <v>0</v>
      </c>
      <c r="K492" s="790">
        <f t="shared" si="39"/>
        <v>0</v>
      </c>
      <c r="L492" s="799">
        <f t="shared" si="40"/>
        <v>0</v>
      </c>
      <c r="M492" s="757">
        <f t="shared" si="41"/>
        <v>33468.960156162393</v>
      </c>
      <c r="N492" s="841"/>
      <c r="O492" s="663">
        <v>0.93490804699999996</v>
      </c>
    </row>
    <row r="493" spans="1:16" ht="18.95" customHeight="1">
      <c r="A493" s="853"/>
      <c r="B493" s="789" t="s">
        <v>273</v>
      </c>
      <c r="C493" s="1170" t="s">
        <v>1698</v>
      </c>
      <c r="D493" s="852"/>
      <c r="E493" s="766">
        <v>292</v>
      </c>
      <c r="F493" s="799" t="s">
        <v>211</v>
      </c>
      <c r="G493" s="765"/>
      <c r="H493" s="783">
        <f t="shared" si="38"/>
        <v>0</v>
      </c>
      <c r="I493" s="783">
        <f t="shared" si="42"/>
        <v>0</v>
      </c>
      <c r="J493" s="843">
        <v>121</v>
      </c>
      <c r="K493" s="790">
        <f t="shared" si="39"/>
        <v>113.123873687</v>
      </c>
      <c r="L493" s="799">
        <f t="shared" si="40"/>
        <v>33032.171116603997</v>
      </c>
      <c r="M493" s="757">
        <f t="shared" si="41"/>
        <v>33032.171116603997</v>
      </c>
      <c r="N493" s="841"/>
      <c r="O493" s="663">
        <v>0.93490804699999996</v>
      </c>
    </row>
    <row r="494" spans="1:16" ht="18.95" customHeight="1">
      <c r="A494" s="853"/>
      <c r="B494" s="789" t="s">
        <v>273</v>
      </c>
      <c r="C494" s="1170" t="s">
        <v>1699</v>
      </c>
      <c r="D494" s="852"/>
      <c r="E494" s="766">
        <v>44</v>
      </c>
      <c r="F494" s="799" t="s">
        <v>1700</v>
      </c>
      <c r="G494" s="765">
        <v>309.42</v>
      </c>
      <c r="H494" s="783">
        <f t="shared" si="38"/>
        <v>289.27924790274</v>
      </c>
      <c r="I494" s="783">
        <f t="shared" si="42"/>
        <v>12728.28690772056</v>
      </c>
      <c r="J494" s="843">
        <v>0</v>
      </c>
      <c r="K494" s="790">
        <f t="shared" si="39"/>
        <v>0</v>
      </c>
      <c r="L494" s="799">
        <f t="shared" si="40"/>
        <v>0</v>
      </c>
      <c r="M494" s="757">
        <f t="shared" si="41"/>
        <v>12728.28690772056</v>
      </c>
      <c r="N494" s="841"/>
      <c r="O494" s="663">
        <v>0.93490804699999996</v>
      </c>
    </row>
    <row r="495" spans="1:16" ht="18.95" customHeight="1">
      <c r="A495" s="853"/>
      <c r="B495" s="789" t="s">
        <v>273</v>
      </c>
      <c r="C495" s="1170" t="s">
        <v>1701</v>
      </c>
      <c r="D495" s="852"/>
      <c r="E495" s="757">
        <v>37</v>
      </c>
      <c r="F495" s="799" t="s">
        <v>397</v>
      </c>
      <c r="G495" s="765">
        <v>23.36</v>
      </c>
      <c r="H495" s="783">
        <f t="shared" si="38"/>
        <v>21.83945197792</v>
      </c>
      <c r="I495" s="783">
        <f t="shared" si="42"/>
        <v>808.05972318303998</v>
      </c>
      <c r="J495" s="843">
        <v>0</v>
      </c>
      <c r="K495" s="790">
        <f t="shared" si="39"/>
        <v>0</v>
      </c>
      <c r="L495" s="799">
        <f t="shared" si="40"/>
        <v>0</v>
      </c>
      <c r="M495" s="757">
        <f t="shared" si="41"/>
        <v>808.05972318303998</v>
      </c>
      <c r="N495" s="841"/>
      <c r="O495" s="663">
        <v>0.93490804699999996</v>
      </c>
      <c r="P495" s="725" t="s">
        <v>1689</v>
      </c>
    </row>
    <row r="496" spans="1:16" ht="18.95" customHeight="1">
      <c r="A496" s="1173" t="s">
        <v>1828</v>
      </c>
      <c r="B496" s="786" t="s">
        <v>1702</v>
      </c>
      <c r="C496" s="809"/>
      <c r="D496" s="860"/>
      <c r="E496" s="766"/>
      <c r="F496" s="857"/>
      <c r="G496" s="798"/>
      <c r="H496" s="783"/>
      <c r="I496" s="783"/>
      <c r="J496" s="843"/>
      <c r="K496" s="790"/>
      <c r="L496" s="799"/>
      <c r="M496" s="757"/>
      <c r="N496" s="837"/>
      <c r="O496" s="663">
        <v>0.93490804699999996</v>
      </c>
    </row>
    <row r="497" spans="1:16" ht="18.95" customHeight="1">
      <c r="A497" s="855"/>
      <c r="B497" s="789" t="s">
        <v>273</v>
      </c>
      <c r="C497" s="852" t="s">
        <v>1723</v>
      </c>
      <c r="D497" s="852"/>
      <c r="E497" s="757">
        <v>21</v>
      </c>
      <c r="F497" s="799" t="s">
        <v>1684</v>
      </c>
      <c r="G497" s="759">
        <v>2679.9</v>
      </c>
      <c r="H497" s="783">
        <f t="shared" si="38"/>
        <v>2505.4600751552998</v>
      </c>
      <c r="I497" s="783">
        <f t="shared" si="42"/>
        <v>52614.661578261293</v>
      </c>
      <c r="J497" s="759">
        <v>519</v>
      </c>
      <c r="K497" s="790">
        <f t="shared" si="39"/>
        <v>485.21727639299996</v>
      </c>
      <c r="L497" s="799">
        <f t="shared" si="40"/>
        <v>10189.562804252999</v>
      </c>
      <c r="M497" s="757">
        <f t="shared" si="41"/>
        <v>62804.224382514294</v>
      </c>
      <c r="N497" s="837"/>
      <c r="O497" s="663">
        <v>0.93490804699999996</v>
      </c>
    </row>
    <row r="498" spans="1:16" ht="18.95" customHeight="1">
      <c r="A498" s="855"/>
      <c r="B498" s="789" t="s">
        <v>273</v>
      </c>
      <c r="C498" s="852" t="s">
        <v>1829</v>
      </c>
      <c r="D498" s="852"/>
      <c r="E498" s="757">
        <v>13</v>
      </c>
      <c r="F498" s="799" t="s">
        <v>1684</v>
      </c>
      <c r="G498" s="759">
        <v>2755</v>
      </c>
      <c r="H498" s="783">
        <f t="shared" si="38"/>
        <v>2575.6716694849997</v>
      </c>
      <c r="I498" s="783">
        <f t="shared" si="42"/>
        <v>33483.731703304999</v>
      </c>
      <c r="J498" s="759">
        <v>519</v>
      </c>
      <c r="K498" s="790">
        <f t="shared" si="39"/>
        <v>485.21727639299996</v>
      </c>
      <c r="L498" s="799">
        <f t="shared" si="40"/>
        <v>6307.8245931089996</v>
      </c>
      <c r="M498" s="757">
        <f t="shared" si="41"/>
        <v>39791.556296413997</v>
      </c>
      <c r="N498" s="841"/>
      <c r="O498" s="663">
        <v>0.93490804699999996</v>
      </c>
    </row>
    <row r="499" spans="1:16" ht="18.95" customHeight="1">
      <c r="A499" s="855"/>
      <c r="B499" s="789" t="s">
        <v>273</v>
      </c>
      <c r="C499" s="852" t="s">
        <v>1724</v>
      </c>
      <c r="D499" s="852"/>
      <c r="E499" s="757">
        <v>5</v>
      </c>
      <c r="F499" s="799" t="s">
        <v>1684</v>
      </c>
      <c r="G499" s="759">
        <v>3025</v>
      </c>
      <c r="H499" s="783">
        <f t="shared" si="38"/>
        <v>2828.0968421749999</v>
      </c>
      <c r="I499" s="783">
        <f t="shared" si="42"/>
        <v>14140.484210875</v>
      </c>
      <c r="J499" s="759">
        <v>519</v>
      </c>
      <c r="K499" s="790">
        <f t="shared" si="39"/>
        <v>485.21727639299996</v>
      </c>
      <c r="L499" s="799">
        <f t="shared" si="40"/>
        <v>2426.0863819649999</v>
      </c>
      <c r="M499" s="757">
        <f t="shared" si="41"/>
        <v>16566.570592839998</v>
      </c>
      <c r="N499" s="841"/>
      <c r="O499" s="663">
        <v>0.93490804699999996</v>
      </c>
    </row>
    <row r="500" spans="1:16" ht="18.95" customHeight="1">
      <c r="A500" s="1173" t="s">
        <v>1830</v>
      </c>
      <c r="B500" s="786" t="s">
        <v>1726</v>
      </c>
      <c r="C500" s="852"/>
      <c r="D500" s="852"/>
      <c r="E500" s="766"/>
      <c r="F500" s="799"/>
      <c r="G500" s="765"/>
      <c r="H500" s="783"/>
      <c r="I500" s="783"/>
      <c r="J500" s="843"/>
      <c r="K500" s="790"/>
      <c r="L500" s="799"/>
      <c r="M500" s="757"/>
      <c r="N500" s="841"/>
      <c r="O500" s="663">
        <v>0.93490804699999996</v>
      </c>
    </row>
    <row r="501" spans="1:16" ht="18.95" customHeight="1">
      <c r="A501" s="853"/>
      <c r="B501" s="789" t="s">
        <v>273</v>
      </c>
      <c r="C501" s="852" t="s">
        <v>1727</v>
      </c>
      <c r="D501" s="852"/>
      <c r="E501" s="757">
        <v>589.95000000000005</v>
      </c>
      <c r="F501" s="799" t="s">
        <v>397</v>
      </c>
      <c r="G501" s="798">
        <v>36.520000000000003</v>
      </c>
      <c r="H501" s="783">
        <f t="shared" si="38"/>
        <v>34.142841876440002</v>
      </c>
      <c r="I501" s="783">
        <f t="shared" si="42"/>
        <v>20142.569565005782</v>
      </c>
      <c r="J501" s="843">
        <v>14</v>
      </c>
      <c r="K501" s="790">
        <f t="shared" si="39"/>
        <v>13.088712657999999</v>
      </c>
      <c r="L501" s="799">
        <f t="shared" si="40"/>
        <v>7721.6860325870994</v>
      </c>
      <c r="M501" s="757">
        <f t="shared" si="41"/>
        <v>27864.255597592881</v>
      </c>
      <c r="N501" s="841"/>
      <c r="O501" s="663">
        <v>0.93490804699999996</v>
      </c>
    </row>
    <row r="502" spans="1:16" ht="18.95" customHeight="1">
      <c r="A502" s="856"/>
      <c r="B502" s="1169" t="s">
        <v>1831</v>
      </c>
      <c r="C502" s="801"/>
      <c r="D502" s="815"/>
      <c r="E502" s="854"/>
      <c r="F502" s="857"/>
      <c r="G502" s="843"/>
      <c r="H502" s="783"/>
      <c r="I502" s="783"/>
      <c r="J502" s="843"/>
      <c r="K502" s="790"/>
      <c r="L502" s="799"/>
      <c r="M502" s="757"/>
      <c r="N502" s="837"/>
      <c r="O502" s="663">
        <v>0.93490804699999996</v>
      </c>
    </row>
    <row r="503" spans="1:16" ht="18.95" customHeight="1">
      <c r="A503" s="1173" t="s">
        <v>1832</v>
      </c>
      <c r="B503" s="786" t="s">
        <v>1687</v>
      </c>
      <c r="C503" s="809"/>
      <c r="D503" s="815"/>
      <c r="E503" s="790"/>
      <c r="F503" s="799"/>
      <c r="G503" s="798"/>
      <c r="H503" s="783"/>
      <c r="I503" s="783"/>
      <c r="J503" s="843"/>
      <c r="K503" s="790"/>
      <c r="L503" s="799"/>
      <c r="M503" s="757"/>
      <c r="N503" s="837"/>
      <c r="O503" s="663">
        <v>0.93490804699999996</v>
      </c>
    </row>
    <row r="504" spans="1:16" ht="18.95" customHeight="1">
      <c r="A504" s="851"/>
      <c r="B504" s="789" t="s">
        <v>273</v>
      </c>
      <c r="C504" s="1170" t="s">
        <v>1688</v>
      </c>
      <c r="D504" s="852"/>
      <c r="E504" s="757">
        <v>7096</v>
      </c>
      <c r="F504" s="799" t="s">
        <v>397</v>
      </c>
      <c r="G504" s="765">
        <v>19.45</v>
      </c>
      <c r="H504" s="783">
        <f t="shared" si="38"/>
        <v>18.183961514149999</v>
      </c>
      <c r="I504" s="783">
        <f t="shared" si="42"/>
        <v>129033.3909044084</v>
      </c>
      <c r="J504" s="843">
        <v>3.6</v>
      </c>
      <c r="K504" s="790">
        <f t="shared" si="39"/>
        <v>3.3656689692000001</v>
      </c>
      <c r="L504" s="799">
        <f t="shared" si="40"/>
        <v>23882.787005443202</v>
      </c>
      <c r="M504" s="757">
        <f t="shared" si="41"/>
        <v>152916.1779098516</v>
      </c>
      <c r="N504" s="841"/>
      <c r="O504" s="663">
        <v>0.93490804699999996</v>
      </c>
      <c r="P504" s="725" t="s">
        <v>1689</v>
      </c>
    </row>
    <row r="505" spans="1:16" ht="18.95" customHeight="1">
      <c r="A505" s="851"/>
      <c r="B505" s="789" t="s">
        <v>273</v>
      </c>
      <c r="C505" s="1170" t="s">
        <v>1690</v>
      </c>
      <c r="D505" s="852"/>
      <c r="E505" s="757">
        <v>1268</v>
      </c>
      <c r="F505" s="799" t="s">
        <v>397</v>
      </c>
      <c r="G505" s="765">
        <v>19.25</v>
      </c>
      <c r="H505" s="783">
        <f t="shared" si="38"/>
        <v>17.996979904749999</v>
      </c>
      <c r="I505" s="783">
        <f t="shared" si="42"/>
        <v>22820.170519223</v>
      </c>
      <c r="J505" s="843">
        <v>3.6</v>
      </c>
      <c r="K505" s="790">
        <f t="shared" si="39"/>
        <v>3.3656689692000001</v>
      </c>
      <c r="L505" s="799">
        <f t="shared" si="40"/>
        <v>4267.6682529456002</v>
      </c>
      <c r="M505" s="757">
        <f t="shared" si="41"/>
        <v>27087.838772168601</v>
      </c>
      <c r="N505" s="841"/>
      <c r="O505" s="663">
        <v>0.93490804699999996</v>
      </c>
      <c r="P505" s="725" t="s">
        <v>1689</v>
      </c>
    </row>
    <row r="506" spans="1:16" ht="18.95" customHeight="1">
      <c r="A506" s="853"/>
      <c r="B506" s="789" t="s">
        <v>273</v>
      </c>
      <c r="C506" s="1170" t="s">
        <v>1694</v>
      </c>
      <c r="D506" s="852"/>
      <c r="E506" s="757">
        <v>151</v>
      </c>
      <c r="F506" s="799" t="s">
        <v>397</v>
      </c>
      <c r="G506" s="765">
        <v>27.1</v>
      </c>
      <c r="H506" s="783">
        <f t="shared" si="38"/>
        <v>25.3360080737</v>
      </c>
      <c r="I506" s="783">
        <f t="shared" si="42"/>
        <v>3825.7372191287</v>
      </c>
      <c r="J506" s="843">
        <v>0</v>
      </c>
      <c r="K506" s="790">
        <f t="shared" si="39"/>
        <v>0</v>
      </c>
      <c r="L506" s="799">
        <f t="shared" si="40"/>
        <v>0</v>
      </c>
      <c r="M506" s="757">
        <f t="shared" si="41"/>
        <v>3825.7372191287</v>
      </c>
      <c r="N506" s="841"/>
      <c r="O506" s="663">
        <v>0.93490804699999996</v>
      </c>
      <c r="P506" s="725" t="s">
        <v>1689</v>
      </c>
    </row>
    <row r="507" spans="1:16" ht="18.95" customHeight="1">
      <c r="A507" s="1173" t="s">
        <v>1833</v>
      </c>
      <c r="B507" s="786" t="s">
        <v>1696</v>
      </c>
      <c r="C507" s="809"/>
      <c r="D507" s="858"/>
      <c r="E507" s="854"/>
      <c r="F507" s="857"/>
      <c r="G507" s="765"/>
      <c r="H507" s="783"/>
      <c r="I507" s="783"/>
      <c r="J507" s="765"/>
      <c r="K507" s="790"/>
      <c r="L507" s="799"/>
      <c r="M507" s="757"/>
      <c r="N507" s="837"/>
      <c r="O507" s="663">
        <v>0.93490804699999996</v>
      </c>
    </row>
    <row r="508" spans="1:16" ht="18.95" customHeight="1">
      <c r="A508" s="853"/>
      <c r="B508" s="789" t="s">
        <v>273</v>
      </c>
      <c r="C508" s="1170" t="s">
        <v>1697</v>
      </c>
      <c r="D508" s="852"/>
      <c r="E508" s="766">
        <v>442</v>
      </c>
      <c r="F508" s="799" t="s">
        <v>211</v>
      </c>
      <c r="G508" s="765">
        <v>245.2</v>
      </c>
      <c r="H508" s="783">
        <f t="shared" si="38"/>
        <v>229.23945312439997</v>
      </c>
      <c r="I508" s="783">
        <f t="shared" si="42"/>
        <v>101323.83828098478</v>
      </c>
      <c r="J508" s="843">
        <v>0</v>
      </c>
      <c r="K508" s="790">
        <f t="shared" si="39"/>
        <v>0</v>
      </c>
      <c r="L508" s="799">
        <f t="shared" si="40"/>
        <v>0</v>
      </c>
      <c r="M508" s="757">
        <f t="shared" si="41"/>
        <v>101323.83828098478</v>
      </c>
      <c r="N508" s="841"/>
      <c r="O508" s="663">
        <v>0.93490804699999996</v>
      </c>
    </row>
    <row r="509" spans="1:16" ht="18.95" customHeight="1">
      <c r="A509" s="853"/>
      <c r="B509" s="789" t="s">
        <v>273</v>
      </c>
      <c r="C509" s="1170" t="s">
        <v>1698</v>
      </c>
      <c r="D509" s="852"/>
      <c r="E509" s="766">
        <v>883</v>
      </c>
      <c r="F509" s="799" t="s">
        <v>211</v>
      </c>
      <c r="G509" s="765"/>
      <c r="H509" s="783">
        <f t="shared" ref="H509:H569" si="43">G509*O509</f>
        <v>0</v>
      </c>
      <c r="I509" s="783">
        <f t="shared" si="42"/>
        <v>0</v>
      </c>
      <c r="J509" s="843">
        <v>121</v>
      </c>
      <c r="K509" s="790">
        <f t="shared" si="39"/>
        <v>113.123873687</v>
      </c>
      <c r="L509" s="799">
        <f t="shared" si="40"/>
        <v>99888.380465620998</v>
      </c>
      <c r="M509" s="757">
        <f t="shared" si="41"/>
        <v>99888.380465620998</v>
      </c>
      <c r="N509" s="841"/>
      <c r="O509" s="663">
        <v>0.93490804699999996</v>
      </c>
    </row>
    <row r="510" spans="1:16" ht="18.95" customHeight="1">
      <c r="A510" s="853"/>
      <c r="B510" s="789" t="s">
        <v>273</v>
      </c>
      <c r="C510" s="1170" t="s">
        <v>1699</v>
      </c>
      <c r="D510" s="852"/>
      <c r="E510" s="766">
        <v>133</v>
      </c>
      <c r="F510" s="799" t="s">
        <v>1700</v>
      </c>
      <c r="G510" s="765">
        <v>309.42</v>
      </c>
      <c r="H510" s="783">
        <f t="shared" si="43"/>
        <v>289.27924790274</v>
      </c>
      <c r="I510" s="783">
        <f t="shared" si="42"/>
        <v>38474.139971064418</v>
      </c>
      <c r="J510" s="843">
        <v>0</v>
      </c>
      <c r="K510" s="790">
        <f t="shared" ref="K510:K569" si="44">J510*O510</f>
        <v>0</v>
      </c>
      <c r="L510" s="799">
        <f t="shared" ref="L510:L569" si="45">K510*E510</f>
        <v>0</v>
      </c>
      <c r="M510" s="757">
        <f t="shared" si="41"/>
        <v>38474.139971064418</v>
      </c>
      <c r="N510" s="841"/>
      <c r="O510" s="663">
        <v>0.93490804699999996</v>
      </c>
    </row>
    <row r="511" spans="1:16" ht="18.95" customHeight="1">
      <c r="A511" s="853"/>
      <c r="B511" s="789" t="s">
        <v>273</v>
      </c>
      <c r="C511" s="1170" t="s">
        <v>1701</v>
      </c>
      <c r="D511" s="852"/>
      <c r="E511" s="757">
        <v>111</v>
      </c>
      <c r="F511" s="799" t="s">
        <v>397</v>
      </c>
      <c r="G511" s="765">
        <v>23.36</v>
      </c>
      <c r="H511" s="783">
        <f t="shared" si="43"/>
        <v>21.83945197792</v>
      </c>
      <c r="I511" s="783">
        <f t="shared" si="42"/>
        <v>2424.1791695491202</v>
      </c>
      <c r="J511" s="843">
        <v>0</v>
      </c>
      <c r="K511" s="790">
        <f t="shared" si="44"/>
        <v>0</v>
      </c>
      <c r="L511" s="799">
        <f t="shared" si="45"/>
        <v>0</v>
      </c>
      <c r="M511" s="757">
        <f t="shared" si="41"/>
        <v>2424.1791695491202</v>
      </c>
      <c r="N511" s="841"/>
      <c r="O511" s="663">
        <v>0.93490804699999996</v>
      </c>
      <c r="P511" s="725" t="s">
        <v>1689</v>
      </c>
    </row>
    <row r="512" spans="1:16" ht="18.95" customHeight="1">
      <c r="A512" s="1173" t="s">
        <v>1834</v>
      </c>
      <c r="B512" s="786" t="s">
        <v>1702</v>
      </c>
      <c r="C512" s="809"/>
      <c r="D512" s="860"/>
      <c r="E512" s="766"/>
      <c r="F512" s="857"/>
      <c r="G512" s="798"/>
      <c r="H512" s="783"/>
      <c r="I512" s="783"/>
      <c r="J512" s="843"/>
      <c r="K512" s="790"/>
      <c r="L512" s="799"/>
      <c r="M512" s="757"/>
      <c r="N512" s="837"/>
      <c r="O512" s="663">
        <v>0.93490804699999996</v>
      </c>
    </row>
    <row r="513" spans="1:16" ht="18.95" customHeight="1">
      <c r="A513" s="855"/>
      <c r="B513" s="789" t="s">
        <v>273</v>
      </c>
      <c r="C513" s="852" t="s">
        <v>1723</v>
      </c>
      <c r="D513" s="852"/>
      <c r="E513" s="757">
        <v>88</v>
      </c>
      <c r="F513" s="799" t="s">
        <v>1684</v>
      </c>
      <c r="G513" s="759">
        <v>2679.9</v>
      </c>
      <c r="H513" s="783">
        <f t="shared" si="43"/>
        <v>2505.4600751552998</v>
      </c>
      <c r="I513" s="783">
        <f t="shared" si="42"/>
        <v>220480.48661366638</v>
      </c>
      <c r="J513" s="759">
        <v>519</v>
      </c>
      <c r="K513" s="790">
        <f t="shared" si="44"/>
        <v>485.21727639299996</v>
      </c>
      <c r="L513" s="799">
        <f t="shared" si="45"/>
        <v>42699.120322584</v>
      </c>
      <c r="M513" s="757">
        <f t="shared" si="41"/>
        <v>263179.60693625035</v>
      </c>
      <c r="N513" s="841"/>
      <c r="O513" s="663">
        <v>0.93490804699999996</v>
      </c>
    </row>
    <row r="514" spans="1:16" ht="18.95" customHeight="1">
      <c r="A514" s="859">
        <v>5.15</v>
      </c>
      <c r="B514" s="786" t="s">
        <v>1835</v>
      </c>
      <c r="C514" s="852"/>
      <c r="D514" s="852"/>
      <c r="E514" s="766"/>
      <c r="F514" s="799"/>
      <c r="G514" s="765"/>
      <c r="H514" s="783"/>
      <c r="I514" s="783"/>
      <c r="J514" s="843"/>
      <c r="K514" s="790"/>
      <c r="L514" s="799"/>
      <c r="M514" s="757"/>
      <c r="N514" s="841"/>
      <c r="O514" s="663">
        <v>0.93490804699999996</v>
      </c>
    </row>
    <row r="515" spans="1:16" ht="18.95" customHeight="1">
      <c r="A515" s="853"/>
      <c r="B515" s="789" t="s">
        <v>273</v>
      </c>
      <c r="C515" s="852" t="s">
        <v>1820</v>
      </c>
      <c r="D515" s="852"/>
      <c r="E515" s="757">
        <v>211</v>
      </c>
      <c r="F515" s="799" t="s">
        <v>397</v>
      </c>
      <c r="G515" s="798">
        <v>26.54</v>
      </c>
      <c r="H515" s="783">
        <f t="shared" si="43"/>
        <v>24.812459567379999</v>
      </c>
      <c r="I515" s="783">
        <f t="shared" si="42"/>
        <v>5235.4289687171795</v>
      </c>
      <c r="J515" s="843">
        <v>14</v>
      </c>
      <c r="K515" s="790">
        <f t="shared" si="44"/>
        <v>13.088712657999999</v>
      </c>
      <c r="L515" s="799">
        <f t="shared" si="45"/>
        <v>2761.7183708379998</v>
      </c>
      <c r="M515" s="757">
        <f t="shared" si="41"/>
        <v>7997.1473395551793</v>
      </c>
      <c r="N515" s="837"/>
      <c r="O515" s="663">
        <v>0.93490804699999996</v>
      </c>
    </row>
    <row r="516" spans="1:16" ht="18.95" customHeight="1">
      <c r="A516" s="853"/>
      <c r="B516" s="789" t="s">
        <v>273</v>
      </c>
      <c r="C516" s="852" t="s">
        <v>1821</v>
      </c>
      <c r="D516" s="852"/>
      <c r="E516" s="757">
        <v>526</v>
      </c>
      <c r="F516" s="799" t="s">
        <v>397</v>
      </c>
      <c r="G516" s="798">
        <v>26.75</v>
      </c>
      <c r="H516" s="783">
        <f t="shared" si="43"/>
        <v>25.008790257249998</v>
      </c>
      <c r="I516" s="783">
        <f t="shared" si="42"/>
        <v>13154.6236753135</v>
      </c>
      <c r="J516" s="843">
        <v>14</v>
      </c>
      <c r="K516" s="790">
        <f t="shared" si="44"/>
        <v>13.088712657999999</v>
      </c>
      <c r="L516" s="799">
        <f t="shared" si="45"/>
        <v>6884.6628581079995</v>
      </c>
      <c r="M516" s="757">
        <f t="shared" si="41"/>
        <v>20039.286533421498</v>
      </c>
      <c r="N516" s="837"/>
      <c r="O516" s="663">
        <v>0.93490804699999996</v>
      </c>
    </row>
    <row r="517" spans="1:16" ht="18.95" customHeight="1">
      <c r="A517" s="853"/>
      <c r="B517" s="789" t="s">
        <v>273</v>
      </c>
      <c r="C517" s="852" t="s">
        <v>1822</v>
      </c>
      <c r="D517" s="852"/>
      <c r="E517" s="757">
        <v>425</v>
      </c>
      <c r="F517" s="799" t="s">
        <v>397</v>
      </c>
      <c r="G517" s="798">
        <v>26.78</v>
      </c>
      <c r="H517" s="783">
        <f t="shared" si="43"/>
        <v>25.036837498659999</v>
      </c>
      <c r="I517" s="783">
        <f t="shared" si="42"/>
        <v>10640.6559369305</v>
      </c>
      <c r="J517" s="843">
        <v>14</v>
      </c>
      <c r="K517" s="790">
        <f t="shared" si="44"/>
        <v>13.088712657999999</v>
      </c>
      <c r="L517" s="799">
        <f t="shared" si="45"/>
        <v>5562.702879649999</v>
      </c>
      <c r="M517" s="757">
        <f t="shared" si="41"/>
        <v>16203.358816580498</v>
      </c>
      <c r="N517" s="837"/>
      <c r="O517" s="663">
        <v>0.93490804699999996</v>
      </c>
    </row>
    <row r="518" spans="1:16" ht="18.95" customHeight="1">
      <c r="A518" s="814"/>
      <c r="B518" s="789" t="s">
        <v>273</v>
      </c>
      <c r="C518" s="1174" t="s">
        <v>1744</v>
      </c>
      <c r="D518" s="815"/>
      <c r="E518" s="757">
        <v>63</v>
      </c>
      <c r="F518" s="799" t="s">
        <v>211</v>
      </c>
      <c r="G518" s="798">
        <v>28.02</v>
      </c>
      <c r="H518" s="783">
        <f t="shared" si="43"/>
        <v>26.196123476939999</v>
      </c>
      <c r="I518" s="783">
        <f t="shared" si="42"/>
        <v>1650.3557790472198</v>
      </c>
      <c r="J518" s="759">
        <v>30</v>
      </c>
      <c r="K518" s="790">
        <f t="shared" si="44"/>
        <v>28.047241409999998</v>
      </c>
      <c r="L518" s="799">
        <f t="shared" si="45"/>
        <v>1766.9762088299999</v>
      </c>
      <c r="M518" s="757">
        <f t="shared" ref="M518:M520" si="46">L518+I518</f>
        <v>3417.3319878772199</v>
      </c>
      <c r="N518" s="837"/>
      <c r="O518" s="663">
        <v>0.93490804699999996</v>
      </c>
    </row>
    <row r="519" spans="1:16" ht="18.95" customHeight="1">
      <c r="A519" s="814"/>
      <c r="B519" s="789" t="s">
        <v>273</v>
      </c>
      <c r="C519" s="1170" t="s">
        <v>1745</v>
      </c>
      <c r="D519" s="852"/>
      <c r="E519" s="757">
        <v>63</v>
      </c>
      <c r="F519" s="799" t="s">
        <v>211</v>
      </c>
      <c r="G519" s="765">
        <v>32.32</v>
      </c>
      <c r="H519" s="783">
        <f t="shared" si="43"/>
        <v>30.21622807904</v>
      </c>
      <c r="I519" s="783">
        <f t="shared" si="42"/>
        <v>1903.6223689795199</v>
      </c>
      <c r="J519" s="843">
        <v>35</v>
      </c>
      <c r="K519" s="790">
        <f t="shared" si="44"/>
        <v>32.721781645</v>
      </c>
      <c r="L519" s="799">
        <f t="shared" si="45"/>
        <v>2061.4722436349998</v>
      </c>
      <c r="M519" s="757">
        <f t="shared" si="46"/>
        <v>3965.09461261452</v>
      </c>
      <c r="N519" s="837"/>
      <c r="O519" s="663">
        <v>0.93490804699999996</v>
      </c>
      <c r="P519" s="725" t="s">
        <v>1689</v>
      </c>
    </row>
    <row r="520" spans="1:16" ht="18.95" customHeight="1">
      <c r="A520" s="814"/>
      <c r="B520" s="789" t="s">
        <v>273</v>
      </c>
      <c r="C520" s="1174" t="s">
        <v>1746</v>
      </c>
      <c r="D520" s="815"/>
      <c r="E520" s="757">
        <v>63</v>
      </c>
      <c r="F520" s="799" t="s">
        <v>211</v>
      </c>
      <c r="G520" s="798">
        <v>130</v>
      </c>
      <c r="H520" s="783">
        <f t="shared" si="43"/>
        <v>121.53804611</v>
      </c>
      <c r="I520" s="783">
        <f t="shared" si="42"/>
        <v>7656.8969049299994</v>
      </c>
      <c r="J520" s="843">
        <v>30</v>
      </c>
      <c r="K520" s="790">
        <f t="shared" si="44"/>
        <v>28.047241409999998</v>
      </c>
      <c r="L520" s="799">
        <f t="shared" si="45"/>
        <v>1766.9762088299999</v>
      </c>
      <c r="M520" s="757">
        <f t="shared" si="46"/>
        <v>9423.8731137599989</v>
      </c>
      <c r="N520" s="837"/>
      <c r="O520" s="663">
        <v>0.93490804699999996</v>
      </c>
    </row>
    <row r="521" spans="1:16" ht="18.95" customHeight="1">
      <c r="A521" s="875"/>
      <c r="B521" s="786"/>
      <c r="C521" s="809"/>
      <c r="D521" s="810"/>
      <c r="E521" s="766"/>
      <c r="F521" s="799"/>
      <c r="G521" s="798"/>
      <c r="H521" s="783"/>
      <c r="I521" s="783"/>
      <c r="J521" s="798"/>
      <c r="K521" s="790"/>
      <c r="L521" s="799"/>
      <c r="M521" s="757"/>
      <c r="N521" s="837"/>
      <c r="O521" s="663">
        <v>0.93490804699999996</v>
      </c>
    </row>
    <row r="522" spans="1:16" s="724" customFormat="1" ht="18.95" customHeight="1">
      <c r="A522" s="791"/>
      <c r="B522" s="1336" t="s">
        <v>1836</v>
      </c>
      <c r="C522" s="1337"/>
      <c r="D522" s="1338"/>
      <c r="E522" s="792"/>
      <c r="F522" s="793"/>
      <c r="G522" s="794"/>
      <c r="H522" s="864"/>
      <c r="I522" s="864"/>
      <c r="J522" s="844"/>
      <c r="K522" s="873"/>
      <c r="L522" s="845"/>
      <c r="M522" s="846">
        <f>SUM(M453:M520)</f>
        <v>12005322.026018549</v>
      </c>
      <c r="N522" s="847"/>
      <c r="O522" s="848">
        <v>0.93490804699999996</v>
      </c>
    </row>
    <row r="523" spans="1:16" ht="18.95" customHeight="1">
      <c r="A523" s="875"/>
      <c r="B523" s="786"/>
      <c r="C523" s="809"/>
      <c r="D523" s="810"/>
      <c r="E523" s="766"/>
      <c r="F523" s="799"/>
      <c r="G523" s="798"/>
      <c r="H523" s="783"/>
      <c r="I523" s="783"/>
      <c r="J523" s="798"/>
      <c r="K523" s="790"/>
      <c r="L523" s="799"/>
      <c r="M523" s="757"/>
      <c r="N523" s="837"/>
      <c r="O523" s="663">
        <v>0.93490804699999996</v>
      </c>
    </row>
    <row r="524" spans="1:16" ht="18.95" customHeight="1">
      <c r="A524" s="875"/>
      <c r="B524" s="786"/>
      <c r="C524" s="809"/>
      <c r="D524" s="810"/>
      <c r="E524" s="766"/>
      <c r="F524" s="799"/>
      <c r="G524" s="798"/>
      <c r="H524" s="783"/>
      <c r="I524" s="783"/>
      <c r="J524" s="798"/>
      <c r="K524" s="790"/>
      <c r="L524" s="799"/>
      <c r="M524" s="757"/>
      <c r="N524" s="837"/>
      <c r="O524" s="663">
        <v>0.93490804699999996</v>
      </c>
    </row>
    <row r="525" spans="1:16" ht="18.95" customHeight="1">
      <c r="A525" s="875"/>
      <c r="B525" s="786"/>
      <c r="C525" s="809"/>
      <c r="D525" s="810"/>
      <c r="E525" s="766"/>
      <c r="F525" s="799"/>
      <c r="G525" s="798"/>
      <c r="H525" s="783"/>
      <c r="I525" s="783"/>
      <c r="J525" s="798"/>
      <c r="K525" s="790"/>
      <c r="L525" s="799"/>
      <c r="M525" s="757"/>
      <c r="N525" s="837"/>
      <c r="O525" s="663">
        <v>0.93490804699999996</v>
      </c>
    </row>
    <row r="526" spans="1:16" ht="18.95" customHeight="1">
      <c r="A526" s="875"/>
      <c r="B526" s="786"/>
      <c r="C526" s="809"/>
      <c r="D526" s="810"/>
      <c r="E526" s="766"/>
      <c r="F526" s="799"/>
      <c r="G526" s="798"/>
      <c r="H526" s="783"/>
      <c r="I526" s="783"/>
      <c r="J526" s="798"/>
      <c r="K526" s="790"/>
      <c r="L526" s="799"/>
      <c r="M526" s="757"/>
      <c r="N526" s="837"/>
      <c r="O526" s="663">
        <v>0.93490804699999996</v>
      </c>
    </row>
    <row r="527" spans="1:16" ht="18.95" customHeight="1">
      <c r="A527" s="875"/>
      <c r="B527" s="786"/>
      <c r="C527" s="809"/>
      <c r="D527" s="810"/>
      <c r="E527" s="766"/>
      <c r="F527" s="799"/>
      <c r="G527" s="798"/>
      <c r="H527" s="783"/>
      <c r="I527" s="783"/>
      <c r="J527" s="798"/>
      <c r="K527" s="790"/>
      <c r="L527" s="799"/>
      <c r="M527" s="757"/>
      <c r="N527" s="837"/>
      <c r="O527" s="663">
        <v>0.93490804699999996</v>
      </c>
    </row>
    <row r="528" spans="1:16" ht="18.95" customHeight="1">
      <c r="A528" s="875"/>
      <c r="B528" s="786"/>
      <c r="C528" s="809"/>
      <c r="D528" s="810"/>
      <c r="E528" s="766"/>
      <c r="F528" s="799"/>
      <c r="G528" s="798"/>
      <c r="H528" s="783"/>
      <c r="I528" s="783"/>
      <c r="J528" s="798"/>
      <c r="K528" s="790"/>
      <c r="L528" s="799"/>
      <c r="M528" s="757"/>
      <c r="N528" s="837"/>
      <c r="O528" s="663">
        <v>0.93490804699999996</v>
      </c>
    </row>
    <row r="529" spans="1:16" ht="18.95" customHeight="1">
      <c r="A529" s="875"/>
      <c r="B529" s="786"/>
      <c r="C529" s="809"/>
      <c r="D529" s="810"/>
      <c r="E529" s="766"/>
      <c r="F529" s="799"/>
      <c r="G529" s="798"/>
      <c r="H529" s="783"/>
      <c r="I529" s="783"/>
      <c r="J529" s="798"/>
      <c r="K529" s="790"/>
      <c r="L529" s="799"/>
      <c r="M529" s="757"/>
      <c r="N529" s="837"/>
      <c r="O529" s="663">
        <v>0.93490804699999996</v>
      </c>
    </row>
    <row r="530" spans="1:16" ht="18.95" customHeight="1">
      <c r="A530" s="875"/>
      <c r="B530" s="786"/>
      <c r="C530" s="809"/>
      <c r="D530" s="810"/>
      <c r="E530" s="766"/>
      <c r="F530" s="799"/>
      <c r="G530" s="798"/>
      <c r="H530" s="783"/>
      <c r="I530" s="783"/>
      <c r="J530" s="798"/>
      <c r="K530" s="790"/>
      <c r="L530" s="799"/>
      <c r="M530" s="757"/>
      <c r="N530" s="837"/>
      <c r="O530" s="663">
        <v>0.93490804699999996</v>
      </c>
    </row>
    <row r="531" spans="1:16" ht="18.95" customHeight="1">
      <c r="A531" s="875"/>
      <c r="B531" s="786"/>
      <c r="C531" s="809"/>
      <c r="D531" s="810"/>
      <c r="E531" s="766"/>
      <c r="F531" s="799"/>
      <c r="G531" s="798"/>
      <c r="H531" s="783"/>
      <c r="I531" s="783"/>
      <c r="J531" s="798"/>
      <c r="K531" s="790"/>
      <c r="L531" s="799"/>
      <c r="M531" s="757"/>
      <c r="N531" s="837"/>
      <c r="O531" s="663">
        <v>0.93490804699999996</v>
      </c>
    </row>
    <row r="532" spans="1:16" ht="18.95" customHeight="1">
      <c r="A532" s="875"/>
      <c r="B532" s="786"/>
      <c r="C532" s="809"/>
      <c r="D532" s="810"/>
      <c r="E532" s="766"/>
      <c r="F532" s="799"/>
      <c r="G532" s="798"/>
      <c r="H532" s="783"/>
      <c r="I532" s="783"/>
      <c r="J532" s="798"/>
      <c r="K532" s="790"/>
      <c r="L532" s="799"/>
      <c r="M532" s="757"/>
      <c r="N532" s="837"/>
      <c r="O532" s="663">
        <v>0.93490804699999996</v>
      </c>
    </row>
    <row r="533" spans="1:16" ht="18.95" customHeight="1">
      <c r="A533" s="875"/>
      <c r="B533" s="786"/>
      <c r="C533" s="809"/>
      <c r="D533" s="810"/>
      <c r="E533" s="766"/>
      <c r="F533" s="799"/>
      <c r="G533" s="798"/>
      <c r="H533" s="783"/>
      <c r="I533" s="783"/>
      <c r="J533" s="798"/>
      <c r="K533" s="790"/>
      <c r="L533" s="799"/>
      <c r="M533" s="757"/>
      <c r="N533" s="837"/>
      <c r="O533" s="663">
        <v>0.93490804699999996</v>
      </c>
    </row>
    <row r="534" spans="1:16" ht="18.95" customHeight="1">
      <c r="A534" s="875"/>
      <c r="B534" s="786"/>
      <c r="C534" s="809"/>
      <c r="D534" s="810"/>
      <c r="E534" s="766"/>
      <c r="F534" s="799"/>
      <c r="G534" s="798"/>
      <c r="H534" s="783"/>
      <c r="I534" s="783"/>
      <c r="J534" s="798"/>
      <c r="K534" s="790"/>
      <c r="L534" s="799"/>
      <c r="M534" s="757"/>
      <c r="N534" s="837"/>
      <c r="O534" s="663">
        <v>0.93490804699999996</v>
      </c>
    </row>
    <row r="535" spans="1:16" ht="18.95" customHeight="1">
      <c r="A535" s="875"/>
      <c r="B535" s="786"/>
      <c r="C535" s="809"/>
      <c r="D535" s="810"/>
      <c r="E535" s="766"/>
      <c r="F535" s="799"/>
      <c r="G535" s="798"/>
      <c r="H535" s="783"/>
      <c r="I535" s="783"/>
      <c r="J535" s="798"/>
      <c r="K535" s="790"/>
      <c r="L535" s="799"/>
      <c r="M535" s="757"/>
      <c r="N535" s="837"/>
      <c r="O535" s="663">
        <v>0.93490804699999996</v>
      </c>
    </row>
    <row r="536" spans="1:16" ht="18.95" customHeight="1">
      <c r="A536" s="875"/>
      <c r="B536" s="786"/>
      <c r="C536" s="809"/>
      <c r="D536" s="810"/>
      <c r="E536" s="766"/>
      <c r="F536" s="799"/>
      <c r="G536" s="798"/>
      <c r="H536" s="783"/>
      <c r="I536" s="783"/>
      <c r="J536" s="798"/>
      <c r="K536" s="790"/>
      <c r="L536" s="799"/>
      <c r="M536" s="757"/>
      <c r="N536" s="837"/>
      <c r="O536" s="663">
        <v>0.93490804699999996</v>
      </c>
    </row>
    <row r="537" spans="1:16" ht="18.95" customHeight="1">
      <c r="A537" s="875"/>
      <c r="B537" s="786"/>
      <c r="C537" s="809"/>
      <c r="D537" s="810"/>
      <c r="E537" s="766"/>
      <c r="F537" s="799"/>
      <c r="G537" s="798"/>
      <c r="H537" s="783"/>
      <c r="I537" s="783"/>
      <c r="J537" s="798"/>
      <c r="K537" s="790"/>
      <c r="L537" s="799"/>
      <c r="M537" s="757"/>
      <c r="N537" s="837"/>
      <c r="O537" s="663">
        <v>0.93490804699999996</v>
      </c>
    </row>
    <row r="538" spans="1:16" ht="18.95" customHeight="1">
      <c r="A538" s="875"/>
      <c r="B538" s="786"/>
      <c r="C538" s="809"/>
      <c r="D538" s="810"/>
      <c r="E538" s="766"/>
      <c r="F538" s="799"/>
      <c r="G538" s="798"/>
      <c r="H538" s="783"/>
      <c r="I538" s="783"/>
      <c r="J538" s="798"/>
      <c r="K538" s="790"/>
      <c r="L538" s="799"/>
      <c r="M538" s="757"/>
      <c r="N538" s="837"/>
      <c r="O538" s="663">
        <v>0.93490804699999996</v>
      </c>
    </row>
    <row r="539" spans="1:16" ht="18.95" customHeight="1">
      <c r="A539" s="776">
        <v>6</v>
      </c>
      <c r="B539" s="1169" t="s">
        <v>1662</v>
      </c>
      <c r="C539" s="801"/>
      <c r="D539" s="785"/>
      <c r="E539" s="781"/>
      <c r="F539" s="758"/>
      <c r="G539" s="782"/>
      <c r="H539" s="783"/>
      <c r="I539" s="783"/>
      <c r="J539" s="782"/>
      <c r="K539" s="790"/>
      <c r="L539" s="799"/>
      <c r="M539" s="757"/>
      <c r="N539" s="837"/>
      <c r="O539" s="663">
        <v>0.93490804699999996</v>
      </c>
    </row>
    <row r="540" spans="1:16" ht="18.95" customHeight="1">
      <c r="A540" s="856"/>
      <c r="B540" s="800"/>
      <c r="C540" s="801"/>
      <c r="D540" s="815"/>
      <c r="E540" s="854"/>
      <c r="F540" s="857"/>
      <c r="G540" s="843"/>
      <c r="H540" s="783"/>
      <c r="I540" s="783"/>
      <c r="J540" s="843"/>
      <c r="K540" s="790"/>
      <c r="L540" s="799"/>
      <c r="M540" s="757"/>
      <c r="N540" s="837"/>
      <c r="O540" s="663">
        <v>0.93490804699999996</v>
      </c>
    </row>
    <row r="541" spans="1:16" ht="18.95" customHeight="1">
      <c r="A541" s="856"/>
      <c r="B541" s="1169" t="s">
        <v>1837</v>
      </c>
      <c r="C541" s="801"/>
      <c r="D541" s="815"/>
      <c r="E541" s="854"/>
      <c r="F541" s="857"/>
      <c r="G541" s="843"/>
      <c r="H541" s="783"/>
      <c r="I541" s="783"/>
      <c r="J541" s="843"/>
      <c r="K541" s="790"/>
      <c r="L541" s="799"/>
      <c r="M541" s="757"/>
      <c r="N541" s="837"/>
      <c r="O541" s="663">
        <v>0.93490804699999996</v>
      </c>
    </row>
    <row r="542" spans="1:16" ht="18.95" customHeight="1">
      <c r="A542" s="814">
        <v>6.1</v>
      </c>
      <c r="B542" s="786" t="s">
        <v>1687</v>
      </c>
      <c r="C542" s="809"/>
      <c r="D542" s="815"/>
      <c r="E542" s="790"/>
      <c r="F542" s="799"/>
      <c r="G542" s="798"/>
      <c r="H542" s="783"/>
      <c r="I542" s="783"/>
      <c r="J542" s="843"/>
      <c r="K542" s="790"/>
      <c r="L542" s="799"/>
      <c r="M542" s="757"/>
      <c r="N542" s="841"/>
      <c r="O542" s="663">
        <v>0.93490804699999996</v>
      </c>
    </row>
    <row r="543" spans="1:16" ht="18.95" customHeight="1">
      <c r="A543" s="851"/>
      <c r="B543" s="789" t="s">
        <v>273</v>
      </c>
      <c r="C543" s="1170" t="s">
        <v>1720</v>
      </c>
      <c r="D543" s="852"/>
      <c r="E543" s="757">
        <v>46</v>
      </c>
      <c r="F543" s="799" t="s">
        <v>397</v>
      </c>
      <c r="G543" s="765">
        <v>19.600000000000001</v>
      </c>
      <c r="H543" s="783">
        <f t="shared" si="43"/>
        <v>18.324197721200001</v>
      </c>
      <c r="I543" s="783">
        <f t="shared" si="42"/>
        <v>842.91309517520006</v>
      </c>
      <c r="J543" s="843">
        <v>4.4000000000000004</v>
      </c>
      <c r="K543" s="790">
        <f t="shared" si="44"/>
        <v>4.1135954068</v>
      </c>
      <c r="L543" s="799">
        <f t="shared" si="45"/>
        <v>189.2253887128</v>
      </c>
      <c r="M543" s="757">
        <f>L543+I543</f>
        <v>1032.1384838880001</v>
      </c>
      <c r="N543" s="841"/>
      <c r="O543" s="663">
        <v>0.93490804699999996</v>
      </c>
      <c r="P543" s="725" t="s">
        <v>1689</v>
      </c>
    </row>
    <row r="544" spans="1:16" ht="18.95" customHeight="1">
      <c r="A544" s="851"/>
      <c r="B544" s="789" t="s">
        <v>273</v>
      </c>
      <c r="C544" s="1170" t="s">
        <v>1688</v>
      </c>
      <c r="D544" s="852"/>
      <c r="E544" s="757">
        <v>689</v>
      </c>
      <c r="F544" s="799" t="s">
        <v>397</v>
      </c>
      <c r="G544" s="765">
        <v>19.45</v>
      </c>
      <c r="H544" s="783">
        <f t="shared" si="43"/>
        <v>18.183961514149999</v>
      </c>
      <c r="I544" s="783">
        <f t="shared" si="42"/>
        <v>12528.749483249348</v>
      </c>
      <c r="J544" s="843">
        <v>3.6</v>
      </c>
      <c r="K544" s="790">
        <f t="shared" si="44"/>
        <v>3.3656689692000001</v>
      </c>
      <c r="L544" s="799">
        <f t="shared" si="45"/>
        <v>2318.9459197788001</v>
      </c>
      <c r="M544" s="757">
        <f t="shared" ref="M544:M603" si="47">L544+I544</f>
        <v>14847.695403028149</v>
      </c>
      <c r="N544" s="841"/>
      <c r="O544" s="663">
        <v>0.93490804699999996</v>
      </c>
      <c r="P544" s="725" t="s">
        <v>1689</v>
      </c>
    </row>
    <row r="545" spans="1:16" ht="18.95" customHeight="1">
      <c r="A545" s="851"/>
      <c r="B545" s="789" t="s">
        <v>273</v>
      </c>
      <c r="C545" s="1170" t="s">
        <v>1690</v>
      </c>
      <c r="D545" s="852"/>
      <c r="E545" s="757">
        <v>142</v>
      </c>
      <c r="F545" s="799" t="s">
        <v>397</v>
      </c>
      <c r="G545" s="765">
        <v>19.25</v>
      </c>
      <c r="H545" s="783">
        <f t="shared" si="43"/>
        <v>17.996979904749999</v>
      </c>
      <c r="I545" s="783">
        <f t="shared" si="42"/>
        <v>2555.5711464745</v>
      </c>
      <c r="J545" s="843">
        <v>3.6</v>
      </c>
      <c r="K545" s="790">
        <f t="shared" si="44"/>
        <v>3.3656689692000001</v>
      </c>
      <c r="L545" s="799">
        <f t="shared" si="45"/>
        <v>477.92499362640001</v>
      </c>
      <c r="M545" s="757">
        <f t="shared" si="47"/>
        <v>3033.4961401009</v>
      </c>
      <c r="N545" s="841"/>
      <c r="O545" s="663">
        <v>0.93490804699999996</v>
      </c>
      <c r="P545" s="725" t="s">
        <v>1689</v>
      </c>
    </row>
    <row r="546" spans="1:16" ht="18.95" customHeight="1">
      <c r="A546" s="853"/>
      <c r="B546" s="789" t="s">
        <v>273</v>
      </c>
      <c r="C546" s="1170" t="s">
        <v>1691</v>
      </c>
      <c r="D546" s="852"/>
      <c r="E546" s="757">
        <v>1442</v>
      </c>
      <c r="F546" s="799" t="s">
        <v>397</v>
      </c>
      <c r="G546" s="765">
        <v>19.25</v>
      </c>
      <c r="H546" s="783">
        <f t="shared" si="43"/>
        <v>17.996979904749999</v>
      </c>
      <c r="I546" s="783">
        <f t="shared" si="42"/>
        <v>25951.6450226495</v>
      </c>
      <c r="J546" s="843">
        <v>3.1</v>
      </c>
      <c r="K546" s="790">
        <f t="shared" si="44"/>
        <v>2.8982149456999999</v>
      </c>
      <c r="L546" s="799">
        <f t="shared" si="45"/>
        <v>4179.2259516994</v>
      </c>
      <c r="M546" s="757">
        <f t="shared" si="47"/>
        <v>30130.870974348902</v>
      </c>
      <c r="N546" s="841"/>
      <c r="O546" s="663">
        <v>0.93490804699999996</v>
      </c>
      <c r="P546" s="725" t="s">
        <v>1689</v>
      </c>
    </row>
    <row r="547" spans="1:16" ht="18.95" customHeight="1">
      <c r="A547" s="853"/>
      <c r="B547" s="789" t="s">
        <v>273</v>
      </c>
      <c r="C547" s="1170" t="s">
        <v>1692</v>
      </c>
      <c r="D547" s="852"/>
      <c r="E547" s="757">
        <v>213</v>
      </c>
      <c r="F547" s="799" t="s">
        <v>397</v>
      </c>
      <c r="G547" s="765">
        <v>19.25</v>
      </c>
      <c r="H547" s="783">
        <f t="shared" si="43"/>
        <v>17.996979904749999</v>
      </c>
      <c r="I547" s="783">
        <f t="shared" si="42"/>
        <v>3833.35671971175</v>
      </c>
      <c r="J547" s="843">
        <v>3.1</v>
      </c>
      <c r="K547" s="790">
        <f t="shared" si="44"/>
        <v>2.8982149456999999</v>
      </c>
      <c r="L547" s="799">
        <f t="shared" si="45"/>
        <v>617.31978343410003</v>
      </c>
      <c r="M547" s="757">
        <f t="shared" si="47"/>
        <v>4450.6765031458499</v>
      </c>
      <c r="N547" s="841"/>
      <c r="O547" s="663">
        <v>0.93490804699999996</v>
      </c>
      <c r="P547" s="725" t="s">
        <v>1689</v>
      </c>
    </row>
    <row r="548" spans="1:16" ht="18.95" customHeight="1">
      <c r="A548" s="853"/>
      <c r="B548" s="789" t="s">
        <v>273</v>
      </c>
      <c r="C548" s="1170" t="s">
        <v>1694</v>
      </c>
      <c r="D548" s="852"/>
      <c r="E548" s="757">
        <v>46</v>
      </c>
      <c r="F548" s="799" t="s">
        <v>397</v>
      </c>
      <c r="G548" s="765">
        <v>27.1</v>
      </c>
      <c r="H548" s="783">
        <f t="shared" si="43"/>
        <v>25.3360080737</v>
      </c>
      <c r="I548" s="783">
        <f t="shared" si="42"/>
        <v>1165.4563713902</v>
      </c>
      <c r="J548" s="843">
        <v>0</v>
      </c>
      <c r="K548" s="790">
        <f t="shared" si="44"/>
        <v>0</v>
      </c>
      <c r="L548" s="799">
        <f t="shared" si="45"/>
        <v>0</v>
      </c>
      <c r="M548" s="757">
        <f t="shared" si="47"/>
        <v>1165.4563713902</v>
      </c>
      <c r="N548" s="841"/>
      <c r="O548" s="663">
        <v>0.93490804699999996</v>
      </c>
      <c r="P548" s="725" t="s">
        <v>1689</v>
      </c>
    </row>
    <row r="549" spans="1:16" ht="18.95" customHeight="1">
      <c r="A549" s="767">
        <v>6.2</v>
      </c>
      <c r="B549" s="786" t="s">
        <v>1696</v>
      </c>
      <c r="C549" s="809"/>
      <c r="D549" s="858"/>
      <c r="E549" s="766"/>
      <c r="F549" s="799"/>
      <c r="G549" s="765"/>
      <c r="H549" s="783"/>
      <c r="I549" s="783"/>
      <c r="J549" s="765"/>
      <c r="K549" s="790"/>
      <c r="L549" s="799"/>
      <c r="M549" s="757"/>
      <c r="N549" s="841"/>
      <c r="O549" s="663">
        <v>0.93490804699999996</v>
      </c>
    </row>
    <row r="550" spans="1:16" ht="18.95" customHeight="1">
      <c r="A550" s="853"/>
      <c r="B550" s="789" t="s">
        <v>273</v>
      </c>
      <c r="C550" s="1170" t="s">
        <v>1697</v>
      </c>
      <c r="D550" s="852"/>
      <c r="E550" s="766">
        <v>37</v>
      </c>
      <c r="F550" s="799" t="s">
        <v>211</v>
      </c>
      <c r="G550" s="765">
        <v>245.2</v>
      </c>
      <c r="H550" s="783">
        <f t="shared" si="43"/>
        <v>229.23945312439997</v>
      </c>
      <c r="I550" s="783">
        <f t="shared" si="42"/>
        <v>8481.8597656027996</v>
      </c>
      <c r="J550" s="843">
        <v>0</v>
      </c>
      <c r="K550" s="790">
        <f t="shared" si="44"/>
        <v>0</v>
      </c>
      <c r="L550" s="799">
        <f t="shared" si="45"/>
        <v>0</v>
      </c>
      <c r="M550" s="757">
        <f t="shared" si="47"/>
        <v>8481.8597656027996</v>
      </c>
      <c r="N550" s="841"/>
      <c r="O550" s="663">
        <v>0.93490804699999996</v>
      </c>
    </row>
    <row r="551" spans="1:16" ht="18.95" customHeight="1">
      <c r="A551" s="853"/>
      <c r="B551" s="789" t="s">
        <v>273</v>
      </c>
      <c r="C551" s="1170" t="s">
        <v>1698</v>
      </c>
      <c r="D551" s="852"/>
      <c r="E551" s="766">
        <v>73</v>
      </c>
      <c r="F551" s="799" t="s">
        <v>211</v>
      </c>
      <c r="G551" s="765"/>
      <c r="H551" s="783">
        <f t="shared" si="43"/>
        <v>0</v>
      </c>
      <c r="I551" s="783">
        <f t="shared" si="42"/>
        <v>0</v>
      </c>
      <c r="J551" s="843">
        <v>121</v>
      </c>
      <c r="K551" s="790">
        <f t="shared" si="44"/>
        <v>113.123873687</v>
      </c>
      <c r="L551" s="799">
        <f t="shared" si="45"/>
        <v>8258.0427791509992</v>
      </c>
      <c r="M551" s="757">
        <f t="shared" si="47"/>
        <v>8258.0427791509992</v>
      </c>
      <c r="N551" s="841"/>
      <c r="O551" s="663">
        <v>0.93490804699999996</v>
      </c>
    </row>
    <row r="552" spans="1:16" ht="18.95" customHeight="1">
      <c r="A552" s="853"/>
      <c r="B552" s="789" t="s">
        <v>273</v>
      </c>
      <c r="C552" s="1170" t="s">
        <v>1699</v>
      </c>
      <c r="D552" s="852"/>
      <c r="E552" s="766">
        <v>12</v>
      </c>
      <c r="F552" s="799" t="s">
        <v>1700</v>
      </c>
      <c r="G552" s="765">
        <v>309.42</v>
      </c>
      <c r="H552" s="783">
        <f t="shared" si="43"/>
        <v>289.27924790274</v>
      </c>
      <c r="I552" s="783">
        <f t="shared" si="42"/>
        <v>3471.3509748328797</v>
      </c>
      <c r="J552" s="843">
        <v>0</v>
      </c>
      <c r="K552" s="790">
        <f t="shared" si="44"/>
        <v>0</v>
      </c>
      <c r="L552" s="799">
        <f t="shared" si="45"/>
        <v>0</v>
      </c>
      <c r="M552" s="757">
        <f t="shared" si="47"/>
        <v>3471.3509748328797</v>
      </c>
      <c r="N552" s="841"/>
      <c r="O552" s="663">
        <v>0.93490804699999996</v>
      </c>
    </row>
    <row r="553" spans="1:16" ht="18.95" customHeight="1">
      <c r="A553" s="853"/>
      <c r="B553" s="789" t="s">
        <v>273</v>
      </c>
      <c r="C553" s="1170" t="s">
        <v>1701</v>
      </c>
      <c r="D553" s="852"/>
      <c r="E553" s="757">
        <v>9</v>
      </c>
      <c r="F553" s="799" t="s">
        <v>397</v>
      </c>
      <c r="G553" s="765">
        <v>23.36</v>
      </c>
      <c r="H553" s="783">
        <f t="shared" si="43"/>
        <v>21.83945197792</v>
      </c>
      <c r="I553" s="783">
        <f t="shared" si="42"/>
        <v>196.55506780127999</v>
      </c>
      <c r="J553" s="843">
        <v>0</v>
      </c>
      <c r="K553" s="790">
        <f t="shared" si="44"/>
        <v>0</v>
      </c>
      <c r="L553" s="799">
        <f t="shared" si="45"/>
        <v>0</v>
      </c>
      <c r="M553" s="757">
        <f t="shared" si="47"/>
        <v>196.55506780127999</v>
      </c>
      <c r="N553" s="841"/>
      <c r="O553" s="663">
        <v>0.93490804699999996</v>
      </c>
      <c r="P553" s="725" t="s">
        <v>1689</v>
      </c>
    </row>
    <row r="554" spans="1:16" ht="18.95" customHeight="1">
      <c r="A554" s="767">
        <v>6.3</v>
      </c>
      <c r="B554" s="786" t="s">
        <v>1702</v>
      </c>
      <c r="C554" s="809"/>
      <c r="D554" s="860"/>
      <c r="E554" s="766"/>
      <c r="F554" s="857"/>
      <c r="G554" s="798"/>
      <c r="H554" s="783"/>
      <c r="I554" s="783"/>
      <c r="J554" s="843"/>
      <c r="K554" s="790"/>
      <c r="L554" s="799"/>
      <c r="M554" s="757"/>
      <c r="N554" s="841"/>
      <c r="O554" s="663">
        <v>0.93490804699999996</v>
      </c>
    </row>
    <row r="555" spans="1:16" ht="18.95" customHeight="1">
      <c r="A555" s="855"/>
      <c r="B555" s="789" t="s">
        <v>273</v>
      </c>
      <c r="C555" s="852" t="s">
        <v>1723</v>
      </c>
      <c r="D555" s="852"/>
      <c r="E555" s="757">
        <v>10</v>
      </c>
      <c r="F555" s="799" t="s">
        <v>1684</v>
      </c>
      <c r="G555" s="759">
        <v>2679.9</v>
      </c>
      <c r="H555" s="783">
        <f t="shared" si="43"/>
        <v>2505.4600751552998</v>
      </c>
      <c r="I555" s="783">
        <f t="shared" ref="I555:I616" si="48">H555*E555</f>
        <v>25054.600751553</v>
      </c>
      <c r="J555" s="759">
        <v>519</v>
      </c>
      <c r="K555" s="790">
        <f t="shared" si="44"/>
        <v>485.21727639299996</v>
      </c>
      <c r="L555" s="799">
        <f t="shared" si="45"/>
        <v>4852.1727639299997</v>
      </c>
      <c r="M555" s="757">
        <f t="shared" si="47"/>
        <v>29906.773515483001</v>
      </c>
      <c r="N555" s="841"/>
      <c r="O555" s="663">
        <v>0.93490804699999996</v>
      </c>
    </row>
    <row r="556" spans="1:16" ht="18.95" customHeight="1">
      <c r="A556" s="856"/>
      <c r="B556" s="1169" t="s">
        <v>1838</v>
      </c>
      <c r="C556" s="801"/>
      <c r="D556" s="815"/>
      <c r="E556" s="854"/>
      <c r="F556" s="857"/>
      <c r="G556" s="843"/>
      <c r="H556" s="783"/>
      <c r="I556" s="783"/>
      <c r="J556" s="843"/>
      <c r="K556" s="790"/>
      <c r="L556" s="799"/>
      <c r="M556" s="757"/>
      <c r="N556" s="841"/>
      <c r="O556" s="663">
        <v>0.93490804699999996</v>
      </c>
    </row>
    <row r="557" spans="1:16" ht="18.95" customHeight="1">
      <c r="A557" s="814">
        <v>6.4</v>
      </c>
      <c r="B557" s="786" t="s">
        <v>1687</v>
      </c>
      <c r="C557" s="809"/>
      <c r="D557" s="815"/>
      <c r="E557" s="790"/>
      <c r="F557" s="799"/>
      <c r="G557" s="798"/>
      <c r="H557" s="783"/>
      <c r="I557" s="783"/>
      <c r="J557" s="843"/>
      <c r="K557" s="790"/>
      <c r="L557" s="799"/>
      <c r="M557" s="757"/>
      <c r="N557" s="841"/>
      <c r="O557" s="663">
        <v>0.93490804699999996</v>
      </c>
    </row>
    <row r="558" spans="1:16" ht="18.95" customHeight="1">
      <c r="A558" s="851"/>
      <c r="B558" s="789" t="s">
        <v>273</v>
      </c>
      <c r="C558" s="1170" t="s">
        <v>1688</v>
      </c>
      <c r="D558" s="852"/>
      <c r="E558" s="757">
        <v>13706</v>
      </c>
      <c r="F558" s="799" t="s">
        <v>397</v>
      </c>
      <c r="G558" s="765">
        <v>19.45</v>
      </c>
      <c r="H558" s="783">
        <f t="shared" si="43"/>
        <v>18.183961514149999</v>
      </c>
      <c r="I558" s="783">
        <f t="shared" si="48"/>
        <v>249229.3765129399</v>
      </c>
      <c r="J558" s="843">
        <v>3.6</v>
      </c>
      <c r="K558" s="790">
        <f t="shared" si="44"/>
        <v>3.3656689692000001</v>
      </c>
      <c r="L558" s="799">
        <f t="shared" si="45"/>
        <v>46129.858891855205</v>
      </c>
      <c r="M558" s="757">
        <f t="shared" si="47"/>
        <v>295359.23540479509</v>
      </c>
      <c r="N558" s="841"/>
      <c r="O558" s="663">
        <v>0.93490804699999996</v>
      </c>
      <c r="P558" s="725" t="s">
        <v>1689</v>
      </c>
    </row>
    <row r="559" spans="1:16" ht="18.95" customHeight="1">
      <c r="A559" s="851"/>
      <c r="B559" s="789" t="s">
        <v>273</v>
      </c>
      <c r="C559" s="1170" t="s">
        <v>1690</v>
      </c>
      <c r="D559" s="852"/>
      <c r="E559" s="757">
        <v>2181</v>
      </c>
      <c r="F559" s="799" t="s">
        <v>397</v>
      </c>
      <c r="G559" s="765">
        <v>19.25</v>
      </c>
      <c r="H559" s="783">
        <f t="shared" si="43"/>
        <v>17.996979904749999</v>
      </c>
      <c r="I559" s="783">
        <f t="shared" si="48"/>
        <v>39251.413172259745</v>
      </c>
      <c r="J559" s="843">
        <v>3.6</v>
      </c>
      <c r="K559" s="790">
        <f t="shared" si="44"/>
        <v>3.3656689692000001</v>
      </c>
      <c r="L559" s="799">
        <f t="shared" si="45"/>
        <v>7340.5240218252002</v>
      </c>
      <c r="M559" s="757">
        <f t="shared" si="47"/>
        <v>46591.937194084945</v>
      </c>
      <c r="N559" s="841"/>
      <c r="O559" s="663">
        <v>0.93490804699999996</v>
      </c>
      <c r="P559" s="725" t="s">
        <v>1689</v>
      </c>
    </row>
    <row r="560" spans="1:16" ht="18.95" customHeight="1">
      <c r="A560" s="853"/>
      <c r="B560" s="789" t="s">
        <v>273</v>
      </c>
      <c r="C560" s="1170" t="s">
        <v>1692</v>
      </c>
      <c r="D560" s="852"/>
      <c r="E560" s="757">
        <v>3932</v>
      </c>
      <c r="F560" s="799" t="s">
        <v>397</v>
      </c>
      <c r="G560" s="765">
        <v>19.25</v>
      </c>
      <c r="H560" s="783">
        <f t="shared" si="43"/>
        <v>17.996979904749999</v>
      </c>
      <c r="I560" s="783">
        <f t="shared" si="48"/>
        <v>70764.124985476999</v>
      </c>
      <c r="J560" s="843">
        <v>3.1</v>
      </c>
      <c r="K560" s="790">
        <f t="shared" si="44"/>
        <v>2.8982149456999999</v>
      </c>
      <c r="L560" s="799">
        <f t="shared" si="45"/>
        <v>11395.781166492399</v>
      </c>
      <c r="M560" s="757">
        <f t="shared" si="47"/>
        <v>82159.906151969393</v>
      </c>
      <c r="N560" s="841"/>
      <c r="O560" s="663">
        <v>0.93490804699999996</v>
      </c>
      <c r="P560" s="725" t="s">
        <v>1689</v>
      </c>
    </row>
    <row r="561" spans="1:16" ht="18.95" customHeight="1">
      <c r="A561" s="853"/>
      <c r="B561" s="789" t="s">
        <v>273</v>
      </c>
      <c r="C561" s="1170" t="s">
        <v>1694</v>
      </c>
      <c r="D561" s="852"/>
      <c r="E561" s="757">
        <v>357</v>
      </c>
      <c r="F561" s="799" t="s">
        <v>397</v>
      </c>
      <c r="G561" s="765">
        <v>27.1</v>
      </c>
      <c r="H561" s="783">
        <f t="shared" si="43"/>
        <v>25.3360080737</v>
      </c>
      <c r="I561" s="783">
        <f t="shared" si="48"/>
        <v>9044.9548823108998</v>
      </c>
      <c r="J561" s="843">
        <v>0</v>
      </c>
      <c r="K561" s="790">
        <f t="shared" si="44"/>
        <v>0</v>
      </c>
      <c r="L561" s="799">
        <f t="shared" si="45"/>
        <v>0</v>
      </c>
      <c r="M561" s="757">
        <f t="shared" si="47"/>
        <v>9044.9548823108998</v>
      </c>
      <c r="N561" s="841"/>
      <c r="O561" s="663">
        <v>0.93490804699999996</v>
      </c>
      <c r="P561" s="725" t="s">
        <v>1689</v>
      </c>
    </row>
    <row r="562" spans="1:16" ht="18.95" customHeight="1">
      <c r="A562" s="767">
        <v>6.5</v>
      </c>
      <c r="B562" s="786" t="s">
        <v>1696</v>
      </c>
      <c r="C562" s="809"/>
      <c r="D562" s="858"/>
      <c r="E562" s="766"/>
      <c r="F562" s="799"/>
      <c r="G562" s="765"/>
      <c r="H562" s="783"/>
      <c r="I562" s="783"/>
      <c r="J562" s="765"/>
      <c r="K562" s="790"/>
      <c r="L562" s="799"/>
      <c r="M562" s="757"/>
      <c r="N562" s="841"/>
      <c r="O562" s="663">
        <v>0.93490804699999996</v>
      </c>
    </row>
    <row r="563" spans="1:16" ht="18.95" customHeight="1">
      <c r="A563" s="853"/>
      <c r="B563" s="789" t="s">
        <v>273</v>
      </c>
      <c r="C563" s="1170" t="s">
        <v>1697</v>
      </c>
      <c r="D563" s="852"/>
      <c r="E563" s="766">
        <v>552</v>
      </c>
      <c r="F563" s="799" t="s">
        <v>211</v>
      </c>
      <c r="G563" s="765">
        <v>245.2</v>
      </c>
      <c r="H563" s="783">
        <f t="shared" si="43"/>
        <v>229.23945312439997</v>
      </c>
      <c r="I563" s="783">
        <f t="shared" si="48"/>
        <v>126540.17812466879</v>
      </c>
      <c r="J563" s="843">
        <v>0</v>
      </c>
      <c r="K563" s="790">
        <f t="shared" si="44"/>
        <v>0</v>
      </c>
      <c r="L563" s="799">
        <f t="shared" si="45"/>
        <v>0</v>
      </c>
      <c r="M563" s="757">
        <f t="shared" si="47"/>
        <v>126540.17812466879</v>
      </c>
      <c r="N563" s="841"/>
      <c r="O563" s="663">
        <v>0.93490804699999996</v>
      </c>
    </row>
    <row r="564" spans="1:16" ht="18.95" customHeight="1">
      <c r="A564" s="853"/>
      <c r="B564" s="789" t="s">
        <v>273</v>
      </c>
      <c r="C564" s="1170" t="s">
        <v>1698</v>
      </c>
      <c r="D564" s="852"/>
      <c r="E564" s="766">
        <v>1103</v>
      </c>
      <c r="F564" s="799" t="s">
        <v>211</v>
      </c>
      <c r="G564" s="765"/>
      <c r="H564" s="783">
        <f t="shared" si="43"/>
        <v>0</v>
      </c>
      <c r="I564" s="783">
        <f t="shared" si="48"/>
        <v>0</v>
      </c>
      <c r="J564" s="843">
        <v>121</v>
      </c>
      <c r="K564" s="790">
        <f t="shared" si="44"/>
        <v>113.123873687</v>
      </c>
      <c r="L564" s="799">
        <f t="shared" si="45"/>
        <v>124775.632676761</v>
      </c>
      <c r="M564" s="757">
        <f t="shared" si="47"/>
        <v>124775.632676761</v>
      </c>
      <c r="N564" s="841"/>
      <c r="O564" s="663">
        <v>0.93490804699999996</v>
      </c>
    </row>
    <row r="565" spans="1:16" ht="18.95" customHeight="1">
      <c r="A565" s="853"/>
      <c r="B565" s="789" t="s">
        <v>273</v>
      </c>
      <c r="C565" s="1170" t="s">
        <v>1699</v>
      </c>
      <c r="D565" s="852"/>
      <c r="E565" s="766">
        <v>166</v>
      </c>
      <c r="F565" s="799" t="s">
        <v>1700</v>
      </c>
      <c r="G565" s="765">
        <v>309.42</v>
      </c>
      <c r="H565" s="783">
        <f t="shared" si="43"/>
        <v>289.27924790274</v>
      </c>
      <c r="I565" s="783">
        <f t="shared" si="48"/>
        <v>48020.355151854841</v>
      </c>
      <c r="J565" s="843">
        <v>0</v>
      </c>
      <c r="K565" s="790">
        <f t="shared" si="44"/>
        <v>0</v>
      </c>
      <c r="L565" s="799">
        <f t="shared" si="45"/>
        <v>0</v>
      </c>
      <c r="M565" s="757">
        <f t="shared" si="47"/>
        <v>48020.355151854841</v>
      </c>
      <c r="N565" s="841"/>
      <c r="O565" s="663">
        <v>0.93490804699999996</v>
      </c>
    </row>
    <row r="566" spans="1:16" ht="18.95" customHeight="1">
      <c r="A566" s="853"/>
      <c r="B566" s="789" t="s">
        <v>273</v>
      </c>
      <c r="C566" s="1170" t="s">
        <v>1701</v>
      </c>
      <c r="D566" s="852"/>
      <c r="E566" s="757">
        <v>138</v>
      </c>
      <c r="F566" s="799" t="s">
        <v>397</v>
      </c>
      <c r="G566" s="765">
        <v>23.36</v>
      </c>
      <c r="H566" s="783">
        <f t="shared" si="43"/>
        <v>21.83945197792</v>
      </c>
      <c r="I566" s="783">
        <f t="shared" si="48"/>
        <v>3013.8443729529599</v>
      </c>
      <c r="J566" s="843">
        <v>0</v>
      </c>
      <c r="K566" s="790">
        <f t="shared" si="44"/>
        <v>0</v>
      </c>
      <c r="L566" s="799">
        <f t="shared" si="45"/>
        <v>0</v>
      </c>
      <c r="M566" s="757">
        <f t="shared" si="47"/>
        <v>3013.8443729529599</v>
      </c>
      <c r="N566" s="841"/>
      <c r="O566" s="663">
        <v>0.93490804699999996</v>
      </c>
      <c r="P566" s="725" t="s">
        <v>1689</v>
      </c>
    </row>
    <row r="567" spans="1:16" ht="18.95" customHeight="1">
      <c r="A567" s="767">
        <v>6.6</v>
      </c>
      <c r="B567" s="786" t="s">
        <v>1702</v>
      </c>
      <c r="C567" s="809"/>
      <c r="D567" s="860"/>
      <c r="E567" s="766"/>
      <c r="F567" s="857"/>
      <c r="G567" s="798"/>
      <c r="H567" s="783"/>
      <c r="I567" s="783"/>
      <c r="J567" s="843"/>
      <c r="K567" s="790"/>
      <c r="L567" s="799"/>
      <c r="M567" s="757"/>
      <c r="N567" s="841"/>
      <c r="O567" s="663">
        <v>0.93490804699999996</v>
      </c>
    </row>
    <row r="568" spans="1:16" ht="18.95" customHeight="1">
      <c r="A568" s="855"/>
      <c r="B568" s="789" t="s">
        <v>273</v>
      </c>
      <c r="C568" s="852" t="s">
        <v>1723</v>
      </c>
      <c r="D568" s="852"/>
      <c r="E568" s="757">
        <v>221</v>
      </c>
      <c r="F568" s="799" t="s">
        <v>1684</v>
      </c>
      <c r="G568" s="759">
        <v>2679.9</v>
      </c>
      <c r="H568" s="783">
        <f t="shared" si="43"/>
        <v>2505.4600751552998</v>
      </c>
      <c r="I568" s="783">
        <f t="shared" si="48"/>
        <v>553706.67660932126</v>
      </c>
      <c r="J568" s="759">
        <v>519</v>
      </c>
      <c r="K568" s="790">
        <f t="shared" si="44"/>
        <v>485.21727639299996</v>
      </c>
      <c r="L568" s="799">
        <f t="shared" si="45"/>
        <v>107233.01808285298</v>
      </c>
      <c r="M568" s="757">
        <f t="shared" si="47"/>
        <v>660939.69469217421</v>
      </c>
      <c r="N568" s="841"/>
      <c r="O568" s="663">
        <v>0.93490804699999996</v>
      </c>
    </row>
    <row r="569" spans="1:16" ht="18.95" customHeight="1">
      <c r="A569" s="875">
        <v>6.7</v>
      </c>
      <c r="B569" s="1176" t="s">
        <v>1791</v>
      </c>
      <c r="C569" s="809"/>
      <c r="D569" s="810"/>
      <c r="E569" s="757">
        <v>1016</v>
      </c>
      <c r="F569" s="799" t="s">
        <v>211</v>
      </c>
      <c r="G569" s="765">
        <v>450</v>
      </c>
      <c r="H569" s="783">
        <f t="shared" si="43"/>
        <v>420.70862115</v>
      </c>
      <c r="I569" s="783">
        <f t="shared" si="48"/>
        <v>427439.95908840001</v>
      </c>
      <c r="J569" s="765">
        <v>0</v>
      </c>
      <c r="K569" s="790">
        <f t="shared" si="44"/>
        <v>0</v>
      </c>
      <c r="L569" s="799">
        <f t="shared" si="45"/>
        <v>0</v>
      </c>
      <c r="M569" s="757">
        <f t="shared" si="47"/>
        <v>427439.95908840001</v>
      </c>
      <c r="N569" s="841"/>
      <c r="O569" s="663">
        <v>0.93490804699999996</v>
      </c>
    </row>
    <row r="570" spans="1:16" ht="18.95" customHeight="1">
      <c r="A570" s="855"/>
      <c r="B570" s="789"/>
      <c r="C570" s="852"/>
      <c r="D570" s="852"/>
      <c r="E570" s="790"/>
      <c r="F570" s="799"/>
      <c r="G570" s="843"/>
      <c r="H570" s="783"/>
      <c r="I570" s="783"/>
      <c r="J570" s="843"/>
      <c r="K570" s="790"/>
      <c r="L570" s="799"/>
      <c r="M570" s="757"/>
      <c r="N570" s="841"/>
      <c r="O570" s="663">
        <v>0.93490804699999996</v>
      </c>
    </row>
    <row r="571" spans="1:16" ht="18.95" customHeight="1">
      <c r="A571" s="855"/>
      <c r="B571" s="789"/>
      <c r="C571" s="852"/>
      <c r="D571" s="852"/>
      <c r="E571" s="790"/>
      <c r="F571" s="799"/>
      <c r="G571" s="843"/>
      <c r="H571" s="783"/>
      <c r="I571" s="783"/>
      <c r="J571" s="843"/>
      <c r="K571" s="790"/>
      <c r="L571" s="799"/>
      <c r="M571" s="757"/>
      <c r="N571" s="841"/>
      <c r="O571" s="663">
        <v>0.93490804699999996</v>
      </c>
    </row>
    <row r="572" spans="1:16" ht="18.95" customHeight="1">
      <c r="A572" s="856"/>
      <c r="B572" s="1169" t="s">
        <v>1839</v>
      </c>
      <c r="C572" s="801"/>
      <c r="D572" s="815"/>
      <c r="E572" s="854"/>
      <c r="F572" s="857"/>
      <c r="G572" s="843"/>
      <c r="H572" s="783"/>
      <c r="I572" s="783"/>
      <c r="J572" s="843"/>
      <c r="K572" s="790"/>
      <c r="L572" s="799"/>
      <c r="M572" s="757"/>
      <c r="N572" s="841"/>
      <c r="O572" s="663">
        <v>0.93490804699999996</v>
      </c>
    </row>
    <row r="573" spans="1:16" ht="18.95" customHeight="1">
      <c r="A573" s="814">
        <v>6.8</v>
      </c>
      <c r="B573" s="786" t="s">
        <v>1687</v>
      </c>
      <c r="C573" s="809"/>
      <c r="D573" s="815"/>
      <c r="E573" s="790"/>
      <c r="F573" s="799"/>
      <c r="G573" s="798"/>
      <c r="H573" s="783"/>
      <c r="I573" s="783"/>
      <c r="J573" s="843"/>
      <c r="K573" s="790"/>
      <c r="L573" s="799"/>
      <c r="M573" s="757"/>
      <c r="N573" s="841"/>
      <c r="O573" s="663">
        <v>0.93490804699999996</v>
      </c>
    </row>
    <row r="574" spans="1:16" ht="18.95" customHeight="1">
      <c r="A574" s="851"/>
      <c r="B574" s="789" t="s">
        <v>273</v>
      </c>
      <c r="C574" s="1170" t="s">
        <v>1720</v>
      </c>
      <c r="D574" s="852"/>
      <c r="E574" s="757">
        <v>1107</v>
      </c>
      <c r="F574" s="799" t="s">
        <v>397</v>
      </c>
      <c r="G574" s="765">
        <v>19.600000000000001</v>
      </c>
      <c r="H574" s="783">
        <f t="shared" ref="H574:H636" si="49">G574*O574</f>
        <v>18.324197721200001</v>
      </c>
      <c r="I574" s="783">
        <f t="shared" si="48"/>
        <v>20284.886877368401</v>
      </c>
      <c r="J574" s="843">
        <v>4.4000000000000004</v>
      </c>
      <c r="K574" s="790">
        <f t="shared" ref="K574:K637" si="50">J574*O574</f>
        <v>4.1135954068</v>
      </c>
      <c r="L574" s="799">
        <f t="shared" ref="L574:L637" si="51">K574*E574</f>
        <v>4553.7501153275998</v>
      </c>
      <c r="M574" s="757">
        <f t="shared" si="47"/>
        <v>24838.636992696</v>
      </c>
      <c r="N574" s="841"/>
      <c r="O574" s="663">
        <v>0.93490804699999996</v>
      </c>
      <c r="P574" s="725" t="s">
        <v>1689</v>
      </c>
    </row>
    <row r="575" spans="1:16" ht="18.95" customHeight="1">
      <c r="A575" s="851"/>
      <c r="B575" s="789" t="s">
        <v>273</v>
      </c>
      <c r="C575" s="1170" t="s">
        <v>1688</v>
      </c>
      <c r="D575" s="852"/>
      <c r="E575" s="757">
        <v>464</v>
      </c>
      <c r="F575" s="799" t="s">
        <v>397</v>
      </c>
      <c r="G575" s="765">
        <v>19.45</v>
      </c>
      <c r="H575" s="783">
        <f t="shared" si="49"/>
        <v>18.183961514149999</v>
      </c>
      <c r="I575" s="783">
        <f t="shared" si="48"/>
        <v>8437.3581425655993</v>
      </c>
      <c r="J575" s="843">
        <v>3.6</v>
      </c>
      <c r="K575" s="790">
        <f t="shared" si="50"/>
        <v>3.3656689692000001</v>
      </c>
      <c r="L575" s="799">
        <f t="shared" si="51"/>
        <v>1561.6704017088</v>
      </c>
      <c r="M575" s="757">
        <f t="shared" si="47"/>
        <v>9999.0285442743989</v>
      </c>
      <c r="N575" s="841"/>
      <c r="O575" s="663">
        <v>0.93490804699999996</v>
      </c>
      <c r="P575" s="725" t="s">
        <v>1689</v>
      </c>
    </row>
    <row r="576" spans="1:16" ht="18.95" customHeight="1">
      <c r="A576" s="851"/>
      <c r="B576" s="789" t="s">
        <v>273</v>
      </c>
      <c r="C576" s="1170" t="s">
        <v>1690</v>
      </c>
      <c r="D576" s="852"/>
      <c r="E576" s="757">
        <v>195</v>
      </c>
      <c r="F576" s="799" t="s">
        <v>397</v>
      </c>
      <c r="G576" s="765">
        <v>19.25</v>
      </c>
      <c r="H576" s="783">
        <f t="shared" si="49"/>
        <v>17.996979904749999</v>
      </c>
      <c r="I576" s="783">
        <f t="shared" si="48"/>
        <v>3509.4110814262499</v>
      </c>
      <c r="J576" s="843">
        <v>3.6</v>
      </c>
      <c r="K576" s="790">
        <f t="shared" si="50"/>
        <v>3.3656689692000001</v>
      </c>
      <c r="L576" s="799">
        <f t="shared" si="51"/>
        <v>656.30544899400002</v>
      </c>
      <c r="M576" s="757">
        <f t="shared" si="47"/>
        <v>4165.7165304202499</v>
      </c>
      <c r="N576" s="841"/>
      <c r="O576" s="663">
        <v>0.93490804699999996</v>
      </c>
      <c r="P576" s="725" t="s">
        <v>1689</v>
      </c>
    </row>
    <row r="577" spans="1:16" ht="18.95" customHeight="1">
      <c r="A577" s="853"/>
      <c r="B577" s="789" t="s">
        <v>273</v>
      </c>
      <c r="C577" s="1170" t="s">
        <v>1691</v>
      </c>
      <c r="D577" s="852"/>
      <c r="E577" s="757">
        <v>4222</v>
      </c>
      <c r="F577" s="799" t="s">
        <v>397</v>
      </c>
      <c r="G577" s="765">
        <v>19.25</v>
      </c>
      <c r="H577" s="783">
        <f t="shared" si="49"/>
        <v>17.996979904749999</v>
      </c>
      <c r="I577" s="783">
        <f t="shared" si="48"/>
        <v>75983.249157854501</v>
      </c>
      <c r="J577" s="843">
        <v>3.1</v>
      </c>
      <c r="K577" s="790">
        <f t="shared" si="50"/>
        <v>2.8982149456999999</v>
      </c>
      <c r="L577" s="799">
        <f t="shared" si="51"/>
        <v>12236.263500745399</v>
      </c>
      <c r="M577" s="757">
        <f t="shared" si="47"/>
        <v>88219.512658599895</v>
      </c>
      <c r="N577" s="841"/>
      <c r="O577" s="663">
        <v>0.93490804699999996</v>
      </c>
      <c r="P577" s="725" t="s">
        <v>1689</v>
      </c>
    </row>
    <row r="578" spans="1:16" ht="18.95" customHeight="1">
      <c r="A578" s="853"/>
      <c r="B578" s="789" t="s">
        <v>273</v>
      </c>
      <c r="C578" s="1170" t="s">
        <v>1692</v>
      </c>
      <c r="D578" s="852"/>
      <c r="E578" s="757">
        <v>1643</v>
      </c>
      <c r="F578" s="799" t="s">
        <v>397</v>
      </c>
      <c r="G578" s="765">
        <v>19.25</v>
      </c>
      <c r="H578" s="783">
        <f t="shared" si="49"/>
        <v>17.996979904749999</v>
      </c>
      <c r="I578" s="783">
        <f t="shared" si="48"/>
        <v>29569.037983504248</v>
      </c>
      <c r="J578" s="843">
        <v>3.1</v>
      </c>
      <c r="K578" s="790">
        <f t="shared" si="50"/>
        <v>2.8982149456999999</v>
      </c>
      <c r="L578" s="799">
        <f t="shared" si="51"/>
        <v>4761.7671557850999</v>
      </c>
      <c r="M578" s="757">
        <f t="shared" si="47"/>
        <v>34330.805139289347</v>
      </c>
      <c r="N578" s="841"/>
      <c r="O578" s="663">
        <v>0.93490804699999996</v>
      </c>
      <c r="P578" s="725" t="s">
        <v>1689</v>
      </c>
    </row>
    <row r="579" spans="1:16" ht="18.95" customHeight="1">
      <c r="A579" s="853"/>
      <c r="B579" s="789" t="s">
        <v>273</v>
      </c>
      <c r="C579" s="1170" t="s">
        <v>1709</v>
      </c>
      <c r="D579" s="852"/>
      <c r="E579" s="757">
        <v>344</v>
      </c>
      <c r="F579" s="799" t="s">
        <v>397</v>
      </c>
      <c r="G579" s="765">
        <v>19.25</v>
      </c>
      <c r="H579" s="783">
        <f t="shared" si="49"/>
        <v>17.996979904749999</v>
      </c>
      <c r="I579" s="783">
        <f t="shared" si="48"/>
        <v>6190.9610872339999</v>
      </c>
      <c r="J579" s="843">
        <v>3.1</v>
      </c>
      <c r="K579" s="790">
        <f t="shared" si="50"/>
        <v>2.8982149456999999</v>
      </c>
      <c r="L579" s="799">
        <f t="shared" si="51"/>
        <v>996.98594132079995</v>
      </c>
      <c r="M579" s="757">
        <f t="shared" si="47"/>
        <v>7187.9470285547995</v>
      </c>
      <c r="N579" s="841"/>
      <c r="O579" s="663">
        <v>0.93490804699999996</v>
      </c>
      <c r="P579" s="725" t="s">
        <v>1689</v>
      </c>
    </row>
    <row r="580" spans="1:16" ht="18.95" customHeight="1">
      <c r="A580" s="853"/>
      <c r="B580" s="789" t="s">
        <v>273</v>
      </c>
      <c r="C580" s="1170" t="s">
        <v>1694</v>
      </c>
      <c r="D580" s="852"/>
      <c r="E580" s="757">
        <v>144</v>
      </c>
      <c r="F580" s="799" t="s">
        <v>397</v>
      </c>
      <c r="G580" s="765">
        <v>27.1</v>
      </c>
      <c r="H580" s="783">
        <f t="shared" si="49"/>
        <v>25.3360080737</v>
      </c>
      <c r="I580" s="783">
        <f t="shared" si="48"/>
        <v>3648.3851626127998</v>
      </c>
      <c r="J580" s="843">
        <v>0</v>
      </c>
      <c r="K580" s="790">
        <f t="shared" si="50"/>
        <v>0</v>
      </c>
      <c r="L580" s="799">
        <f t="shared" si="51"/>
        <v>0</v>
      </c>
      <c r="M580" s="757">
        <f t="shared" si="47"/>
        <v>3648.3851626127998</v>
      </c>
      <c r="N580" s="841"/>
      <c r="O580" s="663">
        <v>0.93490804699999996</v>
      </c>
      <c r="P580" s="725" t="s">
        <v>1689</v>
      </c>
    </row>
    <row r="581" spans="1:16" ht="18.95" customHeight="1">
      <c r="A581" s="1173" t="s">
        <v>1840</v>
      </c>
      <c r="B581" s="786" t="s">
        <v>1696</v>
      </c>
      <c r="C581" s="809"/>
      <c r="D581" s="858"/>
      <c r="E581" s="766"/>
      <c r="F581" s="799"/>
      <c r="G581" s="765"/>
      <c r="H581" s="783"/>
      <c r="I581" s="783"/>
      <c r="J581" s="765"/>
      <c r="K581" s="790"/>
      <c r="L581" s="799"/>
      <c r="M581" s="757"/>
      <c r="N581" s="841"/>
      <c r="O581" s="663">
        <v>0.93490804699999996</v>
      </c>
    </row>
    <row r="582" spans="1:16" ht="18.95" customHeight="1">
      <c r="A582" s="853"/>
      <c r="B582" s="789" t="s">
        <v>273</v>
      </c>
      <c r="C582" s="1170" t="s">
        <v>1697</v>
      </c>
      <c r="D582" s="852"/>
      <c r="E582" s="766">
        <v>120</v>
      </c>
      <c r="F582" s="799" t="s">
        <v>211</v>
      </c>
      <c r="G582" s="765">
        <v>245.2</v>
      </c>
      <c r="H582" s="783">
        <f t="shared" si="49"/>
        <v>229.23945312439997</v>
      </c>
      <c r="I582" s="783">
        <f t="shared" si="48"/>
        <v>27508.734374927997</v>
      </c>
      <c r="J582" s="843">
        <v>0</v>
      </c>
      <c r="K582" s="790">
        <f t="shared" si="50"/>
        <v>0</v>
      </c>
      <c r="L582" s="799">
        <f t="shared" si="51"/>
        <v>0</v>
      </c>
      <c r="M582" s="757">
        <f t="shared" si="47"/>
        <v>27508.734374927997</v>
      </c>
      <c r="N582" s="841"/>
      <c r="O582" s="663">
        <v>0.93490804699999996</v>
      </c>
    </row>
    <row r="583" spans="1:16" ht="18.95" customHeight="1">
      <c r="A583" s="853"/>
      <c r="B583" s="789" t="s">
        <v>273</v>
      </c>
      <c r="C583" s="1170" t="s">
        <v>1698</v>
      </c>
      <c r="D583" s="852"/>
      <c r="E583" s="766">
        <v>239</v>
      </c>
      <c r="F583" s="799" t="s">
        <v>211</v>
      </c>
      <c r="G583" s="765"/>
      <c r="H583" s="783">
        <f t="shared" si="49"/>
        <v>0</v>
      </c>
      <c r="I583" s="783">
        <f t="shared" si="48"/>
        <v>0</v>
      </c>
      <c r="J583" s="843">
        <v>121</v>
      </c>
      <c r="K583" s="790">
        <f t="shared" si="50"/>
        <v>113.123873687</v>
      </c>
      <c r="L583" s="799">
        <f t="shared" si="51"/>
        <v>27036.605811193</v>
      </c>
      <c r="M583" s="757">
        <f t="shared" si="47"/>
        <v>27036.605811193</v>
      </c>
      <c r="N583" s="841"/>
      <c r="O583" s="663">
        <v>0.93490804699999996</v>
      </c>
    </row>
    <row r="584" spans="1:16" ht="18.95" customHeight="1">
      <c r="A584" s="853"/>
      <c r="B584" s="789" t="s">
        <v>273</v>
      </c>
      <c r="C584" s="1170" t="s">
        <v>1699</v>
      </c>
      <c r="D584" s="852"/>
      <c r="E584" s="766">
        <v>36</v>
      </c>
      <c r="F584" s="799" t="s">
        <v>1700</v>
      </c>
      <c r="G584" s="765">
        <v>309.42</v>
      </c>
      <c r="H584" s="783">
        <f t="shared" si="49"/>
        <v>289.27924790274</v>
      </c>
      <c r="I584" s="783">
        <f t="shared" si="48"/>
        <v>10414.052924498639</v>
      </c>
      <c r="J584" s="843">
        <v>0</v>
      </c>
      <c r="K584" s="790">
        <f t="shared" si="50"/>
        <v>0</v>
      </c>
      <c r="L584" s="799">
        <f t="shared" si="51"/>
        <v>0</v>
      </c>
      <c r="M584" s="757">
        <f t="shared" si="47"/>
        <v>10414.052924498639</v>
      </c>
      <c r="N584" s="841"/>
      <c r="O584" s="663">
        <v>0.93490804699999996</v>
      </c>
    </row>
    <row r="585" spans="1:16" ht="18.95" customHeight="1">
      <c r="A585" s="853"/>
      <c r="B585" s="789" t="s">
        <v>273</v>
      </c>
      <c r="C585" s="1170" t="s">
        <v>1701</v>
      </c>
      <c r="D585" s="852"/>
      <c r="E585" s="757">
        <v>30</v>
      </c>
      <c r="F585" s="799" t="s">
        <v>397</v>
      </c>
      <c r="G585" s="765">
        <v>23.36</v>
      </c>
      <c r="H585" s="783">
        <f t="shared" si="49"/>
        <v>21.83945197792</v>
      </c>
      <c r="I585" s="783">
        <f t="shared" si="48"/>
        <v>655.18355933759995</v>
      </c>
      <c r="J585" s="843">
        <v>0</v>
      </c>
      <c r="K585" s="790">
        <f t="shared" si="50"/>
        <v>0</v>
      </c>
      <c r="L585" s="799">
        <f t="shared" si="51"/>
        <v>0</v>
      </c>
      <c r="M585" s="757">
        <f t="shared" si="47"/>
        <v>655.18355933759995</v>
      </c>
      <c r="N585" s="841"/>
      <c r="O585" s="663">
        <v>0.93490804699999996</v>
      </c>
      <c r="P585" s="725" t="s">
        <v>1689</v>
      </c>
    </row>
    <row r="586" spans="1:16" ht="18.95" customHeight="1">
      <c r="A586" s="1173" t="s">
        <v>1841</v>
      </c>
      <c r="B586" s="786" t="s">
        <v>1702</v>
      </c>
      <c r="C586" s="809"/>
      <c r="D586" s="860"/>
      <c r="E586" s="766"/>
      <c r="F586" s="857"/>
      <c r="G586" s="798"/>
      <c r="H586" s="783"/>
      <c r="I586" s="783"/>
      <c r="J586" s="843"/>
      <c r="K586" s="790"/>
      <c r="L586" s="799"/>
      <c r="M586" s="757"/>
      <c r="N586" s="841"/>
      <c r="O586" s="663">
        <v>0.93490804699999996</v>
      </c>
    </row>
    <row r="587" spans="1:16" ht="18.95" customHeight="1">
      <c r="A587" s="855"/>
      <c r="B587" s="789" t="s">
        <v>273</v>
      </c>
      <c r="C587" s="852" t="s">
        <v>1723</v>
      </c>
      <c r="D587" s="852"/>
      <c r="E587" s="757">
        <v>17</v>
      </c>
      <c r="F587" s="799" t="s">
        <v>1684</v>
      </c>
      <c r="G587" s="759">
        <v>2679.9</v>
      </c>
      <c r="H587" s="783">
        <f t="shared" si="49"/>
        <v>2505.4600751552998</v>
      </c>
      <c r="I587" s="783">
        <f t="shared" si="48"/>
        <v>42592.821277640098</v>
      </c>
      <c r="J587" s="759">
        <v>519</v>
      </c>
      <c r="K587" s="790">
        <f t="shared" si="50"/>
        <v>485.21727639299996</v>
      </c>
      <c r="L587" s="799">
        <f t="shared" si="51"/>
        <v>8248.6936986809997</v>
      </c>
      <c r="M587" s="757">
        <f t="shared" si="47"/>
        <v>50841.514976321094</v>
      </c>
      <c r="N587" s="841"/>
      <c r="O587" s="663">
        <v>0.93490804699999996</v>
      </c>
    </row>
    <row r="588" spans="1:16" ht="18.95" customHeight="1">
      <c r="A588" s="855"/>
      <c r="B588" s="789" t="s">
        <v>273</v>
      </c>
      <c r="C588" s="852" t="s">
        <v>1829</v>
      </c>
      <c r="D588" s="852"/>
      <c r="E588" s="757">
        <v>11</v>
      </c>
      <c r="F588" s="799" t="s">
        <v>1684</v>
      </c>
      <c r="G588" s="759">
        <v>2755</v>
      </c>
      <c r="H588" s="783">
        <f t="shared" si="49"/>
        <v>2575.6716694849997</v>
      </c>
      <c r="I588" s="783">
        <f t="shared" si="48"/>
        <v>28332.388364334998</v>
      </c>
      <c r="J588" s="759">
        <v>519</v>
      </c>
      <c r="K588" s="790">
        <f t="shared" si="50"/>
        <v>485.21727639299996</v>
      </c>
      <c r="L588" s="799">
        <f t="shared" si="51"/>
        <v>5337.390040323</v>
      </c>
      <c r="M588" s="757">
        <f t="shared" si="47"/>
        <v>33669.778404657998</v>
      </c>
      <c r="N588" s="841"/>
      <c r="O588" s="663">
        <v>0.93490804699999996</v>
      </c>
    </row>
    <row r="589" spans="1:16" ht="18.95" customHeight="1">
      <c r="A589" s="855"/>
      <c r="B589" s="789" t="s">
        <v>273</v>
      </c>
      <c r="C589" s="852" t="s">
        <v>1724</v>
      </c>
      <c r="D589" s="852"/>
      <c r="E589" s="757">
        <v>4</v>
      </c>
      <c r="F589" s="799" t="s">
        <v>1684</v>
      </c>
      <c r="G589" s="759">
        <v>3025</v>
      </c>
      <c r="H589" s="783">
        <f t="shared" si="49"/>
        <v>2828.0968421749999</v>
      </c>
      <c r="I589" s="783">
        <f t="shared" si="48"/>
        <v>11312.3873687</v>
      </c>
      <c r="J589" s="759">
        <v>519</v>
      </c>
      <c r="K589" s="790">
        <f t="shared" si="50"/>
        <v>485.21727639299996</v>
      </c>
      <c r="L589" s="799">
        <f t="shared" si="51"/>
        <v>1940.8691055719999</v>
      </c>
      <c r="M589" s="757">
        <f t="shared" si="47"/>
        <v>13253.256474271999</v>
      </c>
      <c r="N589" s="841"/>
      <c r="O589" s="663">
        <v>0.93490804699999996</v>
      </c>
    </row>
    <row r="590" spans="1:16" ht="18.95" customHeight="1">
      <c r="A590" s="1173" t="s">
        <v>1842</v>
      </c>
      <c r="B590" s="786" t="s">
        <v>1726</v>
      </c>
      <c r="C590" s="852"/>
      <c r="D590" s="852"/>
      <c r="E590" s="766"/>
      <c r="F590" s="799"/>
      <c r="G590" s="765"/>
      <c r="H590" s="783"/>
      <c r="I590" s="783"/>
      <c r="J590" s="843"/>
      <c r="K590" s="790"/>
      <c r="L590" s="799"/>
      <c r="M590" s="757"/>
      <c r="N590" s="841"/>
      <c r="O590" s="663">
        <v>0.93490804699999996</v>
      </c>
    </row>
    <row r="591" spans="1:16" ht="18.95" customHeight="1">
      <c r="A591" s="853"/>
      <c r="B591" s="789" t="s">
        <v>273</v>
      </c>
      <c r="C591" s="852" t="s">
        <v>1727</v>
      </c>
      <c r="D591" s="852"/>
      <c r="E591" s="757">
        <v>553.85</v>
      </c>
      <c r="F591" s="799" t="s">
        <v>397</v>
      </c>
      <c r="G591" s="798">
        <v>36.520000000000003</v>
      </c>
      <c r="H591" s="783">
        <f t="shared" si="49"/>
        <v>34.142841876440002</v>
      </c>
      <c r="I591" s="783">
        <f t="shared" si="48"/>
        <v>18910.012973266297</v>
      </c>
      <c r="J591" s="843">
        <v>14</v>
      </c>
      <c r="K591" s="790">
        <f t="shared" si="50"/>
        <v>13.088712657999999</v>
      </c>
      <c r="L591" s="799">
        <f t="shared" si="51"/>
        <v>7249.1835056332993</v>
      </c>
      <c r="M591" s="757">
        <f t="shared" si="47"/>
        <v>26159.196478899597</v>
      </c>
      <c r="N591" s="841"/>
      <c r="O591" s="663">
        <v>0.93490804699999996</v>
      </c>
    </row>
    <row r="592" spans="1:16" ht="18.95" customHeight="1">
      <c r="A592" s="856"/>
      <c r="B592" s="1169" t="s">
        <v>1843</v>
      </c>
      <c r="C592" s="801"/>
      <c r="D592" s="815"/>
      <c r="E592" s="854"/>
      <c r="F592" s="857"/>
      <c r="G592" s="843"/>
      <c r="H592" s="783"/>
      <c r="I592" s="783"/>
      <c r="J592" s="843"/>
      <c r="K592" s="790"/>
      <c r="L592" s="799"/>
      <c r="M592" s="757"/>
      <c r="N592" s="841"/>
      <c r="O592" s="663">
        <v>0.93490804699999996</v>
      </c>
    </row>
    <row r="593" spans="1:16" ht="18.95" customHeight="1">
      <c r="A593" s="1173" t="s">
        <v>1844</v>
      </c>
      <c r="B593" s="786" t="s">
        <v>1687</v>
      </c>
      <c r="C593" s="809"/>
      <c r="D593" s="815"/>
      <c r="E593" s="790"/>
      <c r="F593" s="799"/>
      <c r="G593" s="798"/>
      <c r="H593" s="783"/>
      <c r="I593" s="783"/>
      <c r="J593" s="843"/>
      <c r="K593" s="790"/>
      <c r="L593" s="799"/>
      <c r="M593" s="757"/>
      <c r="N593" s="841"/>
      <c r="O593" s="663">
        <v>0.93490804699999996</v>
      </c>
    </row>
    <row r="594" spans="1:16" ht="18.95" customHeight="1">
      <c r="A594" s="851"/>
      <c r="B594" s="789" t="s">
        <v>273</v>
      </c>
      <c r="C594" s="1170" t="s">
        <v>1688</v>
      </c>
      <c r="D594" s="852"/>
      <c r="E594" s="757">
        <v>6097</v>
      </c>
      <c r="F594" s="799" t="s">
        <v>397</v>
      </c>
      <c r="G594" s="765">
        <v>19.45</v>
      </c>
      <c r="H594" s="783">
        <f t="shared" si="49"/>
        <v>18.183961514149999</v>
      </c>
      <c r="I594" s="783">
        <f t="shared" si="48"/>
        <v>110867.61335177254</v>
      </c>
      <c r="J594" s="843">
        <v>3.6</v>
      </c>
      <c r="K594" s="790">
        <f t="shared" si="50"/>
        <v>3.3656689692000001</v>
      </c>
      <c r="L594" s="799">
        <f t="shared" si="51"/>
        <v>20520.483705212402</v>
      </c>
      <c r="M594" s="757">
        <f t="shared" si="47"/>
        <v>131388.09705698493</v>
      </c>
      <c r="N594" s="841"/>
      <c r="O594" s="663">
        <v>0.93490804699999996</v>
      </c>
      <c r="P594" s="725" t="s">
        <v>1689</v>
      </c>
    </row>
    <row r="595" spans="1:16" ht="18.95" customHeight="1">
      <c r="A595" s="851"/>
      <c r="B595" s="789" t="s">
        <v>273</v>
      </c>
      <c r="C595" s="1170" t="s">
        <v>1690</v>
      </c>
      <c r="D595" s="852"/>
      <c r="E595" s="757">
        <v>1183</v>
      </c>
      <c r="F595" s="799" t="s">
        <v>397</v>
      </c>
      <c r="G595" s="765">
        <v>19.25</v>
      </c>
      <c r="H595" s="783">
        <f t="shared" si="49"/>
        <v>17.996979904749999</v>
      </c>
      <c r="I595" s="783">
        <f t="shared" si="48"/>
        <v>21290.427227319247</v>
      </c>
      <c r="J595" s="843">
        <v>3.6</v>
      </c>
      <c r="K595" s="790">
        <f t="shared" si="50"/>
        <v>3.3656689692000001</v>
      </c>
      <c r="L595" s="799">
        <f t="shared" si="51"/>
        <v>3981.5863905636002</v>
      </c>
      <c r="M595" s="757">
        <f t="shared" si="47"/>
        <v>25272.013617882847</v>
      </c>
      <c r="N595" s="841"/>
      <c r="O595" s="663">
        <v>0.93490804699999996</v>
      </c>
      <c r="P595" s="725" t="s">
        <v>1689</v>
      </c>
    </row>
    <row r="596" spans="1:16" ht="18.95" customHeight="1">
      <c r="A596" s="853"/>
      <c r="B596" s="789" t="s">
        <v>273</v>
      </c>
      <c r="C596" s="1170" t="s">
        <v>1694</v>
      </c>
      <c r="D596" s="852"/>
      <c r="E596" s="757">
        <v>131</v>
      </c>
      <c r="F596" s="799" t="s">
        <v>397</v>
      </c>
      <c r="G596" s="765">
        <v>27.1</v>
      </c>
      <c r="H596" s="783">
        <f t="shared" si="49"/>
        <v>25.3360080737</v>
      </c>
      <c r="I596" s="783">
        <f t="shared" si="48"/>
        <v>3319.0170576547002</v>
      </c>
      <c r="J596" s="843">
        <v>0</v>
      </c>
      <c r="K596" s="790">
        <f t="shared" si="50"/>
        <v>0</v>
      </c>
      <c r="L596" s="799">
        <f t="shared" si="51"/>
        <v>0</v>
      </c>
      <c r="M596" s="757">
        <f t="shared" si="47"/>
        <v>3319.0170576547002</v>
      </c>
      <c r="N596" s="841"/>
      <c r="O596" s="663">
        <v>0.93490804699999996</v>
      </c>
      <c r="P596" s="725" t="s">
        <v>1689</v>
      </c>
    </row>
    <row r="597" spans="1:16" ht="18.95" customHeight="1">
      <c r="A597" s="1173" t="s">
        <v>1845</v>
      </c>
      <c r="B597" s="786" t="s">
        <v>1696</v>
      </c>
      <c r="C597" s="809"/>
      <c r="D597" s="858"/>
      <c r="E597" s="854"/>
      <c r="F597" s="857"/>
      <c r="G597" s="765"/>
      <c r="H597" s="783"/>
      <c r="I597" s="783"/>
      <c r="J597" s="765"/>
      <c r="K597" s="790"/>
      <c r="L597" s="799"/>
      <c r="M597" s="757"/>
      <c r="N597" s="841"/>
      <c r="O597" s="663">
        <v>0.93490804699999996</v>
      </c>
    </row>
    <row r="598" spans="1:16" ht="18.95" customHeight="1">
      <c r="A598" s="853"/>
      <c r="B598" s="789" t="s">
        <v>273</v>
      </c>
      <c r="C598" s="1170" t="s">
        <v>1697</v>
      </c>
      <c r="D598" s="852"/>
      <c r="E598" s="766">
        <v>379</v>
      </c>
      <c r="F598" s="799" t="s">
        <v>211</v>
      </c>
      <c r="G598" s="765">
        <v>245.2</v>
      </c>
      <c r="H598" s="783">
        <f t="shared" si="49"/>
        <v>229.23945312439997</v>
      </c>
      <c r="I598" s="783">
        <f t="shared" si="48"/>
        <v>86881.752734147594</v>
      </c>
      <c r="J598" s="843">
        <v>0</v>
      </c>
      <c r="K598" s="790">
        <f t="shared" si="50"/>
        <v>0</v>
      </c>
      <c r="L598" s="799">
        <f t="shared" si="51"/>
        <v>0</v>
      </c>
      <c r="M598" s="757">
        <f t="shared" si="47"/>
        <v>86881.752734147594</v>
      </c>
      <c r="N598" s="841"/>
      <c r="O598" s="663">
        <v>0.93490804699999996</v>
      </c>
    </row>
    <row r="599" spans="1:16" ht="18.95" customHeight="1">
      <c r="A599" s="853"/>
      <c r="B599" s="789" t="s">
        <v>273</v>
      </c>
      <c r="C599" s="1170" t="s">
        <v>1698</v>
      </c>
      <c r="D599" s="852"/>
      <c r="E599" s="766">
        <v>758</v>
      </c>
      <c r="F599" s="799" t="s">
        <v>211</v>
      </c>
      <c r="G599" s="765"/>
      <c r="H599" s="783">
        <f t="shared" si="49"/>
        <v>0</v>
      </c>
      <c r="I599" s="783">
        <f t="shared" si="48"/>
        <v>0</v>
      </c>
      <c r="J599" s="843">
        <v>121</v>
      </c>
      <c r="K599" s="790">
        <f t="shared" si="50"/>
        <v>113.123873687</v>
      </c>
      <c r="L599" s="799">
        <f t="shared" si="51"/>
        <v>85747.896254745996</v>
      </c>
      <c r="M599" s="757">
        <f t="shared" si="47"/>
        <v>85747.896254745996</v>
      </c>
      <c r="N599" s="841"/>
      <c r="O599" s="663">
        <v>0.93490804699999996</v>
      </c>
    </row>
    <row r="600" spans="1:16" ht="18.95" customHeight="1">
      <c r="A600" s="853"/>
      <c r="B600" s="789" t="s">
        <v>273</v>
      </c>
      <c r="C600" s="1170" t="s">
        <v>1699</v>
      </c>
      <c r="D600" s="852"/>
      <c r="E600" s="766">
        <v>114</v>
      </c>
      <c r="F600" s="799" t="s">
        <v>1700</v>
      </c>
      <c r="G600" s="765">
        <v>309.42</v>
      </c>
      <c r="H600" s="783">
        <f t="shared" si="49"/>
        <v>289.27924790274</v>
      </c>
      <c r="I600" s="783">
        <f t="shared" si="48"/>
        <v>32977.834260912357</v>
      </c>
      <c r="J600" s="843">
        <v>0</v>
      </c>
      <c r="K600" s="790">
        <f t="shared" si="50"/>
        <v>0</v>
      </c>
      <c r="L600" s="799">
        <f t="shared" si="51"/>
        <v>0</v>
      </c>
      <c r="M600" s="757">
        <f t="shared" si="47"/>
        <v>32977.834260912357</v>
      </c>
      <c r="N600" s="841"/>
      <c r="O600" s="663">
        <v>0.93490804699999996</v>
      </c>
    </row>
    <row r="601" spans="1:16" ht="18.95" customHeight="1">
      <c r="A601" s="853"/>
      <c r="B601" s="789" t="s">
        <v>273</v>
      </c>
      <c r="C601" s="1170" t="s">
        <v>1701</v>
      </c>
      <c r="D601" s="852"/>
      <c r="E601" s="757">
        <v>95</v>
      </c>
      <c r="F601" s="799" t="s">
        <v>397</v>
      </c>
      <c r="G601" s="765">
        <v>23.36</v>
      </c>
      <c r="H601" s="783">
        <f t="shared" si="49"/>
        <v>21.83945197792</v>
      </c>
      <c r="I601" s="783">
        <f t="shared" si="48"/>
        <v>2074.7479379023998</v>
      </c>
      <c r="J601" s="843">
        <v>0</v>
      </c>
      <c r="K601" s="790">
        <f t="shared" si="50"/>
        <v>0</v>
      </c>
      <c r="L601" s="799">
        <f t="shared" si="51"/>
        <v>0</v>
      </c>
      <c r="M601" s="757">
        <f t="shared" si="47"/>
        <v>2074.7479379023998</v>
      </c>
      <c r="N601" s="841"/>
      <c r="O601" s="663">
        <v>0.93490804699999996</v>
      </c>
      <c r="P601" s="725" t="s">
        <v>1689</v>
      </c>
    </row>
    <row r="602" spans="1:16" ht="18.95" customHeight="1">
      <c r="A602" s="1173" t="s">
        <v>1846</v>
      </c>
      <c r="B602" s="786" t="s">
        <v>1702</v>
      </c>
      <c r="C602" s="809"/>
      <c r="D602" s="860"/>
      <c r="E602" s="766"/>
      <c r="F602" s="857"/>
      <c r="G602" s="798">
        <v>0</v>
      </c>
      <c r="H602" s="783">
        <f t="shared" si="49"/>
        <v>0</v>
      </c>
      <c r="I602" s="783">
        <f t="shared" si="48"/>
        <v>0</v>
      </c>
      <c r="J602" s="843">
        <v>0</v>
      </c>
      <c r="K602" s="790">
        <f t="shared" si="50"/>
        <v>0</v>
      </c>
      <c r="L602" s="799">
        <f t="shared" si="51"/>
        <v>0</v>
      </c>
      <c r="M602" s="757">
        <f t="shared" si="47"/>
        <v>0</v>
      </c>
      <c r="N602" s="841"/>
      <c r="O602" s="663">
        <v>0.93490804699999996</v>
      </c>
    </row>
    <row r="603" spans="1:16" ht="18.95" customHeight="1">
      <c r="A603" s="855"/>
      <c r="B603" s="789" t="s">
        <v>273</v>
      </c>
      <c r="C603" s="852" t="s">
        <v>1723</v>
      </c>
      <c r="D603" s="852"/>
      <c r="E603" s="757">
        <v>76</v>
      </c>
      <c r="F603" s="799" t="s">
        <v>1684</v>
      </c>
      <c r="G603" s="759">
        <v>2679.9</v>
      </c>
      <c r="H603" s="783">
        <f t="shared" si="49"/>
        <v>2505.4600751552998</v>
      </c>
      <c r="I603" s="783">
        <f t="shared" si="48"/>
        <v>190414.9657118028</v>
      </c>
      <c r="J603" s="759">
        <v>519</v>
      </c>
      <c r="K603" s="790">
        <f t="shared" si="50"/>
        <v>485.21727639299996</v>
      </c>
      <c r="L603" s="799">
        <f t="shared" si="51"/>
        <v>36876.513005868001</v>
      </c>
      <c r="M603" s="757">
        <f t="shared" si="47"/>
        <v>227291.47871767081</v>
      </c>
      <c r="N603" s="841"/>
      <c r="O603" s="663">
        <v>0.93490804699999996</v>
      </c>
    </row>
    <row r="604" spans="1:16" s="724" customFormat="1" ht="18.95" customHeight="1">
      <c r="A604" s="791"/>
      <c r="B604" s="1336" t="s">
        <v>1847</v>
      </c>
      <c r="C604" s="1337"/>
      <c r="D604" s="1338"/>
      <c r="E604" s="792"/>
      <c r="F604" s="793"/>
      <c r="G604" s="794"/>
      <c r="H604" s="864"/>
      <c r="I604" s="864"/>
      <c r="J604" s="844"/>
      <c r="K604" s="873"/>
      <c r="L604" s="845"/>
      <c r="M604" s="846">
        <f>SUM(M543:M603)</f>
        <v>2885741.8064172021</v>
      </c>
      <c r="N604" s="847"/>
      <c r="O604" s="848">
        <v>0.93490804699999996</v>
      </c>
    </row>
    <row r="605" spans="1:16" ht="18.95" customHeight="1">
      <c r="A605" s="753"/>
      <c r="B605" s="773"/>
      <c r="C605" s="774"/>
      <c r="D605" s="775"/>
      <c r="E605" s="757"/>
      <c r="F605" s="758"/>
      <c r="G605" s="759"/>
      <c r="H605" s="783"/>
      <c r="I605" s="783"/>
      <c r="J605" s="759"/>
      <c r="K605" s="790"/>
      <c r="L605" s="799"/>
      <c r="M605" s="757"/>
      <c r="N605" s="837"/>
      <c r="O605" s="663">
        <v>0.93490804699999996</v>
      </c>
    </row>
    <row r="606" spans="1:16" ht="18.95" customHeight="1">
      <c r="A606" s="776">
        <v>7</v>
      </c>
      <c r="B606" s="1169" t="s">
        <v>1848</v>
      </c>
      <c r="C606" s="801"/>
      <c r="D606" s="785"/>
      <c r="E606" s="781"/>
      <c r="F606" s="758"/>
      <c r="G606" s="782"/>
      <c r="H606" s="783"/>
      <c r="I606" s="783"/>
      <c r="J606" s="782"/>
      <c r="K606" s="790"/>
      <c r="L606" s="799"/>
      <c r="M606" s="757"/>
      <c r="N606" s="837"/>
      <c r="O606" s="663">
        <v>0.93490804699999996</v>
      </c>
    </row>
    <row r="607" spans="1:16" ht="18.95" customHeight="1">
      <c r="A607" s="856"/>
      <c r="B607" s="1169" t="s">
        <v>1849</v>
      </c>
      <c r="C607" s="801"/>
      <c r="D607" s="815"/>
      <c r="E607" s="854"/>
      <c r="F607" s="857"/>
      <c r="G607" s="843"/>
      <c r="H607" s="783"/>
      <c r="I607" s="783"/>
      <c r="J607" s="843"/>
      <c r="K607" s="790"/>
      <c r="L607" s="799"/>
      <c r="M607" s="757"/>
      <c r="N607" s="837"/>
      <c r="O607" s="663">
        <v>0.93490804699999996</v>
      </c>
    </row>
    <row r="608" spans="1:16" ht="18.95" customHeight="1">
      <c r="A608" s="814">
        <v>7.1</v>
      </c>
      <c r="B608" s="786" t="s">
        <v>1687</v>
      </c>
      <c r="C608" s="809"/>
      <c r="D608" s="815"/>
      <c r="E608" s="790"/>
      <c r="F608" s="799"/>
      <c r="G608" s="798"/>
      <c r="H608" s="783"/>
      <c r="I608" s="783"/>
      <c r="J608" s="843"/>
      <c r="K608" s="790"/>
      <c r="L608" s="799"/>
      <c r="M608" s="757"/>
      <c r="N608" s="841"/>
      <c r="O608" s="663">
        <v>0.93490804699999996</v>
      </c>
    </row>
    <row r="609" spans="1:16" ht="18.95" customHeight="1">
      <c r="A609" s="851"/>
      <c r="B609" s="789" t="s">
        <v>273</v>
      </c>
      <c r="C609" s="1170" t="s">
        <v>1688</v>
      </c>
      <c r="D609" s="852"/>
      <c r="E609" s="757">
        <v>744</v>
      </c>
      <c r="F609" s="799" t="s">
        <v>397</v>
      </c>
      <c r="G609" s="765">
        <v>19.45</v>
      </c>
      <c r="H609" s="783">
        <f t="shared" si="49"/>
        <v>18.183961514149999</v>
      </c>
      <c r="I609" s="783">
        <f t="shared" si="48"/>
        <v>13528.8673665276</v>
      </c>
      <c r="J609" s="843">
        <v>3.6</v>
      </c>
      <c r="K609" s="790">
        <f t="shared" si="50"/>
        <v>3.3656689692000001</v>
      </c>
      <c r="L609" s="799">
        <f t="shared" si="51"/>
        <v>2504.0577130848001</v>
      </c>
      <c r="M609" s="757">
        <f>L609+I609</f>
        <v>16032.9250796124</v>
      </c>
      <c r="N609" s="837"/>
      <c r="O609" s="663">
        <v>0.93490804699999996</v>
      </c>
      <c r="P609" s="725" t="s">
        <v>1689</v>
      </c>
    </row>
    <row r="610" spans="1:16" ht="18.95" customHeight="1">
      <c r="A610" s="851"/>
      <c r="B610" s="789" t="s">
        <v>273</v>
      </c>
      <c r="C610" s="1170" t="s">
        <v>1690</v>
      </c>
      <c r="D610" s="852"/>
      <c r="E610" s="757">
        <v>889</v>
      </c>
      <c r="F610" s="799" t="s">
        <v>397</v>
      </c>
      <c r="G610" s="765">
        <v>19.25</v>
      </c>
      <c r="H610" s="783">
        <f t="shared" si="49"/>
        <v>17.996979904749999</v>
      </c>
      <c r="I610" s="783">
        <f t="shared" si="48"/>
        <v>15999.315135322749</v>
      </c>
      <c r="J610" s="843">
        <v>3.6</v>
      </c>
      <c r="K610" s="790">
        <f t="shared" si="50"/>
        <v>3.3656689692000001</v>
      </c>
      <c r="L610" s="799">
        <f t="shared" si="51"/>
        <v>2992.0797136188003</v>
      </c>
      <c r="M610" s="757">
        <f t="shared" ref="M610:M646" si="52">L610+I610</f>
        <v>18991.394848941549</v>
      </c>
      <c r="N610" s="837"/>
      <c r="O610" s="663">
        <v>0.93490804699999996</v>
      </c>
      <c r="P610" s="725" t="s">
        <v>1689</v>
      </c>
    </row>
    <row r="611" spans="1:16" ht="18.95" customHeight="1">
      <c r="A611" s="853"/>
      <c r="B611" s="789" t="s">
        <v>273</v>
      </c>
      <c r="C611" s="1170" t="s">
        <v>1694</v>
      </c>
      <c r="D611" s="852"/>
      <c r="E611" s="757">
        <v>29</v>
      </c>
      <c r="F611" s="799" t="s">
        <v>397</v>
      </c>
      <c r="G611" s="765">
        <v>27.1</v>
      </c>
      <c r="H611" s="783">
        <f t="shared" si="49"/>
        <v>25.3360080737</v>
      </c>
      <c r="I611" s="783">
        <f t="shared" si="48"/>
        <v>734.74423413730005</v>
      </c>
      <c r="J611" s="843">
        <v>0</v>
      </c>
      <c r="K611" s="790">
        <f t="shared" si="50"/>
        <v>0</v>
      </c>
      <c r="L611" s="799">
        <f t="shared" si="51"/>
        <v>0</v>
      </c>
      <c r="M611" s="757">
        <f t="shared" si="52"/>
        <v>734.74423413730005</v>
      </c>
      <c r="N611" s="837"/>
      <c r="O611" s="663">
        <v>0.93490804699999996</v>
      </c>
      <c r="P611" s="725" t="s">
        <v>1689</v>
      </c>
    </row>
    <row r="612" spans="1:16" ht="18.95" customHeight="1">
      <c r="A612" s="767">
        <v>7.2</v>
      </c>
      <c r="B612" s="786" t="s">
        <v>1696</v>
      </c>
      <c r="C612" s="809"/>
      <c r="D612" s="858"/>
      <c r="E612" s="766"/>
      <c r="F612" s="799"/>
      <c r="G612" s="765"/>
      <c r="H612" s="783"/>
      <c r="I612" s="783"/>
      <c r="J612" s="765"/>
      <c r="K612" s="790"/>
      <c r="L612" s="799"/>
      <c r="M612" s="757"/>
      <c r="N612" s="837"/>
      <c r="O612" s="663">
        <v>0.93490804699999996</v>
      </c>
    </row>
    <row r="613" spans="1:16" ht="18.95" customHeight="1">
      <c r="A613" s="853"/>
      <c r="B613" s="789" t="s">
        <v>273</v>
      </c>
      <c r="C613" s="1170" t="s">
        <v>1697</v>
      </c>
      <c r="D613" s="852"/>
      <c r="E613" s="766">
        <v>34</v>
      </c>
      <c r="F613" s="799" t="s">
        <v>211</v>
      </c>
      <c r="G613" s="765">
        <v>245.2</v>
      </c>
      <c r="H613" s="783">
        <f t="shared" si="49"/>
        <v>229.23945312439997</v>
      </c>
      <c r="I613" s="783">
        <f t="shared" si="48"/>
        <v>7794.1414062295989</v>
      </c>
      <c r="J613" s="843">
        <v>0</v>
      </c>
      <c r="K613" s="790">
        <f t="shared" si="50"/>
        <v>0</v>
      </c>
      <c r="L613" s="799">
        <f t="shared" si="51"/>
        <v>0</v>
      </c>
      <c r="M613" s="757">
        <f t="shared" si="52"/>
        <v>7794.1414062295989</v>
      </c>
      <c r="N613" s="841"/>
      <c r="O613" s="663">
        <v>0.93490804699999996</v>
      </c>
    </row>
    <row r="614" spans="1:16" ht="18.95" customHeight="1">
      <c r="A614" s="853"/>
      <c r="B614" s="789" t="s">
        <v>273</v>
      </c>
      <c r="C614" s="1170" t="s">
        <v>1698</v>
      </c>
      <c r="D614" s="852"/>
      <c r="E614" s="766">
        <v>68</v>
      </c>
      <c r="F614" s="799" t="s">
        <v>211</v>
      </c>
      <c r="G614" s="765"/>
      <c r="H614" s="783">
        <f t="shared" si="49"/>
        <v>0</v>
      </c>
      <c r="I614" s="783">
        <f t="shared" si="48"/>
        <v>0</v>
      </c>
      <c r="J614" s="843">
        <v>121</v>
      </c>
      <c r="K614" s="790">
        <f t="shared" si="50"/>
        <v>113.123873687</v>
      </c>
      <c r="L614" s="799">
        <f t="shared" si="51"/>
        <v>7692.423410716</v>
      </c>
      <c r="M614" s="757">
        <f t="shared" si="52"/>
        <v>7692.423410716</v>
      </c>
      <c r="N614" s="841"/>
      <c r="O614" s="663">
        <v>0.93490804699999996</v>
      </c>
    </row>
    <row r="615" spans="1:16" ht="18.95" customHeight="1">
      <c r="A615" s="853"/>
      <c r="B615" s="789" t="s">
        <v>273</v>
      </c>
      <c r="C615" s="1170" t="s">
        <v>1699</v>
      </c>
      <c r="D615" s="852"/>
      <c r="E615" s="766">
        <v>11</v>
      </c>
      <c r="F615" s="799" t="s">
        <v>1700</v>
      </c>
      <c r="G615" s="765">
        <v>309.42</v>
      </c>
      <c r="H615" s="783">
        <f t="shared" si="49"/>
        <v>289.27924790274</v>
      </c>
      <c r="I615" s="783">
        <f t="shared" si="48"/>
        <v>3182.0717269301399</v>
      </c>
      <c r="J615" s="843">
        <v>0</v>
      </c>
      <c r="K615" s="790">
        <f t="shared" si="50"/>
        <v>0</v>
      </c>
      <c r="L615" s="799">
        <f t="shared" si="51"/>
        <v>0</v>
      </c>
      <c r="M615" s="757">
        <f t="shared" si="52"/>
        <v>3182.0717269301399</v>
      </c>
      <c r="N615" s="841"/>
      <c r="O615" s="663">
        <v>0.93490804699999996</v>
      </c>
    </row>
    <row r="616" spans="1:16" ht="18.95" customHeight="1">
      <c r="A616" s="853"/>
      <c r="B616" s="789" t="s">
        <v>273</v>
      </c>
      <c r="C616" s="1170" t="s">
        <v>1701</v>
      </c>
      <c r="D616" s="852"/>
      <c r="E616" s="757">
        <v>9</v>
      </c>
      <c r="F616" s="799" t="s">
        <v>397</v>
      </c>
      <c r="G616" s="765">
        <v>23.36</v>
      </c>
      <c r="H616" s="783">
        <f t="shared" si="49"/>
        <v>21.83945197792</v>
      </c>
      <c r="I616" s="783">
        <f t="shared" si="48"/>
        <v>196.55506780127999</v>
      </c>
      <c r="J616" s="843">
        <v>0</v>
      </c>
      <c r="K616" s="790">
        <f t="shared" si="50"/>
        <v>0</v>
      </c>
      <c r="L616" s="799">
        <f t="shared" si="51"/>
        <v>0</v>
      </c>
      <c r="M616" s="757">
        <f t="shared" si="52"/>
        <v>196.55506780127999</v>
      </c>
      <c r="N616" s="841"/>
      <c r="O616" s="663">
        <v>0.93490804699999996</v>
      </c>
      <c r="P616" s="725" t="s">
        <v>1689</v>
      </c>
    </row>
    <row r="617" spans="1:16" ht="18.95" customHeight="1">
      <c r="A617" s="767">
        <v>7.3</v>
      </c>
      <c r="B617" s="786" t="s">
        <v>1702</v>
      </c>
      <c r="C617" s="809"/>
      <c r="D617" s="860"/>
      <c r="E617" s="766"/>
      <c r="F617" s="857"/>
      <c r="G617" s="798"/>
      <c r="H617" s="783"/>
      <c r="I617" s="783"/>
      <c r="J617" s="843"/>
      <c r="K617" s="790"/>
      <c r="L617" s="799"/>
      <c r="M617" s="757"/>
      <c r="N617" s="837"/>
      <c r="O617" s="663">
        <v>0.93490804699999996</v>
      </c>
    </row>
    <row r="618" spans="1:16" ht="18.95" customHeight="1">
      <c r="A618" s="855"/>
      <c r="B618" s="789" t="s">
        <v>273</v>
      </c>
      <c r="C618" s="852" t="s">
        <v>1711</v>
      </c>
      <c r="D618" s="852"/>
      <c r="E618" s="757">
        <v>9</v>
      </c>
      <c r="F618" s="799" t="s">
        <v>1684</v>
      </c>
      <c r="G618" s="759">
        <v>2260</v>
      </c>
      <c r="H618" s="783">
        <f t="shared" si="49"/>
        <v>2112.89218622</v>
      </c>
      <c r="I618" s="783">
        <f t="shared" ref="I618:I681" si="53">H618*E618</f>
        <v>19016.02967598</v>
      </c>
      <c r="J618" s="759">
        <v>519</v>
      </c>
      <c r="K618" s="790">
        <f t="shared" si="50"/>
        <v>485.21727639299996</v>
      </c>
      <c r="L618" s="799">
        <f t="shared" si="51"/>
        <v>4366.9554875369995</v>
      </c>
      <c r="M618" s="757">
        <f t="shared" si="52"/>
        <v>23382.985163516998</v>
      </c>
      <c r="N618" s="837"/>
      <c r="O618" s="663">
        <v>0.93490804699999996</v>
      </c>
    </row>
    <row r="619" spans="1:16" ht="18.95" customHeight="1">
      <c r="A619" s="856"/>
      <c r="B619" s="1169" t="s">
        <v>1850</v>
      </c>
      <c r="C619" s="801"/>
      <c r="D619" s="815"/>
      <c r="E619" s="854"/>
      <c r="F619" s="857"/>
      <c r="G619" s="843"/>
      <c r="H619" s="783"/>
      <c r="I619" s="783"/>
      <c r="J619" s="843"/>
      <c r="K619" s="790"/>
      <c r="L619" s="799"/>
      <c r="M619" s="757"/>
      <c r="N619" s="837"/>
      <c r="O619" s="663">
        <v>0.93490804699999996</v>
      </c>
    </row>
    <row r="620" spans="1:16" ht="18.95" customHeight="1">
      <c r="A620" s="814">
        <v>7.4</v>
      </c>
      <c r="B620" s="786" t="s">
        <v>1687</v>
      </c>
      <c r="C620" s="809"/>
      <c r="D620" s="815"/>
      <c r="E620" s="790"/>
      <c r="F620" s="799"/>
      <c r="G620" s="798"/>
      <c r="H620" s="783"/>
      <c r="I620" s="783"/>
      <c r="J620" s="843"/>
      <c r="K620" s="790"/>
      <c r="L620" s="799"/>
      <c r="M620" s="757"/>
      <c r="N620" s="841"/>
      <c r="O620" s="663">
        <v>0.93490804699999996</v>
      </c>
    </row>
    <row r="621" spans="1:16" ht="18.95" customHeight="1">
      <c r="A621" s="851"/>
      <c r="B621" s="789" t="s">
        <v>273</v>
      </c>
      <c r="C621" s="1170" t="s">
        <v>1688</v>
      </c>
      <c r="D621" s="852"/>
      <c r="E621" s="757">
        <v>11776</v>
      </c>
      <c r="F621" s="799" t="s">
        <v>397</v>
      </c>
      <c r="G621" s="765">
        <v>19.45</v>
      </c>
      <c r="H621" s="783">
        <f t="shared" si="49"/>
        <v>18.183961514149999</v>
      </c>
      <c r="I621" s="783">
        <f t="shared" si="53"/>
        <v>214134.3307906304</v>
      </c>
      <c r="J621" s="843">
        <v>3.6</v>
      </c>
      <c r="K621" s="790">
        <f t="shared" si="50"/>
        <v>3.3656689692000001</v>
      </c>
      <c r="L621" s="799">
        <f t="shared" si="51"/>
        <v>39634.117781299203</v>
      </c>
      <c r="M621" s="757">
        <f t="shared" si="52"/>
        <v>253768.44857192959</v>
      </c>
      <c r="N621" s="837"/>
      <c r="O621" s="663">
        <v>0.93490804699999996</v>
      </c>
      <c r="P621" s="725" t="s">
        <v>1689</v>
      </c>
    </row>
    <row r="622" spans="1:16" ht="18.95" customHeight="1">
      <c r="A622" s="851"/>
      <c r="B622" s="789" t="s">
        <v>273</v>
      </c>
      <c r="C622" s="1170" t="s">
        <v>1690</v>
      </c>
      <c r="D622" s="852"/>
      <c r="E622" s="757">
        <v>6897</v>
      </c>
      <c r="F622" s="799" t="s">
        <v>397</v>
      </c>
      <c r="G622" s="765">
        <v>19.25</v>
      </c>
      <c r="H622" s="783">
        <f t="shared" si="49"/>
        <v>17.996979904749999</v>
      </c>
      <c r="I622" s="783">
        <f t="shared" si="53"/>
        <v>124125.17040306074</v>
      </c>
      <c r="J622" s="843">
        <v>3.6</v>
      </c>
      <c r="K622" s="790">
        <f t="shared" si="50"/>
        <v>3.3656689692000001</v>
      </c>
      <c r="L622" s="799">
        <f t="shared" si="51"/>
        <v>23213.018880572399</v>
      </c>
      <c r="M622" s="757">
        <f t="shared" si="52"/>
        <v>147338.18928363314</v>
      </c>
      <c r="N622" s="837"/>
      <c r="O622" s="663">
        <v>0.93490804699999996</v>
      </c>
      <c r="P622" s="725" t="s">
        <v>1689</v>
      </c>
    </row>
    <row r="623" spans="1:16" ht="18.95" customHeight="1">
      <c r="A623" s="853"/>
      <c r="B623" s="789" t="s">
        <v>273</v>
      </c>
      <c r="C623" s="1170" t="s">
        <v>1691</v>
      </c>
      <c r="D623" s="852"/>
      <c r="E623" s="757">
        <v>3956</v>
      </c>
      <c r="F623" s="799" t="s">
        <v>397</v>
      </c>
      <c r="G623" s="765">
        <v>19.25</v>
      </c>
      <c r="H623" s="783">
        <f t="shared" si="49"/>
        <v>17.996979904749999</v>
      </c>
      <c r="I623" s="783">
        <f t="shared" si="53"/>
        <v>71196.052503190993</v>
      </c>
      <c r="J623" s="843">
        <v>3.1</v>
      </c>
      <c r="K623" s="790">
        <f t="shared" si="50"/>
        <v>2.8982149456999999</v>
      </c>
      <c r="L623" s="799">
        <f t="shared" si="51"/>
        <v>11465.338325189199</v>
      </c>
      <c r="M623" s="757">
        <f t="shared" si="52"/>
        <v>82661.390828380187</v>
      </c>
      <c r="N623" s="837"/>
      <c r="O623" s="663">
        <v>0.93490804699999996</v>
      </c>
      <c r="P623" s="725" t="s">
        <v>1689</v>
      </c>
    </row>
    <row r="624" spans="1:16" ht="18.95" customHeight="1">
      <c r="A624" s="853"/>
      <c r="B624" s="789" t="s">
        <v>273</v>
      </c>
      <c r="C624" s="1170" t="s">
        <v>1694</v>
      </c>
      <c r="D624" s="852"/>
      <c r="E624" s="757">
        <v>407</v>
      </c>
      <c r="F624" s="799" t="s">
        <v>397</v>
      </c>
      <c r="G624" s="765">
        <v>27.1</v>
      </c>
      <c r="H624" s="783">
        <f t="shared" si="49"/>
        <v>25.3360080737</v>
      </c>
      <c r="I624" s="783">
        <f t="shared" si="53"/>
        <v>10311.7552859959</v>
      </c>
      <c r="J624" s="843">
        <v>0</v>
      </c>
      <c r="K624" s="790">
        <f t="shared" si="50"/>
        <v>0</v>
      </c>
      <c r="L624" s="799">
        <f t="shared" si="51"/>
        <v>0</v>
      </c>
      <c r="M624" s="757">
        <f t="shared" si="52"/>
        <v>10311.7552859959</v>
      </c>
      <c r="N624" s="837"/>
      <c r="O624" s="663">
        <v>0.93490804699999996</v>
      </c>
      <c r="P624" s="725" t="s">
        <v>1689</v>
      </c>
    </row>
    <row r="625" spans="1:16" ht="18.95" customHeight="1">
      <c r="A625" s="767">
        <v>7.5</v>
      </c>
      <c r="B625" s="786" t="s">
        <v>1696</v>
      </c>
      <c r="C625" s="809"/>
      <c r="D625" s="858"/>
      <c r="E625" s="766"/>
      <c r="F625" s="799"/>
      <c r="G625" s="765"/>
      <c r="H625" s="783"/>
      <c r="I625" s="783"/>
      <c r="J625" s="765"/>
      <c r="K625" s="790"/>
      <c r="L625" s="799"/>
      <c r="M625" s="757"/>
      <c r="N625" s="837"/>
      <c r="O625" s="663">
        <v>0.93490804699999996</v>
      </c>
    </row>
    <row r="626" spans="1:16" ht="18.95" customHeight="1">
      <c r="A626" s="853"/>
      <c r="B626" s="789" t="s">
        <v>273</v>
      </c>
      <c r="C626" s="1170" t="s">
        <v>1697</v>
      </c>
      <c r="D626" s="852"/>
      <c r="E626" s="766">
        <v>550</v>
      </c>
      <c r="F626" s="799" t="s">
        <v>211</v>
      </c>
      <c r="G626" s="765">
        <v>245.2</v>
      </c>
      <c r="H626" s="783">
        <f t="shared" si="49"/>
        <v>229.23945312439997</v>
      </c>
      <c r="I626" s="783">
        <f t="shared" si="53"/>
        <v>126081.69921841999</v>
      </c>
      <c r="J626" s="843">
        <v>0</v>
      </c>
      <c r="K626" s="790">
        <f t="shared" si="50"/>
        <v>0</v>
      </c>
      <c r="L626" s="799">
        <f t="shared" si="51"/>
        <v>0</v>
      </c>
      <c r="M626" s="757">
        <f t="shared" si="52"/>
        <v>126081.69921841999</v>
      </c>
      <c r="N626" s="841"/>
      <c r="O626" s="663">
        <v>0.93490804699999996</v>
      </c>
    </row>
    <row r="627" spans="1:16" ht="18.95" customHeight="1">
      <c r="A627" s="853"/>
      <c r="B627" s="789" t="s">
        <v>273</v>
      </c>
      <c r="C627" s="1170" t="s">
        <v>1698</v>
      </c>
      <c r="D627" s="852"/>
      <c r="E627" s="766">
        <v>1099</v>
      </c>
      <c r="F627" s="799" t="s">
        <v>211</v>
      </c>
      <c r="G627" s="765"/>
      <c r="H627" s="783">
        <f t="shared" si="49"/>
        <v>0</v>
      </c>
      <c r="I627" s="783">
        <f t="shared" si="53"/>
        <v>0</v>
      </c>
      <c r="J627" s="843">
        <v>121</v>
      </c>
      <c r="K627" s="790">
        <f t="shared" si="50"/>
        <v>113.123873687</v>
      </c>
      <c r="L627" s="799">
        <f t="shared" si="51"/>
        <v>124323.137182013</v>
      </c>
      <c r="M627" s="757">
        <f t="shared" si="52"/>
        <v>124323.137182013</v>
      </c>
      <c r="N627" s="841"/>
      <c r="O627" s="663">
        <v>0.93490804699999996</v>
      </c>
    </row>
    <row r="628" spans="1:16" ht="18.95" customHeight="1">
      <c r="A628" s="853"/>
      <c r="B628" s="789" t="s">
        <v>273</v>
      </c>
      <c r="C628" s="1170" t="s">
        <v>1699</v>
      </c>
      <c r="D628" s="852"/>
      <c r="E628" s="766">
        <v>165</v>
      </c>
      <c r="F628" s="799" t="s">
        <v>1700</v>
      </c>
      <c r="G628" s="765">
        <v>309.42</v>
      </c>
      <c r="H628" s="783">
        <f t="shared" si="49"/>
        <v>289.27924790274</v>
      </c>
      <c r="I628" s="783">
        <f t="shared" si="53"/>
        <v>47731.0759039521</v>
      </c>
      <c r="J628" s="843">
        <v>0</v>
      </c>
      <c r="K628" s="790">
        <f t="shared" si="50"/>
        <v>0</v>
      </c>
      <c r="L628" s="799">
        <f t="shared" si="51"/>
        <v>0</v>
      </c>
      <c r="M628" s="757">
        <f t="shared" si="52"/>
        <v>47731.0759039521</v>
      </c>
      <c r="N628" s="841"/>
      <c r="O628" s="663">
        <v>0.93490804699999996</v>
      </c>
    </row>
    <row r="629" spans="1:16" ht="18.95" customHeight="1">
      <c r="A629" s="853"/>
      <c r="B629" s="789" t="s">
        <v>273</v>
      </c>
      <c r="C629" s="1170" t="s">
        <v>1701</v>
      </c>
      <c r="D629" s="852"/>
      <c r="E629" s="757">
        <v>138</v>
      </c>
      <c r="F629" s="799" t="s">
        <v>397</v>
      </c>
      <c r="G629" s="765">
        <v>23.36</v>
      </c>
      <c r="H629" s="783">
        <f t="shared" si="49"/>
        <v>21.83945197792</v>
      </c>
      <c r="I629" s="783">
        <f t="shared" si="53"/>
        <v>3013.8443729529599</v>
      </c>
      <c r="J629" s="843">
        <v>0</v>
      </c>
      <c r="K629" s="790">
        <f t="shared" si="50"/>
        <v>0</v>
      </c>
      <c r="L629" s="799">
        <f t="shared" si="51"/>
        <v>0</v>
      </c>
      <c r="M629" s="757">
        <f t="shared" si="52"/>
        <v>3013.8443729529599</v>
      </c>
      <c r="N629" s="841"/>
      <c r="O629" s="663">
        <v>0.93490804699999996</v>
      </c>
      <c r="P629" s="725" t="s">
        <v>1689</v>
      </c>
    </row>
    <row r="630" spans="1:16" ht="18.95" customHeight="1">
      <c r="A630" s="767">
        <v>7.6</v>
      </c>
      <c r="B630" s="786" t="s">
        <v>1702</v>
      </c>
      <c r="C630" s="809"/>
      <c r="D630" s="860"/>
      <c r="E630" s="766"/>
      <c r="F630" s="857"/>
      <c r="G630" s="798"/>
      <c r="H630" s="783"/>
      <c r="I630" s="783"/>
      <c r="J630" s="843"/>
      <c r="K630" s="790"/>
      <c r="L630" s="799"/>
      <c r="M630" s="757"/>
      <c r="N630" s="837"/>
      <c r="O630" s="663">
        <v>0.93490804699999996</v>
      </c>
    </row>
    <row r="631" spans="1:16" ht="18.95" customHeight="1">
      <c r="A631" s="855"/>
      <c r="B631" s="789" t="s">
        <v>273</v>
      </c>
      <c r="C631" s="852" t="s">
        <v>1711</v>
      </c>
      <c r="D631" s="852"/>
      <c r="E631" s="757">
        <v>266</v>
      </c>
      <c r="F631" s="799" t="s">
        <v>1684</v>
      </c>
      <c r="G631" s="759">
        <v>2260</v>
      </c>
      <c r="H631" s="783">
        <f t="shared" si="49"/>
        <v>2112.89218622</v>
      </c>
      <c r="I631" s="783">
        <f t="shared" si="53"/>
        <v>562029.32153452002</v>
      </c>
      <c r="J631" s="759">
        <v>519</v>
      </c>
      <c r="K631" s="790">
        <f t="shared" si="50"/>
        <v>485.21727639299996</v>
      </c>
      <c r="L631" s="799">
        <f t="shared" si="51"/>
        <v>129067.79552053798</v>
      </c>
      <c r="M631" s="757">
        <f t="shared" si="52"/>
        <v>691097.11705505801</v>
      </c>
      <c r="N631" s="837"/>
      <c r="O631" s="663">
        <v>0.93490804699999996</v>
      </c>
    </row>
    <row r="632" spans="1:16" ht="18.95" customHeight="1">
      <c r="A632" s="879"/>
      <c r="B632" s="789"/>
      <c r="C632" s="852"/>
      <c r="D632" s="809"/>
      <c r="E632" s="766"/>
      <c r="F632" s="799"/>
      <c r="G632" s="798"/>
      <c r="H632" s="783"/>
      <c r="I632" s="783"/>
      <c r="J632" s="843"/>
      <c r="K632" s="790"/>
      <c r="L632" s="799"/>
      <c r="M632" s="757"/>
      <c r="N632" s="837"/>
      <c r="O632" s="663">
        <v>0.93490804699999996</v>
      </c>
    </row>
    <row r="633" spans="1:16" ht="18.95" customHeight="1">
      <c r="A633" s="879"/>
      <c r="B633" s="789"/>
      <c r="C633" s="852"/>
      <c r="D633" s="809"/>
      <c r="E633" s="766"/>
      <c r="F633" s="799"/>
      <c r="G633" s="798"/>
      <c r="H633" s="783"/>
      <c r="I633" s="783"/>
      <c r="J633" s="843"/>
      <c r="K633" s="790"/>
      <c r="L633" s="799"/>
      <c r="M633" s="757"/>
      <c r="N633" s="837"/>
      <c r="O633" s="663">
        <v>0.93490804699999996</v>
      </c>
    </row>
    <row r="634" spans="1:16" ht="18.95" customHeight="1">
      <c r="A634" s="856"/>
      <c r="B634" s="1169" t="s">
        <v>1851</v>
      </c>
      <c r="C634" s="801"/>
      <c r="D634" s="815"/>
      <c r="E634" s="854"/>
      <c r="F634" s="857"/>
      <c r="G634" s="843"/>
      <c r="H634" s="783"/>
      <c r="I634" s="783"/>
      <c r="J634" s="843"/>
      <c r="K634" s="790"/>
      <c r="L634" s="799"/>
      <c r="M634" s="757"/>
      <c r="N634" s="837"/>
      <c r="O634" s="663">
        <v>0.93490804699999996</v>
      </c>
    </row>
    <row r="635" spans="1:16" ht="18.95" customHeight="1">
      <c r="A635" s="1172" t="s">
        <v>1852</v>
      </c>
      <c r="B635" s="786" t="s">
        <v>1687</v>
      </c>
      <c r="C635" s="809"/>
      <c r="D635" s="815"/>
      <c r="E635" s="790"/>
      <c r="F635" s="799"/>
      <c r="G635" s="798"/>
      <c r="H635" s="783"/>
      <c r="I635" s="783"/>
      <c r="J635" s="843"/>
      <c r="K635" s="790"/>
      <c r="L635" s="799"/>
      <c r="M635" s="757"/>
      <c r="N635" s="837"/>
      <c r="O635" s="663">
        <v>0.93490804699999996</v>
      </c>
    </row>
    <row r="636" spans="1:16" ht="18.95" customHeight="1">
      <c r="A636" s="851"/>
      <c r="B636" s="789" t="s">
        <v>273</v>
      </c>
      <c r="C636" s="1170" t="s">
        <v>1720</v>
      </c>
      <c r="D636" s="852"/>
      <c r="E636" s="757">
        <v>345</v>
      </c>
      <c r="F636" s="799" t="s">
        <v>397</v>
      </c>
      <c r="G636" s="765">
        <v>19.600000000000001</v>
      </c>
      <c r="H636" s="783">
        <f t="shared" si="49"/>
        <v>18.324197721200001</v>
      </c>
      <c r="I636" s="783">
        <f t="shared" si="53"/>
        <v>6321.8482138140007</v>
      </c>
      <c r="J636" s="843">
        <v>4.4000000000000004</v>
      </c>
      <c r="K636" s="790">
        <f t="shared" si="50"/>
        <v>4.1135954068</v>
      </c>
      <c r="L636" s="799">
        <f t="shared" si="51"/>
        <v>1419.190415346</v>
      </c>
      <c r="M636" s="757">
        <f t="shared" si="52"/>
        <v>7741.0386291600007</v>
      </c>
      <c r="N636" s="841"/>
      <c r="O636" s="663">
        <v>0.93490804699999996</v>
      </c>
      <c r="P636" s="725" t="s">
        <v>1689</v>
      </c>
    </row>
    <row r="637" spans="1:16" ht="18.95" customHeight="1">
      <c r="A637" s="851"/>
      <c r="B637" s="789" t="s">
        <v>273</v>
      </c>
      <c r="C637" s="1170" t="s">
        <v>1688</v>
      </c>
      <c r="D637" s="852"/>
      <c r="E637" s="757">
        <v>1140</v>
      </c>
      <c r="F637" s="799" t="s">
        <v>397</v>
      </c>
      <c r="G637" s="765">
        <v>19.45</v>
      </c>
      <c r="H637" s="783">
        <f t="shared" ref="H637:H700" si="54">G637*O637</f>
        <v>18.183961514149999</v>
      </c>
      <c r="I637" s="783">
        <f t="shared" si="53"/>
        <v>20729.716126130999</v>
      </c>
      <c r="J637" s="843">
        <v>3.6</v>
      </c>
      <c r="K637" s="790">
        <f t="shared" si="50"/>
        <v>3.3656689692000001</v>
      </c>
      <c r="L637" s="799">
        <f t="shared" si="51"/>
        <v>3836.862624888</v>
      </c>
      <c r="M637" s="757">
        <f t="shared" si="52"/>
        <v>24566.578751018998</v>
      </c>
      <c r="N637" s="841"/>
      <c r="O637" s="663">
        <v>0.93490804699999996</v>
      </c>
      <c r="P637" s="725" t="s">
        <v>1689</v>
      </c>
    </row>
    <row r="638" spans="1:16" ht="18.95" customHeight="1">
      <c r="A638" s="851"/>
      <c r="B638" s="789" t="s">
        <v>273</v>
      </c>
      <c r="C638" s="1170" t="s">
        <v>1690</v>
      </c>
      <c r="D638" s="852"/>
      <c r="E638" s="757">
        <v>76</v>
      </c>
      <c r="F638" s="799" t="s">
        <v>397</v>
      </c>
      <c r="G638" s="765">
        <v>19.25</v>
      </c>
      <c r="H638" s="783">
        <f t="shared" si="54"/>
        <v>17.996979904749999</v>
      </c>
      <c r="I638" s="783">
        <f t="shared" si="53"/>
        <v>1367.7704727609998</v>
      </c>
      <c r="J638" s="843">
        <v>3.6</v>
      </c>
      <c r="K638" s="790">
        <f t="shared" ref="K638:K701" si="55">J638*O638</f>
        <v>3.3656689692000001</v>
      </c>
      <c r="L638" s="799">
        <f t="shared" ref="L638:L701" si="56">K638*E638</f>
        <v>255.7908416592</v>
      </c>
      <c r="M638" s="757">
        <f t="shared" si="52"/>
        <v>1623.5613144201998</v>
      </c>
      <c r="N638" s="841"/>
      <c r="O638" s="663">
        <v>0.93490804699999996</v>
      </c>
      <c r="P638" s="725" t="s">
        <v>1689</v>
      </c>
    </row>
    <row r="639" spans="1:16" ht="18.95" customHeight="1">
      <c r="A639" s="853"/>
      <c r="B639" s="789" t="s">
        <v>273</v>
      </c>
      <c r="C639" s="1170" t="s">
        <v>1694</v>
      </c>
      <c r="D639" s="852"/>
      <c r="E639" s="757">
        <v>28</v>
      </c>
      <c r="F639" s="799" t="s">
        <v>397</v>
      </c>
      <c r="G639" s="765">
        <v>27.1</v>
      </c>
      <c r="H639" s="783">
        <f t="shared" si="54"/>
        <v>25.3360080737</v>
      </c>
      <c r="I639" s="783">
        <f t="shared" si="53"/>
        <v>709.40822606360007</v>
      </c>
      <c r="J639" s="843">
        <v>0</v>
      </c>
      <c r="K639" s="790">
        <f t="shared" si="55"/>
        <v>0</v>
      </c>
      <c r="L639" s="799">
        <f t="shared" si="56"/>
        <v>0</v>
      </c>
      <c r="M639" s="757">
        <f t="shared" si="52"/>
        <v>709.40822606360007</v>
      </c>
      <c r="N639" s="841"/>
      <c r="O639" s="663">
        <v>0.93490804699999996</v>
      </c>
      <c r="P639" s="725" t="s">
        <v>1689</v>
      </c>
    </row>
    <row r="640" spans="1:16" ht="18.95" customHeight="1">
      <c r="A640" s="1172" t="s">
        <v>1853</v>
      </c>
      <c r="B640" s="786" t="s">
        <v>1696</v>
      </c>
      <c r="C640" s="809"/>
      <c r="D640" s="858"/>
      <c r="E640" s="854"/>
      <c r="F640" s="857"/>
      <c r="G640" s="765"/>
      <c r="H640" s="783"/>
      <c r="I640" s="783"/>
      <c r="J640" s="765"/>
      <c r="K640" s="790"/>
      <c r="L640" s="799"/>
      <c r="M640" s="757"/>
      <c r="N640" s="837"/>
      <c r="O640" s="663">
        <v>0.93490804699999996</v>
      </c>
    </row>
    <row r="641" spans="1:16" ht="18.95" customHeight="1">
      <c r="A641" s="853"/>
      <c r="B641" s="789" t="s">
        <v>273</v>
      </c>
      <c r="C641" s="1170" t="s">
        <v>1697</v>
      </c>
      <c r="D641" s="852"/>
      <c r="E641" s="766">
        <v>87</v>
      </c>
      <c r="F641" s="799" t="s">
        <v>211</v>
      </c>
      <c r="G641" s="765">
        <v>245.2</v>
      </c>
      <c r="H641" s="783">
        <f t="shared" si="54"/>
        <v>229.23945312439997</v>
      </c>
      <c r="I641" s="783">
        <f t="shared" si="53"/>
        <v>19943.832421822797</v>
      </c>
      <c r="J641" s="843">
        <v>0</v>
      </c>
      <c r="K641" s="790">
        <f t="shared" si="55"/>
        <v>0</v>
      </c>
      <c r="L641" s="799">
        <f t="shared" si="56"/>
        <v>0</v>
      </c>
      <c r="M641" s="757">
        <f t="shared" si="52"/>
        <v>19943.832421822797</v>
      </c>
      <c r="N641" s="841"/>
      <c r="O641" s="663">
        <v>0.93490804699999996</v>
      </c>
    </row>
    <row r="642" spans="1:16" ht="18.95" customHeight="1">
      <c r="A642" s="853"/>
      <c r="B642" s="789" t="s">
        <v>273</v>
      </c>
      <c r="C642" s="1170" t="s">
        <v>1698</v>
      </c>
      <c r="D642" s="852"/>
      <c r="E642" s="766">
        <v>174</v>
      </c>
      <c r="F642" s="799" t="s">
        <v>211</v>
      </c>
      <c r="G642" s="765"/>
      <c r="H642" s="783">
        <f t="shared" si="54"/>
        <v>0</v>
      </c>
      <c r="I642" s="783">
        <f t="shared" si="53"/>
        <v>0</v>
      </c>
      <c r="J642" s="843">
        <v>121</v>
      </c>
      <c r="K642" s="790">
        <f t="shared" si="55"/>
        <v>113.123873687</v>
      </c>
      <c r="L642" s="799">
        <f t="shared" si="56"/>
        <v>19683.554021537999</v>
      </c>
      <c r="M642" s="757">
        <f t="shared" si="52"/>
        <v>19683.554021537999</v>
      </c>
      <c r="N642" s="841"/>
      <c r="O642" s="663">
        <v>0.93490804699999996</v>
      </c>
    </row>
    <row r="643" spans="1:16" ht="18.95" customHeight="1">
      <c r="A643" s="853"/>
      <c r="B643" s="789" t="s">
        <v>273</v>
      </c>
      <c r="C643" s="1170" t="s">
        <v>1699</v>
      </c>
      <c r="D643" s="852"/>
      <c r="E643" s="766">
        <v>27</v>
      </c>
      <c r="F643" s="799" t="s">
        <v>1700</v>
      </c>
      <c r="G643" s="765">
        <v>309.42</v>
      </c>
      <c r="H643" s="783">
        <f t="shared" si="54"/>
        <v>289.27924790274</v>
      </c>
      <c r="I643" s="783">
        <f t="shared" si="53"/>
        <v>7810.5396933739803</v>
      </c>
      <c r="J643" s="843">
        <v>0</v>
      </c>
      <c r="K643" s="790">
        <f t="shared" si="55"/>
        <v>0</v>
      </c>
      <c r="L643" s="799">
        <f t="shared" si="56"/>
        <v>0</v>
      </c>
      <c r="M643" s="757">
        <f t="shared" si="52"/>
        <v>7810.5396933739803</v>
      </c>
      <c r="N643" s="841"/>
      <c r="O643" s="663">
        <v>0.93490804699999996</v>
      </c>
    </row>
    <row r="644" spans="1:16" ht="18.95" customHeight="1">
      <c r="A644" s="853"/>
      <c r="B644" s="789" t="s">
        <v>273</v>
      </c>
      <c r="C644" s="1170" t="s">
        <v>1701</v>
      </c>
      <c r="D644" s="852"/>
      <c r="E644" s="757">
        <v>22</v>
      </c>
      <c r="F644" s="799" t="s">
        <v>397</v>
      </c>
      <c r="G644" s="765">
        <v>23.36</v>
      </c>
      <c r="H644" s="783">
        <f t="shared" si="54"/>
        <v>21.83945197792</v>
      </c>
      <c r="I644" s="783">
        <f t="shared" si="53"/>
        <v>480.46794351424001</v>
      </c>
      <c r="J644" s="843">
        <v>0</v>
      </c>
      <c r="K644" s="790">
        <f t="shared" si="55"/>
        <v>0</v>
      </c>
      <c r="L644" s="799">
        <f t="shared" si="56"/>
        <v>0</v>
      </c>
      <c r="M644" s="757">
        <f t="shared" si="52"/>
        <v>480.46794351424001</v>
      </c>
      <c r="N644" s="841"/>
      <c r="O644" s="663">
        <v>0.93490804699999996</v>
      </c>
      <c r="P644" s="725" t="s">
        <v>1689</v>
      </c>
    </row>
    <row r="645" spans="1:16" ht="18.95" customHeight="1">
      <c r="A645" s="1172" t="s">
        <v>1854</v>
      </c>
      <c r="B645" s="786" t="s">
        <v>1702</v>
      </c>
      <c r="C645" s="809"/>
      <c r="D645" s="860"/>
      <c r="E645" s="766"/>
      <c r="F645" s="857"/>
      <c r="G645" s="798"/>
      <c r="H645" s="783"/>
      <c r="I645" s="783"/>
      <c r="J645" s="843"/>
      <c r="K645" s="790"/>
      <c r="L645" s="799"/>
      <c r="M645" s="757"/>
      <c r="N645" s="837"/>
      <c r="O645" s="663">
        <v>0.93490804699999996</v>
      </c>
    </row>
    <row r="646" spans="1:16" ht="18.95" customHeight="1">
      <c r="A646" s="855"/>
      <c r="B646" s="789" t="s">
        <v>273</v>
      </c>
      <c r="C646" s="852" t="s">
        <v>1723</v>
      </c>
      <c r="D646" s="852"/>
      <c r="E646" s="757">
        <v>14</v>
      </c>
      <c r="F646" s="799" t="s">
        <v>1684</v>
      </c>
      <c r="G646" s="759">
        <v>2679.9</v>
      </c>
      <c r="H646" s="783">
        <f t="shared" si="54"/>
        <v>2505.4600751552998</v>
      </c>
      <c r="I646" s="783">
        <f t="shared" si="53"/>
        <v>35076.441052174196</v>
      </c>
      <c r="J646" s="759">
        <v>519</v>
      </c>
      <c r="K646" s="790">
        <f t="shared" si="55"/>
        <v>485.21727639299996</v>
      </c>
      <c r="L646" s="799">
        <f t="shared" si="56"/>
        <v>6793.0418695019998</v>
      </c>
      <c r="M646" s="757">
        <f t="shared" si="52"/>
        <v>41869.482921676194</v>
      </c>
      <c r="N646" s="841"/>
      <c r="O646" s="663">
        <v>0.93490804699999996</v>
      </c>
    </row>
    <row r="647" spans="1:16" ht="18.95" customHeight="1">
      <c r="A647" s="875"/>
      <c r="B647" s="786"/>
      <c r="C647" s="809"/>
      <c r="D647" s="810"/>
      <c r="E647" s="766"/>
      <c r="F647" s="799"/>
      <c r="G647" s="798"/>
      <c r="H647" s="783"/>
      <c r="I647" s="783"/>
      <c r="J647" s="798"/>
      <c r="K647" s="790"/>
      <c r="L647" s="799"/>
      <c r="M647" s="757"/>
      <c r="N647" s="837"/>
      <c r="O647" s="663">
        <v>0.93490804699999996</v>
      </c>
    </row>
    <row r="648" spans="1:16" s="724" customFormat="1" ht="19.350000000000001" customHeight="1">
      <c r="A648" s="791"/>
      <c r="B648" s="1336" t="s">
        <v>1855</v>
      </c>
      <c r="C648" s="1337"/>
      <c r="D648" s="1338"/>
      <c r="E648" s="792"/>
      <c r="F648" s="793"/>
      <c r="G648" s="794"/>
      <c r="H648" s="864"/>
      <c r="I648" s="864"/>
      <c r="J648" s="844"/>
      <c r="K648" s="873"/>
      <c r="L648" s="845"/>
      <c r="M648" s="846">
        <f>SUM(M609:M646)</f>
        <v>1688762.3625628082</v>
      </c>
      <c r="N648" s="847"/>
      <c r="O648" s="848">
        <v>0.93490804699999996</v>
      </c>
    </row>
    <row r="649" spans="1:16" ht="19.350000000000001" customHeight="1">
      <c r="A649" s="778"/>
      <c r="B649" s="865"/>
      <c r="C649" s="866"/>
      <c r="D649" s="867"/>
      <c r="E649" s="757"/>
      <c r="F649" s="766"/>
      <c r="G649" s="874"/>
      <c r="H649" s="783"/>
      <c r="I649" s="783"/>
      <c r="J649" s="874"/>
      <c r="K649" s="790"/>
      <c r="L649" s="799"/>
      <c r="M649" s="805"/>
      <c r="N649" s="841"/>
      <c r="O649" s="663">
        <v>0.93490804699999996</v>
      </c>
    </row>
    <row r="650" spans="1:16" ht="18.95" customHeight="1">
      <c r="A650" s="776">
        <v>8</v>
      </c>
      <c r="B650" s="1169" t="s">
        <v>1856</v>
      </c>
      <c r="C650" s="801"/>
      <c r="D650" s="785"/>
      <c r="E650" s="781"/>
      <c r="F650" s="758"/>
      <c r="G650" s="782"/>
      <c r="H650" s="783"/>
      <c r="I650" s="783"/>
      <c r="J650" s="782"/>
      <c r="K650" s="790"/>
      <c r="L650" s="799"/>
      <c r="M650" s="757"/>
      <c r="N650" s="837"/>
      <c r="O650" s="663">
        <v>0.93490804699999996</v>
      </c>
    </row>
    <row r="651" spans="1:16" ht="18.95" customHeight="1">
      <c r="A651" s="1173" t="s">
        <v>1857</v>
      </c>
      <c r="B651" s="786" t="s">
        <v>1858</v>
      </c>
      <c r="C651" s="852"/>
      <c r="D651" s="852"/>
      <c r="E651" s="766"/>
      <c r="F651" s="799"/>
      <c r="G651" s="765"/>
      <c r="H651" s="783"/>
      <c r="I651" s="783"/>
      <c r="J651" s="843"/>
      <c r="K651" s="790"/>
      <c r="L651" s="799"/>
      <c r="M651" s="757"/>
      <c r="N651" s="841"/>
      <c r="O651" s="663">
        <v>0.93490804699999996</v>
      </c>
    </row>
    <row r="652" spans="1:16" ht="18.95" customHeight="1">
      <c r="A652" s="853"/>
      <c r="B652" s="789" t="s">
        <v>273</v>
      </c>
      <c r="C652" s="852" t="s">
        <v>1859</v>
      </c>
      <c r="D652" s="852"/>
      <c r="E652" s="757">
        <v>1584</v>
      </c>
      <c r="F652" s="799" t="s">
        <v>397</v>
      </c>
      <c r="G652" s="798">
        <v>31.35</v>
      </c>
      <c r="H652" s="783">
        <f t="shared" si="54"/>
        <v>29.30936727345</v>
      </c>
      <c r="I652" s="783">
        <f t="shared" si="53"/>
        <v>46426.037761144798</v>
      </c>
      <c r="J652" s="843">
        <v>14</v>
      </c>
      <c r="K652" s="790">
        <f t="shared" si="55"/>
        <v>13.088712657999999</v>
      </c>
      <c r="L652" s="799">
        <f t="shared" si="56"/>
        <v>20732.520850271998</v>
      </c>
      <c r="M652" s="757">
        <f>L652+I652</f>
        <v>67158.558611416796</v>
      </c>
      <c r="N652" s="841"/>
      <c r="O652" s="663">
        <v>0.93490804699999996</v>
      </c>
    </row>
    <row r="653" spans="1:16" ht="18.95" customHeight="1">
      <c r="A653" s="853"/>
      <c r="B653" s="789" t="s">
        <v>273</v>
      </c>
      <c r="C653" s="852" t="s">
        <v>1860</v>
      </c>
      <c r="D653" s="852"/>
      <c r="E653" s="757">
        <v>9270</v>
      </c>
      <c r="F653" s="799" t="s">
        <v>397</v>
      </c>
      <c r="G653" s="798">
        <v>32.17</v>
      </c>
      <c r="H653" s="783">
        <f t="shared" si="54"/>
        <v>30.075991871990002</v>
      </c>
      <c r="I653" s="783">
        <f t="shared" si="53"/>
        <v>278804.44465334731</v>
      </c>
      <c r="J653" s="843">
        <v>14</v>
      </c>
      <c r="K653" s="790">
        <f t="shared" si="55"/>
        <v>13.088712657999999</v>
      </c>
      <c r="L653" s="799">
        <f t="shared" si="56"/>
        <v>121332.36633965999</v>
      </c>
      <c r="M653" s="757">
        <f t="shared" ref="M653:M713" si="57">L653+I653</f>
        <v>400136.81099300727</v>
      </c>
      <c r="N653" s="841"/>
      <c r="O653" s="663">
        <v>0.93490804699999996</v>
      </c>
    </row>
    <row r="654" spans="1:16" ht="18.95" customHeight="1">
      <c r="A654" s="853"/>
      <c r="B654" s="789" t="s">
        <v>273</v>
      </c>
      <c r="C654" s="852" t="s">
        <v>1861</v>
      </c>
      <c r="D654" s="852"/>
      <c r="E654" s="757">
        <v>6854</v>
      </c>
      <c r="F654" s="799" t="s">
        <v>397</v>
      </c>
      <c r="G654" s="798">
        <v>32.79</v>
      </c>
      <c r="H654" s="783">
        <f t="shared" si="54"/>
        <v>30.655634861129997</v>
      </c>
      <c r="I654" s="783">
        <f t="shared" si="53"/>
        <v>210113.72133818499</v>
      </c>
      <c r="J654" s="843">
        <v>14</v>
      </c>
      <c r="K654" s="790">
        <f t="shared" si="55"/>
        <v>13.088712657999999</v>
      </c>
      <c r="L654" s="799">
        <f t="shared" si="56"/>
        <v>89710.036557931991</v>
      </c>
      <c r="M654" s="757">
        <f t="shared" si="57"/>
        <v>299823.75789611699</v>
      </c>
      <c r="N654" s="841"/>
      <c r="O654" s="663">
        <v>0.93490804699999996</v>
      </c>
    </row>
    <row r="655" spans="1:16" ht="18.95" customHeight="1">
      <c r="A655" s="853"/>
      <c r="B655" s="789" t="s">
        <v>273</v>
      </c>
      <c r="C655" s="852" t="s">
        <v>1862</v>
      </c>
      <c r="D655" s="852"/>
      <c r="E655" s="757">
        <v>2176</v>
      </c>
      <c r="F655" s="799" t="s">
        <v>397</v>
      </c>
      <c r="G655" s="798">
        <v>32.79</v>
      </c>
      <c r="H655" s="783">
        <f t="shared" si="54"/>
        <v>30.655634861129997</v>
      </c>
      <c r="I655" s="783">
        <f t="shared" si="53"/>
        <v>66706.661457818875</v>
      </c>
      <c r="J655" s="843">
        <v>14</v>
      </c>
      <c r="K655" s="790">
        <f t="shared" si="55"/>
        <v>13.088712657999999</v>
      </c>
      <c r="L655" s="799">
        <f t="shared" si="56"/>
        <v>28481.038743807996</v>
      </c>
      <c r="M655" s="757">
        <f t="shared" si="57"/>
        <v>95187.700201626867</v>
      </c>
      <c r="N655" s="841"/>
      <c r="O655" s="663">
        <v>0.93490804699999996</v>
      </c>
    </row>
    <row r="656" spans="1:16" ht="18.95" customHeight="1">
      <c r="A656" s="853"/>
      <c r="B656" s="789" t="s">
        <v>273</v>
      </c>
      <c r="C656" s="852" t="s">
        <v>1863</v>
      </c>
      <c r="D656" s="852"/>
      <c r="E656" s="757">
        <v>320</v>
      </c>
      <c r="F656" s="799" t="s">
        <v>397</v>
      </c>
      <c r="G656" s="798">
        <v>27.25</v>
      </c>
      <c r="H656" s="783">
        <f t="shared" si="54"/>
        <v>25.476244280749999</v>
      </c>
      <c r="I656" s="783">
        <f t="shared" si="53"/>
        <v>8152.3981698399994</v>
      </c>
      <c r="J656" s="843">
        <v>14</v>
      </c>
      <c r="K656" s="790">
        <f t="shared" si="55"/>
        <v>13.088712657999999</v>
      </c>
      <c r="L656" s="799">
        <f t="shared" si="56"/>
        <v>4188.3880505599991</v>
      </c>
      <c r="M656" s="757">
        <f t="shared" si="57"/>
        <v>12340.786220399998</v>
      </c>
      <c r="N656" s="841"/>
      <c r="O656" s="663">
        <v>0.93490804699999996</v>
      </c>
    </row>
    <row r="657" spans="1:16" ht="18.95" customHeight="1">
      <c r="A657" s="853"/>
      <c r="B657" s="789" t="s">
        <v>273</v>
      </c>
      <c r="C657" s="852" t="s">
        <v>1864</v>
      </c>
      <c r="D657" s="852"/>
      <c r="E657" s="757">
        <v>1228</v>
      </c>
      <c r="F657" s="799" t="s">
        <v>397</v>
      </c>
      <c r="G657" s="798">
        <v>26.73</v>
      </c>
      <c r="H657" s="783">
        <f t="shared" si="54"/>
        <v>24.990092096310001</v>
      </c>
      <c r="I657" s="783">
        <f t="shared" si="53"/>
        <v>30687.833094268681</v>
      </c>
      <c r="J657" s="843">
        <v>14</v>
      </c>
      <c r="K657" s="790">
        <f t="shared" si="55"/>
        <v>13.088712657999999</v>
      </c>
      <c r="L657" s="799">
        <f t="shared" si="56"/>
        <v>16072.939144023998</v>
      </c>
      <c r="M657" s="757">
        <f t="shared" si="57"/>
        <v>46760.77223829268</v>
      </c>
      <c r="N657" s="841"/>
      <c r="O657" s="663">
        <v>0.93490804699999996</v>
      </c>
    </row>
    <row r="658" spans="1:16" ht="18.95" customHeight="1">
      <c r="A658" s="853"/>
      <c r="B658" s="789" t="s">
        <v>273</v>
      </c>
      <c r="C658" s="852" t="s">
        <v>1865</v>
      </c>
      <c r="D658" s="852"/>
      <c r="E658" s="757">
        <v>670</v>
      </c>
      <c r="F658" s="799" t="s">
        <v>397</v>
      </c>
      <c r="G658" s="798">
        <v>26.74</v>
      </c>
      <c r="H658" s="783">
        <f t="shared" si="54"/>
        <v>24.999441176779996</v>
      </c>
      <c r="I658" s="783">
        <f t="shared" si="53"/>
        <v>16749.625588442599</v>
      </c>
      <c r="J658" s="843">
        <v>14</v>
      </c>
      <c r="K658" s="790">
        <f t="shared" si="55"/>
        <v>13.088712657999999</v>
      </c>
      <c r="L658" s="799">
        <f t="shared" si="56"/>
        <v>8769.4374808599987</v>
      </c>
      <c r="M658" s="757">
        <f t="shared" si="57"/>
        <v>25519.063069302596</v>
      </c>
      <c r="N658" s="841"/>
      <c r="O658" s="663">
        <v>0.93490804699999996</v>
      </c>
    </row>
    <row r="659" spans="1:16" ht="18.95" customHeight="1">
      <c r="A659" s="853"/>
      <c r="B659" s="789" t="s">
        <v>273</v>
      </c>
      <c r="C659" s="852" t="s">
        <v>1866</v>
      </c>
      <c r="D659" s="852"/>
      <c r="E659" s="757">
        <v>555</v>
      </c>
      <c r="F659" s="799" t="s">
        <v>397</v>
      </c>
      <c r="G659" s="798">
        <v>27.15</v>
      </c>
      <c r="H659" s="783">
        <f t="shared" si="54"/>
        <v>25.382753476049999</v>
      </c>
      <c r="I659" s="783">
        <f t="shared" si="53"/>
        <v>14087.428179207749</v>
      </c>
      <c r="J659" s="843">
        <v>14</v>
      </c>
      <c r="K659" s="790">
        <f t="shared" si="55"/>
        <v>13.088712657999999</v>
      </c>
      <c r="L659" s="799">
        <f t="shared" si="56"/>
        <v>7264.235525189999</v>
      </c>
      <c r="M659" s="757">
        <f t="shared" si="57"/>
        <v>21351.663704397746</v>
      </c>
      <c r="N659" s="841"/>
      <c r="O659" s="663">
        <v>0.93490804699999996</v>
      </c>
    </row>
    <row r="660" spans="1:16" ht="18.95" customHeight="1">
      <c r="A660" s="853"/>
      <c r="B660" s="789" t="s">
        <v>273</v>
      </c>
      <c r="C660" s="852" t="s">
        <v>1867</v>
      </c>
      <c r="D660" s="852"/>
      <c r="E660" s="757">
        <v>77</v>
      </c>
      <c r="F660" s="799" t="s">
        <v>397</v>
      </c>
      <c r="G660" s="798">
        <v>28.06</v>
      </c>
      <c r="H660" s="783">
        <f t="shared" si="54"/>
        <v>26.233519798819998</v>
      </c>
      <c r="I660" s="783">
        <f t="shared" si="53"/>
        <v>2019.9810245091398</v>
      </c>
      <c r="J660" s="843">
        <v>14</v>
      </c>
      <c r="K660" s="790">
        <f t="shared" si="55"/>
        <v>13.088712657999999</v>
      </c>
      <c r="L660" s="799">
        <f t="shared" si="56"/>
        <v>1007.8308746659999</v>
      </c>
      <c r="M660" s="757">
        <f t="shared" si="57"/>
        <v>3027.8118991751398</v>
      </c>
      <c r="N660" s="841"/>
      <c r="O660" s="663">
        <v>0.93490804699999996</v>
      </c>
    </row>
    <row r="661" spans="1:16" ht="18.95" customHeight="1">
      <c r="A661" s="853"/>
      <c r="B661" s="789" t="s">
        <v>273</v>
      </c>
      <c r="C661" s="852" t="s">
        <v>1868</v>
      </c>
      <c r="D661" s="852"/>
      <c r="E661" s="757">
        <v>3454</v>
      </c>
      <c r="F661" s="799" t="s">
        <v>397</v>
      </c>
      <c r="G661" s="798">
        <v>25.82</v>
      </c>
      <c r="H661" s="783">
        <f t="shared" si="54"/>
        <v>24.139325773539998</v>
      </c>
      <c r="I661" s="783">
        <f t="shared" si="53"/>
        <v>83377.231221807146</v>
      </c>
      <c r="J661" s="843">
        <v>14</v>
      </c>
      <c r="K661" s="790">
        <f t="shared" si="55"/>
        <v>13.088712657999999</v>
      </c>
      <c r="L661" s="799">
        <f t="shared" si="56"/>
        <v>45208.413520731992</v>
      </c>
      <c r="M661" s="757">
        <f t="shared" si="57"/>
        <v>128585.64474253914</v>
      </c>
      <c r="N661" s="841"/>
      <c r="O661" s="663">
        <v>0.93490804699999996</v>
      </c>
    </row>
    <row r="662" spans="1:16" ht="18.95" customHeight="1">
      <c r="A662" s="853"/>
      <c r="B662" s="789" t="s">
        <v>273</v>
      </c>
      <c r="C662" s="852" t="s">
        <v>1869</v>
      </c>
      <c r="D662" s="852"/>
      <c r="E662" s="757">
        <v>971</v>
      </c>
      <c r="F662" s="799" t="s">
        <v>397</v>
      </c>
      <c r="G662" s="798">
        <v>25.82</v>
      </c>
      <c r="H662" s="783">
        <f t="shared" si="54"/>
        <v>24.139325773539998</v>
      </c>
      <c r="I662" s="783">
        <f t="shared" si="53"/>
        <v>23439.285326107336</v>
      </c>
      <c r="J662" s="843">
        <v>14</v>
      </c>
      <c r="K662" s="790">
        <f t="shared" si="55"/>
        <v>13.088712657999999</v>
      </c>
      <c r="L662" s="799">
        <f t="shared" si="56"/>
        <v>12709.139990917998</v>
      </c>
      <c r="M662" s="757">
        <f t="shared" si="57"/>
        <v>36148.425317025336</v>
      </c>
      <c r="N662" s="841"/>
      <c r="O662" s="663">
        <v>0.93490804699999996</v>
      </c>
    </row>
    <row r="663" spans="1:16" ht="18.95" customHeight="1">
      <c r="A663" s="853"/>
      <c r="B663" s="789" t="s">
        <v>273</v>
      </c>
      <c r="C663" s="852" t="s">
        <v>1870</v>
      </c>
      <c r="D663" s="852"/>
      <c r="E663" s="757">
        <v>48</v>
      </c>
      <c r="F663" s="799" t="s">
        <v>349</v>
      </c>
      <c r="G663" s="798">
        <v>175</v>
      </c>
      <c r="H663" s="783">
        <f t="shared" si="54"/>
        <v>163.60890822499999</v>
      </c>
      <c r="I663" s="783">
        <f t="shared" si="53"/>
        <v>7853.2275947999997</v>
      </c>
      <c r="J663" s="843">
        <v>52.5</v>
      </c>
      <c r="K663" s="790">
        <f t="shared" si="55"/>
        <v>49.082672467499997</v>
      </c>
      <c r="L663" s="799">
        <f t="shared" si="56"/>
        <v>2355.9682784399997</v>
      </c>
      <c r="M663" s="757">
        <f t="shared" si="57"/>
        <v>10209.19587324</v>
      </c>
      <c r="N663" s="841"/>
      <c r="O663" s="663">
        <v>0.93490804699999996</v>
      </c>
    </row>
    <row r="664" spans="1:16" ht="18.95" customHeight="1">
      <c r="A664" s="814"/>
      <c r="B664" s="789" t="s">
        <v>273</v>
      </c>
      <c r="C664" s="1174" t="s">
        <v>1744</v>
      </c>
      <c r="D664" s="815"/>
      <c r="E664" s="757">
        <v>272</v>
      </c>
      <c r="F664" s="799" t="s">
        <v>211</v>
      </c>
      <c r="G664" s="798">
        <v>28.02</v>
      </c>
      <c r="H664" s="783">
        <f t="shared" si="54"/>
        <v>26.196123476939999</v>
      </c>
      <c r="I664" s="783">
        <f t="shared" si="53"/>
        <v>7125.3455857276795</v>
      </c>
      <c r="J664" s="759">
        <v>30</v>
      </c>
      <c r="K664" s="790">
        <f t="shared" si="55"/>
        <v>28.047241409999998</v>
      </c>
      <c r="L664" s="799">
        <f t="shared" si="56"/>
        <v>7628.849663519999</v>
      </c>
      <c r="M664" s="757">
        <f t="shared" si="57"/>
        <v>14754.195249247678</v>
      </c>
      <c r="N664" s="837"/>
      <c r="O664" s="663">
        <v>0.93490804699999996</v>
      </c>
    </row>
    <row r="665" spans="1:16" ht="18.95" customHeight="1">
      <c r="A665" s="814"/>
      <c r="B665" s="789" t="s">
        <v>273</v>
      </c>
      <c r="C665" s="1174" t="s">
        <v>1871</v>
      </c>
      <c r="D665" s="815"/>
      <c r="E665" s="757">
        <v>272</v>
      </c>
      <c r="F665" s="799" t="s">
        <v>211</v>
      </c>
      <c r="G665" s="798">
        <v>500</v>
      </c>
      <c r="H665" s="783">
        <f t="shared" si="54"/>
        <v>467.45402350000001</v>
      </c>
      <c r="I665" s="783">
        <f t="shared" si="53"/>
        <v>127147.49439200001</v>
      </c>
      <c r="J665" s="843">
        <v>200</v>
      </c>
      <c r="K665" s="790">
        <f t="shared" si="55"/>
        <v>186.9816094</v>
      </c>
      <c r="L665" s="799">
        <f t="shared" si="56"/>
        <v>50858.997756799996</v>
      </c>
      <c r="M665" s="757">
        <f t="shared" si="57"/>
        <v>178006.4921488</v>
      </c>
      <c r="N665" s="837"/>
      <c r="O665" s="663">
        <v>0.93490804699999996</v>
      </c>
    </row>
    <row r="666" spans="1:16" ht="18.95" customHeight="1">
      <c r="A666" s="767">
        <v>8.1999999999999993</v>
      </c>
      <c r="B666" s="786" t="s">
        <v>1872</v>
      </c>
      <c r="C666" s="852"/>
      <c r="D666" s="852"/>
      <c r="E666" s="766"/>
      <c r="F666" s="799"/>
      <c r="G666" s="765"/>
      <c r="H666" s="783"/>
      <c r="I666" s="783"/>
      <c r="J666" s="843"/>
      <c r="K666" s="790"/>
      <c r="L666" s="799"/>
      <c r="M666" s="757"/>
      <c r="N666" s="841"/>
      <c r="O666" s="663">
        <v>0.93490804699999996</v>
      </c>
    </row>
    <row r="667" spans="1:16" ht="18.95" customHeight="1">
      <c r="A667" s="853"/>
      <c r="B667" s="789" t="s">
        <v>273</v>
      </c>
      <c r="C667" s="852" t="s">
        <v>1873</v>
      </c>
      <c r="D667" s="852"/>
      <c r="E667" s="757">
        <v>399</v>
      </c>
      <c r="F667" s="799" t="s">
        <v>397</v>
      </c>
      <c r="G667" s="798">
        <v>27.35</v>
      </c>
      <c r="H667" s="783">
        <f t="shared" si="54"/>
        <v>25.569735085449999</v>
      </c>
      <c r="I667" s="783">
        <f t="shared" si="53"/>
        <v>10202.324299094549</v>
      </c>
      <c r="J667" s="843">
        <v>14</v>
      </c>
      <c r="K667" s="790">
        <f t="shared" si="55"/>
        <v>13.088712657999999</v>
      </c>
      <c r="L667" s="799">
        <f t="shared" si="56"/>
        <v>5222.3963505419997</v>
      </c>
      <c r="M667" s="757">
        <f t="shared" si="57"/>
        <v>15424.720649636549</v>
      </c>
      <c r="N667" s="841"/>
      <c r="O667" s="663">
        <v>0.93490804699999996</v>
      </c>
    </row>
    <row r="668" spans="1:16" ht="18.95" customHeight="1">
      <c r="A668" s="853"/>
      <c r="B668" s="789" t="s">
        <v>273</v>
      </c>
      <c r="C668" s="852" t="s">
        <v>1869</v>
      </c>
      <c r="D668" s="852"/>
      <c r="E668" s="757">
        <v>2287</v>
      </c>
      <c r="F668" s="799" t="s">
        <v>397</v>
      </c>
      <c r="G668" s="798">
        <v>27.45</v>
      </c>
      <c r="H668" s="783">
        <f t="shared" si="54"/>
        <v>25.663225890149999</v>
      </c>
      <c r="I668" s="783">
        <f t="shared" si="53"/>
        <v>58691.79761077305</v>
      </c>
      <c r="J668" s="843">
        <v>14</v>
      </c>
      <c r="K668" s="790">
        <f t="shared" si="55"/>
        <v>13.088712657999999</v>
      </c>
      <c r="L668" s="799">
        <f t="shared" si="56"/>
        <v>29933.885848845995</v>
      </c>
      <c r="M668" s="757">
        <f t="shared" si="57"/>
        <v>88625.683459619046</v>
      </c>
      <c r="N668" s="841"/>
      <c r="O668" s="663">
        <v>0.93490804699999996</v>
      </c>
    </row>
    <row r="669" spans="1:16" ht="18.95" customHeight="1">
      <c r="A669" s="853"/>
      <c r="B669" s="789" t="s">
        <v>273</v>
      </c>
      <c r="C669" s="852" t="s">
        <v>1874</v>
      </c>
      <c r="D669" s="852"/>
      <c r="E669" s="757">
        <v>6.83</v>
      </c>
      <c r="F669" s="799" t="s">
        <v>397</v>
      </c>
      <c r="G669" s="765">
        <v>20.5</v>
      </c>
      <c r="H669" s="783">
        <f t="shared" si="54"/>
        <v>19.165614963499998</v>
      </c>
      <c r="I669" s="783">
        <f t="shared" si="53"/>
        <v>130.90115020070499</v>
      </c>
      <c r="J669" s="843">
        <v>3.6</v>
      </c>
      <c r="K669" s="790">
        <f t="shared" si="55"/>
        <v>3.3656689692000001</v>
      </c>
      <c r="L669" s="799">
        <f t="shared" si="56"/>
        <v>22.987519059636</v>
      </c>
      <c r="M669" s="757">
        <f t="shared" si="57"/>
        <v>153.88866926034098</v>
      </c>
      <c r="N669" s="841"/>
      <c r="O669" s="663">
        <v>0.93490804699999996</v>
      </c>
    </row>
    <row r="670" spans="1:16" ht="18.95" customHeight="1">
      <c r="A670" s="853"/>
      <c r="B670" s="789" t="s">
        <v>273</v>
      </c>
      <c r="C670" s="852" t="s">
        <v>1744</v>
      </c>
      <c r="D670" s="852"/>
      <c r="E670" s="757">
        <v>106</v>
      </c>
      <c r="F670" s="799" t="s">
        <v>211</v>
      </c>
      <c r="G670" s="798">
        <v>28.02</v>
      </c>
      <c r="H670" s="783">
        <f t="shared" si="54"/>
        <v>26.196123476939999</v>
      </c>
      <c r="I670" s="783">
        <f t="shared" si="53"/>
        <v>2776.7890885556399</v>
      </c>
      <c r="J670" s="759">
        <v>30</v>
      </c>
      <c r="K670" s="790">
        <f t="shared" si="55"/>
        <v>28.047241409999998</v>
      </c>
      <c r="L670" s="799">
        <f t="shared" si="56"/>
        <v>2973.00758946</v>
      </c>
      <c r="M670" s="757">
        <f t="shared" si="57"/>
        <v>5749.7966780156403</v>
      </c>
      <c r="N670" s="841"/>
      <c r="O670" s="663">
        <v>0.93490804699999996</v>
      </c>
    </row>
    <row r="671" spans="1:16" ht="18.95" customHeight="1">
      <c r="A671" s="853"/>
      <c r="B671" s="789" t="s">
        <v>273</v>
      </c>
      <c r="C671" s="1170" t="s">
        <v>1745</v>
      </c>
      <c r="D671" s="852"/>
      <c r="E671" s="757">
        <v>106</v>
      </c>
      <c r="F671" s="799" t="s">
        <v>211</v>
      </c>
      <c r="G671" s="765">
        <v>32.32</v>
      </c>
      <c r="H671" s="783">
        <f t="shared" si="54"/>
        <v>30.21622807904</v>
      </c>
      <c r="I671" s="783">
        <f t="shared" si="53"/>
        <v>3202.9201763782398</v>
      </c>
      <c r="J671" s="843">
        <v>35</v>
      </c>
      <c r="K671" s="790">
        <f t="shared" si="55"/>
        <v>32.721781645</v>
      </c>
      <c r="L671" s="799">
        <f t="shared" si="56"/>
        <v>3468.5088543699999</v>
      </c>
      <c r="M671" s="757">
        <f t="shared" si="57"/>
        <v>6671.4290307482397</v>
      </c>
      <c r="N671" s="841"/>
      <c r="O671" s="663">
        <v>0.93490804699999996</v>
      </c>
      <c r="P671" s="725" t="s">
        <v>1689</v>
      </c>
    </row>
    <row r="672" spans="1:16" ht="18.95" customHeight="1">
      <c r="A672" s="853"/>
      <c r="B672" s="789" t="s">
        <v>273</v>
      </c>
      <c r="C672" s="1174" t="s">
        <v>1871</v>
      </c>
      <c r="D672" s="815"/>
      <c r="E672" s="757">
        <v>106</v>
      </c>
      <c r="F672" s="799" t="s">
        <v>211</v>
      </c>
      <c r="G672" s="798">
        <v>500</v>
      </c>
      <c r="H672" s="783">
        <f t="shared" si="54"/>
        <v>467.45402350000001</v>
      </c>
      <c r="I672" s="783">
        <f t="shared" si="53"/>
        <v>49550.126491000003</v>
      </c>
      <c r="J672" s="843">
        <v>200</v>
      </c>
      <c r="K672" s="790">
        <f t="shared" si="55"/>
        <v>186.9816094</v>
      </c>
      <c r="L672" s="799">
        <f t="shared" si="56"/>
        <v>19820.0505964</v>
      </c>
      <c r="M672" s="757">
        <f t="shared" si="57"/>
        <v>69370.177087400007</v>
      </c>
      <c r="N672" s="841"/>
      <c r="O672" s="663">
        <v>0.93490804699999996</v>
      </c>
    </row>
    <row r="673" spans="1:16" ht="18.95" customHeight="1">
      <c r="A673" s="767">
        <v>8.3000000000000007</v>
      </c>
      <c r="B673" s="786" t="s">
        <v>1875</v>
      </c>
      <c r="C673" s="852"/>
      <c r="D673" s="852"/>
      <c r="E673" s="766"/>
      <c r="F673" s="799"/>
      <c r="G673" s="765"/>
      <c r="H673" s="783"/>
      <c r="I673" s="783"/>
      <c r="J673" s="843"/>
      <c r="K673" s="790"/>
      <c r="L673" s="799"/>
      <c r="M673" s="757"/>
      <c r="N673" s="841"/>
      <c r="O673" s="663">
        <v>0.93490804699999996</v>
      </c>
    </row>
    <row r="674" spans="1:16" ht="18.95" customHeight="1">
      <c r="A674" s="853"/>
      <c r="B674" s="789" t="s">
        <v>273</v>
      </c>
      <c r="C674" s="852" t="s">
        <v>1876</v>
      </c>
      <c r="D674" s="852"/>
      <c r="E674" s="757">
        <v>1421</v>
      </c>
      <c r="F674" s="799" t="s">
        <v>397</v>
      </c>
      <c r="G674" s="798">
        <v>32</v>
      </c>
      <c r="H674" s="783">
        <f t="shared" si="54"/>
        <v>29.917057503999999</v>
      </c>
      <c r="I674" s="783">
        <f t="shared" si="53"/>
        <v>42512.138713184002</v>
      </c>
      <c r="J674" s="843">
        <v>14</v>
      </c>
      <c r="K674" s="790">
        <f t="shared" si="55"/>
        <v>13.088712657999999</v>
      </c>
      <c r="L674" s="799">
        <f t="shared" si="56"/>
        <v>18599.060687017998</v>
      </c>
      <c r="M674" s="757">
        <f t="shared" si="57"/>
        <v>61111.199400202</v>
      </c>
      <c r="N674" s="841"/>
      <c r="O674" s="663">
        <v>0.93490804699999996</v>
      </c>
    </row>
    <row r="675" spans="1:16" ht="18.95" customHeight="1">
      <c r="A675" s="853"/>
      <c r="B675" s="789" t="s">
        <v>273</v>
      </c>
      <c r="C675" s="852" t="s">
        <v>1877</v>
      </c>
      <c r="D675" s="852"/>
      <c r="E675" s="757">
        <v>1428</v>
      </c>
      <c r="F675" s="799" t="s">
        <v>397</v>
      </c>
      <c r="G675" s="798">
        <v>31.26</v>
      </c>
      <c r="H675" s="783">
        <f t="shared" si="54"/>
        <v>29.225225549219999</v>
      </c>
      <c r="I675" s="783">
        <f t="shared" si="53"/>
        <v>41733.622084286158</v>
      </c>
      <c r="J675" s="843">
        <v>14</v>
      </c>
      <c r="K675" s="790">
        <f t="shared" si="55"/>
        <v>13.088712657999999</v>
      </c>
      <c r="L675" s="799">
        <f t="shared" si="56"/>
        <v>18690.681675623997</v>
      </c>
      <c r="M675" s="757">
        <f t="shared" si="57"/>
        <v>60424.303759910152</v>
      </c>
      <c r="N675" s="841"/>
      <c r="O675" s="663">
        <v>0.93490804699999996</v>
      </c>
    </row>
    <row r="676" spans="1:16" ht="18.95" customHeight="1">
      <c r="A676" s="853"/>
      <c r="B676" s="789" t="s">
        <v>273</v>
      </c>
      <c r="C676" s="852" t="s">
        <v>1869</v>
      </c>
      <c r="D676" s="852"/>
      <c r="E676" s="757">
        <v>253</v>
      </c>
      <c r="F676" s="799" t="s">
        <v>397</v>
      </c>
      <c r="G676" s="798">
        <v>27.31</v>
      </c>
      <c r="H676" s="783">
        <f t="shared" si="54"/>
        <v>25.532338763569999</v>
      </c>
      <c r="I676" s="783">
        <f t="shared" si="53"/>
        <v>6459.6817071832102</v>
      </c>
      <c r="J676" s="843">
        <v>14</v>
      </c>
      <c r="K676" s="790">
        <f t="shared" si="55"/>
        <v>13.088712657999999</v>
      </c>
      <c r="L676" s="799">
        <f t="shared" si="56"/>
        <v>3311.4443024739999</v>
      </c>
      <c r="M676" s="757">
        <f t="shared" si="57"/>
        <v>9771.1260096572096</v>
      </c>
      <c r="N676" s="841"/>
      <c r="O676" s="663">
        <v>0.93490804699999996</v>
      </c>
    </row>
    <row r="677" spans="1:16" ht="18.95" customHeight="1">
      <c r="A677" s="853"/>
      <c r="B677" s="789" t="s">
        <v>273</v>
      </c>
      <c r="C677" s="852" t="s">
        <v>1878</v>
      </c>
      <c r="D677" s="852"/>
      <c r="E677" s="757">
        <v>80</v>
      </c>
      <c r="F677" s="799" t="s">
        <v>349</v>
      </c>
      <c r="G677" s="798">
        <v>134.49</v>
      </c>
      <c r="H677" s="783">
        <f t="shared" si="54"/>
        <v>125.73578324103001</v>
      </c>
      <c r="I677" s="783">
        <f t="shared" si="53"/>
        <v>10058.8626592824</v>
      </c>
      <c r="J677" s="843">
        <v>40.35</v>
      </c>
      <c r="K677" s="790">
        <f t="shared" si="55"/>
        <v>37.723539696449997</v>
      </c>
      <c r="L677" s="799">
        <f t="shared" si="56"/>
        <v>3017.8831757159996</v>
      </c>
      <c r="M677" s="757">
        <f t="shared" si="57"/>
        <v>13076.745834998401</v>
      </c>
      <c r="N677" s="841"/>
      <c r="O677" s="663">
        <v>0.93490804699999996</v>
      </c>
    </row>
    <row r="678" spans="1:16" ht="18.95" customHeight="1">
      <c r="A678" s="814"/>
      <c r="B678" s="789" t="s">
        <v>273</v>
      </c>
      <c r="C678" s="1174" t="s">
        <v>1744</v>
      </c>
      <c r="D678" s="815"/>
      <c r="E678" s="757">
        <v>111</v>
      </c>
      <c r="F678" s="799" t="s">
        <v>211</v>
      </c>
      <c r="G678" s="798">
        <v>28.02</v>
      </c>
      <c r="H678" s="783">
        <f t="shared" si="54"/>
        <v>26.196123476939999</v>
      </c>
      <c r="I678" s="783">
        <f t="shared" si="53"/>
        <v>2907.7697059403399</v>
      </c>
      <c r="J678" s="759">
        <v>30</v>
      </c>
      <c r="K678" s="790">
        <f t="shared" si="55"/>
        <v>28.047241409999998</v>
      </c>
      <c r="L678" s="799">
        <f t="shared" si="56"/>
        <v>3113.2437965099998</v>
      </c>
      <c r="M678" s="757">
        <f t="shared" si="57"/>
        <v>6021.0135024503397</v>
      </c>
      <c r="N678" s="837"/>
      <c r="O678" s="663">
        <v>0.93490804699999996</v>
      </c>
    </row>
    <row r="679" spans="1:16" ht="18.95" customHeight="1">
      <c r="A679" s="814"/>
      <c r="B679" s="789" t="s">
        <v>273</v>
      </c>
      <c r="C679" s="1170" t="s">
        <v>1745</v>
      </c>
      <c r="D679" s="852"/>
      <c r="E679" s="757">
        <v>111</v>
      </c>
      <c r="F679" s="799" t="s">
        <v>211</v>
      </c>
      <c r="G679" s="765">
        <v>32.32</v>
      </c>
      <c r="H679" s="783">
        <f t="shared" si="54"/>
        <v>30.21622807904</v>
      </c>
      <c r="I679" s="783">
        <f t="shared" si="53"/>
        <v>3354.0013167734401</v>
      </c>
      <c r="J679" s="843">
        <v>35</v>
      </c>
      <c r="K679" s="790">
        <f t="shared" si="55"/>
        <v>32.721781645</v>
      </c>
      <c r="L679" s="799">
        <f t="shared" si="56"/>
        <v>3632.1177625949999</v>
      </c>
      <c r="M679" s="757">
        <f t="shared" si="57"/>
        <v>6986.11907936844</v>
      </c>
      <c r="N679" s="837"/>
      <c r="O679" s="663">
        <v>0.93490804699999996</v>
      </c>
      <c r="P679" s="725" t="s">
        <v>1689</v>
      </c>
    </row>
    <row r="680" spans="1:16" ht="18.95" customHeight="1">
      <c r="A680" s="767">
        <v>8.4</v>
      </c>
      <c r="B680" s="786" t="s">
        <v>1879</v>
      </c>
      <c r="C680" s="852"/>
      <c r="D680" s="852"/>
      <c r="E680" s="766"/>
      <c r="F680" s="799"/>
      <c r="G680" s="765"/>
      <c r="H680" s="783"/>
      <c r="I680" s="783"/>
      <c r="J680" s="843"/>
      <c r="K680" s="790"/>
      <c r="L680" s="799"/>
      <c r="M680" s="757"/>
      <c r="N680" s="841"/>
      <c r="O680" s="663">
        <v>0.93490804699999996</v>
      </c>
    </row>
    <row r="681" spans="1:16" ht="18.95" customHeight="1">
      <c r="A681" s="853"/>
      <c r="B681" s="789" t="s">
        <v>273</v>
      </c>
      <c r="C681" s="852" t="s">
        <v>1880</v>
      </c>
      <c r="D681" s="852"/>
      <c r="E681" s="757">
        <v>1988</v>
      </c>
      <c r="F681" s="799" t="s">
        <v>397</v>
      </c>
      <c r="G681" s="798">
        <v>32</v>
      </c>
      <c r="H681" s="783">
        <f t="shared" si="54"/>
        <v>29.917057503999999</v>
      </c>
      <c r="I681" s="783">
        <f t="shared" si="53"/>
        <v>59475.110317952</v>
      </c>
      <c r="J681" s="843">
        <v>14</v>
      </c>
      <c r="K681" s="790">
        <f t="shared" si="55"/>
        <v>13.088712657999999</v>
      </c>
      <c r="L681" s="799">
        <f t="shared" si="56"/>
        <v>26020.360764103996</v>
      </c>
      <c r="M681" s="757">
        <f t="shared" si="57"/>
        <v>85495.471082055999</v>
      </c>
      <c r="N681" s="841"/>
      <c r="O681" s="663">
        <v>0.93490804699999996</v>
      </c>
    </row>
    <row r="682" spans="1:16" ht="18.95" customHeight="1">
      <c r="A682" s="853"/>
      <c r="B682" s="789" t="s">
        <v>273</v>
      </c>
      <c r="C682" s="852" t="s">
        <v>1881</v>
      </c>
      <c r="D682" s="852"/>
      <c r="E682" s="757">
        <v>362</v>
      </c>
      <c r="F682" s="799" t="s">
        <v>397</v>
      </c>
      <c r="G682" s="798">
        <v>28.09</v>
      </c>
      <c r="H682" s="783">
        <f t="shared" si="54"/>
        <v>26.261567040229998</v>
      </c>
      <c r="I682" s="783">
        <f t="shared" ref="I682:I745" si="58">H682*E682</f>
        <v>9506.6872685632588</v>
      </c>
      <c r="J682" s="843">
        <v>14</v>
      </c>
      <c r="K682" s="790">
        <f t="shared" si="55"/>
        <v>13.088712657999999</v>
      </c>
      <c r="L682" s="799">
        <f t="shared" si="56"/>
        <v>4738.1139821959996</v>
      </c>
      <c r="M682" s="757">
        <f t="shared" si="57"/>
        <v>14244.801250759258</v>
      </c>
      <c r="N682" s="841"/>
      <c r="O682" s="663">
        <v>0.93490804699999996</v>
      </c>
    </row>
    <row r="683" spans="1:16" ht="18.95" customHeight="1">
      <c r="A683" s="853"/>
      <c r="B683" s="789" t="s">
        <v>273</v>
      </c>
      <c r="C683" s="852" t="s">
        <v>1744</v>
      </c>
      <c r="D683" s="852"/>
      <c r="E683" s="757">
        <v>74</v>
      </c>
      <c r="F683" s="799" t="s">
        <v>211</v>
      </c>
      <c r="G683" s="798">
        <v>28.02</v>
      </c>
      <c r="H683" s="783">
        <f t="shared" si="54"/>
        <v>26.196123476939999</v>
      </c>
      <c r="I683" s="783">
        <f t="shared" si="58"/>
        <v>1938.5131372935598</v>
      </c>
      <c r="J683" s="759">
        <v>30</v>
      </c>
      <c r="K683" s="790">
        <f t="shared" si="55"/>
        <v>28.047241409999998</v>
      </c>
      <c r="L683" s="799">
        <f t="shared" si="56"/>
        <v>2075.49586434</v>
      </c>
      <c r="M683" s="757">
        <f t="shared" si="57"/>
        <v>4014.0090016335598</v>
      </c>
      <c r="N683" s="837"/>
      <c r="O683" s="663">
        <v>0.93490804699999996</v>
      </c>
    </row>
    <row r="684" spans="1:16" ht="18.95" customHeight="1">
      <c r="A684" s="814"/>
      <c r="B684" s="789" t="s">
        <v>273</v>
      </c>
      <c r="C684" s="1170" t="s">
        <v>1745</v>
      </c>
      <c r="D684" s="852"/>
      <c r="E684" s="757">
        <v>74</v>
      </c>
      <c r="F684" s="799" t="s">
        <v>211</v>
      </c>
      <c r="G684" s="765">
        <v>32.32</v>
      </c>
      <c r="H684" s="783">
        <f t="shared" si="54"/>
        <v>30.21622807904</v>
      </c>
      <c r="I684" s="783">
        <f t="shared" si="58"/>
        <v>2236.00087784896</v>
      </c>
      <c r="J684" s="843">
        <v>35</v>
      </c>
      <c r="K684" s="790">
        <f t="shared" si="55"/>
        <v>32.721781645</v>
      </c>
      <c r="L684" s="799">
        <f t="shared" si="56"/>
        <v>2421.4118417300001</v>
      </c>
      <c r="M684" s="757">
        <f t="shared" si="57"/>
        <v>4657.4127195789606</v>
      </c>
      <c r="N684" s="837"/>
      <c r="O684" s="663">
        <v>0.93490804699999996</v>
      </c>
      <c r="P684" s="725" t="s">
        <v>1689</v>
      </c>
    </row>
    <row r="685" spans="1:16" ht="18.95" customHeight="1">
      <c r="A685" s="814"/>
      <c r="B685" s="789" t="s">
        <v>273</v>
      </c>
      <c r="C685" s="1174" t="s">
        <v>1882</v>
      </c>
      <c r="D685" s="815"/>
      <c r="E685" s="757">
        <v>74</v>
      </c>
      <c r="F685" s="799" t="s">
        <v>211</v>
      </c>
      <c r="G685" s="798">
        <v>130</v>
      </c>
      <c r="H685" s="783">
        <f t="shared" si="54"/>
        <v>121.53804611</v>
      </c>
      <c r="I685" s="783">
        <f t="shared" si="58"/>
        <v>8993.8154121400003</v>
      </c>
      <c r="J685" s="843">
        <v>30</v>
      </c>
      <c r="K685" s="790">
        <f t="shared" si="55"/>
        <v>28.047241409999998</v>
      </c>
      <c r="L685" s="799">
        <f t="shared" si="56"/>
        <v>2075.49586434</v>
      </c>
      <c r="M685" s="757">
        <f t="shared" si="57"/>
        <v>11069.311276480001</v>
      </c>
      <c r="N685" s="837"/>
      <c r="O685" s="663">
        <v>0.93490804699999996</v>
      </c>
    </row>
    <row r="686" spans="1:16" ht="18.95" customHeight="1">
      <c r="A686" s="880">
        <v>8.5</v>
      </c>
      <c r="B686" s="786" t="s">
        <v>1883</v>
      </c>
      <c r="C686" s="852"/>
      <c r="D686" s="852"/>
      <c r="E686" s="766"/>
      <c r="F686" s="799"/>
      <c r="G686" s="765"/>
      <c r="H686" s="783"/>
      <c r="I686" s="783"/>
      <c r="J686" s="843"/>
      <c r="K686" s="790"/>
      <c r="L686" s="799"/>
      <c r="M686" s="757"/>
      <c r="N686" s="841"/>
      <c r="O686" s="663">
        <v>0.93490804699999996</v>
      </c>
    </row>
    <row r="687" spans="1:16" ht="18.95" customHeight="1">
      <c r="A687" s="853"/>
      <c r="B687" s="789" t="s">
        <v>273</v>
      </c>
      <c r="C687" s="852" t="s">
        <v>1820</v>
      </c>
      <c r="D687" s="852"/>
      <c r="E687" s="757">
        <v>2314</v>
      </c>
      <c r="F687" s="799" t="s">
        <v>397</v>
      </c>
      <c r="G687" s="798">
        <v>26.54</v>
      </c>
      <c r="H687" s="783">
        <f t="shared" si="54"/>
        <v>24.812459567379999</v>
      </c>
      <c r="I687" s="783">
        <f t="shared" si="58"/>
        <v>57416.031438917322</v>
      </c>
      <c r="J687" s="843">
        <v>14</v>
      </c>
      <c r="K687" s="790">
        <f t="shared" si="55"/>
        <v>13.088712657999999</v>
      </c>
      <c r="L687" s="799">
        <f t="shared" si="56"/>
        <v>30287.281090611996</v>
      </c>
      <c r="M687" s="757">
        <f t="shared" si="57"/>
        <v>87703.312529529314</v>
      </c>
      <c r="N687" s="837"/>
      <c r="O687" s="663">
        <v>0.93490804699999996</v>
      </c>
    </row>
    <row r="688" spans="1:16" ht="18.95" customHeight="1">
      <c r="A688" s="853"/>
      <c r="B688" s="789" t="s">
        <v>273</v>
      </c>
      <c r="C688" s="852" t="s">
        <v>1884</v>
      </c>
      <c r="D688" s="852"/>
      <c r="E688" s="757">
        <v>129</v>
      </c>
      <c r="F688" s="799" t="s">
        <v>397</v>
      </c>
      <c r="G688" s="798">
        <v>24.44</v>
      </c>
      <c r="H688" s="783">
        <f t="shared" si="54"/>
        <v>22.849152668679999</v>
      </c>
      <c r="I688" s="783">
        <f t="shared" si="58"/>
        <v>2947.5406942597197</v>
      </c>
      <c r="J688" s="843">
        <v>14</v>
      </c>
      <c r="K688" s="790">
        <f t="shared" si="55"/>
        <v>13.088712657999999</v>
      </c>
      <c r="L688" s="799">
        <f t="shared" si="56"/>
        <v>1688.4439328819999</v>
      </c>
      <c r="M688" s="757">
        <f t="shared" si="57"/>
        <v>4635.9846271417191</v>
      </c>
      <c r="N688" s="837"/>
      <c r="O688" s="663">
        <v>0.93490804699999996</v>
      </c>
    </row>
    <row r="689" spans="1:16" ht="18.75" customHeight="1">
      <c r="A689" s="814"/>
      <c r="B689" s="789" t="s">
        <v>273</v>
      </c>
      <c r="C689" s="1174" t="s">
        <v>1885</v>
      </c>
      <c r="D689" s="815"/>
      <c r="E689" s="757">
        <v>23</v>
      </c>
      <c r="F689" s="799" t="s">
        <v>349</v>
      </c>
      <c r="G689" s="798">
        <v>23</v>
      </c>
      <c r="H689" s="783">
        <f t="shared" si="54"/>
        <v>21.502885080999999</v>
      </c>
      <c r="I689" s="783">
        <f t="shared" si="58"/>
        <v>494.56635686299995</v>
      </c>
      <c r="J689" s="843">
        <v>14</v>
      </c>
      <c r="K689" s="790">
        <f t="shared" si="55"/>
        <v>13.088712657999999</v>
      </c>
      <c r="L689" s="799">
        <f t="shared" si="56"/>
        <v>301.04039113399995</v>
      </c>
      <c r="M689" s="757">
        <f t="shared" si="57"/>
        <v>795.60674799699996</v>
      </c>
      <c r="N689" s="837"/>
      <c r="O689" s="663">
        <v>0.93490804699999996</v>
      </c>
      <c r="P689" s="725" t="s">
        <v>1689</v>
      </c>
    </row>
    <row r="690" spans="1:16" ht="18.95" customHeight="1">
      <c r="A690" s="814"/>
      <c r="B690" s="789" t="s">
        <v>273</v>
      </c>
      <c r="C690" s="1174" t="s">
        <v>1744</v>
      </c>
      <c r="D690" s="815"/>
      <c r="E690" s="757">
        <v>105</v>
      </c>
      <c r="F690" s="799" t="s">
        <v>211</v>
      </c>
      <c r="G690" s="798">
        <v>28.02</v>
      </c>
      <c r="H690" s="783">
        <f t="shared" si="54"/>
        <v>26.196123476939999</v>
      </c>
      <c r="I690" s="783">
        <f t="shared" si="58"/>
        <v>2750.5929650786998</v>
      </c>
      <c r="J690" s="759">
        <v>30</v>
      </c>
      <c r="K690" s="790">
        <f t="shared" si="55"/>
        <v>28.047241409999998</v>
      </c>
      <c r="L690" s="799">
        <f t="shared" si="56"/>
        <v>2944.96034805</v>
      </c>
      <c r="M690" s="757">
        <f t="shared" si="57"/>
        <v>5695.5533131286993</v>
      </c>
      <c r="N690" s="837"/>
      <c r="O690" s="663">
        <v>0.93490804699999996</v>
      </c>
    </row>
    <row r="691" spans="1:16" ht="18.95" customHeight="1">
      <c r="A691" s="814"/>
      <c r="B691" s="789" t="s">
        <v>273</v>
      </c>
      <c r="C691" s="1170" t="s">
        <v>1745</v>
      </c>
      <c r="D691" s="852"/>
      <c r="E691" s="757">
        <v>105</v>
      </c>
      <c r="F691" s="799" t="s">
        <v>211</v>
      </c>
      <c r="G691" s="765">
        <v>32.32</v>
      </c>
      <c r="H691" s="783">
        <f t="shared" si="54"/>
        <v>30.21622807904</v>
      </c>
      <c r="I691" s="783">
        <f t="shared" si="58"/>
        <v>3172.7039482992</v>
      </c>
      <c r="J691" s="843">
        <v>35</v>
      </c>
      <c r="K691" s="790">
        <f t="shared" si="55"/>
        <v>32.721781645</v>
      </c>
      <c r="L691" s="799">
        <f t="shared" si="56"/>
        <v>3435.7870727250001</v>
      </c>
      <c r="M691" s="757">
        <f t="shared" si="57"/>
        <v>6608.4910210241997</v>
      </c>
      <c r="N691" s="837"/>
      <c r="O691" s="663">
        <v>0.93490804699999996</v>
      </c>
      <c r="P691" s="725" t="s">
        <v>1689</v>
      </c>
    </row>
    <row r="692" spans="1:16" ht="18.95" customHeight="1">
      <c r="A692" s="814">
        <v>8.6</v>
      </c>
      <c r="B692" s="786" t="s">
        <v>1886</v>
      </c>
      <c r="C692" s="809"/>
      <c r="D692" s="815"/>
      <c r="E692" s="790"/>
      <c r="F692" s="799"/>
      <c r="G692" s="798"/>
      <c r="H692" s="783"/>
      <c r="I692" s="783"/>
      <c r="J692" s="843"/>
      <c r="K692" s="790"/>
      <c r="L692" s="799"/>
      <c r="M692" s="757"/>
      <c r="N692" s="837"/>
      <c r="O692" s="663">
        <v>0.93490804699999996</v>
      </c>
    </row>
    <row r="693" spans="1:16" ht="18.95" customHeight="1">
      <c r="A693" s="814"/>
      <c r="B693" s="789" t="s">
        <v>273</v>
      </c>
      <c r="C693" s="1174" t="s">
        <v>1887</v>
      </c>
      <c r="D693" s="815"/>
      <c r="E693" s="757">
        <v>6263</v>
      </c>
      <c r="F693" s="799" t="s">
        <v>1888</v>
      </c>
      <c r="G693" s="798">
        <v>33.36</v>
      </c>
      <c r="H693" s="783">
        <f t="shared" si="54"/>
        <v>31.188532447919997</v>
      </c>
      <c r="I693" s="783">
        <f t="shared" si="58"/>
        <v>195333.77872132295</v>
      </c>
      <c r="J693" s="843">
        <v>14</v>
      </c>
      <c r="K693" s="790">
        <f t="shared" si="55"/>
        <v>13.088712657999999</v>
      </c>
      <c r="L693" s="799">
        <f t="shared" si="56"/>
        <v>81974.607377053995</v>
      </c>
      <c r="M693" s="757">
        <f t="shared" si="57"/>
        <v>277308.38609837694</v>
      </c>
      <c r="N693" s="837"/>
      <c r="O693" s="663">
        <v>0.93490804699999996</v>
      </c>
    </row>
    <row r="694" spans="1:16" ht="18.95" customHeight="1">
      <c r="A694" s="814"/>
      <c r="B694" s="789" t="s">
        <v>273</v>
      </c>
      <c r="C694" s="1174" t="s">
        <v>1889</v>
      </c>
      <c r="D694" s="815"/>
      <c r="E694" s="757">
        <v>5689</v>
      </c>
      <c r="F694" s="799" t="s">
        <v>1888</v>
      </c>
      <c r="G694" s="798">
        <v>31.66</v>
      </c>
      <c r="H694" s="783">
        <f t="shared" si="54"/>
        <v>29.599188768019999</v>
      </c>
      <c r="I694" s="783">
        <f t="shared" si="58"/>
        <v>168389.78490126578</v>
      </c>
      <c r="J694" s="843">
        <v>14</v>
      </c>
      <c r="K694" s="790">
        <f t="shared" si="55"/>
        <v>13.088712657999999</v>
      </c>
      <c r="L694" s="799">
        <f t="shared" si="56"/>
        <v>74461.686311361991</v>
      </c>
      <c r="M694" s="757">
        <f t="shared" si="57"/>
        <v>242851.47121262777</v>
      </c>
      <c r="N694" s="837"/>
      <c r="O694" s="663">
        <v>0.93490804699999996</v>
      </c>
    </row>
    <row r="695" spans="1:16" ht="18.95" customHeight="1">
      <c r="A695" s="814"/>
      <c r="B695" s="789" t="s">
        <v>273</v>
      </c>
      <c r="C695" s="1174" t="s">
        <v>1890</v>
      </c>
      <c r="D695" s="815"/>
      <c r="E695" s="757">
        <v>1143</v>
      </c>
      <c r="F695" s="799" t="s">
        <v>1888</v>
      </c>
      <c r="G695" s="798">
        <v>31.66</v>
      </c>
      <c r="H695" s="783">
        <f t="shared" si="54"/>
        <v>29.599188768019999</v>
      </c>
      <c r="I695" s="783">
        <f t="shared" si="58"/>
        <v>33831.872761846862</v>
      </c>
      <c r="J695" s="843">
        <v>14</v>
      </c>
      <c r="K695" s="790">
        <f t="shared" si="55"/>
        <v>13.088712657999999</v>
      </c>
      <c r="L695" s="799">
        <f t="shared" si="56"/>
        <v>14960.398568093999</v>
      </c>
      <c r="M695" s="757">
        <f t="shared" si="57"/>
        <v>48792.271329940864</v>
      </c>
      <c r="N695" s="837"/>
      <c r="O695" s="663">
        <v>0.93490804699999996</v>
      </c>
    </row>
    <row r="696" spans="1:16" ht="18.95" customHeight="1">
      <c r="A696" s="814"/>
      <c r="B696" s="789" t="s">
        <v>273</v>
      </c>
      <c r="C696" s="1174" t="s">
        <v>1891</v>
      </c>
      <c r="D696" s="815"/>
      <c r="E696" s="757">
        <v>120</v>
      </c>
      <c r="F696" s="799" t="s">
        <v>1888</v>
      </c>
      <c r="G696" s="798">
        <v>26.75</v>
      </c>
      <c r="H696" s="783">
        <f t="shared" si="54"/>
        <v>25.008790257249998</v>
      </c>
      <c r="I696" s="783">
        <f t="shared" si="58"/>
        <v>3001.0548308699999</v>
      </c>
      <c r="J696" s="843">
        <v>14</v>
      </c>
      <c r="K696" s="790">
        <f t="shared" si="55"/>
        <v>13.088712657999999</v>
      </c>
      <c r="L696" s="799">
        <f t="shared" si="56"/>
        <v>1570.6455189599999</v>
      </c>
      <c r="M696" s="757">
        <f t="shared" si="57"/>
        <v>4571.7003498300001</v>
      </c>
      <c r="N696" s="837"/>
      <c r="O696" s="663">
        <v>0.93490804699999996</v>
      </c>
    </row>
    <row r="697" spans="1:16" ht="18.95" customHeight="1">
      <c r="A697" s="814"/>
      <c r="B697" s="789" t="s">
        <v>273</v>
      </c>
      <c r="C697" s="1174" t="s">
        <v>1892</v>
      </c>
      <c r="D697" s="815"/>
      <c r="E697" s="757">
        <v>94050</v>
      </c>
      <c r="F697" s="799" t="s">
        <v>1888</v>
      </c>
      <c r="G697" s="798">
        <v>27.68</v>
      </c>
      <c r="H697" s="783">
        <f t="shared" si="54"/>
        <v>25.878254740959999</v>
      </c>
      <c r="I697" s="783">
        <f t="shared" si="58"/>
        <v>2433849.8583872877</v>
      </c>
      <c r="J697" s="843">
        <v>14</v>
      </c>
      <c r="K697" s="790">
        <f t="shared" si="55"/>
        <v>13.088712657999999</v>
      </c>
      <c r="L697" s="799">
        <f t="shared" si="56"/>
        <v>1230993.4254848999</v>
      </c>
      <c r="M697" s="757">
        <f t="shared" si="57"/>
        <v>3664843.2838721876</v>
      </c>
      <c r="N697" s="837"/>
      <c r="O697" s="663">
        <v>0.93490804699999996</v>
      </c>
    </row>
    <row r="698" spans="1:16" ht="18.95" customHeight="1">
      <c r="A698" s="814"/>
      <c r="B698" s="789" t="s">
        <v>273</v>
      </c>
      <c r="C698" s="1174" t="s">
        <v>1893</v>
      </c>
      <c r="D698" s="815"/>
      <c r="E698" s="757">
        <v>2390</v>
      </c>
      <c r="F698" s="799" t="s">
        <v>1888</v>
      </c>
      <c r="G698" s="798">
        <v>27.68</v>
      </c>
      <c r="H698" s="783">
        <f t="shared" si="54"/>
        <v>25.878254740959999</v>
      </c>
      <c r="I698" s="783">
        <f t="shared" si="58"/>
        <v>61849.0288308944</v>
      </c>
      <c r="J698" s="843">
        <v>14</v>
      </c>
      <c r="K698" s="790">
        <f t="shared" si="55"/>
        <v>13.088712657999999</v>
      </c>
      <c r="L698" s="799">
        <f t="shared" si="56"/>
        <v>31282.023252619998</v>
      </c>
      <c r="M698" s="757">
        <f t="shared" si="57"/>
        <v>93131.052083514398</v>
      </c>
      <c r="N698" s="837"/>
      <c r="O698" s="663">
        <v>0.93490804699999996</v>
      </c>
    </row>
    <row r="699" spans="1:16" ht="18.95" customHeight="1">
      <c r="A699" s="814"/>
      <c r="B699" s="789" t="s">
        <v>273</v>
      </c>
      <c r="C699" s="1174" t="s">
        <v>1894</v>
      </c>
      <c r="D699" s="815"/>
      <c r="E699" s="757">
        <v>11988</v>
      </c>
      <c r="F699" s="799" t="s">
        <v>1888</v>
      </c>
      <c r="G699" s="798">
        <v>26.65</v>
      </c>
      <c r="H699" s="783">
        <f t="shared" si="54"/>
        <v>24.915299452549998</v>
      </c>
      <c r="I699" s="783">
        <f t="shared" si="58"/>
        <v>298684.60983716941</v>
      </c>
      <c r="J699" s="843">
        <v>14</v>
      </c>
      <c r="K699" s="790">
        <f t="shared" si="55"/>
        <v>13.088712657999999</v>
      </c>
      <c r="L699" s="799">
        <f t="shared" si="56"/>
        <v>156907.48734410398</v>
      </c>
      <c r="M699" s="757">
        <f t="shared" si="57"/>
        <v>455592.09718127339</v>
      </c>
      <c r="N699" s="837"/>
      <c r="O699" s="663">
        <v>0.93490804699999996</v>
      </c>
    </row>
    <row r="700" spans="1:16" ht="18.95" customHeight="1">
      <c r="A700" s="814"/>
      <c r="B700" s="789" t="s">
        <v>273</v>
      </c>
      <c r="C700" s="1174" t="s">
        <v>1895</v>
      </c>
      <c r="D700" s="815"/>
      <c r="E700" s="757">
        <v>2866</v>
      </c>
      <c r="F700" s="799" t="s">
        <v>1888</v>
      </c>
      <c r="G700" s="798">
        <v>26.54</v>
      </c>
      <c r="H700" s="783">
        <f t="shared" si="54"/>
        <v>24.812459567379999</v>
      </c>
      <c r="I700" s="783">
        <f t="shared" si="58"/>
        <v>71112.509120111077</v>
      </c>
      <c r="J700" s="843">
        <v>14</v>
      </c>
      <c r="K700" s="790">
        <f t="shared" si="55"/>
        <v>13.088712657999999</v>
      </c>
      <c r="L700" s="799">
        <f t="shared" si="56"/>
        <v>37512.250477827998</v>
      </c>
      <c r="M700" s="757">
        <f t="shared" si="57"/>
        <v>108624.75959793908</v>
      </c>
      <c r="N700" s="837"/>
      <c r="O700" s="663">
        <v>0.93490804699999996</v>
      </c>
    </row>
    <row r="701" spans="1:16" ht="18.95" customHeight="1">
      <c r="A701" s="814"/>
      <c r="B701" s="789" t="s">
        <v>273</v>
      </c>
      <c r="C701" s="1174" t="s">
        <v>1896</v>
      </c>
      <c r="D701" s="815"/>
      <c r="E701" s="757">
        <v>51139</v>
      </c>
      <c r="F701" s="799" t="s">
        <v>1888</v>
      </c>
      <c r="G701" s="798">
        <v>32.79</v>
      </c>
      <c r="H701" s="783">
        <f t="shared" ref="H701:H764" si="59">G701*O701</f>
        <v>30.655634861129997</v>
      </c>
      <c r="I701" s="783">
        <f t="shared" si="58"/>
        <v>1567698.5111633269</v>
      </c>
      <c r="J701" s="843">
        <v>14</v>
      </c>
      <c r="K701" s="790">
        <f t="shared" si="55"/>
        <v>13.088712657999999</v>
      </c>
      <c r="L701" s="799">
        <f t="shared" si="56"/>
        <v>669343.67661746196</v>
      </c>
      <c r="M701" s="757">
        <f t="shared" si="57"/>
        <v>2237042.1877807891</v>
      </c>
      <c r="N701" s="837"/>
      <c r="O701" s="663">
        <v>0.93490804699999996</v>
      </c>
    </row>
    <row r="702" spans="1:16" ht="18.95" customHeight="1">
      <c r="A702" s="814"/>
      <c r="B702" s="789" t="s">
        <v>273</v>
      </c>
      <c r="C702" s="1174" t="s">
        <v>1897</v>
      </c>
      <c r="D702" s="815"/>
      <c r="E702" s="757">
        <v>13862</v>
      </c>
      <c r="F702" s="799" t="s">
        <v>1888</v>
      </c>
      <c r="G702" s="798">
        <v>23.34</v>
      </c>
      <c r="H702" s="783">
        <f t="shared" si="59"/>
        <v>21.820753816979998</v>
      </c>
      <c r="I702" s="783">
        <f t="shared" si="58"/>
        <v>302479.28941097675</v>
      </c>
      <c r="J702" s="843">
        <v>14</v>
      </c>
      <c r="K702" s="790">
        <f t="shared" ref="K702:K765" si="60">J702*O702</f>
        <v>13.088712657999999</v>
      </c>
      <c r="L702" s="799">
        <f t="shared" ref="L702:L765" si="61">K702*E702</f>
        <v>181435.73486519599</v>
      </c>
      <c r="M702" s="757">
        <f t="shared" si="57"/>
        <v>483915.02427617274</v>
      </c>
      <c r="N702" s="837"/>
      <c r="O702" s="663">
        <v>0.93490804699999996</v>
      </c>
      <c r="P702" s="725" t="s">
        <v>1689</v>
      </c>
    </row>
    <row r="703" spans="1:16" ht="18.95" customHeight="1">
      <c r="A703" s="814"/>
      <c r="B703" s="789" t="s">
        <v>273</v>
      </c>
      <c r="C703" s="1174" t="s">
        <v>1898</v>
      </c>
      <c r="D703" s="815"/>
      <c r="E703" s="757">
        <v>9580</v>
      </c>
      <c r="F703" s="799" t="s">
        <v>1888</v>
      </c>
      <c r="G703" s="798">
        <v>26.73</v>
      </c>
      <c r="H703" s="783">
        <f t="shared" si="59"/>
        <v>24.990092096310001</v>
      </c>
      <c r="I703" s="783">
        <f t="shared" si="58"/>
        <v>239405.08228264982</v>
      </c>
      <c r="J703" s="843">
        <v>14</v>
      </c>
      <c r="K703" s="790">
        <f t="shared" si="60"/>
        <v>13.088712657999999</v>
      </c>
      <c r="L703" s="799">
        <f t="shared" si="61"/>
        <v>125389.86726363999</v>
      </c>
      <c r="M703" s="757">
        <f t="shared" si="57"/>
        <v>364794.9495462898</v>
      </c>
      <c r="N703" s="837"/>
      <c r="O703" s="663">
        <v>0.93490804699999996</v>
      </c>
    </row>
    <row r="704" spans="1:16" ht="18.95" customHeight="1">
      <c r="A704" s="814"/>
      <c r="B704" s="789" t="s">
        <v>273</v>
      </c>
      <c r="C704" s="1174" t="s">
        <v>1899</v>
      </c>
      <c r="D704" s="815"/>
      <c r="E704" s="757">
        <v>288</v>
      </c>
      <c r="F704" s="799" t="s">
        <v>1888</v>
      </c>
      <c r="G704" s="798">
        <v>22.85</v>
      </c>
      <c r="H704" s="783">
        <f t="shared" si="59"/>
        <v>21.36264887395</v>
      </c>
      <c r="I704" s="783">
        <f t="shared" si="58"/>
        <v>6152.4428756976004</v>
      </c>
      <c r="J704" s="843">
        <v>14</v>
      </c>
      <c r="K704" s="790">
        <f t="shared" si="60"/>
        <v>13.088712657999999</v>
      </c>
      <c r="L704" s="799">
        <f t="shared" si="61"/>
        <v>3769.5492455039994</v>
      </c>
      <c r="M704" s="757">
        <f t="shared" si="57"/>
        <v>9921.9921212015997</v>
      </c>
      <c r="N704" s="837"/>
      <c r="O704" s="663">
        <v>0.93490804699999996</v>
      </c>
    </row>
    <row r="705" spans="1:16" ht="18.95" customHeight="1">
      <c r="A705" s="814"/>
      <c r="B705" s="789" t="s">
        <v>273</v>
      </c>
      <c r="C705" s="1174" t="s">
        <v>1869</v>
      </c>
      <c r="D705" s="815"/>
      <c r="E705" s="757">
        <v>7845</v>
      </c>
      <c r="F705" s="799" t="s">
        <v>1888</v>
      </c>
      <c r="G705" s="798">
        <v>27.2</v>
      </c>
      <c r="H705" s="783">
        <f t="shared" si="59"/>
        <v>25.429498878399997</v>
      </c>
      <c r="I705" s="783">
        <f t="shared" si="58"/>
        <v>199494.41870104798</v>
      </c>
      <c r="J705" s="843">
        <v>14</v>
      </c>
      <c r="K705" s="790">
        <f t="shared" si="60"/>
        <v>13.088712657999999</v>
      </c>
      <c r="L705" s="799">
        <f t="shared" si="61"/>
        <v>102680.95080200999</v>
      </c>
      <c r="M705" s="757">
        <f t="shared" si="57"/>
        <v>302175.36950305797</v>
      </c>
      <c r="N705" s="837"/>
      <c r="O705" s="663">
        <v>0.93490804699999996</v>
      </c>
    </row>
    <row r="706" spans="1:16" ht="18.95" customHeight="1">
      <c r="A706" s="814"/>
      <c r="B706" s="789" t="s">
        <v>273</v>
      </c>
      <c r="C706" s="1174" t="s">
        <v>1900</v>
      </c>
      <c r="D706" s="815"/>
      <c r="E706" s="757">
        <v>1368</v>
      </c>
      <c r="F706" s="799" t="s">
        <v>349</v>
      </c>
      <c r="G706" s="798">
        <v>134.49</v>
      </c>
      <c r="H706" s="783">
        <f t="shared" si="59"/>
        <v>125.73578324103001</v>
      </c>
      <c r="I706" s="783">
        <f t="shared" si="58"/>
        <v>172006.55147372905</v>
      </c>
      <c r="J706" s="843">
        <v>40.35</v>
      </c>
      <c r="K706" s="790">
        <f t="shared" si="60"/>
        <v>37.723539696449997</v>
      </c>
      <c r="L706" s="799">
        <f t="shared" si="61"/>
        <v>51605.802304743593</v>
      </c>
      <c r="M706" s="757">
        <f t="shared" si="57"/>
        <v>223612.35377847264</v>
      </c>
      <c r="N706" s="837"/>
      <c r="O706" s="663">
        <v>0.93490804699999996</v>
      </c>
    </row>
    <row r="707" spans="1:16" ht="18.95" customHeight="1">
      <c r="A707" s="814"/>
      <c r="B707" s="789" t="s">
        <v>273</v>
      </c>
      <c r="C707" s="1174" t="s">
        <v>1870</v>
      </c>
      <c r="D707" s="815"/>
      <c r="E707" s="757">
        <v>640</v>
      </c>
      <c r="F707" s="799" t="s">
        <v>349</v>
      </c>
      <c r="G707" s="798">
        <v>175</v>
      </c>
      <c r="H707" s="783">
        <f t="shared" si="59"/>
        <v>163.60890822499999</v>
      </c>
      <c r="I707" s="783">
        <f t="shared" si="58"/>
        <v>104709.701264</v>
      </c>
      <c r="J707" s="843">
        <v>52.5</v>
      </c>
      <c r="K707" s="790">
        <f t="shared" si="60"/>
        <v>49.082672467499997</v>
      </c>
      <c r="L707" s="799">
        <f t="shared" si="61"/>
        <v>31412.910379199999</v>
      </c>
      <c r="M707" s="757">
        <f t="shared" si="57"/>
        <v>136122.61164320001</v>
      </c>
      <c r="N707" s="837"/>
      <c r="O707" s="663">
        <v>0.93490804699999996</v>
      </c>
    </row>
    <row r="708" spans="1:16" ht="18.95" customHeight="1">
      <c r="A708" s="814"/>
      <c r="B708" s="789" t="s">
        <v>273</v>
      </c>
      <c r="C708" s="1174" t="s">
        <v>1901</v>
      </c>
      <c r="D708" s="815"/>
      <c r="E708" s="757">
        <v>270</v>
      </c>
      <c r="F708" s="799" t="s">
        <v>349</v>
      </c>
      <c r="G708" s="798">
        <v>227</v>
      </c>
      <c r="H708" s="783">
        <f t="shared" si="59"/>
        <v>212.22412666899999</v>
      </c>
      <c r="I708" s="783">
        <f t="shared" si="58"/>
        <v>57300.514200629994</v>
      </c>
      <c r="J708" s="843">
        <v>68.099999999999994</v>
      </c>
      <c r="K708" s="790">
        <f t="shared" si="60"/>
        <v>63.667238000699989</v>
      </c>
      <c r="L708" s="799">
        <f t="shared" si="61"/>
        <v>17190.154260188996</v>
      </c>
      <c r="M708" s="757">
        <f t="shared" si="57"/>
        <v>74490.668460818997</v>
      </c>
      <c r="N708" s="837"/>
      <c r="O708" s="663">
        <v>0.93490804699999996</v>
      </c>
    </row>
    <row r="709" spans="1:16" ht="18.95" customHeight="1">
      <c r="A709" s="814"/>
      <c r="B709" s="789" t="s">
        <v>273</v>
      </c>
      <c r="C709" s="1174" t="s">
        <v>1902</v>
      </c>
      <c r="D709" s="815"/>
      <c r="E709" s="757">
        <v>168.11</v>
      </c>
      <c r="F709" s="799" t="s">
        <v>1888</v>
      </c>
      <c r="G709" s="765">
        <v>20.7</v>
      </c>
      <c r="H709" s="783">
        <f t="shared" si="59"/>
        <v>19.352596572899998</v>
      </c>
      <c r="I709" s="783">
        <f t="shared" si="58"/>
        <v>3253.3650098702187</v>
      </c>
      <c r="J709" s="843">
        <v>3.6</v>
      </c>
      <c r="K709" s="790">
        <f t="shared" si="60"/>
        <v>3.3656689692000001</v>
      </c>
      <c r="L709" s="799">
        <f t="shared" si="61"/>
        <v>565.80261041221206</v>
      </c>
      <c r="M709" s="757">
        <f t="shared" si="57"/>
        <v>3819.167620282431</v>
      </c>
      <c r="N709" s="837"/>
      <c r="O709" s="663">
        <v>0.93490804699999996</v>
      </c>
    </row>
    <row r="710" spans="1:16" ht="18.95" customHeight="1">
      <c r="A710" s="814"/>
      <c r="B710" s="789" t="s">
        <v>273</v>
      </c>
      <c r="C710" s="1174" t="s">
        <v>1744</v>
      </c>
      <c r="D710" s="815"/>
      <c r="E710" s="757">
        <v>4974</v>
      </c>
      <c r="F710" s="799" t="s">
        <v>211</v>
      </c>
      <c r="G710" s="798">
        <v>28.02</v>
      </c>
      <c r="H710" s="783">
        <f t="shared" si="59"/>
        <v>26.196123476939999</v>
      </c>
      <c r="I710" s="783">
        <f t="shared" si="58"/>
        <v>130299.51817429955</v>
      </c>
      <c r="J710" s="759">
        <v>30</v>
      </c>
      <c r="K710" s="790">
        <f t="shared" si="60"/>
        <v>28.047241409999998</v>
      </c>
      <c r="L710" s="799">
        <f t="shared" si="61"/>
        <v>139506.97877334</v>
      </c>
      <c r="M710" s="757">
        <f t="shared" si="57"/>
        <v>269806.49694763956</v>
      </c>
      <c r="N710" s="837"/>
      <c r="O710" s="663">
        <v>0.93490804699999996</v>
      </c>
    </row>
    <row r="711" spans="1:16" ht="18.95" customHeight="1">
      <c r="A711" s="814"/>
      <c r="B711" s="789" t="s">
        <v>273</v>
      </c>
      <c r="C711" s="1174" t="s">
        <v>1745</v>
      </c>
      <c r="D711" s="815"/>
      <c r="E711" s="757">
        <v>4974</v>
      </c>
      <c r="F711" s="799" t="s">
        <v>211</v>
      </c>
      <c r="G711" s="798">
        <v>32.32</v>
      </c>
      <c r="H711" s="783">
        <f t="shared" si="59"/>
        <v>30.21622807904</v>
      </c>
      <c r="I711" s="783">
        <f t="shared" si="58"/>
        <v>150295.51846514497</v>
      </c>
      <c r="J711" s="843">
        <v>35</v>
      </c>
      <c r="K711" s="790">
        <f t="shared" si="60"/>
        <v>32.721781645</v>
      </c>
      <c r="L711" s="799">
        <f t="shared" si="61"/>
        <v>162758.14190223001</v>
      </c>
      <c r="M711" s="757">
        <f t="shared" si="57"/>
        <v>313053.66036737501</v>
      </c>
      <c r="N711" s="837"/>
      <c r="O711" s="663">
        <v>0.93490804699999996</v>
      </c>
      <c r="P711" s="725" t="s">
        <v>1689</v>
      </c>
    </row>
    <row r="712" spans="1:16" ht="18.95" customHeight="1">
      <c r="A712" s="814"/>
      <c r="B712" s="789" t="s">
        <v>273</v>
      </c>
      <c r="C712" s="1174" t="s">
        <v>1882</v>
      </c>
      <c r="D712" s="815"/>
      <c r="E712" s="757">
        <v>1497</v>
      </c>
      <c r="F712" s="799" t="s">
        <v>211</v>
      </c>
      <c r="G712" s="798">
        <v>130</v>
      </c>
      <c r="H712" s="783">
        <f t="shared" si="59"/>
        <v>121.53804611</v>
      </c>
      <c r="I712" s="783">
        <f t="shared" si="58"/>
        <v>181942.45502666998</v>
      </c>
      <c r="J712" s="843">
        <v>30</v>
      </c>
      <c r="K712" s="790">
        <f t="shared" si="60"/>
        <v>28.047241409999998</v>
      </c>
      <c r="L712" s="799">
        <f t="shared" si="61"/>
        <v>41986.720390769995</v>
      </c>
      <c r="M712" s="757">
        <f t="shared" si="57"/>
        <v>223929.17541743998</v>
      </c>
      <c r="N712" s="837"/>
      <c r="O712" s="663">
        <v>0.93490804699999996</v>
      </c>
    </row>
    <row r="713" spans="1:16" ht="18.95" customHeight="1">
      <c r="A713" s="814"/>
      <c r="B713" s="789" t="s">
        <v>273</v>
      </c>
      <c r="C713" s="1174" t="s">
        <v>1871</v>
      </c>
      <c r="D713" s="815"/>
      <c r="E713" s="757">
        <v>3477</v>
      </c>
      <c r="F713" s="799" t="s">
        <v>211</v>
      </c>
      <c r="G713" s="798">
        <v>500</v>
      </c>
      <c r="H713" s="783">
        <f t="shared" si="59"/>
        <v>467.45402350000001</v>
      </c>
      <c r="I713" s="783">
        <f t="shared" si="58"/>
        <v>1625337.6397095001</v>
      </c>
      <c r="J713" s="843">
        <v>200</v>
      </c>
      <c r="K713" s="790">
        <f t="shared" si="60"/>
        <v>186.9816094</v>
      </c>
      <c r="L713" s="799">
        <f t="shared" si="61"/>
        <v>650135.05588380003</v>
      </c>
      <c r="M713" s="757">
        <f t="shared" si="57"/>
        <v>2275472.6955933003</v>
      </c>
      <c r="N713" s="837"/>
      <c r="O713" s="663">
        <v>0.93490804699999996</v>
      </c>
    </row>
    <row r="714" spans="1:16" s="724" customFormat="1" ht="18.95" customHeight="1">
      <c r="A714" s="791"/>
      <c r="B714" s="1336" t="s">
        <v>1903</v>
      </c>
      <c r="C714" s="1337"/>
      <c r="D714" s="1338"/>
      <c r="E714" s="792"/>
      <c r="F714" s="793"/>
      <c r="G714" s="794"/>
      <c r="H714" s="864"/>
      <c r="I714" s="864"/>
      <c r="J714" s="844"/>
      <c r="K714" s="873"/>
      <c r="L714" s="845"/>
      <c r="M714" s="846">
        <f>SUM(M651:M713)</f>
        <v>13721188.409676917</v>
      </c>
      <c r="N714" s="847"/>
      <c r="O714" s="848">
        <v>0.93490804699999996</v>
      </c>
    </row>
    <row r="715" spans="1:16" ht="18.95" customHeight="1">
      <c r="A715" s="881"/>
      <c r="B715" s="882"/>
      <c r="C715" s="883"/>
      <c r="D715" s="884"/>
      <c r="E715" s="757"/>
      <c r="F715" s="758"/>
      <c r="G715" s="759"/>
      <c r="H715" s="783"/>
      <c r="I715" s="783"/>
      <c r="J715" s="759"/>
      <c r="K715" s="790"/>
      <c r="L715" s="799"/>
      <c r="M715" s="766"/>
      <c r="N715" s="837"/>
      <c r="O715" s="663">
        <v>0.93490804699999996</v>
      </c>
    </row>
    <row r="716" spans="1:16" ht="18.95" customHeight="1">
      <c r="A716" s="856">
        <v>9</v>
      </c>
      <c r="B716" s="1169" t="s">
        <v>1665</v>
      </c>
      <c r="C716" s="801"/>
      <c r="D716" s="815"/>
      <c r="E716" s="854"/>
      <c r="F716" s="857"/>
      <c r="G716" s="843"/>
      <c r="H716" s="783"/>
      <c r="I716" s="783"/>
      <c r="J716" s="843"/>
      <c r="K716" s="790"/>
      <c r="L716" s="799"/>
      <c r="M716" s="757"/>
      <c r="N716" s="837"/>
      <c r="O716" s="663">
        <v>0.93490804699999996</v>
      </c>
    </row>
    <row r="717" spans="1:16" ht="18.95" customHeight="1">
      <c r="A717" s="1172" t="s">
        <v>1904</v>
      </c>
      <c r="B717" s="1169" t="s">
        <v>1905</v>
      </c>
      <c r="C717" s="801"/>
      <c r="D717" s="815"/>
      <c r="E717" s="854"/>
      <c r="F717" s="857"/>
      <c r="G717" s="843"/>
      <c r="H717" s="783"/>
      <c r="I717" s="783"/>
      <c r="J717" s="843"/>
      <c r="K717" s="790"/>
      <c r="L717" s="799"/>
      <c r="M717" s="757"/>
      <c r="N717" s="837"/>
      <c r="O717" s="663">
        <v>0.93490804699999996</v>
      </c>
    </row>
    <row r="718" spans="1:16" ht="18.95" customHeight="1">
      <c r="A718" s="814"/>
      <c r="B718" s="786" t="s">
        <v>1687</v>
      </c>
      <c r="C718" s="809"/>
      <c r="D718" s="815"/>
      <c r="E718" s="790"/>
      <c r="F718" s="799"/>
      <c r="G718" s="798"/>
      <c r="H718" s="783"/>
      <c r="I718" s="783"/>
      <c r="J718" s="843"/>
      <c r="K718" s="790"/>
      <c r="L718" s="799"/>
      <c r="M718" s="757"/>
      <c r="N718" s="841"/>
      <c r="O718" s="663">
        <v>0.93490804699999996</v>
      </c>
    </row>
    <row r="719" spans="1:16" ht="18.95" customHeight="1">
      <c r="A719" s="851"/>
      <c r="B719" s="789" t="s">
        <v>273</v>
      </c>
      <c r="C719" s="1170" t="s">
        <v>1720</v>
      </c>
      <c r="D719" s="852"/>
      <c r="E719" s="757">
        <v>514</v>
      </c>
      <c r="F719" s="799" t="s">
        <v>397</v>
      </c>
      <c r="G719" s="765">
        <v>19.600000000000001</v>
      </c>
      <c r="H719" s="783">
        <f t="shared" si="59"/>
        <v>18.324197721200001</v>
      </c>
      <c r="I719" s="783">
        <f t="shared" si="58"/>
        <v>9418.6376286968007</v>
      </c>
      <c r="J719" s="843">
        <v>4.4000000000000004</v>
      </c>
      <c r="K719" s="790">
        <f t="shared" si="60"/>
        <v>4.1135954068</v>
      </c>
      <c r="L719" s="799">
        <f t="shared" si="61"/>
        <v>2114.3880390951999</v>
      </c>
      <c r="M719" s="757">
        <f>L719+I719</f>
        <v>11533.025667792001</v>
      </c>
      <c r="N719" s="837"/>
      <c r="O719" s="663">
        <v>0.93490804699999996</v>
      </c>
      <c r="P719" s="725" t="s">
        <v>1689</v>
      </c>
    </row>
    <row r="720" spans="1:16" ht="18.95" customHeight="1">
      <c r="A720" s="851"/>
      <c r="B720" s="789" t="s">
        <v>273</v>
      </c>
      <c r="C720" s="1170" t="s">
        <v>1688</v>
      </c>
      <c r="D720" s="852"/>
      <c r="E720" s="757">
        <v>867</v>
      </c>
      <c r="F720" s="799" t="s">
        <v>397</v>
      </c>
      <c r="G720" s="765">
        <v>19.45</v>
      </c>
      <c r="H720" s="783">
        <f t="shared" si="59"/>
        <v>18.183961514149999</v>
      </c>
      <c r="I720" s="783">
        <f t="shared" si="58"/>
        <v>15765.49463276805</v>
      </c>
      <c r="J720" s="843">
        <v>3.6</v>
      </c>
      <c r="K720" s="790">
        <f t="shared" si="60"/>
        <v>3.3656689692000001</v>
      </c>
      <c r="L720" s="799">
        <f t="shared" si="61"/>
        <v>2918.0349962964001</v>
      </c>
      <c r="M720" s="757">
        <f t="shared" ref="M720:M781" si="62">L720+I720</f>
        <v>18683.529629064451</v>
      </c>
      <c r="N720" s="837"/>
      <c r="O720" s="663">
        <v>0.93490804699999996</v>
      </c>
      <c r="P720" s="725" t="s">
        <v>1689</v>
      </c>
    </row>
    <row r="721" spans="1:16" ht="18.95" customHeight="1">
      <c r="A721" s="851"/>
      <c r="B721" s="789" t="s">
        <v>273</v>
      </c>
      <c r="C721" s="1170" t="s">
        <v>1690</v>
      </c>
      <c r="D721" s="852"/>
      <c r="E721" s="757">
        <v>3534</v>
      </c>
      <c r="F721" s="799" t="s">
        <v>397</v>
      </c>
      <c r="G721" s="765">
        <v>19.25</v>
      </c>
      <c r="H721" s="783">
        <f t="shared" si="59"/>
        <v>17.996979904749999</v>
      </c>
      <c r="I721" s="783">
        <f t="shared" si="58"/>
        <v>63601.326983386498</v>
      </c>
      <c r="J721" s="843">
        <v>3.6</v>
      </c>
      <c r="K721" s="790">
        <f t="shared" si="60"/>
        <v>3.3656689692000001</v>
      </c>
      <c r="L721" s="799">
        <f t="shared" si="61"/>
        <v>11894.274137152801</v>
      </c>
      <c r="M721" s="757">
        <f t="shared" si="62"/>
        <v>75495.601120539301</v>
      </c>
      <c r="N721" s="837"/>
      <c r="O721" s="663">
        <v>0.93490804699999996</v>
      </c>
      <c r="P721" s="725" t="s">
        <v>1689</v>
      </c>
    </row>
    <row r="722" spans="1:16" ht="18.95" customHeight="1">
      <c r="A722" s="853"/>
      <c r="B722" s="789" t="s">
        <v>273</v>
      </c>
      <c r="C722" s="1170" t="s">
        <v>1694</v>
      </c>
      <c r="D722" s="852"/>
      <c r="E722" s="757">
        <v>88.47</v>
      </c>
      <c r="F722" s="799" t="s">
        <v>397</v>
      </c>
      <c r="G722" s="765">
        <v>27.1</v>
      </c>
      <c r="H722" s="783">
        <f t="shared" si="59"/>
        <v>25.3360080737</v>
      </c>
      <c r="I722" s="783">
        <f t="shared" si="58"/>
        <v>2241.4766342802391</v>
      </c>
      <c r="J722" s="843">
        <v>0</v>
      </c>
      <c r="K722" s="790">
        <f t="shared" si="60"/>
        <v>0</v>
      </c>
      <c r="L722" s="799">
        <f t="shared" si="61"/>
        <v>0</v>
      </c>
      <c r="M722" s="757">
        <f t="shared" si="62"/>
        <v>2241.4766342802391</v>
      </c>
      <c r="N722" s="837"/>
      <c r="O722" s="663">
        <v>0.93490804699999996</v>
      </c>
      <c r="P722" s="725" t="s">
        <v>1689</v>
      </c>
    </row>
    <row r="723" spans="1:16" ht="18.95" customHeight="1">
      <c r="A723" s="767"/>
      <c r="B723" s="786" t="s">
        <v>1696</v>
      </c>
      <c r="C723" s="809"/>
      <c r="D723" s="858"/>
      <c r="E723" s="766"/>
      <c r="F723" s="799"/>
      <c r="G723" s="765"/>
      <c r="H723" s="783"/>
      <c r="I723" s="783"/>
      <c r="J723" s="765"/>
      <c r="K723" s="790"/>
      <c r="L723" s="799"/>
      <c r="M723" s="757"/>
      <c r="N723" s="837"/>
      <c r="O723" s="663">
        <v>0.93490804699999996</v>
      </c>
    </row>
    <row r="724" spans="1:16" ht="18.95" customHeight="1">
      <c r="A724" s="853"/>
      <c r="B724" s="789" t="s">
        <v>273</v>
      </c>
      <c r="C724" s="1170" t="s">
        <v>1697</v>
      </c>
      <c r="D724" s="852"/>
      <c r="E724" s="766">
        <v>72</v>
      </c>
      <c r="F724" s="799" t="s">
        <v>211</v>
      </c>
      <c r="G724" s="765">
        <v>245.2</v>
      </c>
      <c r="H724" s="783">
        <f t="shared" si="59"/>
        <v>229.23945312439997</v>
      </c>
      <c r="I724" s="783">
        <f t="shared" si="58"/>
        <v>16505.240624956798</v>
      </c>
      <c r="J724" s="843">
        <v>0</v>
      </c>
      <c r="K724" s="790">
        <f t="shared" si="60"/>
        <v>0</v>
      </c>
      <c r="L724" s="799">
        <f t="shared" si="61"/>
        <v>0</v>
      </c>
      <c r="M724" s="757">
        <f t="shared" si="62"/>
        <v>16505.240624956798</v>
      </c>
      <c r="N724" s="841"/>
      <c r="O724" s="663">
        <v>0.93490804699999996</v>
      </c>
    </row>
    <row r="725" spans="1:16" ht="18.95" customHeight="1">
      <c r="A725" s="853"/>
      <c r="B725" s="789" t="s">
        <v>273</v>
      </c>
      <c r="C725" s="1170" t="s">
        <v>1698</v>
      </c>
      <c r="D725" s="852"/>
      <c r="E725" s="766">
        <v>144</v>
      </c>
      <c r="F725" s="799" t="s">
        <v>211</v>
      </c>
      <c r="G725" s="765"/>
      <c r="H725" s="783">
        <f t="shared" si="59"/>
        <v>0</v>
      </c>
      <c r="I725" s="783">
        <f t="shared" si="58"/>
        <v>0</v>
      </c>
      <c r="J725" s="843">
        <v>121</v>
      </c>
      <c r="K725" s="790">
        <f t="shared" si="60"/>
        <v>113.123873687</v>
      </c>
      <c r="L725" s="799">
        <f t="shared" si="61"/>
        <v>16289.837810928</v>
      </c>
      <c r="M725" s="757">
        <f t="shared" si="62"/>
        <v>16289.837810928</v>
      </c>
      <c r="N725" s="841"/>
      <c r="O725" s="663">
        <v>0.93490804699999996</v>
      </c>
    </row>
    <row r="726" spans="1:16" ht="18.95" customHeight="1">
      <c r="A726" s="853"/>
      <c r="B726" s="789" t="s">
        <v>273</v>
      </c>
      <c r="C726" s="1170" t="s">
        <v>1699</v>
      </c>
      <c r="D726" s="852"/>
      <c r="E726" s="766">
        <v>22</v>
      </c>
      <c r="F726" s="799" t="s">
        <v>1700</v>
      </c>
      <c r="G726" s="765">
        <v>309.42</v>
      </c>
      <c r="H726" s="783">
        <f t="shared" si="59"/>
        <v>289.27924790274</v>
      </c>
      <c r="I726" s="783">
        <f t="shared" si="58"/>
        <v>6364.1434538602798</v>
      </c>
      <c r="J726" s="843">
        <v>0</v>
      </c>
      <c r="K726" s="790">
        <f t="shared" si="60"/>
        <v>0</v>
      </c>
      <c r="L726" s="799">
        <f t="shared" si="61"/>
        <v>0</v>
      </c>
      <c r="M726" s="757">
        <f t="shared" si="62"/>
        <v>6364.1434538602798</v>
      </c>
      <c r="N726" s="841"/>
      <c r="O726" s="663">
        <v>0.93490804699999996</v>
      </c>
    </row>
    <row r="727" spans="1:16" ht="18.95" customHeight="1">
      <c r="A727" s="853"/>
      <c r="B727" s="789" t="s">
        <v>273</v>
      </c>
      <c r="C727" s="1170" t="s">
        <v>1701</v>
      </c>
      <c r="D727" s="852"/>
      <c r="E727" s="757">
        <v>18</v>
      </c>
      <c r="F727" s="799" t="s">
        <v>397</v>
      </c>
      <c r="G727" s="765">
        <v>23.36</v>
      </c>
      <c r="H727" s="783">
        <f t="shared" si="59"/>
        <v>21.83945197792</v>
      </c>
      <c r="I727" s="783">
        <f t="shared" si="58"/>
        <v>393.11013560255998</v>
      </c>
      <c r="J727" s="843">
        <v>0</v>
      </c>
      <c r="K727" s="790">
        <f t="shared" si="60"/>
        <v>0</v>
      </c>
      <c r="L727" s="799">
        <f t="shared" si="61"/>
        <v>0</v>
      </c>
      <c r="M727" s="757">
        <f t="shared" si="62"/>
        <v>393.11013560255998</v>
      </c>
      <c r="N727" s="841"/>
      <c r="O727" s="663">
        <v>0.93490804699999996</v>
      </c>
      <c r="P727" s="725" t="s">
        <v>1689</v>
      </c>
    </row>
    <row r="728" spans="1:16" ht="18.95" customHeight="1">
      <c r="A728" s="767"/>
      <c r="B728" s="786" t="s">
        <v>1702</v>
      </c>
      <c r="C728" s="809"/>
      <c r="D728" s="860"/>
      <c r="E728" s="766"/>
      <c r="F728" s="857"/>
      <c r="G728" s="798"/>
      <c r="H728" s="783"/>
      <c r="I728" s="783"/>
      <c r="J728" s="843"/>
      <c r="K728" s="790"/>
      <c r="L728" s="799"/>
      <c r="M728" s="757"/>
      <c r="N728" s="837"/>
      <c r="O728" s="663">
        <v>0.93490804699999996</v>
      </c>
    </row>
    <row r="729" spans="1:16" ht="18.95" customHeight="1">
      <c r="A729" s="767"/>
      <c r="B729" s="789" t="s">
        <v>273</v>
      </c>
      <c r="C729" s="809" t="s">
        <v>1723</v>
      </c>
      <c r="D729" s="860"/>
      <c r="E729" s="766">
        <v>28</v>
      </c>
      <c r="F729" s="857" t="s">
        <v>1684</v>
      </c>
      <c r="G729" s="759">
        <v>2679.9</v>
      </c>
      <c r="H729" s="783">
        <f t="shared" si="59"/>
        <v>2505.4600751552998</v>
      </c>
      <c r="I729" s="783">
        <f t="shared" si="58"/>
        <v>70152.882104348391</v>
      </c>
      <c r="J729" s="759">
        <v>519</v>
      </c>
      <c r="K729" s="790">
        <f t="shared" si="60"/>
        <v>485.21727639299996</v>
      </c>
      <c r="L729" s="799">
        <f t="shared" si="61"/>
        <v>13586.083739004</v>
      </c>
      <c r="M729" s="757">
        <f t="shared" si="62"/>
        <v>83738.965843352387</v>
      </c>
      <c r="N729" s="837"/>
      <c r="O729" s="663">
        <v>0.93490804699999996</v>
      </c>
    </row>
    <row r="730" spans="1:16" ht="18.95" customHeight="1">
      <c r="A730" s="1172" t="s">
        <v>1906</v>
      </c>
      <c r="B730" s="1169" t="s">
        <v>1907</v>
      </c>
      <c r="C730" s="801"/>
      <c r="D730" s="815"/>
      <c r="E730" s="854"/>
      <c r="F730" s="857"/>
      <c r="G730" s="843"/>
      <c r="H730" s="783"/>
      <c r="I730" s="783"/>
      <c r="J730" s="843"/>
      <c r="K730" s="790"/>
      <c r="L730" s="799"/>
      <c r="M730" s="757"/>
      <c r="N730" s="837"/>
      <c r="O730" s="663">
        <v>0.93490804699999996</v>
      </c>
    </row>
    <row r="731" spans="1:16" ht="18.95" customHeight="1">
      <c r="A731" s="814"/>
      <c r="B731" s="786" t="s">
        <v>1687</v>
      </c>
      <c r="C731" s="809"/>
      <c r="D731" s="815"/>
      <c r="E731" s="790"/>
      <c r="F731" s="799"/>
      <c r="G731" s="798"/>
      <c r="H731" s="783"/>
      <c r="I731" s="783"/>
      <c r="J731" s="843"/>
      <c r="K731" s="790"/>
      <c r="L731" s="799"/>
      <c r="M731" s="757"/>
      <c r="N731" s="841"/>
      <c r="O731" s="663">
        <v>0.93490804699999996</v>
      </c>
    </row>
    <row r="732" spans="1:16" ht="18.95" customHeight="1">
      <c r="A732" s="851"/>
      <c r="B732" s="789" t="s">
        <v>273</v>
      </c>
      <c r="C732" s="1170" t="s">
        <v>1720</v>
      </c>
      <c r="D732" s="852"/>
      <c r="E732" s="757">
        <v>178</v>
      </c>
      <c r="F732" s="799" t="s">
        <v>397</v>
      </c>
      <c r="G732" s="765">
        <v>19.600000000000001</v>
      </c>
      <c r="H732" s="783">
        <f t="shared" si="59"/>
        <v>18.324197721200001</v>
      </c>
      <c r="I732" s="783">
        <f t="shared" si="58"/>
        <v>3261.7071943736</v>
      </c>
      <c r="J732" s="843">
        <v>4.4000000000000004</v>
      </c>
      <c r="K732" s="790">
        <f t="shared" si="60"/>
        <v>4.1135954068</v>
      </c>
      <c r="L732" s="799">
        <f t="shared" si="61"/>
        <v>732.21998241040001</v>
      </c>
      <c r="M732" s="757">
        <f t="shared" si="62"/>
        <v>3993.927176784</v>
      </c>
      <c r="N732" s="837"/>
      <c r="O732" s="663">
        <v>0.93490804699999996</v>
      </c>
      <c r="P732" s="725" t="s">
        <v>1689</v>
      </c>
    </row>
    <row r="733" spans="1:16" ht="18.95" customHeight="1">
      <c r="A733" s="851"/>
      <c r="B733" s="789" t="s">
        <v>273</v>
      </c>
      <c r="C733" s="1170" t="s">
        <v>1688</v>
      </c>
      <c r="D733" s="852"/>
      <c r="E733" s="757">
        <v>171</v>
      </c>
      <c r="F733" s="799" t="s">
        <v>397</v>
      </c>
      <c r="G733" s="765">
        <v>19.45</v>
      </c>
      <c r="H733" s="783">
        <f t="shared" si="59"/>
        <v>18.183961514149999</v>
      </c>
      <c r="I733" s="783">
        <f t="shared" si="58"/>
        <v>3109.4574189196496</v>
      </c>
      <c r="J733" s="843">
        <v>3.6</v>
      </c>
      <c r="K733" s="790">
        <f t="shared" si="60"/>
        <v>3.3656689692000001</v>
      </c>
      <c r="L733" s="799">
        <f t="shared" si="61"/>
        <v>575.52939373319998</v>
      </c>
      <c r="M733" s="757">
        <f t="shared" si="62"/>
        <v>3684.9868126528495</v>
      </c>
      <c r="N733" s="837"/>
      <c r="O733" s="663">
        <v>0.93490804699999996</v>
      </c>
      <c r="P733" s="725" t="s">
        <v>1689</v>
      </c>
    </row>
    <row r="734" spans="1:16" ht="18.95" customHeight="1">
      <c r="A734" s="851"/>
      <c r="B734" s="789" t="s">
        <v>273</v>
      </c>
      <c r="C734" s="1170" t="s">
        <v>1690</v>
      </c>
      <c r="D734" s="852"/>
      <c r="E734" s="757">
        <v>590</v>
      </c>
      <c r="F734" s="799" t="s">
        <v>397</v>
      </c>
      <c r="G734" s="765">
        <v>19.25</v>
      </c>
      <c r="H734" s="783">
        <f t="shared" si="59"/>
        <v>17.996979904749999</v>
      </c>
      <c r="I734" s="783">
        <f t="shared" si="58"/>
        <v>10618.2181438025</v>
      </c>
      <c r="J734" s="843">
        <v>3.6</v>
      </c>
      <c r="K734" s="790">
        <f t="shared" si="60"/>
        <v>3.3656689692000001</v>
      </c>
      <c r="L734" s="799">
        <f t="shared" si="61"/>
        <v>1985.744691828</v>
      </c>
      <c r="M734" s="757">
        <f t="shared" si="62"/>
        <v>12603.9628356305</v>
      </c>
      <c r="N734" s="837"/>
      <c r="O734" s="663">
        <v>0.93490804699999996</v>
      </c>
      <c r="P734" s="725" t="s">
        <v>1689</v>
      </c>
    </row>
    <row r="735" spans="1:16" ht="18.95" customHeight="1">
      <c r="A735" s="853"/>
      <c r="B735" s="789" t="s">
        <v>273</v>
      </c>
      <c r="C735" s="1170" t="s">
        <v>1694</v>
      </c>
      <c r="D735" s="852"/>
      <c r="E735" s="757">
        <v>16.899999999999999</v>
      </c>
      <c r="F735" s="799" t="s">
        <v>397</v>
      </c>
      <c r="G735" s="765">
        <v>27.1</v>
      </c>
      <c r="H735" s="783">
        <f t="shared" si="59"/>
        <v>25.3360080737</v>
      </c>
      <c r="I735" s="783">
        <f t="shared" si="58"/>
        <v>428.17853644552997</v>
      </c>
      <c r="J735" s="843">
        <v>0</v>
      </c>
      <c r="K735" s="790">
        <f t="shared" si="60"/>
        <v>0</v>
      </c>
      <c r="L735" s="799">
        <f t="shared" si="61"/>
        <v>0</v>
      </c>
      <c r="M735" s="757">
        <f t="shared" si="62"/>
        <v>428.17853644552997</v>
      </c>
      <c r="N735" s="837"/>
      <c r="O735" s="663">
        <v>0.93490804699999996</v>
      </c>
      <c r="P735" s="725" t="s">
        <v>1689</v>
      </c>
    </row>
    <row r="736" spans="1:16" ht="18.95" customHeight="1">
      <c r="A736" s="767"/>
      <c r="B736" s="786" t="s">
        <v>1696</v>
      </c>
      <c r="C736" s="809"/>
      <c r="D736" s="858"/>
      <c r="E736" s="766"/>
      <c r="F736" s="799"/>
      <c r="G736" s="765"/>
      <c r="H736" s="783"/>
      <c r="I736" s="783"/>
      <c r="J736" s="765"/>
      <c r="K736" s="790"/>
      <c r="L736" s="799"/>
      <c r="M736" s="757"/>
      <c r="N736" s="837"/>
      <c r="O736" s="663">
        <v>0.93490804699999996</v>
      </c>
    </row>
    <row r="737" spans="1:16" ht="18.95" customHeight="1">
      <c r="A737" s="853"/>
      <c r="B737" s="789" t="s">
        <v>273</v>
      </c>
      <c r="C737" s="1170" t="s">
        <v>1697</v>
      </c>
      <c r="D737" s="852"/>
      <c r="E737" s="766">
        <v>18</v>
      </c>
      <c r="F737" s="799" t="s">
        <v>211</v>
      </c>
      <c r="G737" s="765">
        <v>245.2</v>
      </c>
      <c r="H737" s="783">
        <f t="shared" si="59"/>
        <v>229.23945312439997</v>
      </c>
      <c r="I737" s="783">
        <f t="shared" si="58"/>
        <v>4126.3101562391994</v>
      </c>
      <c r="J737" s="843">
        <v>0</v>
      </c>
      <c r="K737" s="790">
        <f t="shared" si="60"/>
        <v>0</v>
      </c>
      <c r="L737" s="799">
        <f t="shared" si="61"/>
        <v>0</v>
      </c>
      <c r="M737" s="757">
        <f t="shared" si="62"/>
        <v>4126.3101562391994</v>
      </c>
      <c r="N737" s="841"/>
      <c r="O737" s="663">
        <v>0.93490804699999996</v>
      </c>
    </row>
    <row r="738" spans="1:16" ht="18.95" customHeight="1">
      <c r="A738" s="853"/>
      <c r="B738" s="789" t="s">
        <v>273</v>
      </c>
      <c r="C738" s="1170" t="s">
        <v>1698</v>
      </c>
      <c r="D738" s="852"/>
      <c r="E738" s="766">
        <v>35</v>
      </c>
      <c r="F738" s="799" t="s">
        <v>211</v>
      </c>
      <c r="G738" s="765"/>
      <c r="H738" s="783">
        <f t="shared" si="59"/>
        <v>0</v>
      </c>
      <c r="I738" s="783">
        <f t="shared" si="58"/>
        <v>0</v>
      </c>
      <c r="J738" s="843">
        <v>121</v>
      </c>
      <c r="K738" s="790">
        <f t="shared" si="60"/>
        <v>113.123873687</v>
      </c>
      <c r="L738" s="799">
        <f t="shared" si="61"/>
        <v>3959.335579045</v>
      </c>
      <c r="M738" s="757">
        <f t="shared" si="62"/>
        <v>3959.335579045</v>
      </c>
      <c r="N738" s="841"/>
      <c r="O738" s="663">
        <v>0.93490804699999996</v>
      </c>
    </row>
    <row r="739" spans="1:16" ht="18.95" customHeight="1">
      <c r="A739" s="853"/>
      <c r="B739" s="789" t="s">
        <v>273</v>
      </c>
      <c r="C739" s="1170" t="s">
        <v>1699</v>
      </c>
      <c r="D739" s="852"/>
      <c r="E739" s="766">
        <v>6</v>
      </c>
      <c r="F739" s="799" t="s">
        <v>1700</v>
      </c>
      <c r="G739" s="765">
        <v>309.42</v>
      </c>
      <c r="H739" s="783">
        <f t="shared" si="59"/>
        <v>289.27924790274</v>
      </c>
      <c r="I739" s="783">
        <f t="shared" si="58"/>
        <v>1735.6754874164399</v>
      </c>
      <c r="J739" s="843">
        <v>0</v>
      </c>
      <c r="K739" s="790">
        <f t="shared" si="60"/>
        <v>0</v>
      </c>
      <c r="L739" s="799">
        <f t="shared" si="61"/>
        <v>0</v>
      </c>
      <c r="M739" s="757">
        <f t="shared" si="62"/>
        <v>1735.6754874164399</v>
      </c>
      <c r="N739" s="841"/>
      <c r="O739" s="663">
        <v>0.93490804699999996</v>
      </c>
    </row>
    <row r="740" spans="1:16" ht="18.95" customHeight="1">
      <c r="A740" s="853"/>
      <c r="B740" s="789" t="s">
        <v>273</v>
      </c>
      <c r="C740" s="1170" t="s">
        <v>1701</v>
      </c>
      <c r="D740" s="852"/>
      <c r="E740" s="757">
        <v>5</v>
      </c>
      <c r="F740" s="799" t="s">
        <v>397</v>
      </c>
      <c r="G740" s="765">
        <v>23.36</v>
      </c>
      <c r="H740" s="783">
        <f t="shared" si="59"/>
        <v>21.83945197792</v>
      </c>
      <c r="I740" s="783">
        <f t="shared" si="58"/>
        <v>109.19725988959999</v>
      </c>
      <c r="J740" s="843">
        <v>0</v>
      </c>
      <c r="K740" s="790">
        <f t="shared" si="60"/>
        <v>0</v>
      </c>
      <c r="L740" s="799">
        <f t="shared" si="61"/>
        <v>0</v>
      </c>
      <c r="M740" s="757">
        <f t="shared" si="62"/>
        <v>109.19725988959999</v>
      </c>
      <c r="N740" s="841"/>
      <c r="O740" s="663">
        <v>0.93490804699999996</v>
      </c>
      <c r="P740" s="725" t="s">
        <v>1689</v>
      </c>
    </row>
    <row r="741" spans="1:16" ht="18.95" customHeight="1">
      <c r="A741" s="767"/>
      <c r="B741" s="786" t="s">
        <v>1702</v>
      </c>
      <c r="C741" s="809"/>
      <c r="D741" s="860"/>
      <c r="E741" s="766"/>
      <c r="F741" s="857"/>
      <c r="G741" s="798"/>
      <c r="H741" s="783"/>
      <c r="I741" s="783"/>
      <c r="J741" s="843"/>
      <c r="K741" s="790"/>
      <c r="L741" s="799"/>
      <c r="M741" s="757"/>
      <c r="N741" s="837"/>
      <c r="O741" s="663">
        <v>0.93490804699999996</v>
      </c>
    </row>
    <row r="742" spans="1:16" ht="18.95" customHeight="1">
      <c r="A742" s="855"/>
      <c r="B742" s="789" t="s">
        <v>273</v>
      </c>
      <c r="C742" s="852" t="s">
        <v>1723</v>
      </c>
      <c r="D742" s="852"/>
      <c r="E742" s="757">
        <v>7</v>
      </c>
      <c r="F742" s="799" t="s">
        <v>1684</v>
      </c>
      <c r="G742" s="759">
        <v>2679.9</v>
      </c>
      <c r="H742" s="783">
        <f t="shared" si="59"/>
        <v>2505.4600751552998</v>
      </c>
      <c r="I742" s="783">
        <f t="shared" si="58"/>
        <v>17538.220526087098</v>
      </c>
      <c r="J742" s="759">
        <v>519</v>
      </c>
      <c r="K742" s="790">
        <f t="shared" si="60"/>
        <v>485.21727639299996</v>
      </c>
      <c r="L742" s="799">
        <f t="shared" si="61"/>
        <v>3396.5209347509999</v>
      </c>
      <c r="M742" s="757">
        <f t="shared" si="62"/>
        <v>20934.741460838097</v>
      </c>
      <c r="N742" s="837"/>
      <c r="O742" s="663">
        <v>0.93490804699999996</v>
      </c>
    </row>
    <row r="743" spans="1:16" ht="18.95" customHeight="1">
      <c r="A743" s="1172" t="s">
        <v>1908</v>
      </c>
      <c r="B743" s="1169" t="s">
        <v>1909</v>
      </c>
      <c r="C743" s="801"/>
      <c r="D743" s="815"/>
      <c r="E743" s="854"/>
      <c r="F743" s="857"/>
      <c r="G743" s="843"/>
      <c r="H743" s="783"/>
      <c r="I743" s="783"/>
      <c r="J743" s="843"/>
      <c r="K743" s="790"/>
      <c r="L743" s="799"/>
      <c r="M743" s="757"/>
      <c r="N743" s="837"/>
      <c r="O743" s="663">
        <v>0.93490804699999996</v>
      </c>
    </row>
    <row r="744" spans="1:16" ht="18.95" customHeight="1">
      <c r="A744" s="814"/>
      <c r="B744" s="786" t="s">
        <v>1687</v>
      </c>
      <c r="C744" s="809"/>
      <c r="D744" s="815"/>
      <c r="E744" s="790"/>
      <c r="F744" s="799"/>
      <c r="G744" s="798"/>
      <c r="H744" s="783"/>
      <c r="I744" s="783"/>
      <c r="J744" s="843"/>
      <c r="K744" s="790"/>
      <c r="L744" s="799"/>
      <c r="M744" s="757"/>
      <c r="N744" s="841"/>
      <c r="O744" s="663">
        <v>0.93490804699999996</v>
      </c>
    </row>
    <row r="745" spans="1:16" ht="18.95" customHeight="1">
      <c r="A745" s="851"/>
      <c r="B745" s="789" t="s">
        <v>273</v>
      </c>
      <c r="C745" s="1170" t="s">
        <v>1720</v>
      </c>
      <c r="D745" s="852"/>
      <c r="E745" s="757">
        <v>274</v>
      </c>
      <c r="F745" s="799" t="s">
        <v>397</v>
      </c>
      <c r="G745" s="765">
        <v>19.600000000000001</v>
      </c>
      <c r="H745" s="783">
        <f t="shared" si="59"/>
        <v>18.324197721200001</v>
      </c>
      <c r="I745" s="783">
        <f t="shared" si="58"/>
        <v>5020.8301756088003</v>
      </c>
      <c r="J745" s="843">
        <v>4.4000000000000004</v>
      </c>
      <c r="K745" s="790">
        <f t="shared" si="60"/>
        <v>4.1135954068</v>
      </c>
      <c r="L745" s="799">
        <f t="shared" si="61"/>
        <v>1127.1251414632</v>
      </c>
      <c r="M745" s="757">
        <f t="shared" si="62"/>
        <v>6147.9553170720001</v>
      </c>
      <c r="N745" s="837"/>
      <c r="O745" s="663">
        <v>0.93490804699999996</v>
      </c>
      <c r="P745" s="725" t="s">
        <v>1689</v>
      </c>
    </row>
    <row r="746" spans="1:16" ht="18.95" customHeight="1">
      <c r="A746" s="851"/>
      <c r="B746" s="789" t="s">
        <v>273</v>
      </c>
      <c r="C746" s="1170" t="s">
        <v>1688</v>
      </c>
      <c r="D746" s="852"/>
      <c r="E746" s="757">
        <v>517</v>
      </c>
      <c r="F746" s="799" t="s">
        <v>397</v>
      </c>
      <c r="G746" s="765">
        <v>19.45</v>
      </c>
      <c r="H746" s="783">
        <f t="shared" si="59"/>
        <v>18.183961514149999</v>
      </c>
      <c r="I746" s="783">
        <f t="shared" ref="I746:I809" si="63">H746*E746</f>
        <v>9401.1081028155495</v>
      </c>
      <c r="J746" s="843">
        <v>3.6</v>
      </c>
      <c r="K746" s="790">
        <f t="shared" si="60"/>
        <v>3.3656689692000001</v>
      </c>
      <c r="L746" s="799">
        <f t="shared" si="61"/>
        <v>1740.0508570764</v>
      </c>
      <c r="M746" s="757">
        <f t="shared" si="62"/>
        <v>11141.158959891949</v>
      </c>
      <c r="N746" s="837"/>
      <c r="O746" s="663">
        <v>0.93490804699999996</v>
      </c>
      <c r="P746" s="725" t="s">
        <v>1689</v>
      </c>
    </row>
    <row r="747" spans="1:16" ht="18.95" customHeight="1">
      <c r="A747" s="853"/>
      <c r="B747" s="789" t="s">
        <v>273</v>
      </c>
      <c r="C747" s="1170" t="s">
        <v>1691</v>
      </c>
      <c r="D747" s="852"/>
      <c r="E747" s="757">
        <v>2679</v>
      </c>
      <c r="F747" s="799" t="s">
        <v>397</v>
      </c>
      <c r="G747" s="765">
        <v>19.25</v>
      </c>
      <c r="H747" s="783">
        <f t="shared" si="59"/>
        <v>17.996979904749999</v>
      </c>
      <c r="I747" s="783">
        <f t="shared" si="63"/>
        <v>48213.909164825251</v>
      </c>
      <c r="J747" s="843">
        <v>3.6</v>
      </c>
      <c r="K747" s="790">
        <f t="shared" si="60"/>
        <v>3.3656689692000001</v>
      </c>
      <c r="L747" s="799">
        <f t="shared" si="61"/>
        <v>9016.6271684868007</v>
      </c>
      <c r="M747" s="757">
        <f t="shared" si="62"/>
        <v>57230.536333312048</v>
      </c>
      <c r="N747" s="837"/>
      <c r="O747" s="663">
        <v>0.93490804699999996</v>
      </c>
      <c r="P747" s="725" t="s">
        <v>1689</v>
      </c>
    </row>
    <row r="748" spans="1:16" ht="18.95" customHeight="1">
      <c r="A748" s="853"/>
      <c r="B748" s="789" t="s">
        <v>273</v>
      </c>
      <c r="C748" s="1170" t="s">
        <v>1694</v>
      </c>
      <c r="D748" s="852"/>
      <c r="E748" s="757">
        <v>62.46</v>
      </c>
      <c r="F748" s="799" t="s">
        <v>397</v>
      </c>
      <c r="G748" s="765">
        <v>27.1</v>
      </c>
      <c r="H748" s="783">
        <f t="shared" si="59"/>
        <v>25.3360080737</v>
      </c>
      <c r="I748" s="783">
        <f t="shared" si="63"/>
        <v>1582.4870642833021</v>
      </c>
      <c r="J748" s="843">
        <v>0</v>
      </c>
      <c r="K748" s="790">
        <f t="shared" si="60"/>
        <v>0</v>
      </c>
      <c r="L748" s="799">
        <f t="shared" si="61"/>
        <v>0</v>
      </c>
      <c r="M748" s="757">
        <f t="shared" si="62"/>
        <v>1582.4870642833021</v>
      </c>
      <c r="N748" s="837"/>
      <c r="O748" s="663">
        <v>0.93490804699999996</v>
      </c>
      <c r="P748" s="725" t="s">
        <v>1689</v>
      </c>
    </row>
    <row r="749" spans="1:16" ht="18.95" customHeight="1">
      <c r="A749" s="767"/>
      <c r="B749" s="786" t="s">
        <v>1696</v>
      </c>
      <c r="C749" s="809"/>
      <c r="D749" s="858"/>
      <c r="E749" s="766"/>
      <c r="F749" s="799"/>
      <c r="G749" s="765"/>
      <c r="H749" s="783"/>
      <c r="I749" s="783"/>
      <c r="J749" s="765"/>
      <c r="K749" s="790"/>
      <c r="L749" s="799"/>
      <c r="M749" s="757"/>
      <c r="N749" s="837"/>
      <c r="O749" s="663">
        <v>0.93490804699999996</v>
      </c>
    </row>
    <row r="750" spans="1:16" ht="18.95" customHeight="1">
      <c r="A750" s="853"/>
      <c r="B750" s="789" t="s">
        <v>273</v>
      </c>
      <c r="C750" s="1170" t="s">
        <v>1697</v>
      </c>
      <c r="D750" s="852"/>
      <c r="E750" s="766">
        <v>42</v>
      </c>
      <c r="F750" s="799" t="s">
        <v>211</v>
      </c>
      <c r="G750" s="765">
        <v>245.2</v>
      </c>
      <c r="H750" s="783">
        <f t="shared" si="59"/>
        <v>229.23945312439997</v>
      </c>
      <c r="I750" s="783">
        <f t="shared" si="63"/>
        <v>9628.0570312247983</v>
      </c>
      <c r="J750" s="843">
        <v>0</v>
      </c>
      <c r="K750" s="790">
        <f t="shared" si="60"/>
        <v>0</v>
      </c>
      <c r="L750" s="799">
        <f t="shared" si="61"/>
        <v>0</v>
      </c>
      <c r="M750" s="757">
        <f t="shared" si="62"/>
        <v>9628.0570312247983</v>
      </c>
      <c r="N750" s="841"/>
      <c r="O750" s="663">
        <v>0.93490804699999996</v>
      </c>
    </row>
    <row r="751" spans="1:16" ht="18.95" customHeight="1">
      <c r="A751" s="853"/>
      <c r="B751" s="789" t="s">
        <v>273</v>
      </c>
      <c r="C751" s="1170" t="s">
        <v>1698</v>
      </c>
      <c r="D751" s="852"/>
      <c r="E751" s="766">
        <v>83</v>
      </c>
      <c r="F751" s="799" t="s">
        <v>211</v>
      </c>
      <c r="G751" s="765"/>
      <c r="H751" s="783">
        <f t="shared" si="59"/>
        <v>0</v>
      </c>
      <c r="I751" s="783">
        <f t="shared" si="63"/>
        <v>0</v>
      </c>
      <c r="J751" s="843">
        <v>121</v>
      </c>
      <c r="K751" s="790">
        <f t="shared" si="60"/>
        <v>113.123873687</v>
      </c>
      <c r="L751" s="799">
        <f t="shared" si="61"/>
        <v>9389.2815160209993</v>
      </c>
      <c r="M751" s="757">
        <f t="shared" si="62"/>
        <v>9389.2815160209993</v>
      </c>
      <c r="N751" s="841"/>
      <c r="O751" s="663">
        <v>0.93490804699999996</v>
      </c>
    </row>
    <row r="752" spans="1:16" ht="18.95" customHeight="1">
      <c r="A752" s="853"/>
      <c r="B752" s="789" t="s">
        <v>273</v>
      </c>
      <c r="C752" s="1170" t="s">
        <v>1699</v>
      </c>
      <c r="D752" s="852"/>
      <c r="E752" s="766">
        <v>13</v>
      </c>
      <c r="F752" s="799" t="s">
        <v>1700</v>
      </c>
      <c r="G752" s="765">
        <v>309.42</v>
      </c>
      <c r="H752" s="783">
        <f t="shared" si="59"/>
        <v>289.27924790274</v>
      </c>
      <c r="I752" s="783">
        <f t="shared" si="63"/>
        <v>3760.63022273562</v>
      </c>
      <c r="J752" s="843">
        <v>0</v>
      </c>
      <c r="K752" s="790">
        <f t="shared" si="60"/>
        <v>0</v>
      </c>
      <c r="L752" s="799">
        <f t="shared" si="61"/>
        <v>0</v>
      </c>
      <c r="M752" s="757">
        <f t="shared" si="62"/>
        <v>3760.63022273562</v>
      </c>
      <c r="N752" s="841"/>
      <c r="O752" s="663">
        <v>0.93490804699999996</v>
      </c>
    </row>
    <row r="753" spans="1:16" ht="18.95" customHeight="1">
      <c r="A753" s="853"/>
      <c r="B753" s="789" t="s">
        <v>273</v>
      </c>
      <c r="C753" s="1170" t="s">
        <v>1701</v>
      </c>
      <c r="D753" s="852"/>
      <c r="E753" s="757">
        <v>11</v>
      </c>
      <c r="F753" s="799" t="s">
        <v>397</v>
      </c>
      <c r="G753" s="765">
        <v>23.36</v>
      </c>
      <c r="H753" s="783">
        <f t="shared" si="59"/>
        <v>21.83945197792</v>
      </c>
      <c r="I753" s="783">
        <f t="shared" si="63"/>
        <v>240.23397175712</v>
      </c>
      <c r="J753" s="843">
        <v>0</v>
      </c>
      <c r="K753" s="790">
        <f t="shared" si="60"/>
        <v>0</v>
      </c>
      <c r="L753" s="799">
        <f t="shared" si="61"/>
        <v>0</v>
      </c>
      <c r="M753" s="757">
        <f t="shared" si="62"/>
        <v>240.23397175712</v>
      </c>
      <c r="N753" s="841"/>
      <c r="O753" s="663">
        <v>0.93490804699999996</v>
      </c>
      <c r="P753" s="725" t="s">
        <v>1689</v>
      </c>
    </row>
    <row r="754" spans="1:16" ht="18.95" customHeight="1">
      <c r="A754" s="767"/>
      <c r="B754" s="786" t="s">
        <v>1702</v>
      </c>
      <c r="C754" s="809"/>
      <c r="D754" s="860"/>
      <c r="E754" s="766"/>
      <c r="F754" s="857"/>
      <c r="G754" s="798"/>
      <c r="H754" s="783"/>
      <c r="I754" s="783"/>
      <c r="J754" s="843"/>
      <c r="K754" s="790"/>
      <c r="L754" s="799"/>
      <c r="M754" s="757"/>
      <c r="N754" s="837"/>
      <c r="O754" s="663">
        <v>0.93490804699999996</v>
      </c>
    </row>
    <row r="755" spans="1:16" ht="18.95" customHeight="1">
      <c r="A755" s="855"/>
      <c r="B755" s="789" t="s">
        <v>273</v>
      </c>
      <c r="C755" s="852" t="s">
        <v>1723</v>
      </c>
      <c r="D755" s="852"/>
      <c r="E755" s="757">
        <v>15</v>
      </c>
      <c r="F755" s="799" t="s">
        <v>1684</v>
      </c>
      <c r="G755" s="759">
        <v>2679.9</v>
      </c>
      <c r="H755" s="783">
        <f t="shared" si="59"/>
        <v>2505.4600751552998</v>
      </c>
      <c r="I755" s="783">
        <f t="shared" si="63"/>
        <v>37581.901127329496</v>
      </c>
      <c r="J755" s="759">
        <v>519</v>
      </c>
      <c r="K755" s="790">
        <f t="shared" si="60"/>
        <v>485.21727639299996</v>
      </c>
      <c r="L755" s="799">
        <f t="shared" si="61"/>
        <v>7278.2591458949992</v>
      </c>
      <c r="M755" s="757">
        <f t="shared" si="62"/>
        <v>44860.160273224494</v>
      </c>
      <c r="N755" s="837"/>
      <c r="O755" s="663">
        <v>0.93490804699999996</v>
      </c>
    </row>
    <row r="756" spans="1:16" ht="18.95" customHeight="1">
      <c r="A756" s="1172" t="s">
        <v>1910</v>
      </c>
      <c r="B756" s="1169" t="s">
        <v>1911</v>
      </c>
      <c r="C756" s="801"/>
      <c r="D756" s="815"/>
      <c r="E756" s="854"/>
      <c r="F756" s="857"/>
      <c r="G756" s="843"/>
      <c r="H756" s="783"/>
      <c r="I756" s="783"/>
      <c r="J756" s="843"/>
      <c r="K756" s="790"/>
      <c r="L756" s="799"/>
      <c r="M756" s="757"/>
      <c r="N756" s="837"/>
      <c r="O756" s="663">
        <v>0.93490804699999996</v>
      </c>
    </row>
    <row r="757" spans="1:16" ht="18.95" customHeight="1">
      <c r="A757" s="877"/>
      <c r="B757" s="786" t="s">
        <v>1687</v>
      </c>
      <c r="C757" s="809"/>
      <c r="D757" s="815"/>
      <c r="E757" s="790"/>
      <c r="F757" s="799"/>
      <c r="G757" s="798"/>
      <c r="H757" s="783"/>
      <c r="I757" s="783"/>
      <c r="J757" s="843"/>
      <c r="K757" s="790"/>
      <c r="L757" s="799"/>
      <c r="M757" s="757"/>
      <c r="N757" s="841"/>
      <c r="O757" s="663">
        <v>0.93490804699999996</v>
      </c>
    </row>
    <row r="758" spans="1:16" ht="18.95" customHeight="1">
      <c r="A758" s="851"/>
      <c r="B758" s="789" t="s">
        <v>273</v>
      </c>
      <c r="C758" s="1170" t="s">
        <v>1720</v>
      </c>
      <c r="D758" s="852"/>
      <c r="E758" s="757">
        <v>524</v>
      </c>
      <c r="F758" s="799" t="s">
        <v>397</v>
      </c>
      <c r="G758" s="765">
        <v>19.600000000000001</v>
      </c>
      <c r="H758" s="783">
        <f t="shared" si="59"/>
        <v>18.324197721200001</v>
      </c>
      <c r="I758" s="783">
        <f t="shared" si="63"/>
        <v>9601.8796059087999</v>
      </c>
      <c r="J758" s="843">
        <v>4.4000000000000004</v>
      </c>
      <c r="K758" s="790">
        <f t="shared" si="60"/>
        <v>4.1135954068</v>
      </c>
      <c r="L758" s="799">
        <f t="shared" si="61"/>
        <v>2155.5239931632</v>
      </c>
      <c r="M758" s="757">
        <f t="shared" si="62"/>
        <v>11757.403599072</v>
      </c>
      <c r="N758" s="837"/>
      <c r="O758" s="663">
        <v>0.93490804699999996</v>
      </c>
      <c r="P758" s="725" t="s">
        <v>1689</v>
      </c>
    </row>
    <row r="759" spans="1:16" ht="18.95" customHeight="1">
      <c r="A759" s="851"/>
      <c r="B759" s="789" t="s">
        <v>273</v>
      </c>
      <c r="C759" s="1170" t="s">
        <v>1688</v>
      </c>
      <c r="D759" s="852"/>
      <c r="E759" s="757">
        <v>1290</v>
      </c>
      <c r="F759" s="799" t="s">
        <v>397</v>
      </c>
      <c r="G759" s="765">
        <v>19.45</v>
      </c>
      <c r="H759" s="783">
        <f t="shared" si="59"/>
        <v>18.183961514149999</v>
      </c>
      <c r="I759" s="783">
        <f t="shared" si="63"/>
        <v>23457.310353253499</v>
      </c>
      <c r="J759" s="843">
        <v>3.6</v>
      </c>
      <c r="K759" s="790">
        <f t="shared" si="60"/>
        <v>3.3656689692000001</v>
      </c>
      <c r="L759" s="799">
        <f t="shared" si="61"/>
        <v>4341.7129702680004</v>
      </c>
      <c r="M759" s="757">
        <f t="shared" si="62"/>
        <v>27799.023323521498</v>
      </c>
      <c r="N759" s="837"/>
      <c r="O759" s="663">
        <v>0.93490804699999996</v>
      </c>
      <c r="P759" s="725" t="s">
        <v>1689</v>
      </c>
    </row>
    <row r="760" spans="1:16" ht="18.95" customHeight="1">
      <c r="A760" s="851"/>
      <c r="B760" s="789" t="s">
        <v>273</v>
      </c>
      <c r="C760" s="1170" t="s">
        <v>1690</v>
      </c>
      <c r="D760" s="852"/>
      <c r="E760" s="757">
        <v>2120</v>
      </c>
      <c r="F760" s="799" t="s">
        <v>397</v>
      </c>
      <c r="G760" s="765">
        <v>19.25</v>
      </c>
      <c r="H760" s="783">
        <f t="shared" si="59"/>
        <v>17.996979904749999</v>
      </c>
      <c r="I760" s="783">
        <f t="shared" si="63"/>
        <v>38153.59739807</v>
      </c>
      <c r="J760" s="843">
        <v>3.6</v>
      </c>
      <c r="K760" s="790">
        <f t="shared" si="60"/>
        <v>3.3656689692000001</v>
      </c>
      <c r="L760" s="799">
        <f t="shared" si="61"/>
        <v>7135.2182147040003</v>
      </c>
      <c r="M760" s="757">
        <f t="shared" si="62"/>
        <v>45288.815612774</v>
      </c>
      <c r="N760" s="837"/>
      <c r="O760" s="663">
        <v>0.93490804699999996</v>
      </c>
      <c r="P760" s="725" t="s">
        <v>1689</v>
      </c>
    </row>
    <row r="761" spans="1:16" ht="18.95" customHeight="1">
      <c r="A761" s="853"/>
      <c r="B761" s="789" t="s">
        <v>273</v>
      </c>
      <c r="C761" s="1170" t="s">
        <v>1694</v>
      </c>
      <c r="D761" s="852"/>
      <c r="E761" s="757">
        <v>70.81</v>
      </c>
      <c r="F761" s="799" t="s">
        <v>397</v>
      </c>
      <c r="G761" s="765">
        <v>27.1</v>
      </c>
      <c r="H761" s="783">
        <f t="shared" si="59"/>
        <v>25.3360080737</v>
      </c>
      <c r="I761" s="783">
        <f t="shared" si="63"/>
        <v>1794.042731698697</v>
      </c>
      <c r="J761" s="843">
        <v>0</v>
      </c>
      <c r="K761" s="790">
        <f t="shared" si="60"/>
        <v>0</v>
      </c>
      <c r="L761" s="799">
        <f t="shared" si="61"/>
        <v>0</v>
      </c>
      <c r="M761" s="757">
        <f t="shared" si="62"/>
        <v>1794.042731698697</v>
      </c>
      <c r="N761" s="837"/>
      <c r="O761" s="663">
        <v>0.93490804699999996</v>
      </c>
      <c r="P761" s="725" t="s">
        <v>1689</v>
      </c>
    </row>
    <row r="762" spans="1:16" ht="18.95" customHeight="1">
      <c r="A762" s="767"/>
      <c r="B762" s="786" t="s">
        <v>1696</v>
      </c>
      <c r="C762" s="809"/>
      <c r="D762" s="858"/>
      <c r="E762" s="766"/>
      <c r="F762" s="799"/>
      <c r="G762" s="765"/>
      <c r="H762" s="783"/>
      <c r="I762" s="783"/>
      <c r="J762" s="765"/>
      <c r="K762" s="790"/>
      <c r="L762" s="799"/>
      <c r="M762" s="757"/>
      <c r="N762" s="837"/>
      <c r="O762" s="663">
        <v>0.93490804699999996</v>
      </c>
    </row>
    <row r="763" spans="1:16" ht="18.95" customHeight="1">
      <c r="A763" s="853"/>
      <c r="B763" s="789" t="s">
        <v>273</v>
      </c>
      <c r="C763" s="1170" t="s">
        <v>1697</v>
      </c>
      <c r="D763" s="852"/>
      <c r="E763" s="766">
        <v>71</v>
      </c>
      <c r="F763" s="799" t="s">
        <v>211</v>
      </c>
      <c r="G763" s="765">
        <v>245.2</v>
      </c>
      <c r="H763" s="783">
        <f t="shared" si="59"/>
        <v>229.23945312439997</v>
      </c>
      <c r="I763" s="783">
        <f t="shared" si="63"/>
        <v>16276.001171832399</v>
      </c>
      <c r="J763" s="843">
        <v>0</v>
      </c>
      <c r="K763" s="790">
        <f t="shared" si="60"/>
        <v>0</v>
      </c>
      <c r="L763" s="799">
        <f t="shared" si="61"/>
        <v>0</v>
      </c>
      <c r="M763" s="757">
        <f t="shared" si="62"/>
        <v>16276.001171832399</v>
      </c>
      <c r="N763" s="841"/>
      <c r="O763" s="663">
        <v>0.93490804699999996</v>
      </c>
    </row>
    <row r="764" spans="1:16" ht="18.95" customHeight="1">
      <c r="A764" s="853"/>
      <c r="B764" s="789" t="s">
        <v>273</v>
      </c>
      <c r="C764" s="1170" t="s">
        <v>1698</v>
      </c>
      <c r="D764" s="852"/>
      <c r="E764" s="766">
        <v>142</v>
      </c>
      <c r="F764" s="799" t="s">
        <v>211</v>
      </c>
      <c r="G764" s="765"/>
      <c r="H764" s="783">
        <f t="shared" si="59"/>
        <v>0</v>
      </c>
      <c r="I764" s="783">
        <f t="shared" si="63"/>
        <v>0</v>
      </c>
      <c r="J764" s="843">
        <v>121</v>
      </c>
      <c r="K764" s="790">
        <f t="shared" si="60"/>
        <v>113.123873687</v>
      </c>
      <c r="L764" s="799">
        <f t="shared" si="61"/>
        <v>16063.590063554</v>
      </c>
      <c r="M764" s="757">
        <f t="shared" si="62"/>
        <v>16063.590063554</v>
      </c>
      <c r="N764" s="841"/>
      <c r="O764" s="663">
        <v>0.93490804699999996</v>
      </c>
    </row>
    <row r="765" spans="1:16" ht="18.95" customHeight="1">
      <c r="A765" s="853"/>
      <c r="B765" s="789" t="s">
        <v>273</v>
      </c>
      <c r="C765" s="1170" t="s">
        <v>1699</v>
      </c>
      <c r="D765" s="852"/>
      <c r="E765" s="766">
        <v>22</v>
      </c>
      <c r="F765" s="799" t="s">
        <v>1700</v>
      </c>
      <c r="G765" s="765">
        <v>309.42</v>
      </c>
      <c r="H765" s="783">
        <f t="shared" ref="H765:H828" si="64">G765*O765</f>
        <v>289.27924790274</v>
      </c>
      <c r="I765" s="783">
        <f t="shared" si="63"/>
        <v>6364.1434538602798</v>
      </c>
      <c r="J765" s="843">
        <v>0</v>
      </c>
      <c r="K765" s="790">
        <f t="shared" si="60"/>
        <v>0</v>
      </c>
      <c r="L765" s="799">
        <f t="shared" si="61"/>
        <v>0</v>
      </c>
      <c r="M765" s="757">
        <f t="shared" si="62"/>
        <v>6364.1434538602798</v>
      </c>
      <c r="N765" s="841"/>
      <c r="O765" s="663">
        <v>0.93490804699999996</v>
      </c>
    </row>
    <row r="766" spans="1:16" ht="18.95" customHeight="1">
      <c r="A766" s="853"/>
      <c r="B766" s="789" t="s">
        <v>273</v>
      </c>
      <c r="C766" s="1170" t="s">
        <v>1701</v>
      </c>
      <c r="D766" s="852"/>
      <c r="E766" s="757">
        <v>18</v>
      </c>
      <c r="F766" s="799" t="s">
        <v>397</v>
      </c>
      <c r="G766" s="765">
        <v>23.36</v>
      </c>
      <c r="H766" s="783">
        <f t="shared" si="64"/>
        <v>21.83945197792</v>
      </c>
      <c r="I766" s="783">
        <f t="shared" si="63"/>
        <v>393.11013560255998</v>
      </c>
      <c r="J766" s="843">
        <v>0</v>
      </c>
      <c r="K766" s="790">
        <f t="shared" ref="K766:K829" si="65">J766*O766</f>
        <v>0</v>
      </c>
      <c r="L766" s="799">
        <f t="shared" ref="L766:L829" si="66">K766*E766</f>
        <v>0</v>
      </c>
      <c r="M766" s="757">
        <f t="shared" si="62"/>
        <v>393.11013560255998</v>
      </c>
      <c r="N766" s="841"/>
      <c r="O766" s="663">
        <v>0.93490804699999996</v>
      </c>
    </row>
    <row r="767" spans="1:16" ht="18.95" customHeight="1">
      <c r="A767" s="767"/>
      <c r="B767" s="786" t="s">
        <v>1702</v>
      </c>
      <c r="C767" s="809"/>
      <c r="D767" s="860"/>
      <c r="E767" s="766"/>
      <c r="F767" s="857"/>
      <c r="G767" s="798"/>
      <c r="H767" s="783"/>
      <c r="I767" s="783"/>
      <c r="J767" s="843"/>
      <c r="K767" s="790"/>
      <c r="L767" s="799"/>
      <c r="M767" s="757"/>
      <c r="N767" s="837"/>
      <c r="O767" s="663">
        <v>0.93490804699999996</v>
      </c>
    </row>
    <row r="768" spans="1:16" ht="18.95" customHeight="1">
      <c r="A768" s="855"/>
      <c r="B768" s="789" t="s">
        <v>273</v>
      </c>
      <c r="C768" s="852" t="s">
        <v>1723</v>
      </c>
      <c r="D768" s="852"/>
      <c r="E768" s="757">
        <v>26</v>
      </c>
      <c r="F768" s="799" t="s">
        <v>1684</v>
      </c>
      <c r="G768" s="759">
        <v>2679.9</v>
      </c>
      <c r="H768" s="783">
        <f t="shared" si="64"/>
        <v>2505.4600751552998</v>
      </c>
      <c r="I768" s="783">
        <f t="shared" si="63"/>
        <v>65141.961954037797</v>
      </c>
      <c r="J768" s="759">
        <v>519</v>
      </c>
      <c r="K768" s="790">
        <f t="shared" si="65"/>
        <v>485.21727639299996</v>
      </c>
      <c r="L768" s="799">
        <f t="shared" si="66"/>
        <v>12615.649186217999</v>
      </c>
      <c r="M768" s="757">
        <f t="shared" si="62"/>
        <v>77757.611140255802</v>
      </c>
      <c r="N768" s="837"/>
      <c r="O768" s="663">
        <v>0.93490804699999996</v>
      </c>
    </row>
    <row r="769" spans="1:16" ht="18.95" customHeight="1">
      <c r="A769" s="1172" t="s">
        <v>1912</v>
      </c>
      <c r="B769" s="1169" t="s">
        <v>1913</v>
      </c>
      <c r="C769" s="801"/>
      <c r="D769" s="815"/>
      <c r="E769" s="854"/>
      <c r="F769" s="857"/>
      <c r="G769" s="843"/>
      <c r="H769" s="783"/>
      <c r="I769" s="783"/>
      <c r="J769" s="843"/>
      <c r="K769" s="790"/>
      <c r="L769" s="799"/>
      <c r="M769" s="757"/>
      <c r="N769" s="837"/>
      <c r="O769" s="663">
        <v>0.93490804699999996</v>
      </c>
    </row>
    <row r="770" spans="1:16" ht="18.95" customHeight="1">
      <c r="A770" s="877"/>
      <c r="B770" s="786" t="s">
        <v>1687</v>
      </c>
      <c r="C770" s="809"/>
      <c r="D770" s="815"/>
      <c r="E770" s="790"/>
      <c r="F770" s="799"/>
      <c r="G770" s="798"/>
      <c r="H770" s="783"/>
      <c r="I770" s="783"/>
      <c r="J770" s="843"/>
      <c r="K770" s="790"/>
      <c r="L770" s="799"/>
      <c r="M770" s="757"/>
      <c r="N770" s="841"/>
      <c r="O770" s="663">
        <v>0.93490804699999996</v>
      </c>
    </row>
    <row r="771" spans="1:16" ht="18.95" customHeight="1">
      <c r="A771" s="851"/>
      <c r="B771" s="789" t="s">
        <v>273</v>
      </c>
      <c r="C771" s="1170" t="s">
        <v>1720</v>
      </c>
      <c r="D771" s="852"/>
      <c r="E771" s="757">
        <v>25</v>
      </c>
      <c r="F771" s="799" t="s">
        <v>397</v>
      </c>
      <c r="G771" s="765">
        <v>19.600000000000001</v>
      </c>
      <c r="H771" s="783">
        <f t="shared" si="64"/>
        <v>18.324197721200001</v>
      </c>
      <c r="I771" s="783">
        <f t="shared" si="63"/>
        <v>458.10494303000002</v>
      </c>
      <c r="J771" s="843">
        <v>4.4000000000000004</v>
      </c>
      <c r="K771" s="790">
        <f t="shared" si="65"/>
        <v>4.1135954068</v>
      </c>
      <c r="L771" s="799">
        <f t="shared" si="66"/>
        <v>102.83988517</v>
      </c>
      <c r="M771" s="757">
        <f t="shared" si="62"/>
        <v>560.94482820000007</v>
      </c>
      <c r="N771" s="837"/>
      <c r="O771" s="663">
        <v>0.93490804699999996</v>
      </c>
      <c r="P771" s="725" t="s">
        <v>1689</v>
      </c>
    </row>
    <row r="772" spans="1:16" ht="18.95" customHeight="1">
      <c r="A772" s="851"/>
      <c r="B772" s="789" t="s">
        <v>273</v>
      </c>
      <c r="C772" s="1170" t="s">
        <v>1688</v>
      </c>
      <c r="D772" s="852"/>
      <c r="E772" s="757">
        <v>34</v>
      </c>
      <c r="F772" s="799" t="s">
        <v>397</v>
      </c>
      <c r="G772" s="765">
        <v>19.45</v>
      </c>
      <c r="H772" s="783">
        <f t="shared" si="64"/>
        <v>18.183961514149999</v>
      </c>
      <c r="I772" s="783">
        <f t="shared" si="63"/>
        <v>618.25469148109994</v>
      </c>
      <c r="J772" s="843">
        <v>3.6</v>
      </c>
      <c r="K772" s="790">
        <f t="shared" si="65"/>
        <v>3.3656689692000001</v>
      </c>
      <c r="L772" s="799">
        <f t="shared" si="66"/>
        <v>114.43274495280001</v>
      </c>
      <c r="M772" s="757">
        <f t="shared" si="62"/>
        <v>732.68743643389996</v>
      </c>
      <c r="N772" s="837"/>
      <c r="O772" s="663">
        <v>0.93490804699999996</v>
      </c>
      <c r="P772" s="725" t="s">
        <v>1689</v>
      </c>
    </row>
    <row r="773" spans="1:16" ht="18.95" customHeight="1">
      <c r="A773" s="851"/>
      <c r="B773" s="789" t="s">
        <v>273</v>
      </c>
      <c r="C773" s="1170" t="s">
        <v>1690</v>
      </c>
      <c r="D773" s="852"/>
      <c r="E773" s="757">
        <v>132</v>
      </c>
      <c r="F773" s="799" t="s">
        <v>397</v>
      </c>
      <c r="G773" s="765">
        <v>19.25</v>
      </c>
      <c r="H773" s="783">
        <f t="shared" si="64"/>
        <v>17.996979904749999</v>
      </c>
      <c r="I773" s="783">
        <f t="shared" si="63"/>
        <v>2375.6013474269998</v>
      </c>
      <c r="J773" s="843">
        <v>3.6</v>
      </c>
      <c r="K773" s="790">
        <f t="shared" si="65"/>
        <v>3.3656689692000001</v>
      </c>
      <c r="L773" s="799">
        <f t="shared" si="66"/>
        <v>444.26830393440002</v>
      </c>
      <c r="M773" s="757">
        <f t="shared" si="62"/>
        <v>2819.8696513614</v>
      </c>
      <c r="N773" s="837"/>
      <c r="O773" s="663">
        <v>0.93490804699999996</v>
      </c>
      <c r="P773" s="725" t="s">
        <v>1689</v>
      </c>
    </row>
    <row r="774" spans="1:16" ht="18.95" customHeight="1">
      <c r="A774" s="853"/>
      <c r="B774" s="789" t="s">
        <v>273</v>
      </c>
      <c r="C774" s="1170" t="s">
        <v>1694</v>
      </c>
      <c r="D774" s="852"/>
      <c r="E774" s="757">
        <v>2.75</v>
      </c>
      <c r="F774" s="799" t="s">
        <v>397</v>
      </c>
      <c r="G774" s="765">
        <v>27.1</v>
      </c>
      <c r="H774" s="783">
        <f t="shared" si="64"/>
        <v>25.3360080737</v>
      </c>
      <c r="I774" s="783">
        <f t="shared" si="63"/>
        <v>69.674022202675005</v>
      </c>
      <c r="J774" s="843">
        <v>0</v>
      </c>
      <c r="K774" s="790">
        <f t="shared" si="65"/>
        <v>0</v>
      </c>
      <c r="L774" s="799">
        <f t="shared" si="66"/>
        <v>0</v>
      </c>
      <c r="M774" s="757">
        <f t="shared" si="62"/>
        <v>69.674022202675005</v>
      </c>
      <c r="N774" s="837"/>
      <c r="O774" s="663">
        <v>0.93490804699999996</v>
      </c>
      <c r="P774" s="725" t="s">
        <v>1689</v>
      </c>
    </row>
    <row r="775" spans="1:16" ht="18.95" customHeight="1">
      <c r="A775" s="767"/>
      <c r="B775" s="786" t="s">
        <v>1696</v>
      </c>
      <c r="C775" s="809"/>
      <c r="D775" s="858"/>
      <c r="E775" s="766"/>
      <c r="F775" s="799"/>
      <c r="G775" s="765"/>
      <c r="H775" s="783"/>
      <c r="I775" s="783"/>
      <c r="J775" s="765"/>
      <c r="K775" s="790"/>
      <c r="L775" s="799"/>
      <c r="M775" s="757"/>
      <c r="N775" s="837"/>
      <c r="O775" s="663">
        <v>0.93490804699999996</v>
      </c>
    </row>
    <row r="776" spans="1:16" ht="18.95" customHeight="1">
      <c r="A776" s="853"/>
      <c r="B776" s="789" t="s">
        <v>273</v>
      </c>
      <c r="C776" s="1170" t="s">
        <v>1697</v>
      </c>
      <c r="D776" s="852"/>
      <c r="E776" s="766">
        <v>3</v>
      </c>
      <c r="F776" s="799" t="s">
        <v>211</v>
      </c>
      <c r="G776" s="765">
        <v>245.2</v>
      </c>
      <c r="H776" s="783">
        <f t="shared" si="64"/>
        <v>229.23945312439997</v>
      </c>
      <c r="I776" s="783">
        <f t="shared" si="63"/>
        <v>687.71835937319997</v>
      </c>
      <c r="J776" s="843">
        <v>0</v>
      </c>
      <c r="K776" s="790">
        <f t="shared" si="65"/>
        <v>0</v>
      </c>
      <c r="L776" s="799">
        <f t="shared" si="66"/>
        <v>0</v>
      </c>
      <c r="M776" s="757">
        <f t="shared" si="62"/>
        <v>687.71835937319997</v>
      </c>
      <c r="N776" s="841"/>
      <c r="O776" s="663">
        <v>0.93490804699999996</v>
      </c>
    </row>
    <row r="777" spans="1:16" ht="18.95" customHeight="1">
      <c r="A777" s="853"/>
      <c r="B777" s="789" t="s">
        <v>273</v>
      </c>
      <c r="C777" s="1170" t="s">
        <v>1698</v>
      </c>
      <c r="D777" s="852"/>
      <c r="E777" s="766">
        <v>6</v>
      </c>
      <c r="F777" s="799" t="s">
        <v>211</v>
      </c>
      <c r="G777" s="765"/>
      <c r="H777" s="783">
        <f t="shared" si="64"/>
        <v>0</v>
      </c>
      <c r="I777" s="783">
        <f t="shared" si="63"/>
        <v>0</v>
      </c>
      <c r="J777" s="843">
        <v>121</v>
      </c>
      <c r="K777" s="790">
        <f t="shared" si="65"/>
        <v>113.123873687</v>
      </c>
      <c r="L777" s="799">
        <f t="shared" si="66"/>
        <v>678.74324212199997</v>
      </c>
      <c r="M777" s="757">
        <f t="shared" si="62"/>
        <v>678.74324212199997</v>
      </c>
      <c r="N777" s="841"/>
      <c r="O777" s="663">
        <v>0.93490804699999996</v>
      </c>
    </row>
    <row r="778" spans="1:16" ht="18.95" customHeight="1">
      <c r="A778" s="853"/>
      <c r="B778" s="789" t="s">
        <v>273</v>
      </c>
      <c r="C778" s="1170" t="s">
        <v>1699</v>
      </c>
      <c r="D778" s="852"/>
      <c r="E778" s="766">
        <v>1</v>
      </c>
      <c r="F778" s="799" t="s">
        <v>1700</v>
      </c>
      <c r="G778" s="765">
        <v>309.42</v>
      </c>
      <c r="H778" s="783">
        <f t="shared" si="64"/>
        <v>289.27924790274</v>
      </c>
      <c r="I778" s="783">
        <f t="shared" si="63"/>
        <v>289.27924790274</v>
      </c>
      <c r="J778" s="843">
        <v>0</v>
      </c>
      <c r="K778" s="790">
        <f t="shared" si="65"/>
        <v>0</v>
      </c>
      <c r="L778" s="799">
        <f t="shared" si="66"/>
        <v>0</v>
      </c>
      <c r="M778" s="757">
        <f t="shared" si="62"/>
        <v>289.27924790274</v>
      </c>
      <c r="N778" s="841"/>
      <c r="O778" s="663">
        <v>0.93490804699999996</v>
      </c>
    </row>
    <row r="779" spans="1:16" ht="18.95" customHeight="1">
      <c r="A779" s="853"/>
      <c r="B779" s="789" t="s">
        <v>273</v>
      </c>
      <c r="C779" s="1170" t="s">
        <v>1701</v>
      </c>
      <c r="D779" s="852"/>
      <c r="E779" s="757">
        <v>1</v>
      </c>
      <c r="F779" s="799" t="s">
        <v>397</v>
      </c>
      <c r="G779" s="765">
        <v>23.36</v>
      </c>
      <c r="H779" s="783">
        <f t="shared" si="64"/>
        <v>21.83945197792</v>
      </c>
      <c r="I779" s="783">
        <f t="shared" si="63"/>
        <v>21.83945197792</v>
      </c>
      <c r="J779" s="843">
        <v>0</v>
      </c>
      <c r="K779" s="790">
        <f t="shared" si="65"/>
        <v>0</v>
      </c>
      <c r="L779" s="799">
        <f t="shared" si="66"/>
        <v>0</v>
      </c>
      <c r="M779" s="757">
        <f t="shared" si="62"/>
        <v>21.83945197792</v>
      </c>
      <c r="N779" s="841"/>
      <c r="O779" s="663">
        <v>0.93490804699999996</v>
      </c>
      <c r="P779" s="725" t="s">
        <v>1689</v>
      </c>
    </row>
    <row r="780" spans="1:16" ht="18.95" customHeight="1">
      <c r="A780" s="767"/>
      <c r="B780" s="786" t="s">
        <v>1702</v>
      </c>
      <c r="C780" s="809"/>
      <c r="D780" s="860"/>
      <c r="E780" s="766"/>
      <c r="F780" s="857"/>
      <c r="G780" s="798"/>
      <c r="H780" s="783"/>
      <c r="I780" s="783"/>
      <c r="J780" s="843"/>
      <c r="K780" s="790"/>
      <c r="L780" s="799"/>
      <c r="M780" s="757"/>
      <c r="N780" s="837"/>
      <c r="O780" s="663">
        <v>0.93490804699999996</v>
      </c>
    </row>
    <row r="781" spans="1:16" ht="18.95" customHeight="1">
      <c r="A781" s="855"/>
      <c r="B781" s="789" t="s">
        <v>273</v>
      </c>
      <c r="C781" s="852" t="s">
        <v>1723</v>
      </c>
      <c r="D781" s="852"/>
      <c r="E781" s="757">
        <v>1</v>
      </c>
      <c r="F781" s="799" t="s">
        <v>1684</v>
      </c>
      <c r="G781" s="759">
        <v>2679.9</v>
      </c>
      <c r="H781" s="783">
        <f t="shared" si="64"/>
        <v>2505.4600751552998</v>
      </c>
      <c r="I781" s="783">
        <f t="shared" si="63"/>
        <v>2505.4600751552998</v>
      </c>
      <c r="J781" s="759">
        <v>519</v>
      </c>
      <c r="K781" s="790">
        <f t="shared" si="65"/>
        <v>485.21727639299996</v>
      </c>
      <c r="L781" s="799">
        <f t="shared" si="66"/>
        <v>485.21727639299996</v>
      </c>
      <c r="M781" s="757">
        <f t="shared" si="62"/>
        <v>2990.6773515482996</v>
      </c>
      <c r="N781" s="837"/>
      <c r="O781" s="663">
        <v>0.93490804699999996</v>
      </c>
    </row>
    <row r="782" spans="1:16" ht="18.95" customHeight="1">
      <c r="A782" s="1172" t="s">
        <v>1914</v>
      </c>
      <c r="B782" s="1169" t="s">
        <v>1915</v>
      </c>
      <c r="C782" s="801"/>
      <c r="D782" s="815"/>
      <c r="E782" s="854"/>
      <c r="F782" s="857"/>
      <c r="G782" s="843"/>
      <c r="H782" s="783"/>
      <c r="I782" s="783"/>
      <c r="J782" s="843"/>
      <c r="K782" s="790"/>
      <c r="L782" s="799"/>
      <c r="M782" s="757"/>
      <c r="N782" s="837"/>
      <c r="O782" s="663">
        <v>0.93490804699999996</v>
      </c>
    </row>
    <row r="783" spans="1:16" ht="18.95" customHeight="1">
      <c r="A783" s="877"/>
      <c r="B783" s="786" t="s">
        <v>1687</v>
      </c>
      <c r="C783" s="809"/>
      <c r="D783" s="815"/>
      <c r="E783" s="790"/>
      <c r="F783" s="799"/>
      <c r="G783" s="798"/>
      <c r="H783" s="783"/>
      <c r="I783" s="783"/>
      <c r="J783" s="843"/>
      <c r="K783" s="790"/>
      <c r="L783" s="799"/>
      <c r="M783" s="757"/>
      <c r="N783" s="841"/>
      <c r="O783" s="663">
        <v>0.93490804699999996</v>
      </c>
    </row>
    <row r="784" spans="1:16" ht="18.95" customHeight="1">
      <c r="A784" s="851"/>
      <c r="B784" s="789" t="s">
        <v>273</v>
      </c>
      <c r="C784" s="1170" t="s">
        <v>1720</v>
      </c>
      <c r="D784" s="852"/>
      <c r="E784" s="757">
        <v>375</v>
      </c>
      <c r="F784" s="799" t="s">
        <v>397</v>
      </c>
      <c r="G784" s="765">
        <v>19.600000000000001</v>
      </c>
      <c r="H784" s="783">
        <f t="shared" si="64"/>
        <v>18.324197721200001</v>
      </c>
      <c r="I784" s="783">
        <f t="shared" si="63"/>
        <v>6871.5741454500003</v>
      </c>
      <c r="J784" s="843">
        <v>4.4000000000000004</v>
      </c>
      <c r="K784" s="790">
        <f t="shared" si="65"/>
        <v>4.1135954068</v>
      </c>
      <c r="L784" s="799">
        <f t="shared" si="66"/>
        <v>1542.5982775499999</v>
      </c>
      <c r="M784" s="757">
        <f t="shared" ref="M784:M831" si="67">L784+I784</f>
        <v>8414.172423</v>
      </c>
      <c r="N784" s="837"/>
      <c r="O784" s="663">
        <v>0.93490804699999996</v>
      </c>
      <c r="P784" s="725" t="s">
        <v>1689</v>
      </c>
    </row>
    <row r="785" spans="1:16" ht="18.95" customHeight="1">
      <c r="A785" s="851"/>
      <c r="B785" s="789" t="s">
        <v>273</v>
      </c>
      <c r="C785" s="1170" t="s">
        <v>1690</v>
      </c>
      <c r="D785" s="852"/>
      <c r="E785" s="757">
        <v>458</v>
      </c>
      <c r="F785" s="799" t="s">
        <v>397</v>
      </c>
      <c r="G785" s="765">
        <v>19.25</v>
      </c>
      <c r="H785" s="783">
        <f t="shared" si="64"/>
        <v>17.996979904749999</v>
      </c>
      <c r="I785" s="783">
        <f t="shared" si="63"/>
        <v>8242.6167963754997</v>
      </c>
      <c r="J785" s="843">
        <v>3.6</v>
      </c>
      <c r="K785" s="790">
        <f t="shared" si="65"/>
        <v>3.3656689692000001</v>
      </c>
      <c r="L785" s="799">
        <f t="shared" si="66"/>
        <v>1541.4763878936001</v>
      </c>
      <c r="M785" s="757">
        <f t="shared" si="67"/>
        <v>9784.0931842690989</v>
      </c>
      <c r="N785" s="837"/>
      <c r="O785" s="663">
        <v>0.93490804699999996</v>
      </c>
      <c r="P785" s="725" t="s">
        <v>1689</v>
      </c>
    </row>
    <row r="786" spans="1:16" ht="18.95" customHeight="1">
      <c r="A786" s="853"/>
      <c r="B786" s="789" t="s">
        <v>273</v>
      </c>
      <c r="C786" s="1170" t="s">
        <v>1694</v>
      </c>
      <c r="D786" s="852"/>
      <c r="E786" s="757">
        <v>15</v>
      </c>
      <c r="F786" s="799" t="s">
        <v>397</v>
      </c>
      <c r="G786" s="765">
        <v>27.1</v>
      </c>
      <c r="H786" s="783">
        <f t="shared" si="64"/>
        <v>25.3360080737</v>
      </c>
      <c r="I786" s="783">
        <f t="shared" si="63"/>
        <v>380.04012110550002</v>
      </c>
      <c r="J786" s="843">
        <v>0</v>
      </c>
      <c r="K786" s="790">
        <f t="shared" si="65"/>
        <v>0</v>
      </c>
      <c r="L786" s="799">
        <f t="shared" si="66"/>
        <v>0</v>
      </c>
      <c r="M786" s="757">
        <f t="shared" si="67"/>
        <v>380.04012110550002</v>
      </c>
      <c r="N786" s="837"/>
      <c r="O786" s="663">
        <v>0.93490804699999996</v>
      </c>
      <c r="P786" s="725" t="s">
        <v>1689</v>
      </c>
    </row>
    <row r="787" spans="1:16" ht="18.95" customHeight="1">
      <c r="A787" s="767"/>
      <c r="B787" s="786" t="s">
        <v>1696</v>
      </c>
      <c r="C787" s="809"/>
      <c r="D787" s="858"/>
      <c r="E787" s="766"/>
      <c r="F787" s="799"/>
      <c r="G787" s="765"/>
      <c r="H787" s="783"/>
      <c r="I787" s="783"/>
      <c r="J787" s="765"/>
      <c r="K787" s="790"/>
      <c r="L787" s="799"/>
      <c r="M787" s="757"/>
      <c r="N787" s="837"/>
      <c r="O787" s="663">
        <v>0.93490804699999996</v>
      </c>
    </row>
    <row r="788" spans="1:16" ht="18.95" customHeight="1">
      <c r="A788" s="853"/>
      <c r="B788" s="789" t="s">
        <v>273</v>
      </c>
      <c r="C788" s="1170" t="s">
        <v>1697</v>
      </c>
      <c r="D788" s="852"/>
      <c r="E788" s="766">
        <v>10</v>
      </c>
      <c r="F788" s="799" t="s">
        <v>211</v>
      </c>
      <c r="G788" s="765">
        <v>245.2</v>
      </c>
      <c r="H788" s="783">
        <f t="shared" si="64"/>
        <v>229.23945312439997</v>
      </c>
      <c r="I788" s="783">
        <f t="shared" si="63"/>
        <v>2292.3945312439996</v>
      </c>
      <c r="J788" s="843">
        <v>0</v>
      </c>
      <c r="K788" s="790">
        <f t="shared" si="65"/>
        <v>0</v>
      </c>
      <c r="L788" s="799">
        <f t="shared" si="66"/>
        <v>0</v>
      </c>
      <c r="M788" s="757">
        <f t="shared" si="67"/>
        <v>2292.3945312439996</v>
      </c>
      <c r="N788" s="841"/>
      <c r="O788" s="663">
        <v>0.93490804699999996</v>
      </c>
    </row>
    <row r="789" spans="1:16" ht="18.95" customHeight="1">
      <c r="A789" s="853"/>
      <c r="B789" s="789" t="s">
        <v>273</v>
      </c>
      <c r="C789" s="1170" t="s">
        <v>1698</v>
      </c>
      <c r="D789" s="852"/>
      <c r="E789" s="766">
        <v>20</v>
      </c>
      <c r="F789" s="799" t="s">
        <v>211</v>
      </c>
      <c r="G789" s="765">
        <v>0</v>
      </c>
      <c r="H789" s="783">
        <f t="shared" si="64"/>
        <v>0</v>
      </c>
      <c r="I789" s="783">
        <f t="shared" si="63"/>
        <v>0</v>
      </c>
      <c r="J789" s="843">
        <v>121</v>
      </c>
      <c r="K789" s="790">
        <f t="shared" si="65"/>
        <v>113.123873687</v>
      </c>
      <c r="L789" s="799">
        <f t="shared" si="66"/>
        <v>2262.4774737399998</v>
      </c>
      <c r="M789" s="757">
        <f t="shared" si="67"/>
        <v>2262.4774737399998</v>
      </c>
      <c r="N789" s="841"/>
      <c r="O789" s="663">
        <v>0.93490804699999996</v>
      </c>
    </row>
    <row r="790" spans="1:16" ht="18.95" customHeight="1">
      <c r="A790" s="853"/>
      <c r="B790" s="789" t="s">
        <v>273</v>
      </c>
      <c r="C790" s="1170" t="s">
        <v>1699</v>
      </c>
      <c r="D790" s="852"/>
      <c r="E790" s="766">
        <v>3</v>
      </c>
      <c r="F790" s="799" t="s">
        <v>1700</v>
      </c>
      <c r="G790" s="765">
        <v>309.42</v>
      </c>
      <c r="H790" s="783">
        <f t="shared" si="64"/>
        <v>289.27924790274</v>
      </c>
      <c r="I790" s="783">
        <f t="shared" si="63"/>
        <v>867.83774370821993</v>
      </c>
      <c r="J790" s="843">
        <v>0</v>
      </c>
      <c r="K790" s="790">
        <f t="shared" si="65"/>
        <v>0</v>
      </c>
      <c r="L790" s="799">
        <f t="shared" si="66"/>
        <v>0</v>
      </c>
      <c r="M790" s="757">
        <f t="shared" si="67"/>
        <v>867.83774370821993</v>
      </c>
      <c r="N790" s="841"/>
      <c r="O790" s="663">
        <v>0.93490804699999996</v>
      </c>
    </row>
    <row r="791" spans="1:16" ht="18.95" customHeight="1">
      <c r="A791" s="853"/>
      <c r="B791" s="789" t="s">
        <v>273</v>
      </c>
      <c r="C791" s="1170" t="s">
        <v>1701</v>
      </c>
      <c r="D791" s="852"/>
      <c r="E791" s="757">
        <v>3</v>
      </c>
      <c r="F791" s="799" t="s">
        <v>397</v>
      </c>
      <c r="G791" s="765">
        <v>23.36</v>
      </c>
      <c r="H791" s="783">
        <f t="shared" si="64"/>
        <v>21.83945197792</v>
      </c>
      <c r="I791" s="783">
        <f t="shared" si="63"/>
        <v>65.518355933760006</v>
      </c>
      <c r="J791" s="843">
        <v>0</v>
      </c>
      <c r="K791" s="790">
        <f t="shared" si="65"/>
        <v>0</v>
      </c>
      <c r="L791" s="799">
        <f t="shared" si="66"/>
        <v>0</v>
      </c>
      <c r="M791" s="757">
        <f t="shared" si="67"/>
        <v>65.518355933760006</v>
      </c>
      <c r="N791" s="841"/>
      <c r="O791" s="663">
        <v>0.93490804699999996</v>
      </c>
      <c r="P791" s="725" t="s">
        <v>1689</v>
      </c>
    </row>
    <row r="792" spans="1:16" ht="18.95" customHeight="1">
      <c r="A792" s="767"/>
      <c r="B792" s="786" t="s">
        <v>1702</v>
      </c>
      <c r="C792" s="809"/>
      <c r="D792" s="858"/>
      <c r="E792" s="766"/>
      <c r="F792" s="799"/>
      <c r="G792" s="765"/>
      <c r="H792" s="783"/>
      <c r="I792" s="783"/>
      <c r="J792" s="765"/>
      <c r="K792" s="790"/>
      <c r="L792" s="799"/>
      <c r="M792" s="757"/>
      <c r="N792" s="837"/>
      <c r="O792" s="663">
        <v>0.93490804699999996</v>
      </c>
    </row>
    <row r="793" spans="1:16" ht="18.95" customHeight="1">
      <c r="A793" s="855"/>
      <c r="B793" s="789" t="s">
        <v>273</v>
      </c>
      <c r="C793" s="852" t="s">
        <v>1723</v>
      </c>
      <c r="D793" s="852"/>
      <c r="E793" s="757">
        <v>9</v>
      </c>
      <c r="F793" s="799" t="s">
        <v>1684</v>
      </c>
      <c r="G793" s="759">
        <v>2679.9</v>
      </c>
      <c r="H793" s="783">
        <f t="shared" si="64"/>
        <v>2505.4600751552998</v>
      </c>
      <c r="I793" s="783">
        <f t="shared" si="63"/>
        <v>22549.140676397699</v>
      </c>
      <c r="J793" s="759">
        <v>519</v>
      </c>
      <c r="K793" s="790">
        <f t="shared" si="65"/>
        <v>485.21727639299996</v>
      </c>
      <c r="L793" s="799">
        <f t="shared" si="66"/>
        <v>4366.9554875369995</v>
      </c>
      <c r="M793" s="757">
        <f t="shared" si="67"/>
        <v>26916.096163934701</v>
      </c>
      <c r="N793" s="837"/>
      <c r="O793" s="663">
        <v>0.93490804699999996</v>
      </c>
    </row>
    <row r="794" spans="1:16" ht="18.95" customHeight="1">
      <c r="A794" s="1172" t="s">
        <v>1916</v>
      </c>
      <c r="B794" s="1169" t="s">
        <v>1917</v>
      </c>
      <c r="C794" s="801"/>
      <c r="D794" s="815"/>
      <c r="E794" s="854"/>
      <c r="F794" s="857"/>
      <c r="G794" s="843"/>
      <c r="H794" s="783"/>
      <c r="I794" s="783"/>
      <c r="J794" s="843"/>
      <c r="K794" s="790"/>
      <c r="L794" s="799"/>
      <c r="M794" s="757"/>
      <c r="N794" s="837"/>
      <c r="O794" s="663">
        <v>0.93490804699999996</v>
      </c>
    </row>
    <row r="795" spans="1:16" ht="18.95" customHeight="1">
      <c r="A795" s="877"/>
      <c r="B795" s="786" t="s">
        <v>1687</v>
      </c>
      <c r="C795" s="809"/>
      <c r="D795" s="815"/>
      <c r="E795" s="790"/>
      <c r="F795" s="799"/>
      <c r="G795" s="798"/>
      <c r="H795" s="783"/>
      <c r="I795" s="783"/>
      <c r="J795" s="843"/>
      <c r="K795" s="790"/>
      <c r="L795" s="799"/>
      <c r="M795" s="757"/>
      <c r="N795" s="841"/>
      <c r="O795" s="663">
        <v>0.93490804699999996</v>
      </c>
    </row>
    <row r="796" spans="1:16" ht="18.95" customHeight="1">
      <c r="A796" s="851"/>
      <c r="B796" s="789" t="s">
        <v>273</v>
      </c>
      <c r="C796" s="1170" t="s">
        <v>1720</v>
      </c>
      <c r="D796" s="852"/>
      <c r="E796" s="757">
        <v>30</v>
      </c>
      <c r="F796" s="799" t="s">
        <v>397</v>
      </c>
      <c r="G796" s="765">
        <v>19.600000000000001</v>
      </c>
      <c r="H796" s="783">
        <f t="shared" si="64"/>
        <v>18.324197721200001</v>
      </c>
      <c r="I796" s="783">
        <f t="shared" si="63"/>
        <v>549.72593163600004</v>
      </c>
      <c r="J796" s="843">
        <v>4.4000000000000004</v>
      </c>
      <c r="K796" s="790">
        <f t="shared" si="65"/>
        <v>4.1135954068</v>
      </c>
      <c r="L796" s="799">
        <f t="shared" si="66"/>
        <v>123.407862204</v>
      </c>
      <c r="M796" s="757">
        <f t="shared" si="67"/>
        <v>673.13379384000007</v>
      </c>
      <c r="N796" s="837"/>
      <c r="O796" s="663">
        <v>0.93490804699999996</v>
      </c>
      <c r="P796" s="725" t="s">
        <v>1689</v>
      </c>
    </row>
    <row r="797" spans="1:16" ht="18.95" customHeight="1">
      <c r="A797" s="851"/>
      <c r="B797" s="789" t="s">
        <v>273</v>
      </c>
      <c r="C797" s="1170" t="s">
        <v>1688</v>
      </c>
      <c r="D797" s="852"/>
      <c r="E797" s="757">
        <v>45</v>
      </c>
      <c r="F797" s="799" t="s">
        <v>397</v>
      </c>
      <c r="G797" s="765">
        <v>19.45</v>
      </c>
      <c r="H797" s="783">
        <f t="shared" si="64"/>
        <v>18.183961514149999</v>
      </c>
      <c r="I797" s="783">
        <f t="shared" si="63"/>
        <v>818.27826813674994</v>
      </c>
      <c r="J797" s="843">
        <v>3.6</v>
      </c>
      <c r="K797" s="790">
        <f t="shared" si="65"/>
        <v>3.3656689692000001</v>
      </c>
      <c r="L797" s="799">
        <f t="shared" si="66"/>
        <v>151.455103614</v>
      </c>
      <c r="M797" s="757">
        <f t="shared" si="67"/>
        <v>969.73337175074994</v>
      </c>
      <c r="N797" s="837"/>
      <c r="O797" s="663">
        <v>0.93490804699999996</v>
      </c>
      <c r="P797" s="725" t="s">
        <v>1689</v>
      </c>
    </row>
    <row r="798" spans="1:16" ht="18.95" customHeight="1">
      <c r="A798" s="851"/>
      <c r="B798" s="789" t="s">
        <v>273</v>
      </c>
      <c r="C798" s="1170" t="s">
        <v>1690</v>
      </c>
      <c r="D798" s="852"/>
      <c r="E798" s="757">
        <v>157</v>
      </c>
      <c r="F798" s="799" t="s">
        <v>397</v>
      </c>
      <c r="G798" s="765">
        <v>19.25</v>
      </c>
      <c r="H798" s="783">
        <f t="shared" si="64"/>
        <v>17.996979904749999</v>
      </c>
      <c r="I798" s="783">
        <f t="shared" si="63"/>
        <v>2825.52584504575</v>
      </c>
      <c r="J798" s="843">
        <v>3.6</v>
      </c>
      <c r="K798" s="790">
        <f t="shared" si="65"/>
        <v>3.3656689692000001</v>
      </c>
      <c r="L798" s="799">
        <f t="shared" si="66"/>
        <v>528.41002816440005</v>
      </c>
      <c r="M798" s="757">
        <f t="shared" si="67"/>
        <v>3353.93587321015</v>
      </c>
      <c r="N798" s="837"/>
      <c r="O798" s="663">
        <v>0.93490804699999996</v>
      </c>
      <c r="P798" s="725" t="s">
        <v>1689</v>
      </c>
    </row>
    <row r="799" spans="1:16" ht="18.95" customHeight="1">
      <c r="A799" s="853"/>
      <c r="B799" s="789" t="s">
        <v>273</v>
      </c>
      <c r="C799" s="1170" t="s">
        <v>1694</v>
      </c>
      <c r="D799" s="852"/>
      <c r="E799" s="757">
        <v>3.46</v>
      </c>
      <c r="F799" s="799" t="s">
        <v>397</v>
      </c>
      <c r="G799" s="765">
        <v>27.1</v>
      </c>
      <c r="H799" s="783">
        <f t="shared" si="64"/>
        <v>25.3360080737</v>
      </c>
      <c r="I799" s="783">
        <f t="shared" si="63"/>
        <v>87.662587935001994</v>
      </c>
      <c r="J799" s="843">
        <v>0</v>
      </c>
      <c r="K799" s="790">
        <f t="shared" si="65"/>
        <v>0</v>
      </c>
      <c r="L799" s="799">
        <f t="shared" si="66"/>
        <v>0</v>
      </c>
      <c r="M799" s="757">
        <f t="shared" si="67"/>
        <v>87.662587935001994</v>
      </c>
      <c r="N799" s="837"/>
      <c r="O799" s="663">
        <v>0.93490804699999996</v>
      </c>
      <c r="P799" s="725" t="s">
        <v>1689</v>
      </c>
    </row>
    <row r="800" spans="1:16" ht="18.95" customHeight="1">
      <c r="A800" s="767"/>
      <c r="B800" s="786" t="s">
        <v>1696</v>
      </c>
      <c r="C800" s="809"/>
      <c r="D800" s="858"/>
      <c r="E800" s="766"/>
      <c r="F800" s="799"/>
      <c r="G800" s="765"/>
      <c r="H800" s="783"/>
      <c r="I800" s="783"/>
      <c r="J800" s="765"/>
      <c r="K800" s="790"/>
      <c r="L800" s="799"/>
      <c r="M800" s="757"/>
      <c r="N800" s="837"/>
      <c r="O800" s="663">
        <v>0.93490804699999996</v>
      </c>
    </row>
    <row r="801" spans="1:16" ht="18.95" customHeight="1">
      <c r="A801" s="853"/>
      <c r="B801" s="789" t="s">
        <v>273</v>
      </c>
      <c r="C801" s="1170" t="s">
        <v>1697</v>
      </c>
      <c r="D801" s="852"/>
      <c r="E801" s="766">
        <v>4</v>
      </c>
      <c r="F801" s="799" t="s">
        <v>211</v>
      </c>
      <c r="G801" s="765">
        <v>245.2</v>
      </c>
      <c r="H801" s="783">
        <f t="shared" si="64"/>
        <v>229.23945312439997</v>
      </c>
      <c r="I801" s="783">
        <f t="shared" si="63"/>
        <v>916.95781249759989</v>
      </c>
      <c r="J801" s="843">
        <v>0</v>
      </c>
      <c r="K801" s="790">
        <f t="shared" si="65"/>
        <v>0</v>
      </c>
      <c r="L801" s="799">
        <f t="shared" si="66"/>
        <v>0</v>
      </c>
      <c r="M801" s="757">
        <f t="shared" si="67"/>
        <v>916.95781249759989</v>
      </c>
      <c r="N801" s="841"/>
      <c r="O801" s="663">
        <v>0.93490804699999996</v>
      </c>
    </row>
    <row r="802" spans="1:16" ht="18.95" customHeight="1">
      <c r="A802" s="853"/>
      <c r="B802" s="789" t="s">
        <v>273</v>
      </c>
      <c r="C802" s="1170" t="s">
        <v>1698</v>
      </c>
      <c r="D802" s="852"/>
      <c r="E802" s="766">
        <v>8</v>
      </c>
      <c r="F802" s="799" t="s">
        <v>211</v>
      </c>
      <c r="G802" s="765">
        <v>0</v>
      </c>
      <c r="H802" s="783">
        <f t="shared" si="64"/>
        <v>0</v>
      </c>
      <c r="I802" s="783">
        <f t="shared" si="63"/>
        <v>0</v>
      </c>
      <c r="J802" s="843">
        <v>121</v>
      </c>
      <c r="K802" s="790">
        <f t="shared" si="65"/>
        <v>113.123873687</v>
      </c>
      <c r="L802" s="799">
        <f t="shared" si="66"/>
        <v>904.990989496</v>
      </c>
      <c r="M802" s="757">
        <f t="shared" si="67"/>
        <v>904.990989496</v>
      </c>
      <c r="N802" s="841"/>
      <c r="O802" s="663">
        <v>0.93490804699999996</v>
      </c>
    </row>
    <row r="803" spans="1:16" ht="18.95" customHeight="1">
      <c r="A803" s="853"/>
      <c r="B803" s="789" t="s">
        <v>273</v>
      </c>
      <c r="C803" s="1170" t="s">
        <v>1699</v>
      </c>
      <c r="D803" s="852"/>
      <c r="E803" s="766">
        <v>2</v>
      </c>
      <c r="F803" s="799" t="s">
        <v>1700</v>
      </c>
      <c r="G803" s="765">
        <v>309.42</v>
      </c>
      <c r="H803" s="783">
        <f t="shared" si="64"/>
        <v>289.27924790274</v>
      </c>
      <c r="I803" s="783">
        <f t="shared" si="63"/>
        <v>578.55849580547999</v>
      </c>
      <c r="J803" s="843">
        <v>0</v>
      </c>
      <c r="K803" s="790">
        <f t="shared" si="65"/>
        <v>0</v>
      </c>
      <c r="L803" s="799">
        <f t="shared" si="66"/>
        <v>0</v>
      </c>
      <c r="M803" s="757">
        <f t="shared" si="67"/>
        <v>578.55849580547999</v>
      </c>
      <c r="N803" s="841"/>
      <c r="O803" s="663">
        <v>0.93490804699999996</v>
      </c>
    </row>
    <row r="804" spans="1:16" ht="18.95" customHeight="1">
      <c r="A804" s="853"/>
      <c r="B804" s="789" t="s">
        <v>273</v>
      </c>
      <c r="C804" s="1170" t="s">
        <v>1701</v>
      </c>
      <c r="D804" s="852"/>
      <c r="E804" s="757">
        <v>1</v>
      </c>
      <c r="F804" s="799" t="s">
        <v>397</v>
      </c>
      <c r="G804" s="765">
        <v>23.36</v>
      </c>
      <c r="H804" s="783">
        <f t="shared" si="64"/>
        <v>21.83945197792</v>
      </c>
      <c r="I804" s="783">
        <f t="shared" si="63"/>
        <v>21.83945197792</v>
      </c>
      <c r="J804" s="843">
        <v>0</v>
      </c>
      <c r="K804" s="790">
        <f t="shared" si="65"/>
        <v>0</v>
      </c>
      <c r="L804" s="799">
        <f t="shared" si="66"/>
        <v>0</v>
      </c>
      <c r="M804" s="757">
        <f t="shared" si="67"/>
        <v>21.83945197792</v>
      </c>
      <c r="N804" s="841"/>
      <c r="O804" s="663">
        <v>0.93490804699999996</v>
      </c>
      <c r="P804" s="725" t="s">
        <v>1689</v>
      </c>
    </row>
    <row r="805" spans="1:16" ht="18.95" customHeight="1">
      <c r="A805" s="767"/>
      <c r="B805" s="786" t="s">
        <v>1702</v>
      </c>
      <c r="C805" s="809"/>
      <c r="D805" s="860"/>
      <c r="E805" s="766"/>
      <c r="F805" s="857"/>
      <c r="G805" s="798"/>
      <c r="H805" s="783"/>
      <c r="I805" s="783"/>
      <c r="J805" s="843"/>
      <c r="K805" s="790"/>
      <c r="L805" s="799"/>
      <c r="M805" s="757"/>
      <c r="N805" s="837"/>
      <c r="O805" s="663">
        <v>0.93490804699999996</v>
      </c>
    </row>
    <row r="806" spans="1:16" ht="18.95" customHeight="1">
      <c r="A806" s="855"/>
      <c r="B806" s="789" t="s">
        <v>273</v>
      </c>
      <c r="C806" s="852" t="s">
        <v>1723</v>
      </c>
      <c r="D806" s="852"/>
      <c r="E806" s="757">
        <v>2</v>
      </c>
      <c r="F806" s="799" t="s">
        <v>1684</v>
      </c>
      <c r="G806" s="759">
        <v>2679.9</v>
      </c>
      <c r="H806" s="783">
        <f t="shared" si="64"/>
        <v>2505.4600751552998</v>
      </c>
      <c r="I806" s="783">
        <f t="shared" si="63"/>
        <v>5010.9201503105996</v>
      </c>
      <c r="J806" s="759">
        <v>519</v>
      </c>
      <c r="K806" s="790">
        <f t="shared" si="65"/>
        <v>485.21727639299996</v>
      </c>
      <c r="L806" s="799">
        <f t="shared" si="66"/>
        <v>970.43455278599993</v>
      </c>
      <c r="M806" s="757">
        <f t="shared" si="67"/>
        <v>5981.3547030965992</v>
      </c>
      <c r="N806" s="837"/>
      <c r="O806" s="663">
        <v>0.93490804699999996</v>
      </c>
    </row>
    <row r="807" spans="1:16" ht="18.95" customHeight="1">
      <c r="A807" s="1172" t="s">
        <v>1918</v>
      </c>
      <c r="B807" s="1169" t="s">
        <v>1919</v>
      </c>
      <c r="C807" s="801"/>
      <c r="D807" s="815"/>
      <c r="E807" s="854"/>
      <c r="F807" s="857"/>
      <c r="G807" s="843"/>
      <c r="H807" s="783"/>
      <c r="I807" s="783"/>
      <c r="J807" s="843"/>
      <c r="K807" s="790"/>
      <c r="L807" s="799"/>
      <c r="M807" s="757"/>
      <c r="N807" s="837"/>
      <c r="O807" s="663">
        <v>0.93490804699999996</v>
      </c>
    </row>
    <row r="808" spans="1:16" ht="18.95" customHeight="1">
      <c r="A808" s="877"/>
      <c r="B808" s="786" t="s">
        <v>1687</v>
      </c>
      <c r="C808" s="809"/>
      <c r="D808" s="815"/>
      <c r="E808" s="790"/>
      <c r="F808" s="799"/>
      <c r="G808" s="798"/>
      <c r="H808" s="783"/>
      <c r="I808" s="783"/>
      <c r="J808" s="843"/>
      <c r="K808" s="790"/>
      <c r="L808" s="799"/>
      <c r="M808" s="757"/>
      <c r="N808" s="841"/>
      <c r="O808" s="663">
        <v>0.93490804699999996</v>
      </c>
    </row>
    <row r="809" spans="1:16" ht="18.95" customHeight="1">
      <c r="A809" s="851"/>
      <c r="B809" s="789" t="s">
        <v>273</v>
      </c>
      <c r="C809" s="1170" t="s">
        <v>1720</v>
      </c>
      <c r="D809" s="852"/>
      <c r="E809" s="757">
        <v>20</v>
      </c>
      <c r="F809" s="799" t="s">
        <v>397</v>
      </c>
      <c r="G809" s="765">
        <v>19.600000000000001</v>
      </c>
      <c r="H809" s="783">
        <f t="shared" si="64"/>
        <v>18.324197721200001</v>
      </c>
      <c r="I809" s="783">
        <f t="shared" si="63"/>
        <v>366.48395442399999</v>
      </c>
      <c r="J809" s="843">
        <v>4.4000000000000004</v>
      </c>
      <c r="K809" s="790">
        <f t="shared" si="65"/>
        <v>4.1135954068</v>
      </c>
      <c r="L809" s="799">
        <f t="shared" si="66"/>
        <v>82.271908136000008</v>
      </c>
      <c r="M809" s="757">
        <f t="shared" si="67"/>
        <v>448.75586255999997</v>
      </c>
      <c r="N809" s="837"/>
      <c r="O809" s="663">
        <v>0.93490804699999996</v>
      </c>
      <c r="P809" s="725" t="s">
        <v>1689</v>
      </c>
    </row>
    <row r="810" spans="1:16" ht="18.95" customHeight="1">
      <c r="A810" s="851"/>
      <c r="B810" s="789" t="s">
        <v>273</v>
      </c>
      <c r="C810" s="1170" t="s">
        <v>1688</v>
      </c>
      <c r="D810" s="852"/>
      <c r="E810" s="757">
        <v>18</v>
      </c>
      <c r="F810" s="799" t="s">
        <v>397</v>
      </c>
      <c r="G810" s="765">
        <v>19.45</v>
      </c>
      <c r="H810" s="783">
        <f t="shared" si="64"/>
        <v>18.183961514149999</v>
      </c>
      <c r="I810" s="783">
        <f t="shared" ref="I810:I873" si="68">H810*E810</f>
        <v>327.31130725469995</v>
      </c>
      <c r="J810" s="843">
        <v>3.6</v>
      </c>
      <c r="K810" s="790">
        <f t="shared" si="65"/>
        <v>3.3656689692000001</v>
      </c>
      <c r="L810" s="799">
        <f t="shared" si="66"/>
        <v>60.582041445600005</v>
      </c>
      <c r="M810" s="757">
        <f t="shared" si="67"/>
        <v>387.89334870029995</v>
      </c>
      <c r="N810" s="837"/>
      <c r="O810" s="663">
        <v>0.93490804699999996</v>
      </c>
      <c r="P810" s="725" t="s">
        <v>1689</v>
      </c>
    </row>
    <row r="811" spans="1:16" ht="18.95" customHeight="1">
      <c r="A811" s="851"/>
      <c r="B811" s="789" t="s">
        <v>273</v>
      </c>
      <c r="C811" s="1170" t="s">
        <v>1690</v>
      </c>
      <c r="D811" s="852"/>
      <c r="E811" s="757">
        <v>30</v>
      </c>
      <c r="F811" s="799" t="s">
        <v>397</v>
      </c>
      <c r="G811" s="765">
        <v>19.25</v>
      </c>
      <c r="H811" s="783">
        <f t="shared" si="64"/>
        <v>17.996979904749999</v>
      </c>
      <c r="I811" s="783">
        <f t="shared" si="68"/>
        <v>539.90939714249998</v>
      </c>
      <c r="J811" s="843">
        <v>3.6</v>
      </c>
      <c r="K811" s="790">
        <f t="shared" si="65"/>
        <v>3.3656689692000001</v>
      </c>
      <c r="L811" s="799">
        <f t="shared" si="66"/>
        <v>100.970069076</v>
      </c>
      <c r="M811" s="757">
        <f t="shared" si="67"/>
        <v>640.87946621849994</v>
      </c>
      <c r="N811" s="837"/>
      <c r="O811" s="663">
        <v>0.93490804699999996</v>
      </c>
      <c r="P811" s="725" t="s">
        <v>1689</v>
      </c>
    </row>
    <row r="812" spans="1:16" ht="18.95" customHeight="1">
      <c r="A812" s="853"/>
      <c r="B812" s="789" t="s">
        <v>273</v>
      </c>
      <c r="C812" s="1170" t="s">
        <v>1694</v>
      </c>
      <c r="D812" s="852"/>
      <c r="E812" s="757">
        <v>1.3320000000000001</v>
      </c>
      <c r="F812" s="799" t="s">
        <v>397</v>
      </c>
      <c r="G812" s="765">
        <v>27.1</v>
      </c>
      <c r="H812" s="783">
        <f t="shared" si="64"/>
        <v>25.3360080737</v>
      </c>
      <c r="I812" s="783">
        <f t="shared" si="68"/>
        <v>33.747562754168399</v>
      </c>
      <c r="J812" s="843">
        <v>0</v>
      </c>
      <c r="K812" s="790">
        <f t="shared" si="65"/>
        <v>0</v>
      </c>
      <c r="L812" s="799">
        <f t="shared" si="66"/>
        <v>0</v>
      </c>
      <c r="M812" s="757">
        <f t="shared" si="67"/>
        <v>33.747562754168399</v>
      </c>
      <c r="N812" s="837"/>
      <c r="O812" s="663">
        <v>0.93490804699999996</v>
      </c>
      <c r="P812" s="725" t="s">
        <v>1689</v>
      </c>
    </row>
    <row r="813" spans="1:16" ht="18.95" customHeight="1">
      <c r="A813" s="767"/>
      <c r="B813" s="786" t="s">
        <v>1696</v>
      </c>
      <c r="C813" s="809"/>
      <c r="D813" s="858"/>
      <c r="E813" s="766"/>
      <c r="F813" s="799"/>
      <c r="G813" s="765"/>
      <c r="H813" s="783"/>
      <c r="I813" s="783"/>
      <c r="J813" s="765"/>
      <c r="K813" s="790"/>
      <c r="L813" s="799"/>
      <c r="M813" s="757"/>
      <c r="N813" s="837"/>
      <c r="O813" s="663">
        <v>0.93490804699999996</v>
      </c>
    </row>
    <row r="814" spans="1:16" ht="18.95" customHeight="1">
      <c r="A814" s="853"/>
      <c r="B814" s="789" t="s">
        <v>273</v>
      </c>
      <c r="C814" s="1170" t="s">
        <v>1697</v>
      </c>
      <c r="D814" s="852"/>
      <c r="E814" s="766">
        <v>2</v>
      </c>
      <c r="F814" s="799" t="s">
        <v>211</v>
      </c>
      <c r="G814" s="765">
        <v>245.2</v>
      </c>
      <c r="H814" s="783">
        <f t="shared" si="64"/>
        <v>229.23945312439997</v>
      </c>
      <c r="I814" s="783">
        <f t="shared" si="68"/>
        <v>458.47890624879994</v>
      </c>
      <c r="J814" s="843">
        <v>0</v>
      </c>
      <c r="K814" s="790">
        <f t="shared" si="65"/>
        <v>0</v>
      </c>
      <c r="L814" s="799">
        <f t="shared" si="66"/>
        <v>0</v>
      </c>
      <c r="M814" s="757">
        <f t="shared" si="67"/>
        <v>458.47890624879994</v>
      </c>
      <c r="N814" s="841"/>
      <c r="O814" s="663">
        <v>0.93490804699999996</v>
      </c>
    </row>
    <row r="815" spans="1:16" ht="18.95" customHeight="1">
      <c r="A815" s="853"/>
      <c r="B815" s="789" t="s">
        <v>273</v>
      </c>
      <c r="C815" s="1170" t="s">
        <v>1698</v>
      </c>
      <c r="D815" s="852"/>
      <c r="E815" s="766">
        <v>4</v>
      </c>
      <c r="F815" s="799" t="s">
        <v>211</v>
      </c>
      <c r="G815" s="765">
        <v>0</v>
      </c>
      <c r="H815" s="783">
        <f t="shared" si="64"/>
        <v>0</v>
      </c>
      <c r="I815" s="783">
        <f t="shared" si="68"/>
        <v>0</v>
      </c>
      <c r="J815" s="843">
        <v>121</v>
      </c>
      <c r="K815" s="790">
        <f t="shared" si="65"/>
        <v>113.123873687</v>
      </c>
      <c r="L815" s="799">
        <f t="shared" si="66"/>
        <v>452.495494748</v>
      </c>
      <c r="M815" s="757">
        <f t="shared" si="67"/>
        <v>452.495494748</v>
      </c>
      <c r="N815" s="841"/>
      <c r="O815" s="663">
        <v>0.93490804699999996</v>
      </c>
    </row>
    <row r="816" spans="1:16" ht="18.95" customHeight="1">
      <c r="A816" s="853"/>
      <c r="B816" s="789" t="s">
        <v>273</v>
      </c>
      <c r="C816" s="1170" t="s">
        <v>1699</v>
      </c>
      <c r="D816" s="852"/>
      <c r="E816" s="766">
        <v>1</v>
      </c>
      <c r="F816" s="799" t="s">
        <v>1700</v>
      </c>
      <c r="G816" s="765">
        <v>309.42</v>
      </c>
      <c r="H816" s="783">
        <f t="shared" si="64"/>
        <v>289.27924790274</v>
      </c>
      <c r="I816" s="783">
        <f t="shared" si="68"/>
        <v>289.27924790274</v>
      </c>
      <c r="J816" s="843">
        <v>0</v>
      </c>
      <c r="K816" s="790">
        <f t="shared" si="65"/>
        <v>0</v>
      </c>
      <c r="L816" s="799">
        <f t="shared" si="66"/>
        <v>0</v>
      </c>
      <c r="M816" s="757">
        <f t="shared" si="67"/>
        <v>289.27924790274</v>
      </c>
      <c r="N816" s="841"/>
      <c r="O816" s="663">
        <v>0.93490804699999996</v>
      </c>
    </row>
    <row r="817" spans="1:16" ht="18.95" customHeight="1">
      <c r="A817" s="853"/>
      <c r="B817" s="789" t="s">
        <v>273</v>
      </c>
      <c r="C817" s="1170" t="s">
        <v>1701</v>
      </c>
      <c r="D817" s="852"/>
      <c r="E817" s="757">
        <v>1</v>
      </c>
      <c r="F817" s="799" t="s">
        <v>397</v>
      </c>
      <c r="G817" s="765">
        <v>23.36</v>
      </c>
      <c r="H817" s="783">
        <f t="shared" si="64"/>
        <v>21.83945197792</v>
      </c>
      <c r="I817" s="783">
        <f t="shared" si="68"/>
        <v>21.83945197792</v>
      </c>
      <c r="J817" s="843">
        <v>0</v>
      </c>
      <c r="K817" s="790">
        <f t="shared" si="65"/>
        <v>0</v>
      </c>
      <c r="L817" s="799">
        <f t="shared" si="66"/>
        <v>0</v>
      </c>
      <c r="M817" s="757">
        <f t="shared" si="67"/>
        <v>21.83945197792</v>
      </c>
      <c r="N817" s="841"/>
      <c r="O817" s="663">
        <v>0.93490804699999996</v>
      </c>
      <c r="P817" s="725" t="s">
        <v>1689</v>
      </c>
    </row>
    <row r="818" spans="1:16" ht="18.95" customHeight="1">
      <c r="A818" s="767"/>
      <c r="B818" s="786" t="s">
        <v>1702</v>
      </c>
      <c r="C818" s="809"/>
      <c r="D818" s="860"/>
      <c r="E818" s="766"/>
      <c r="F818" s="857"/>
      <c r="G818" s="798"/>
      <c r="H818" s="783"/>
      <c r="I818" s="783"/>
      <c r="J818" s="843"/>
      <c r="K818" s="790"/>
      <c r="L818" s="799"/>
      <c r="M818" s="757"/>
      <c r="N818" s="837"/>
      <c r="O818" s="663">
        <v>0.93490804699999996</v>
      </c>
    </row>
    <row r="819" spans="1:16" ht="18.95" customHeight="1">
      <c r="A819" s="855"/>
      <c r="B819" s="789" t="s">
        <v>273</v>
      </c>
      <c r="C819" s="852" t="s">
        <v>1723</v>
      </c>
      <c r="D819" s="852"/>
      <c r="E819" s="757">
        <v>1</v>
      </c>
      <c r="F819" s="799" t="s">
        <v>1684</v>
      </c>
      <c r="G819" s="759">
        <v>2679.9</v>
      </c>
      <c r="H819" s="783">
        <f t="shared" si="64"/>
        <v>2505.4600751552998</v>
      </c>
      <c r="I819" s="783">
        <f t="shared" si="68"/>
        <v>2505.4600751552998</v>
      </c>
      <c r="J819" s="759">
        <v>519</v>
      </c>
      <c r="K819" s="790">
        <f t="shared" si="65"/>
        <v>485.21727639299996</v>
      </c>
      <c r="L819" s="799">
        <f t="shared" si="66"/>
        <v>485.21727639299996</v>
      </c>
      <c r="M819" s="757">
        <f t="shared" si="67"/>
        <v>2990.6773515482996</v>
      </c>
      <c r="N819" s="837"/>
      <c r="O819" s="663">
        <v>0.93490804699999996</v>
      </c>
    </row>
    <row r="820" spans="1:16" ht="18.95" customHeight="1">
      <c r="A820" s="1172" t="s">
        <v>1920</v>
      </c>
      <c r="B820" s="1169" t="s">
        <v>1921</v>
      </c>
      <c r="C820" s="801"/>
      <c r="D820" s="815"/>
      <c r="E820" s="854"/>
      <c r="F820" s="857"/>
      <c r="G820" s="843"/>
      <c r="H820" s="783"/>
      <c r="I820" s="783"/>
      <c r="J820" s="843"/>
      <c r="K820" s="790"/>
      <c r="L820" s="799"/>
      <c r="M820" s="757"/>
      <c r="N820" s="837"/>
      <c r="O820" s="663">
        <v>0.93490804699999996</v>
      </c>
    </row>
    <row r="821" spans="1:16" ht="18.95" customHeight="1">
      <c r="A821" s="877"/>
      <c r="B821" s="786" t="s">
        <v>1687</v>
      </c>
      <c r="C821" s="809"/>
      <c r="D821" s="815"/>
      <c r="E821" s="790"/>
      <c r="F821" s="799"/>
      <c r="G821" s="798"/>
      <c r="H821" s="783"/>
      <c r="I821" s="783"/>
      <c r="J821" s="843"/>
      <c r="K821" s="790"/>
      <c r="L821" s="799"/>
      <c r="M821" s="757"/>
      <c r="N821" s="841"/>
      <c r="O821" s="663">
        <v>0.93490804699999996</v>
      </c>
    </row>
    <row r="822" spans="1:16" ht="18.95" customHeight="1">
      <c r="A822" s="851"/>
      <c r="B822" s="789" t="s">
        <v>273</v>
      </c>
      <c r="C822" s="1170" t="s">
        <v>1720</v>
      </c>
      <c r="D822" s="852"/>
      <c r="E822" s="757">
        <v>1206</v>
      </c>
      <c r="F822" s="799" t="s">
        <v>397</v>
      </c>
      <c r="G822" s="765">
        <v>19.600000000000001</v>
      </c>
      <c r="H822" s="783">
        <f t="shared" si="64"/>
        <v>18.324197721200001</v>
      </c>
      <c r="I822" s="783">
        <f t="shared" si="68"/>
        <v>22098.982451767202</v>
      </c>
      <c r="J822" s="843">
        <v>4.4000000000000004</v>
      </c>
      <c r="K822" s="790">
        <f t="shared" si="65"/>
        <v>4.1135954068</v>
      </c>
      <c r="L822" s="799">
        <f t="shared" si="66"/>
        <v>4960.9960606007999</v>
      </c>
      <c r="M822" s="757">
        <f t="shared" si="67"/>
        <v>27059.978512368001</v>
      </c>
      <c r="N822" s="837"/>
      <c r="O822" s="663">
        <v>0.93490804699999996</v>
      </c>
      <c r="P822" s="725" t="s">
        <v>1689</v>
      </c>
    </row>
    <row r="823" spans="1:16" ht="18.95" customHeight="1">
      <c r="A823" s="851"/>
      <c r="B823" s="789" t="s">
        <v>273</v>
      </c>
      <c r="C823" s="1170" t="s">
        <v>1688</v>
      </c>
      <c r="D823" s="852"/>
      <c r="E823" s="757">
        <v>848</v>
      </c>
      <c r="F823" s="799" t="s">
        <v>397</v>
      </c>
      <c r="G823" s="765">
        <v>19.45</v>
      </c>
      <c r="H823" s="783">
        <f t="shared" si="64"/>
        <v>18.183961514149999</v>
      </c>
      <c r="I823" s="783">
        <f t="shared" si="68"/>
        <v>15419.999363999199</v>
      </c>
      <c r="J823" s="843">
        <v>3.6</v>
      </c>
      <c r="K823" s="790">
        <f t="shared" si="65"/>
        <v>3.3656689692000001</v>
      </c>
      <c r="L823" s="799">
        <f t="shared" si="66"/>
        <v>2854.0872858816001</v>
      </c>
      <c r="M823" s="757">
        <f t="shared" si="67"/>
        <v>18274.086649880799</v>
      </c>
      <c r="N823" s="837"/>
      <c r="O823" s="663">
        <v>0.93490804699999996</v>
      </c>
      <c r="P823" s="725" t="s">
        <v>1689</v>
      </c>
    </row>
    <row r="824" spans="1:16" ht="18.95" customHeight="1">
      <c r="A824" s="853"/>
      <c r="B824" s="789" t="s">
        <v>273</v>
      </c>
      <c r="C824" s="1170" t="s">
        <v>1694</v>
      </c>
      <c r="D824" s="852"/>
      <c r="E824" s="757">
        <v>37</v>
      </c>
      <c r="F824" s="799" t="s">
        <v>397</v>
      </c>
      <c r="G824" s="765">
        <v>27.1</v>
      </c>
      <c r="H824" s="783">
        <f t="shared" si="64"/>
        <v>25.3360080737</v>
      </c>
      <c r="I824" s="783">
        <f t="shared" si="68"/>
        <v>937.43229872690006</v>
      </c>
      <c r="J824" s="843">
        <v>0</v>
      </c>
      <c r="K824" s="790">
        <f t="shared" si="65"/>
        <v>0</v>
      </c>
      <c r="L824" s="799">
        <f t="shared" si="66"/>
        <v>0</v>
      </c>
      <c r="M824" s="757">
        <f t="shared" si="67"/>
        <v>937.43229872690006</v>
      </c>
      <c r="N824" s="837"/>
      <c r="O824" s="663">
        <v>0.93490804699999996</v>
      </c>
      <c r="P824" s="725" t="s">
        <v>1689</v>
      </c>
    </row>
    <row r="825" spans="1:16" ht="18.95" customHeight="1">
      <c r="A825" s="859"/>
      <c r="B825" s="786" t="s">
        <v>1696</v>
      </c>
      <c r="C825" s="809"/>
      <c r="D825" s="858"/>
      <c r="E825" s="766"/>
      <c r="F825" s="799"/>
      <c r="G825" s="765"/>
      <c r="H825" s="783"/>
      <c r="I825" s="783"/>
      <c r="J825" s="765"/>
      <c r="K825" s="790"/>
      <c r="L825" s="799"/>
      <c r="M825" s="757"/>
      <c r="N825" s="837"/>
      <c r="O825" s="663">
        <v>0.93490804699999996</v>
      </c>
    </row>
    <row r="826" spans="1:16" ht="18.95" customHeight="1">
      <c r="A826" s="853"/>
      <c r="B826" s="789" t="s">
        <v>273</v>
      </c>
      <c r="C826" s="1170" t="s">
        <v>1697</v>
      </c>
      <c r="D826" s="852"/>
      <c r="E826" s="766">
        <v>54</v>
      </c>
      <c r="F826" s="799" t="s">
        <v>211</v>
      </c>
      <c r="G826" s="765">
        <v>245.2</v>
      </c>
      <c r="H826" s="783">
        <f t="shared" si="64"/>
        <v>229.23945312439997</v>
      </c>
      <c r="I826" s="783">
        <f t="shared" si="68"/>
        <v>12378.930468717599</v>
      </c>
      <c r="J826" s="843">
        <v>0</v>
      </c>
      <c r="K826" s="790">
        <f t="shared" si="65"/>
        <v>0</v>
      </c>
      <c r="L826" s="799">
        <f t="shared" si="66"/>
        <v>0</v>
      </c>
      <c r="M826" s="757">
        <f t="shared" si="67"/>
        <v>12378.930468717599</v>
      </c>
      <c r="N826" s="841"/>
      <c r="O826" s="663">
        <v>0.93490804699999996</v>
      </c>
    </row>
    <row r="827" spans="1:16" ht="18.95" customHeight="1">
      <c r="A827" s="853"/>
      <c r="B827" s="789" t="s">
        <v>273</v>
      </c>
      <c r="C827" s="1170" t="s">
        <v>1698</v>
      </c>
      <c r="D827" s="852"/>
      <c r="E827" s="766">
        <v>107</v>
      </c>
      <c r="F827" s="799" t="s">
        <v>211</v>
      </c>
      <c r="G827" s="765">
        <v>0</v>
      </c>
      <c r="H827" s="783">
        <f t="shared" si="64"/>
        <v>0</v>
      </c>
      <c r="I827" s="783">
        <f t="shared" si="68"/>
        <v>0</v>
      </c>
      <c r="J827" s="843">
        <v>121</v>
      </c>
      <c r="K827" s="790">
        <f t="shared" si="65"/>
        <v>113.123873687</v>
      </c>
      <c r="L827" s="799">
        <f t="shared" si="66"/>
        <v>12104.254484509</v>
      </c>
      <c r="M827" s="757">
        <f t="shared" si="67"/>
        <v>12104.254484509</v>
      </c>
      <c r="N827" s="841"/>
      <c r="O827" s="663">
        <v>0.93490804699999996</v>
      </c>
    </row>
    <row r="828" spans="1:16" ht="18.95" customHeight="1">
      <c r="A828" s="853"/>
      <c r="B828" s="789" t="s">
        <v>273</v>
      </c>
      <c r="C828" s="1170" t="s">
        <v>1699</v>
      </c>
      <c r="D828" s="852"/>
      <c r="E828" s="766">
        <v>17</v>
      </c>
      <c r="F828" s="799" t="s">
        <v>1700</v>
      </c>
      <c r="G828" s="765">
        <v>309.42</v>
      </c>
      <c r="H828" s="783">
        <f t="shared" si="64"/>
        <v>289.27924790274</v>
      </c>
      <c r="I828" s="783">
        <f t="shared" si="68"/>
        <v>4917.7472143465802</v>
      </c>
      <c r="J828" s="843">
        <v>0</v>
      </c>
      <c r="K828" s="790">
        <f t="shared" si="65"/>
        <v>0</v>
      </c>
      <c r="L828" s="799">
        <f t="shared" si="66"/>
        <v>0</v>
      </c>
      <c r="M828" s="757">
        <f t="shared" si="67"/>
        <v>4917.7472143465802</v>
      </c>
      <c r="N828" s="841"/>
      <c r="O828" s="663">
        <v>0.93490804699999996</v>
      </c>
    </row>
    <row r="829" spans="1:16" ht="18.95" customHeight="1">
      <c r="A829" s="853"/>
      <c r="B829" s="789" t="s">
        <v>273</v>
      </c>
      <c r="C829" s="1170" t="s">
        <v>1701</v>
      </c>
      <c r="D829" s="852"/>
      <c r="E829" s="757">
        <v>14</v>
      </c>
      <c r="F829" s="799" t="s">
        <v>397</v>
      </c>
      <c r="G829" s="765">
        <v>23.36</v>
      </c>
      <c r="H829" s="783">
        <f t="shared" ref="H829:H892" si="69">G829*O829</f>
        <v>21.83945197792</v>
      </c>
      <c r="I829" s="783">
        <f t="shared" si="68"/>
        <v>305.75232769088001</v>
      </c>
      <c r="J829" s="843">
        <v>0</v>
      </c>
      <c r="K829" s="790">
        <f t="shared" si="65"/>
        <v>0</v>
      </c>
      <c r="L829" s="799">
        <f t="shared" si="66"/>
        <v>0</v>
      </c>
      <c r="M829" s="757">
        <f t="shared" si="67"/>
        <v>305.75232769088001</v>
      </c>
      <c r="N829" s="841"/>
      <c r="O829" s="663">
        <v>0.93490804699999996</v>
      </c>
      <c r="P829" s="725" t="s">
        <v>1689</v>
      </c>
    </row>
    <row r="830" spans="1:16" ht="18.95" customHeight="1">
      <c r="A830" s="767"/>
      <c r="B830" s="786" t="s">
        <v>1702</v>
      </c>
      <c r="C830" s="809"/>
      <c r="D830" s="860"/>
      <c r="E830" s="766"/>
      <c r="F830" s="857"/>
      <c r="G830" s="798"/>
      <c r="H830" s="783"/>
      <c r="I830" s="783"/>
      <c r="J830" s="843"/>
      <c r="K830" s="790"/>
      <c r="L830" s="799"/>
      <c r="M830" s="757"/>
      <c r="N830" s="837"/>
      <c r="O830" s="663">
        <v>0.93490804699999996</v>
      </c>
    </row>
    <row r="831" spans="1:16" ht="18.95" customHeight="1">
      <c r="A831" s="855"/>
      <c r="B831" s="789" t="s">
        <v>273</v>
      </c>
      <c r="C831" s="852" t="s">
        <v>1723</v>
      </c>
      <c r="D831" s="852"/>
      <c r="E831" s="757">
        <v>14</v>
      </c>
      <c r="F831" s="799" t="s">
        <v>1684</v>
      </c>
      <c r="G831" s="759">
        <v>2679.9</v>
      </c>
      <c r="H831" s="783">
        <f t="shared" si="69"/>
        <v>2505.4600751552998</v>
      </c>
      <c r="I831" s="783">
        <f t="shared" si="68"/>
        <v>35076.441052174196</v>
      </c>
      <c r="J831" s="759">
        <v>519</v>
      </c>
      <c r="K831" s="790">
        <f t="shared" ref="K831:K893" si="70">J831*O831</f>
        <v>485.21727639299996</v>
      </c>
      <c r="L831" s="799">
        <f t="shared" ref="L831:L893" si="71">K831*E831</f>
        <v>6793.0418695019998</v>
      </c>
      <c r="M831" s="757">
        <f t="shared" si="67"/>
        <v>41869.482921676194</v>
      </c>
      <c r="N831" s="837"/>
      <c r="O831" s="663">
        <v>0.93490804699999996</v>
      </c>
    </row>
    <row r="832" spans="1:16" ht="18.95" customHeight="1">
      <c r="A832" s="855"/>
      <c r="B832" s="789"/>
      <c r="C832" s="852"/>
      <c r="D832" s="852"/>
      <c r="E832" s="757"/>
      <c r="F832" s="799"/>
      <c r="G832" s="843"/>
      <c r="H832" s="783"/>
      <c r="I832" s="783"/>
      <c r="J832" s="843"/>
      <c r="K832" s="790"/>
      <c r="L832" s="799"/>
      <c r="M832" s="757"/>
      <c r="N832" s="837"/>
      <c r="O832" s="663">
        <v>0.93490804699999996</v>
      </c>
    </row>
    <row r="833" spans="1:15" s="724" customFormat="1" ht="18.95" customHeight="1">
      <c r="A833" s="791"/>
      <c r="B833" s="1336" t="s">
        <v>1922</v>
      </c>
      <c r="C833" s="1337"/>
      <c r="D833" s="1338"/>
      <c r="E833" s="792"/>
      <c r="F833" s="793"/>
      <c r="G833" s="794"/>
      <c r="H833" s="864"/>
      <c r="I833" s="864"/>
      <c r="J833" s="844"/>
      <c r="K833" s="873"/>
      <c r="L833" s="845"/>
      <c r="M833" s="846">
        <f>SUM(M719:M831)</f>
        <v>827189.430385252</v>
      </c>
      <c r="N833" s="847"/>
      <c r="O833" s="848">
        <v>0.93490804699999996</v>
      </c>
    </row>
    <row r="834" spans="1:15" ht="18.95" customHeight="1">
      <c r="A834" s="851"/>
      <c r="B834" s="865"/>
      <c r="C834" s="866"/>
      <c r="D834" s="866"/>
      <c r="E834" s="790"/>
      <c r="F834" s="799"/>
      <c r="G834" s="874"/>
      <c r="H834" s="783"/>
      <c r="I834" s="783"/>
      <c r="J834" s="874"/>
      <c r="K834" s="790"/>
      <c r="L834" s="799"/>
      <c r="M834" s="805"/>
      <c r="N834" s="841"/>
      <c r="O834" s="663">
        <v>0.93490804699999996</v>
      </c>
    </row>
    <row r="835" spans="1:15" ht="18.95" customHeight="1">
      <c r="A835" s="856">
        <v>10</v>
      </c>
      <c r="B835" s="1169" t="s">
        <v>1666</v>
      </c>
      <c r="C835" s="801"/>
      <c r="D835" s="815"/>
      <c r="E835" s="854"/>
      <c r="F835" s="857"/>
      <c r="G835" s="843"/>
      <c r="H835" s="783"/>
      <c r="I835" s="783"/>
      <c r="J835" s="843"/>
      <c r="K835" s="790"/>
      <c r="L835" s="799"/>
      <c r="M835" s="757"/>
      <c r="N835" s="837"/>
      <c r="O835" s="663">
        <v>0.93490804699999996</v>
      </c>
    </row>
    <row r="836" spans="1:15" ht="18.95" customHeight="1">
      <c r="A836" s="1177" t="s">
        <v>1923</v>
      </c>
      <c r="B836" s="1169" t="s">
        <v>1924</v>
      </c>
      <c r="C836" s="852"/>
      <c r="D836" s="852"/>
      <c r="E836" s="757"/>
      <c r="F836" s="799"/>
      <c r="G836" s="759"/>
      <c r="H836" s="783"/>
      <c r="I836" s="783"/>
      <c r="J836" s="843"/>
      <c r="K836" s="790"/>
      <c r="L836" s="799"/>
      <c r="M836" s="757"/>
      <c r="N836" s="837"/>
      <c r="O836" s="663">
        <v>0.93490804699999996</v>
      </c>
    </row>
    <row r="837" spans="1:15" ht="18.95" customHeight="1">
      <c r="A837" s="853"/>
      <c r="B837" s="789" t="s">
        <v>273</v>
      </c>
      <c r="C837" s="852" t="s">
        <v>1925</v>
      </c>
      <c r="D837" s="852"/>
      <c r="E837" s="757">
        <v>965</v>
      </c>
      <c r="F837" s="799" t="s">
        <v>397</v>
      </c>
      <c r="G837" s="798">
        <v>36.03</v>
      </c>
      <c r="H837" s="783">
        <f t="shared" si="69"/>
        <v>33.684736933410001</v>
      </c>
      <c r="I837" s="783">
        <f t="shared" si="68"/>
        <v>32505.77114074065</v>
      </c>
      <c r="J837" s="843">
        <v>14</v>
      </c>
      <c r="K837" s="790">
        <f t="shared" si="70"/>
        <v>13.088712657999999</v>
      </c>
      <c r="L837" s="799">
        <f>K837*E837</f>
        <v>12630.60771497</v>
      </c>
      <c r="M837" s="757">
        <f>L837+I837</f>
        <v>45136.378855710645</v>
      </c>
      <c r="N837" s="841"/>
      <c r="O837" s="663">
        <v>0.93490804699999996</v>
      </c>
    </row>
    <row r="838" spans="1:15" ht="18.95" customHeight="1">
      <c r="A838" s="853"/>
      <c r="B838" s="789" t="s">
        <v>273</v>
      </c>
      <c r="C838" s="852" t="s">
        <v>1926</v>
      </c>
      <c r="D838" s="852"/>
      <c r="E838" s="757">
        <v>402</v>
      </c>
      <c r="F838" s="799" t="s">
        <v>397</v>
      </c>
      <c r="G838" s="798">
        <v>24.44</v>
      </c>
      <c r="H838" s="783">
        <f t="shared" si="69"/>
        <v>22.849152668679999</v>
      </c>
      <c r="I838" s="783">
        <f t="shared" si="68"/>
        <v>9185.3593728093601</v>
      </c>
      <c r="J838" s="843">
        <v>14</v>
      </c>
      <c r="K838" s="790">
        <f t="shared" si="70"/>
        <v>13.088712657999999</v>
      </c>
      <c r="L838" s="799">
        <f t="shared" si="71"/>
        <v>5261.662488515999</v>
      </c>
      <c r="M838" s="757">
        <f t="shared" ref="M838:M901" si="72">L838+I838</f>
        <v>14447.02186132536</v>
      </c>
      <c r="N838" s="841"/>
      <c r="O838" s="663">
        <v>0.93490804699999996</v>
      </c>
    </row>
    <row r="839" spans="1:15" ht="18.95" customHeight="1">
      <c r="A839" s="853"/>
      <c r="B839" s="789" t="s">
        <v>273</v>
      </c>
      <c r="C839" s="852" t="s">
        <v>1927</v>
      </c>
      <c r="D839" s="852"/>
      <c r="E839" s="757">
        <v>186</v>
      </c>
      <c r="F839" s="799" t="s">
        <v>397</v>
      </c>
      <c r="G839" s="798">
        <v>26.75</v>
      </c>
      <c r="H839" s="783">
        <f t="shared" si="69"/>
        <v>25.008790257249998</v>
      </c>
      <c r="I839" s="783">
        <f t="shared" si="68"/>
        <v>4651.6349878484998</v>
      </c>
      <c r="J839" s="843">
        <v>14</v>
      </c>
      <c r="K839" s="790">
        <f t="shared" si="70"/>
        <v>13.088712657999999</v>
      </c>
      <c r="L839" s="799">
        <f t="shared" si="71"/>
        <v>2434.5005543879997</v>
      </c>
      <c r="M839" s="757">
        <f t="shared" si="72"/>
        <v>7086.1355422364995</v>
      </c>
      <c r="N839" s="837"/>
      <c r="O839" s="663">
        <v>0.93490804699999996</v>
      </c>
    </row>
    <row r="840" spans="1:15" ht="18.95" customHeight="1">
      <c r="A840" s="853"/>
      <c r="B840" s="789" t="s">
        <v>273</v>
      </c>
      <c r="C840" s="852" t="s">
        <v>1928</v>
      </c>
      <c r="D840" s="852"/>
      <c r="E840" s="757">
        <v>512</v>
      </c>
      <c r="F840" s="799" t="s">
        <v>397</v>
      </c>
      <c r="G840" s="798">
        <v>33.36</v>
      </c>
      <c r="H840" s="783">
        <f t="shared" si="69"/>
        <v>31.188532447919997</v>
      </c>
      <c r="I840" s="783">
        <f t="shared" si="68"/>
        <v>15968.528613335038</v>
      </c>
      <c r="J840" s="843">
        <v>14</v>
      </c>
      <c r="K840" s="790">
        <f t="shared" si="70"/>
        <v>13.088712657999999</v>
      </c>
      <c r="L840" s="799">
        <f t="shared" si="71"/>
        <v>6701.4208808959993</v>
      </c>
      <c r="M840" s="757">
        <f t="shared" si="72"/>
        <v>22669.949494231038</v>
      </c>
      <c r="N840" s="841"/>
      <c r="O840" s="663">
        <v>0.93490804699999996</v>
      </c>
    </row>
    <row r="841" spans="1:15" ht="18.95" customHeight="1">
      <c r="A841" s="853"/>
      <c r="B841" s="789" t="s">
        <v>273</v>
      </c>
      <c r="C841" s="852" t="s">
        <v>1929</v>
      </c>
      <c r="D841" s="852"/>
      <c r="E841" s="757">
        <v>3274</v>
      </c>
      <c r="F841" s="799" t="s">
        <v>397</v>
      </c>
      <c r="G841" s="798">
        <v>37.71</v>
      </c>
      <c r="H841" s="783">
        <f t="shared" si="69"/>
        <v>35.25538245237</v>
      </c>
      <c r="I841" s="783">
        <f t="shared" si="68"/>
        <v>115426.12214905937</v>
      </c>
      <c r="J841" s="843">
        <v>14</v>
      </c>
      <c r="K841" s="790">
        <f t="shared" si="70"/>
        <v>13.088712657999999</v>
      </c>
      <c r="L841" s="799">
        <f t="shared" si="71"/>
        <v>42852.445242291993</v>
      </c>
      <c r="M841" s="757">
        <f t="shared" si="72"/>
        <v>158278.56739135136</v>
      </c>
      <c r="N841" s="841"/>
      <c r="O841" s="663">
        <v>0.93490804699999996</v>
      </c>
    </row>
    <row r="842" spans="1:15" ht="18.95" customHeight="1">
      <c r="A842" s="853"/>
      <c r="B842" s="789" t="s">
        <v>273</v>
      </c>
      <c r="C842" s="852" t="s">
        <v>1930</v>
      </c>
      <c r="D842" s="852"/>
      <c r="E842" s="757">
        <v>2202</v>
      </c>
      <c r="F842" s="799" t="s">
        <v>397</v>
      </c>
      <c r="G842" s="798">
        <v>33</v>
      </c>
      <c r="H842" s="783">
        <f t="shared" si="69"/>
        <v>30.851965550999999</v>
      </c>
      <c r="I842" s="783">
        <f t="shared" si="68"/>
        <v>67936.028143301999</v>
      </c>
      <c r="J842" s="843">
        <v>14</v>
      </c>
      <c r="K842" s="790">
        <f t="shared" si="70"/>
        <v>13.088712657999999</v>
      </c>
      <c r="L842" s="799">
        <f t="shared" si="71"/>
        <v>28821.345272915998</v>
      </c>
      <c r="M842" s="757">
        <f t="shared" si="72"/>
        <v>96757.373416218004</v>
      </c>
      <c r="N842" s="837"/>
      <c r="O842" s="663">
        <v>0.93490804699999996</v>
      </c>
    </row>
    <row r="843" spans="1:15" ht="18.95" customHeight="1">
      <c r="A843" s="853"/>
      <c r="B843" s="789" t="s">
        <v>273</v>
      </c>
      <c r="C843" s="852" t="s">
        <v>1931</v>
      </c>
      <c r="D843" s="852"/>
      <c r="E843" s="757">
        <v>3456</v>
      </c>
      <c r="F843" s="799" t="s">
        <v>397</v>
      </c>
      <c r="G843" s="798">
        <v>26.73</v>
      </c>
      <c r="H843" s="783">
        <f t="shared" si="69"/>
        <v>24.990092096310001</v>
      </c>
      <c r="I843" s="783">
        <f t="shared" si="68"/>
        <v>86365.758284847368</v>
      </c>
      <c r="J843" s="843">
        <v>14</v>
      </c>
      <c r="K843" s="790">
        <f t="shared" si="70"/>
        <v>13.088712657999999</v>
      </c>
      <c r="L843" s="799">
        <f t="shared" si="71"/>
        <v>45234.590946047996</v>
      </c>
      <c r="M843" s="757">
        <f t="shared" si="72"/>
        <v>131600.34923089537</v>
      </c>
      <c r="N843" s="841"/>
      <c r="O843" s="663">
        <v>0.93490804699999996</v>
      </c>
    </row>
    <row r="844" spans="1:15" ht="18.95" customHeight="1">
      <c r="A844" s="853"/>
      <c r="B844" s="789" t="s">
        <v>273</v>
      </c>
      <c r="C844" s="852" t="s">
        <v>1869</v>
      </c>
      <c r="D844" s="852"/>
      <c r="E844" s="757">
        <v>672</v>
      </c>
      <c r="F844" s="799" t="s">
        <v>397</v>
      </c>
      <c r="G844" s="798">
        <v>24.97</v>
      </c>
      <c r="H844" s="783">
        <f t="shared" si="69"/>
        <v>23.344653933589999</v>
      </c>
      <c r="I844" s="783">
        <f t="shared" si="68"/>
        <v>15687.607443372479</v>
      </c>
      <c r="J844" s="843">
        <v>14</v>
      </c>
      <c r="K844" s="790">
        <f t="shared" si="70"/>
        <v>13.088712657999999</v>
      </c>
      <c r="L844" s="799">
        <f t="shared" si="71"/>
        <v>8795.6149061759988</v>
      </c>
      <c r="M844" s="757">
        <f t="shared" si="72"/>
        <v>24483.22234954848</v>
      </c>
      <c r="N844" s="841"/>
      <c r="O844" s="663">
        <v>0.93490804699999996</v>
      </c>
    </row>
    <row r="845" spans="1:15" ht="18.95" customHeight="1">
      <c r="A845" s="853"/>
      <c r="B845" s="789" t="s">
        <v>273</v>
      </c>
      <c r="C845" s="852" t="s">
        <v>1932</v>
      </c>
      <c r="D845" s="852"/>
      <c r="E845" s="757">
        <v>60</v>
      </c>
      <c r="F845" s="799" t="s">
        <v>349</v>
      </c>
      <c r="G845" s="798">
        <v>85</v>
      </c>
      <c r="H845" s="783">
        <f t="shared" si="69"/>
        <v>79.467183994999999</v>
      </c>
      <c r="I845" s="783">
        <f t="shared" si="68"/>
        <v>4768.0310397000003</v>
      </c>
      <c r="J845" s="843">
        <v>25.5</v>
      </c>
      <c r="K845" s="790">
        <f t="shared" si="70"/>
        <v>23.8401551985</v>
      </c>
      <c r="L845" s="799">
        <f t="shared" si="71"/>
        <v>1430.40931191</v>
      </c>
      <c r="M845" s="757">
        <f t="shared" si="72"/>
        <v>6198.4403516100001</v>
      </c>
      <c r="N845" s="841"/>
      <c r="O845" s="663">
        <v>0.93490804699999996</v>
      </c>
    </row>
    <row r="846" spans="1:15" ht="18.95" customHeight="1">
      <c r="A846" s="853"/>
      <c r="B846" s="789" t="s">
        <v>273</v>
      </c>
      <c r="C846" s="852" t="s">
        <v>1902</v>
      </c>
      <c r="D846" s="852"/>
      <c r="E846" s="757">
        <v>11</v>
      </c>
      <c r="F846" s="799" t="s">
        <v>397</v>
      </c>
      <c r="G846" s="765">
        <v>20.7</v>
      </c>
      <c r="H846" s="783">
        <f t="shared" si="69"/>
        <v>19.352596572899998</v>
      </c>
      <c r="I846" s="783">
        <f t="shared" si="68"/>
        <v>212.87856230189999</v>
      </c>
      <c r="J846" s="843">
        <v>3.6</v>
      </c>
      <c r="K846" s="790">
        <f t="shared" si="70"/>
        <v>3.3656689692000001</v>
      </c>
      <c r="L846" s="799">
        <f t="shared" si="71"/>
        <v>37.022358661200002</v>
      </c>
      <c r="M846" s="757">
        <f t="shared" si="72"/>
        <v>249.90092096309999</v>
      </c>
      <c r="N846" s="837"/>
      <c r="O846" s="663">
        <v>0.93490804699999996</v>
      </c>
    </row>
    <row r="847" spans="1:15" ht="18.95" customHeight="1">
      <c r="A847" s="853"/>
      <c r="B847" s="789" t="s">
        <v>273</v>
      </c>
      <c r="C847" s="852" t="s">
        <v>1933</v>
      </c>
      <c r="D847" s="852"/>
      <c r="E847" s="757">
        <v>281</v>
      </c>
      <c r="F847" s="799" t="s">
        <v>397</v>
      </c>
      <c r="G847" s="765">
        <v>20.5</v>
      </c>
      <c r="H847" s="783">
        <f t="shared" si="69"/>
        <v>19.165614963499998</v>
      </c>
      <c r="I847" s="783">
        <f t="shared" si="68"/>
        <v>5385.5378047434997</v>
      </c>
      <c r="J847" s="843">
        <v>3.1</v>
      </c>
      <c r="K847" s="790">
        <f t="shared" si="70"/>
        <v>2.8982149456999999</v>
      </c>
      <c r="L847" s="799">
        <f t="shared" si="71"/>
        <v>814.39839974170002</v>
      </c>
      <c r="M847" s="757">
        <f t="shared" si="72"/>
        <v>6199.9362044851996</v>
      </c>
      <c r="N847" s="841"/>
      <c r="O847" s="663">
        <v>0.93490804699999996</v>
      </c>
    </row>
    <row r="848" spans="1:15" ht="18.95" customHeight="1">
      <c r="A848" s="814"/>
      <c r="B848" s="789" t="s">
        <v>273</v>
      </c>
      <c r="C848" s="1174" t="s">
        <v>1744</v>
      </c>
      <c r="D848" s="815"/>
      <c r="E848" s="757">
        <v>602</v>
      </c>
      <c r="F848" s="799" t="s">
        <v>211</v>
      </c>
      <c r="G848" s="798">
        <v>28.02</v>
      </c>
      <c r="H848" s="783">
        <f t="shared" si="69"/>
        <v>26.196123476939999</v>
      </c>
      <c r="I848" s="783">
        <f t="shared" si="68"/>
        <v>15770.066333117878</v>
      </c>
      <c r="J848" s="759">
        <v>30</v>
      </c>
      <c r="K848" s="790">
        <f t="shared" si="70"/>
        <v>28.047241409999998</v>
      </c>
      <c r="L848" s="799">
        <f t="shared" si="71"/>
        <v>16884.439328819997</v>
      </c>
      <c r="M848" s="757">
        <f t="shared" si="72"/>
        <v>32654.505661937874</v>
      </c>
      <c r="N848" s="837"/>
      <c r="O848" s="663">
        <v>0.93490804699999996</v>
      </c>
    </row>
    <row r="849" spans="1:16" ht="18.95" customHeight="1">
      <c r="A849" s="814"/>
      <c r="B849" s="789" t="s">
        <v>273</v>
      </c>
      <c r="C849" s="1170" t="s">
        <v>1745</v>
      </c>
      <c r="D849" s="852"/>
      <c r="E849" s="757">
        <v>602</v>
      </c>
      <c r="F849" s="799" t="s">
        <v>211</v>
      </c>
      <c r="G849" s="765">
        <v>32.32</v>
      </c>
      <c r="H849" s="783">
        <f t="shared" si="69"/>
        <v>30.21622807904</v>
      </c>
      <c r="I849" s="783">
        <f t="shared" si="68"/>
        <v>18190.169303582079</v>
      </c>
      <c r="J849" s="843">
        <v>35</v>
      </c>
      <c r="K849" s="790">
        <f t="shared" si="70"/>
        <v>32.721781645</v>
      </c>
      <c r="L849" s="799">
        <f t="shared" si="71"/>
        <v>19698.512550290001</v>
      </c>
      <c r="M849" s="757">
        <f t="shared" si="72"/>
        <v>37888.681853872084</v>
      </c>
      <c r="N849" s="837"/>
      <c r="O849" s="663">
        <v>0.93490804699999996</v>
      </c>
      <c r="P849" s="725" t="s">
        <v>1689</v>
      </c>
    </row>
    <row r="850" spans="1:16" ht="18.95" customHeight="1">
      <c r="A850" s="814"/>
      <c r="B850" s="789" t="s">
        <v>273</v>
      </c>
      <c r="C850" s="1174" t="s">
        <v>1746</v>
      </c>
      <c r="D850" s="815"/>
      <c r="E850" s="757">
        <v>602</v>
      </c>
      <c r="F850" s="799" t="s">
        <v>211</v>
      </c>
      <c r="G850" s="798">
        <v>130</v>
      </c>
      <c r="H850" s="783">
        <f t="shared" si="69"/>
        <v>121.53804611</v>
      </c>
      <c r="I850" s="783">
        <f t="shared" si="68"/>
        <v>73165.903758219996</v>
      </c>
      <c r="J850" s="843">
        <v>30</v>
      </c>
      <c r="K850" s="790">
        <f t="shared" si="70"/>
        <v>28.047241409999998</v>
      </c>
      <c r="L850" s="799">
        <f t="shared" si="71"/>
        <v>16884.439328819997</v>
      </c>
      <c r="M850" s="757">
        <f t="shared" si="72"/>
        <v>90050.34308703999</v>
      </c>
      <c r="N850" s="837"/>
      <c r="O850" s="663">
        <v>0.93490804699999996</v>
      </c>
    </row>
    <row r="851" spans="1:16" ht="18.95" customHeight="1">
      <c r="A851" s="1177" t="s">
        <v>1934</v>
      </c>
      <c r="B851" s="1169" t="s">
        <v>1935</v>
      </c>
      <c r="C851" s="852"/>
      <c r="D851" s="852"/>
      <c r="E851" s="757"/>
      <c r="F851" s="799"/>
      <c r="G851" s="759"/>
      <c r="H851" s="783"/>
      <c r="I851" s="783"/>
      <c r="J851" s="843"/>
      <c r="K851" s="790"/>
      <c r="L851" s="799"/>
      <c r="M851" s="757"/>
      <c r="N851" s="837"/>
      <c r="O851" s="663">
        <v>0.93490804699999996</v>
      </c>
    </row>
    <row r="852" spans="1:16" ht="18.95" customHeight="1">
      <c r="A852" s="853"/>
      <c r="B852" s="789" t="s">
        <v>273</v>
      </c>
      <c r="C852" s="852" t="s">
        <v>1936</v>
      </c>
      <c r="D852" s="852"/>
      <c r="E852" s="757">
        <v>143</v>
      </c>
      <c r="F852" s="799" t="s">
        <v>397</v>
      </c>
      <c r="G852" s="798">
        <v>31.66</v>
      </c>
      <c r="H852" s="783">
        <f t="shared" si="69"/>
        <v>29.599188768019999</v>
      </c>
      <c r="I852" s="783">
        <f t="shared" si="68"/>
        <v>4232.6839938268595</v>
      </c>
      <c r="J852" s="843">
        <v>14</v>
      </c>
      <c r="K852" s="790">
        <f t="shared" si="70"/>
        <v>13.088712657999999</v>
      </c>
      <c r="L852" s="799">
        <f t="shared" si="71"/>
        <v>1871.6859100939998</v>
      </c>
      <c r="M852" s="757">
        <f t="shared" si="72"/>
        <v>6104.3699039208595</v>
      </c>
      <c r="N852" s="841"/>
      <c r="O852" s="663">
        <v>0.93490804699999996</v>
      </c>
    </row>
    <row r="853" spans="1:16" ht="18.95" customHeight="1">
      <c r="A853" s="853"/>
      <c r="B853" s="789" t="s">
        <v>273</v>
      </c>
      <c r="C853" s="852" t="s">
        <v>1937</v>
      </c>
      <c r="D853" s="852"/>
      <c r="E853" s="757">
        <v>242</v>
      </c>
      <c r="F853" s="799" t="s">
        <v>397</v>
      </c>
      <c r="G853" s="798">
        <v>28.09</v>
      </c>
      <c r="H853" s="783">
        <f t="shared" si="69"/>
        <v>26.261567040229998</v>
      </c>
      <c r="I853" s="783">
        <f t="shared" si="68"/>
        <v>6355.2992237356593</v>
      </c>
      <c r="J853" s="843">
        <v>14</v>
      </c>
      <c r="K853" s="790">
        <f t="shared" si="70"/>
        <v>13.088712657999999</v>
      </c>
      <c r="L853" s="799">
        <f t="shared" si="71"/>
        <v>3167.4684632359995</v>
      </c>
      <c r="M853" s="757">
        <f t="shared" si="72"/>
        <v>9522.7676869716597</v>
      </c>
      <c r="N853" s="841"/>
      <c r="O853" s="663">
        <v>0.93490804699999996</v>
      </c>
    </row>
    <row r="854" spans="1:16" ht="18.95" customHeight="1">
      <c r="A854" s="853"/>
      <c r="B854" s="789" t="s">
        <v>273</v>
      </c>
      <c r="C854" s="852" t="s">
        <v>1938</v>
      </c>
      <c r="D854" s="852"/>
      <c r="E854" s="757">
        <v>57</v>
      </c>
      <c r="F854" s="799" t="s">
        <v>397</v>
      </c>
      <c r="G854" s="798">
        <v>22.85</v>
      </c>
      <c r="H854" s="783">
        <f t="shared" si="69"/>
        <v>21.36264887395</v>
      </c>
      <c r="I854" s="783">
        <f t="shared" si="68"/>
        <v>1217.6709858151501</v>
      </c>
      <c r="J854" s="843">
        <v>14</v>
      </c>
      <c r="K854" s="790">
        <f t="shared" si="70"/>
        <v>13.088712657999999</v>
      </c>
      <c r="L854" s="799">
        <f t="shared" si="71"/>
        <v>746.05662150599994</v>
      </c>
      <c r="M854" s="757">
        <f t="shared" si="72"/>
        <v>1963.7276073211501</v>
      </c>
      <c r="N854" s="841"/>
      <c r="O854" s="663">
        <v>0.93490804699999996</v>
      </c>
    </row>
    <row r="855" spans="1:16" ht="18.95" customHeight="1">
      <c r="A855" s="853"/>
      <c r="B855" s="789" t="s">
        <v>273</v>
      </c>
      <c r="C855" s="852" t="s">
        <v>1939</v>
      </c>
      <c r="D855" s="852"/>
      <c r="E855" s="757">
        <v>277</v>
      </c>
      <c r="F855" s="799" t="s">
        <v>397</v>
      </c>
      <c r="G855" s="798">
        <v>25.82</v>
      </c>
      <c r="H855" s="783">
        <f t="shared" si="69"/>
        <v>24.139325773539998</v>
      </c>
      <c r="I855" s="783">
        <f t="shared" si="68"/>
        <v>6686.593239270579</v>
      </c>
      <c r="J855" s="843">
        <v>14</v>
      </c>
      <c r="K855" s="790">
        <f t="shared" si="70"/>
        <v>13.088712657999999</v>
      </c>
      <c r="L855" s="799">
        <f t="shared" si="71"/>
        <v>3625.5734062659994</v>
      </c>
      <c r="M855" s="757">
        <f t="shared" si="72"/>
        <v>10312.166645536578</v>
      </c>
      <c r="N855" s="837"/>
      <c r="O855" s="663">
        <v>0.93490804699999996</v>
      </c>
    </row>
    <row r="856" spans="1:16" ht="18.95" customHeight="1">
      <c r="A856" s="853"/>
      <c r="B856" s="789" t="s">
        <v>273</v>
      </c>
      <c r="C856" s="852" t="s">
        <v>1869</v>
      </c>
      <c r="D856" s="852"/>
      <c r="E856" s="757">
        <v>17</v>
      </c>
      <c r="F856" s="799" t="s">
        <v>397</v>
      </c>
      <c r="G856" s="798">
        <v>24.97</v>
      </c>
      <c r="H856" s="783">
        <f t="shared" si="69"/>
        <v>23.344653933589999</v>
      </c>
      <c r="I856" s="783">
        <f t="shared" si="68"/>
        <v>396.85911687102998</v>
      </c>
      <c r="J856" s="843">
        <v>14</v>
      </c>
      <c r="K856" s="790">
        <f t="shared" si="70"/>
        <v>13.088712657999999</v>
      </c>
      <c r="L856" s="799">
        <f t="shared" si="71"/>
        <v>222.50811518599997</v>
      </c>
      <c r="M856" s="757">
        <f t="shared" si="72"/>
        <v>619.36723205702992</v>
      </c>
      <c r="N856" s="837"/>
      <c r="O856" s="663">
        <v>0.93490804699999996</v>
      </c>
    </row>
    <row r="857" spans="1:16" ht="18.95" customHeight="1">
      <c r="A857" s="814"/>
      <c r="B857" s="789" t="s">
        <v>273</v>
      </c>
      <c r="C857" s="1174" t="s">
        <v>1940</v>
      </c>
      <c r="D857" s="815"/>
      <c r="E857" s="757">
        <v>22</v>
      </c>
      <c r="F857" s="799" t="s">
        <v>349</v>
      </c>
      <c r="G857" s="798">
        <v>58</v>
      </c>
      <c r="H857" s="783">
        <f t="shared" si="69"/>
        <v>54.224666725999995</v>
      </c>
      <c r="I857" s="783">
        <f t="shared" si="68"/>
        <v>1192.942667972</v>
      </c>
      <c r="J857" s="843">
        <v>17.399999999999999</v>
      </c>
      <c r="K857" s="790">
        <f t="shared" si="70"/>
        <v>16.267400017799996</v>
      </c>
      <c r="L857" s="799">
        <f t="shared" si="71"/>
        <v>357.88280039159991</v>
      </c>
      <c r="M857" s="757">
        <f t="shared" si="72"/>
        <v>1550.8254683635998</v>
      </c>
      <c r="N857" s="837"/>
      <c r="O857" s="663">
        <v>0.93490804699999996</v>
      </c>
    </row>
    <row r="858" spans="1:16" ht="18.95" customHeight="1">
      <c r="A858" s="814"/>
      <c r="B858" s="789" t="s">
        <v>273</v>
      </c>
      <c r="C858" s="1174" t="s">
        <v>1744</v>
      </c>
      <c r="D858" s="815"/>
      <c r="E858" s="757">
        <v>32</v>
      </c>
      <c r="F858" s="799" t="s">
        <v>211</v>
      </c>
      <c r="G858" s="798">
        <v>28.02</v>
      </c>
      <c r="H858" s="783">
        <f t="shared" si="69"/>
        <v>26.196123476939999</v>
      </c>
      <c r="I858" s="783">
        <f t="shared" si="68"/>
        <v>838.27595126207996</v>
      </c>
      <c r="J858" s="759">
        <v>30</v>
      </c>
      <c r="K858" s="790">
        <f t="shared" si="70"/>
        <v>28.047241409999998</v>
      </c>
      <c r="L858" s="799">
        <f t="shared" si="71"/>
        <v>897.51172511999994</v>
      </c>
      <c r="M858" s="757">
        <f t="shared" si="72"/>
        <v>1735.78767638208</v>
      </c>
      <c r="N858" s="837"/>
      <c r="O858" s="663">
        <v>0.93490804699999996</v>
      </c>
    </row>
    <row r="859" spans="1:16" ht="18.95" customHeight="1">
      <c r="A859" s="814"/>
      <c r="B859" s="789" t="s">
        <v>273</v>
      </c>
      <c r="C859" s="1170" t="s">
        <v>1745</v>
      </c>
      <c r="D859" s="852"/>
      <c r="E859" s="757">
        <v>32</v>
      </c>
      <c r="F859" s="799" t="s">
        <v>211</v>
      </c>
      <c r="G859" s="765">
        <v>32.32</v>
      </c>
      <c r="H859" s="783">
        <f t="shared" si="69"/>
        <v>30.21622807904</v>
      </c>
      <c r="I859" s="783">
        <f t="shared" si="68"/>
        <v>966.91929852928001</v>
      </c>
      <c r="J859" s="843">
        <v>35</v>
      </c>
      <c r="K859" s="790">
        <f t="shared" si="70"/>
        <v>32.721781645</v>
      </c>
      <c r="L859" s="799">
        <f t="shared" si="71"/>
        <v>1047.09701264</v>
      </c>
      <c r="M859" s="757">
        <f t="shared" si="72"/>
        <v>2014.01631116928</v>
      </c>
      <c r="N859" s="837"/>
      <c r="O859" s="663">
        <v>0.93490804699999996</v>
      </c>
      <c r="P859" s="725" t="s">
        <v>1689</v>
      </c>
    </row>
    <row r="860" spans="1:16" ht="18.95" customHeight="1">
      <c r="A860" s="814"/>
      <c r="B860" s="789" t="s">
        <v>273</v>
      </c>
      <c r="C860" s="1174" t="s">
        <v>1746</v>
      </c>
      <c r="D860" s="815"/>
      <c r="E860" s="757">
        <v>32</v>
      </c>
      <c r="F860" s="799" t="s">
        <v>211</v>
      </c>
      <c r="G860" s="798">
        <v>130</v>
      </c>
      <c r="H860" s="783">
        <f t="shared" si="69"/>
        <v>121.53804611</v>
      </c>
      <c r="I860" s="783">
        <f t="shared" si="68"/>
        <v>3889.2174755199999</v>
      </c>
      <c r="J860" s="843">
        <v>30</v>
      </c>
      <c r="K860" s="790">
        <f t="shared" si="70"/>
        <v>28.047241409999998</v>
      </c>
      <c r="L860" s="799">
        <f t="shared" si="71"/>
        <v>897.51172511999994</v>
      </c>
      <c r="M860" s="757">
        <f t="shared" si="72"/>
        <v>4786.7292006400003</v>
      </c>
      <c r="N860" s="837"/>
      <c r="O860" s="663">
        <v>0.93490804699999996</v>
      </c>
    </row>
    <row r="861" spans="1:16" ht="18.95" customHeight="1">
      <c r="A861" s="1177" t="s">
        <v>1941</v>
      </c>
      <c r="B861" s="1169" t="s">
        <v>1942</v>
      </c>
      <c r="C861" s="852"/>
      <c r="D861" s="852"/>
      <c r="E861" s="757"/>
      <c r="F861" s="799"/>
      <c r="G861" s="759"/>
      <c r="H861" s="783"/>
      <c r="I861" s="783"/>
      <c r="J861" s="843"/>
      <c r="K861" s="790"/>
      <c r="L861" s="799"/>
      <c r="M861" s="757"/>
      <c r="N861" s="837"/>
      <c r="O861" s="663">
        <v>0.93490804699999996</v>
      </c>
    </row>
    <row r="862" spans="1:16" ht="18.95" customHeight="1">
      <c r="A862" s="853"/>
      <c r="B862" s="789" t="s">
        <v>273</v>
      </c>
      <c r="C862" s="852" t="s">
        <v>1943</v>
      </c>
      <c r="D862" s="852"/>
      <c r="E862" s="757">
        <v>1738</v>
      </c>
      <c r="F862" s="799" t="s">
        <v>397</v>
      </c>
      <c r="G862" s="798">
        <v>31.66</v>
      </c>
      <c r="H862" s="783">
        <f t="shared" si="69"/>
        <v>29.599188768019999</v>
      </c>
      <c r="I862" s="783">
        <f t="shared" si="68"/>
        <v>51443.39007881876</v>
      </c>
      <c r="J862" s="843">
        <v>14</v>
      </c>
      <c r="K862" s="790">
        <f t="shared" si="70"/>
        <v>13.088712657999999</v>
      </c>
      <c r="L862" s="799">
        <f t="shared" si="71"/>
        <v>22748.182599603999</v>
      </c>
      <c r="M862" s="757">
        <f t="shared" si="72"/>
        <v>74191.572678422759</v>
      </c>
      <c r="N862" s="841"/>
      <c r="O862" s="663">
        <v>0.93490804699999996</v>
      </c>
    </row>
    <row r="863" spans="1:16" ht="18.95" customHeight="1">
      <c r="A863" s="814"/>
      <c r="B863" s="789" t="s">
        <v>273</v>
      </c>
      <c r="C863" s="1174" t="s">
        <v>1869</v>
      </c>
      <c r="D863" s="815"/>
      <c r="E863" s="757">
        <v>145</v>
      </c>
      <c r="F863" s="799" t="s">
        <v>1888</v>
      </c>
      <c r="G863" s="798">
        <v>24.97</v>
      </c>
      <c r="H863" s="783">
        <f t="shared" si="69"/>
        <v>23.344653933589999</v>
      </c>
      <c r="I863" s="783">
        <f t="shared" si="68"/>
        <v>3384.9748203705499</v>
      </c>
      <c r="J863" s="843">
        <v>14</v>
      </c>
      <c r="K863" s="790">
        <f t="shared" si="70"/>
        <v>13.088712657999999</v>
      </c>
      <c r="L863" s="799">
        <f t="shared" si="71"/>
        <v>1897.8633354099998</v>
      </c>
      <c r="M863" s="757">
        <f t="shared" si="72"/>
        <v>5282.8381557805496</v>
      </c>
      <c r="N863" s="837"/>
      <c r="O863" s="663">
        <v>0.93490804699999996</v>
      </c>
    </row>
    <row r="864" spans="1:16" ht="18.95" customHeight="1">
      <c r="A864" s="814"/>
      <c r="B864" s="789" t="s">
        <v>273</v>
      </c>
      <c r="C864" s="1174" t="s">
        <v>1944</v>
      </c>
      <c r="D864" s="815"/>
      <c r="E864" s="757">
        <v>48</v>
      </c>
      <c r="F864" s="799" t="s">
        <v>349</v>
      </c>
      <c r="G864" s="798">
        <v>143</v>
      </c>
      <c r="H864" s="783">
        <f t="shared" si="69"/>
        <v>133.69185072100001</v>
      </c>
      <c r="I864" s="783">
        <f t="shared" si="68"/>
        <v>6417.208834608</v>
      </c>
      <c r="J864" s="843">
        <v>42.9</v>
      </c>
      <c r="K864" s="790">
        <f t="shared" si="70"/>
        <v>40.1075552163</v>
      </c>
      <c r="L864" s="799">
        <f t="shared" si="71"/>
        <v>1925.1626503824</v>
      </c>
      <c r="M864" s="757">
        <f t="shared" si="72"/>
        <v>8342.371484990399</v>
      </c>
      <c r="N864" s="837"/>
      <c r="O864" s="663">
        <v>0.93490804699999996</v>
      </c>
    </row>
    <row r="865" spans="1:16" ht="18.95" customHeight="1">
      <c r="A865" s="814"/>
      <c r="B865" s="789" t="s">
        <v>273</v>
      </c>
      <c r="C865" s="1174" t="s">
        <v>1744</v>
      </c>
      <c r="D865" s="815"/>
      <c r="E865" s="757">
        <v>137</v>
      </c>
      <c r="F865" s="799" t="s">
        <v>211</v>
      </c>
      <c r="G865" s="798">
        <v>28.02</v>
      </c>
      <c r="H865" s="783">
        <f t="shared" si="69"/>
        <v>26.196123476939999</v>
      </c>
      <c r="I865" s="783">
        <f t="shared" si="68"/>
        <v>3588.8689163407798</v>
      </c>
      <c r="J865" s="759">
        <v>30</v>
      </c>
      <c r="K865" s="790">
        <f t="shared" si="70"/>
        <v>28.047241409999998</v>
      </c>
      <c r="L865" s="799">
        <f t="shared" si="71"/>
        <v>3842.4720731699999</v>
      </c>
      <c r="M865" s="757">
        <f t="shared" si="72"/>
        <v>7431.3409895107798</v>
      </c>
      <c r="N865" s="837"/>
      <c r="O865" s="663">
        <v>0.93490804699999996</v>
      </c>
    </row>
    <row r="866" spans="1:16" ht="18.95" customHeight="1">
      <c r="A866" s="814"/>
      <c r="B866" s="789" t="s">
        <v>273</v>
      </c>
      <c r="C866" s="1170" t="s">
        <v>1745</v>
      </c>
      <c r="D866" s="852"/>
      <c r="E866" s="757">
        <v>137</v>
      </c>
      <c r="F866" s="799" t="s">
        <v>211</v>
      </c>
      <c r="G866" s="765">
        <v>32.32</v>
      </c>
      <c r="H866" s="783">
        <f t="shared" si="69"/>
        <v>30.21622807904</v>
      </c>
      <c r="I866" s="783">
        <f t="shared" si="68"/>
        <v>4139.6232468284798</v>
      </c>
      <c r="J866" s="843">
        <v>35</v>
      </c>
      <c r="K866" s="790">
        <f t="shared" si="70"/>
        <v>32.721781645</v>
      </c>
      <c r="L866" s="799">
        <f t="shared" si="71"/>
        <v>4482.8840853649999</v>
      </c>
      <c r="M866" s="757">
        <f t="shared" si="72"/>
        <v>8622.5073321934797</v>
      </c>
      <c r="N866" s="837"/>
      <c r="O866" s="663">
        <v>0.93490804699999996</v>
      </c>
      <c r="P866" s="725" t="s">
        <v>1689</v>
      </c>
    </row>
    <row r="867" spans="1:16" ht="18.95" customHeight="1">
      <c r="A867" s="814"/>
      <c r="B867" s="789" t="s">
        <v>273</v>
      </c>
      <c r="C867" s="1174" t="s">
        <v>1746</v>
      </c>
      <c r="D867" s="815"/>
      <c r="E867" s="757">
        <v>137</v>
      </c>
      <c r="F867" s="799" t="s">
        <v>211</v>
      </c>
      <c r="G867" s="798">
        <v>130</v>
      </c>
      <c r="H867" s="783">
        <f t="shared" si="69"/>
        <v>121.53804611</v>
      </c>
      <c r="I867" s="783">
        <f t="shared" si="68"/>
        <v>16650.71231707</v>
      </c>
      <c r="J867" s="843">
        <v>30</v>
      </c>
      <c r="K867" s="790">
        <f t="shared" si="70"/>
        <v>28.047241409999998</v>
      </c>
      <c r="L867" s="799">
        <f t="shared" si="71"/>
        <v>3842.4720731699999</v>
      </c>
      <c r="M867" s="757">
        <f t="shared" si="72"/>
        <v>20493.18439024</v>
      </c>
      <c r="N867" s="837"/>
      <c r="O867" s="663">
        <v>0.93490804699999996</v>
      </c>
    </row>
    <row r="868" spans="1:16" ht="18.95" customHeight="1">
      <c r="A868" s="1177" t="s">
        <v>1945</v>
      </c>
      <c r="B868" s="1169" t="s">
        <v>1946</v>
      </c>
      <c r="C868" s="852"/>
      <c r="D868" s="852"/>
      <c r="E868" s="757"/>
      <c r="F868" s="799"/>
      <c r="G868" s="759"/>
      <c r="H868" s="783"/>
      <c r="I868" s="783"/>
      <c r="J868" s="843"/>
      <c r="K868" s="790"/>
      <c r="L868" s="799"/>
      <c r="M868" s="757"/>
      <c r="N868" s="837"/>
      <c r="O868" s="663">
        <v>0.93490804699999996</v>
      </c>
    </row>
    <row r="869" spans="1:16" ht="18.95" customHeight="1">
      <c r="A869" s="853"/>
      <c r="B869" s="789" t="s">
        <v>273</v>
      </c>
      <c r="C869" s="852" t="s">
        <v>1947</v>
      </c>
      <c r="D869" s="852"/>
      <c r="E869" s="757">
        <v>107</v>
      </c>
      <c r="F869" s="799" t="s">
        <v>397</v>
      </c>
      <c r="G869" s="798">
        <v>28.3</v>
      </c>
      <c r="H869" s="783">
        <f t="shared" si="69"/>
        <v>26.457897730100001</v>
      </c>
      <c r="I869" s="783">
        <f t="shared" si="68"/>
        <v>2830.9950571207</v>
      </c>
      <c r="J869" s="843">
        <v>14</v>
      </c>
      <c r="K869" s="790">
        <f t="shared" si="70"/>
        <v>13.088712657999999</v>
      </c>
      <c r="L869" s="799">
        <f t="shared" si="71"/>
        <v>1400.4922544059998</v>
      </c>
      <c r="M869" s="757">
        <f t="shared" si="72"/>
        <v>4231.4873115267001</v>
      </c>
      <c r="N869" s="837"/>
      <c r="O869" s="663">
        <v>0.93490804699999996</v>
      </c>
    </row>
    <row r="870" spans="1:16" ht="18.95" customHeight="1">
      <c r="A870" s="814"/>
      <c r="B870" s="789" t="s">
        <v>273</v>
      </c>
      <c r="C870" s="1174" t="s">
        <v>1869</v>
      </c>
      <c r="D870" s="815"/>
      <c r="E870" s="757">
        <v>19.7</v>
      </c>
      <c r="F870" s="799" t="s">
        <v>397</v>
      </c>
      <c r="G870" s="798">
        <v>27.31</v>
      </c>
      <c r="H870" s="783">
        <f t="shared" si="69"/>
        <v>25.532338763569999</v>
      </c>
      <c r="I870" s="783">
        <f t="shared" si="68"/>
        <v>502.98707364232899</v>
      </c>
      <c r="J870" s="843">
        <v>14</v>
      </c>
      <c r="K870" s="790">
        <f t="shared" si="70"/>
        <v>13.088712657999999</v>
      </c>
      <c r="L870" s="799">
        <f t="shared" si="71"/>
        <v>257.84763936259998</v>
      </c>
      <c r="M870" s="757">
        <f t="shared" si="72"/>
        <v>760.83471300492897</v>
      </c>
      <c r="N870" s="837"/>
      <c r="O870" s="663">
        <v>0.93490804699999996</v>
      </c>
    </row>
    <row r="871" spans="1:16" ht="18.95" customHeight="1">
      <c r="A871" s="814"/>
      <c r="B871" s="789" t="s">
        <v>273</v>
      </c>
      <c r="C871" s="1174" t="s">
        <v>1902</v>
      </c>
      <c r="D871" s="815"/>
      <c r="E871" s="757">
        <v>2.9</v>
      </c>
      <c r="F871" s="799" t="s">
        <v>397</v>
      </c>
      <c r="G871" s="765">
        <v>20.7</v>
      </c>
      <c r="H871" s="783">
        <f t="shared" si="69"/>
        <v>19.352596572899998</v>
      </c>
      <c r="I871" s="783">
        <f t="shared" si="68"/>
        <v>56.122530061409989</v>
      </c>
      <c r="J871" s="843">
        <v>3.6</v>
      </c>
      <c r="K871" s="790">
        <f t="shared" si="70"/>
        <v>3.3656689692000001</v>
      </c>
      <c r="L871" s="799">
        <f t="shared" si="71"/>
        <v>9.76044001068</v>
      </c>
      <c r="M871" s="757">
        <f t="shared" si="72"/>
        <v>65.882970072089989</v>
      </c>
      <c r="N871" s="837"/>
      <c r="O871" s="663">
        <v>0.93490804699999996</v>
      </c>
    </row>
    <row r="872" spans="1:16" ht="18.95" customHeight="1">
      <c r="A872" s="814"/>
      <c r="B872" s="789" t="s">
        <v>273</v>
      </c>
      <c r="C872" s="1174" t="s">
        <v>1933</v>
      </c>
      <c r="D872" s="815"/>
      <c r="E872" s="757">
        <v>14.8</v>
      </c>
      <c r="F872" s="799" t="s">
        <v>1888</v>
      </c>
      <c r="G872" s="765">
        <v>20.5</v>
      </c>
      <c r="H872" s="783">
        <f t="shared" si="69"/>
        <v>19.165614963499998</v>
      </c>
      <c r="I872" s="783">
        <f t="shared" si="68"/>
        <v>283.65110145979997</v>
      </c>
      <c r="J872" s="843">
        <v>3.1</v>
      </c>
      <c r="K872" s="790">
        <f t="shared" si="70"/>
        <v>2.8982149456999999</v>
      </c>
      <c r="L872" s="799">
        <f t="shared" si="71"/>
        <v>42.893581196360003</v>
      </c>
      <c r="M872" s="757">
        <f t="shared" si="72"/>
        <v>326.54468265615998</v>
      </c>
      <c r="N872" s="837"/>
      <c r="O872" s="663">
        <v>0.93490804699999996</v>
      </c>
    </row>
    <row r="873" spans="1:16" ht="18.95" customHeight="1">
      <c r="A873" s="853"/>
      <c r="B873" s="789" t="s">
        <v>273</v>
      </c>
      <c r="C873" s="852" t="s">
        <v>1744</v>
      </c>
      <c r="D873" s="852"/>
      <c r="E873" s="757">
        <v>184</v>
      </c>
      <c r="F873" s="799" t="s">
        <v>211</v>
      </c>
      <c r="G873" s="798">
        <v>28.02</v>
      </c>
      <c r="H873" s="783">
        <f t="shared" si="69"/>
        <v>26.196123476939999</v>
      </c>
      <c r="I873" s="783">
        <f t="shared" si="68"/>
        <v>4820.0867197569596</v>
      </c>
      <c r="J873" s="759">
        <v>30</v>
      </c>
      <c r="K873" s="790">
        <f t="shared" si="70"/>
        <v>28.047241409999998</v>
      </c>
      <c r="L873" s="799">
        <f t="shared" si="71"/>
        <v>5160.6924194399999</v>
      </c>
      <c r="M873" s="757">
        <f t="shared" si="72"/>
        <v>9980.7791391969586</v>
      </c>
      <c r="N873" s="837"/>
      <c r="O873" s="663">
        <v>0.93490804699999996</v>
      </c>
    </row>
    <row r="874" spans="1:16" ht="18.95" customHeight="1">
      <c r="A874" s="814"/>
      <c r="B874" s="789" t="s">
        <v>273</v>
      </c>
      <c r="C874" s="1170" t="s">
        <v>1745</v>
      </c>
      <c r="D874" s="852"/>
      <c r="E874" s="757">
        <v>184</v>
      </c>
      <c r="F874" s="799" t="s">
        <v>211</v>
      </c>
      <c r="G874" s="765">
        <v>32.32</v>
      </c>
      <c r="H874" s="783">
        <f t="shared" si="69"/>
        <v>30.21622807904</v>
      </c>
      <c r="I874" s="783">
        <f t="shared" ref="I874:I915" si="73">H874*E874</f>
        <v>5559.7859665433598</v>
      </c>
      <c r="J874" s="843">
        <v>35</v>
      </c>
      <c r="K874" s="790">
        <f t="shared" si="70"/>
        <v>32.721781645</v>
      </c>
      <c r="L874" s="799">
        <f t="shared" si="71"/>
        <v>6020.8078226799998</v>
      </c>
      <c r="M874" s="757">
        <f t="shared" si="72"/>
        <v>11580.59378922336</v>
      </c>
      <c r="N874" s="837"/>
      <c r="O874" s="663">
        <v>0.93490804699999996</v>
      </c>
      <c r="P874" s="725" t="s">
        <v>1689</v>
      </c>
    </row>
    <row r="875" spans="1:16" ht="18.95" customHeight="1">
      <c r="A875" s="814"/>
      <c r="B875" s="789" t="s">
        <v>273</v>
      </c>
      <c r="C875" s="1174" t="s">
        <v>1746</v>
      </c>
      <c r="D875" s="815"/>
      <c r="E875" s="757">
        <v>184</v>
      </c>
      <c r="F875" s="799" t="s">
        <v>211</v>
      </c>
      <c r="G875" s="798">
        <v>130</v>
      </c>
      <c r="H875" s="783">
        <f t="shared" si="69"/>
        <v>121.53804611</v>
      </c>
      <c r="I875" s="783">
        <f t="shared" si="73"/>
        <v>22363.000484239998</v>
      </c>
      <c r="J875" s="843">
        <v>30</v>
      </c>
      <c r="K875" s="790">
        <f t="shared" si="70"/>
        <v>28.047241409999998</v>
      </c>
      <c r="L875" s="799">
        <f t="shared" si="71"/>
        <v>5160.6924194399999</v>
      </c>
      <c r="M875" s="757">
        <f t="shared" si="72"/>
        <v>27523.692903679999</v>
      </c>
      <c r="N875" s="837"/>
      <c r="O875" s="663">
        <v>0.93490804699999996</v>
      </c>
    </row>
    <row r="876" spans="1:16" ht="18.95" customHeight="1">
      <c r="A876" s="1177" t="s">
        <v>1948</v>
      </c>
      <c r="B876" s="1169" t="s">
        <v>1949</v>
      </c>
      <c r="C876" s="852"/>
      <c r="D876" s="852"/>
      <c r="E876" s="757"/>
      <c r="F876" s="799"/>
      <c r="G876" s="759"/>
      <c r="H876" s="783"/>
      <c r="I876" s="783"/>
      <c r="J876" s="843"/>
      <c r="K876" s="790"/>
      <c r="L876" s="799"/>
      <c r="M876" s="757"/>
      <c r="N876" s="837"/>
      <c r="O876" s="663">
        <v>0.93490804699999996</v>
      </c>
    </row>
    <row r="877" spans="1:16" ht="18.95" customHeight="1">
      <c r="A877" s="853"/>
      <c r="B877" s="789" t="s">
        <v>273</v>
      </c>
      <c r="C877" s="852" t="s">
        <v>1947</v>
      </c>
      <c r="D877" s="852"/>
      <c r="E877" s="757">
        <v>70</v>
      </c>
      <c r="F877" s="799" t="s">
        <v>397</v>
      </c>
      <c r="G877" s="798">
        <v>28.3</v>
      </c>
      <c r="H877" s="783">
        <f t="shared" si="69"/>
        <v>26.457897730100001</v>
      </c>
      <c r="I877" s="783">
        <f t="shared" si="73"/>
        <v>1852.0528411069999</v>
      </c>
      <c r="J877" s="843">
        <v>14</v>
      </c>
      <c r="K877" s="790">
        <f t="shared" si="70"/>
        <v>13.088712657999999</v>
      </c>
      <c r="L877" s="799">
        <f t="shared" si="71"/>
        <v>916.20988605999992</v>
      </c>
      <c r="M877" s="757">
        <f t="shared" si="72"/>
        <v>2768.2627271669999</v>
      </c>
      <c r="N877" s="837"/>
      <c r="O877" s="663">
        <v>0.93490804699999996</v>
      </c>
    </row>
    <row r="878" spans="1:16" ht="18.95" customHeight="1">
      <c r="A878" s="853"/>
      <c r="B878" s="789" t="s">
        <v>273</v>
      </c>
      <c r="C878" s="852" t="s">
        <v>1950</v>
      </c>
      <c r="D878" s="852"/>
      <c r="E878" s="757">
        <v>338</v>
      </c>
      <c r="F878" s="799" t="s">
        <v>397</v>
      </c>
      <c r="G878" s="798">
        <v>29.49</v>
      </c>
      <c r="H878" s="783">
        <f t="shared" si="69"/>
        <v>27.570438306029999</v>
      </c>
      <c r="I878" s="783">
        <f t="shared" si="73"/>
        <v>9318.8081474381397</v>
      </c>
      <c r="J878" s="843">
        <v>14</v>
      </c>
      <c r="K878" s="790">
        <f t="shared" si="70"/>
        <v>13.088712657999999</v>
      </c>
      <c r="L878" s="799">
        <f t="shared" si="71"/>
        <v>4423.9848784039996</v>
      </c>
      <c r="M878" s="757">
        <f t="shared" si="72"/>
        <v>13742.79302584214</v>
      </c>
      <c r="N878" s="837"/>
      <c r="O878" s="663">
        <v>0.93490804699999996</v>
      </c>
    </row>
    <row r="879" spans="1:16" ht="18.95" customHeight="1">
      <c r="A879" s="853"/>
      <c r="B879" s="789" t="s">
        <v>273</v>
      </c>
      <c r="C879" s="852" t="s">
        <v>1951</v>
      </c>
      <c r="D879" s="852"/>
      <c r="E879" s="757">
        <v>634</v>
      </c>
      <c r="F879" s="799" t="s">
        <v>397</v>
      </c>
      <c r="G879" s="798">
        <v>28.3</v>
      </c>
      <c r="H879" s="783">
        <f t="shared" si="69"/>
        <v>26.457897730100001</v>
      </c>
      <c r="I879" s="783">
        <f t="shared" si="73"/>
        <v>16774.3071608834</v>
      </c>
      <c r="J879" s="843">
        <v>14</v>
      </c>
      <c r="K879" s="790">
        <f t="shared" si="70"/>
        <v>13.088712657999999</v>
      </c>
      <c r="L879" s="799">
        <f t="shared" si="71"/>
        <v>8298.2438251719996</v>
      </c>
      <c r="M879" s="757">
        <f t="shared" si="72"/>
        <v>25072.550986055401</v>
      </c>
      <c r="N879" s="837"/>
      <c r="O879" s="663">
        <v>0.93490804699999996</v>
      </c>
    </row>
    <row r="880" spans="1:16" ht="18.95" customHeight="1">
      <c r="A880" s="853"/>
      <c r="B880" s="789" t="s">
        <v>273</v>
      </c>
      <c r="C880" s="852" t="s">
        <v>1869</v>
      </c>
      <c r="D880" s="852"/>
      <c r="E880" s="757">
        <v>26.2</v>
      </c>
      <c r="F880" s="799" t="s">
        <v>397</v>
      </c>
      <c r="G880" s="798">
        <v>27.31</v>
      </c>
      <c r="H880" s="783">
        <f t="shared" si="69"/>
        <v>25.532338763569999</v>
      </c>
      <c r="I880" s="783">
        <f t="shared" si="73"/>
        <v>668.94727560553395</v>
      </c>
      <c r="J880" s="843">
        <v>14</v>
      </c>
      <c r="K880" s="790">
        <f t="shared" si="70"/>
        <v>13.088712657999999</v>
      </c>
      <c r="L880" s="799">
        <f t="shared" si="71"/>
        <v>342.92427163959997</v>
      </c>
      <c r="M880" s="757">
        <f t="shared" si="72"/>
        <v>1011.8715472451339</v>
      </c>
      <c r="N880" s="837"/>
      <c r="O880" s="663">
        <v>0.93490804699999996</v>
      </c>
    </row>
    <row r="881" spans="1:16" ht="18.95" customHeight="1">
      <c r="A881" s="853"/>
      <c r="B881" s="789" t="s">
        <v>273</v>
      </c>
      <c r="C881" s="852" t="s">
        <v>1902</v>
      </c>
      <c r="D881" s="852"/>
      <c r="E881" s="757">
        <v>8.6</v>
      </c>
      <c r="F881" s="799" t="s">
        <v>397</v>
      </c>
      <c r="G881" s="765">
        <v>20.7</v>
      </c>
      <c r="H881" s="783">
        <f t="shared" si="69"/>
        <v>19.352596572899998</v>
      </c>
      <c r="I881" s="783">
        <f t="shared" si="73"/>
        <v>166.43233052693998</v>
      </c>
      <c r="J881" s="843">
        <v>3.6</v>
      </c>
      <c r="K881" s="790">
        <f t="shared" si="70"/>
        <v>3.3656689692000001</v>
      </c>
      <c r="L881" s="799">
        <f t="shared" si="71"/>
        <v>28.944753135119999</v>
      </c>
      <c r="M881" s="757">
        <f t="shared" si="72"/>
        <v>195.37708366205999</v>
      </c>
      <c r="N881" s="837"/>
      <c r="O881" s="663">
        <v>0.93490804699999996</v>
      </c>
    </row>
    <row r="882" spans="1:16" ht="18.95" customHeight="1">
      <c r="A882" s="814"/>
      <c r="B882" s="789" t="s">
        <v>273</v>
      </c>
      <c r="C882" s="1174" t="s">
        <v>1933</v>
      </c>
      <c r="D882" s="815"/>
      <c r="E882" s="757">
        <v>14.8</v>
      </c>
      <c r="F882" s="799" t="s">
        <v>1888</v>
      </c>
      <c r="G882" s="765">
        <v>20.5</v>
      </c>
      <c r="H882" s="783">
        <f t="shared" si="69"/>
        <v>19.165614963499998</v>
      </c>
      <c r="I882" s="783">
        <f t="shared" si="73"/>
        <v>283.65110145979997</v>
      </c>
      <c r="J882" s="843">
        <v>3.1</v>
      </c>
      <c r="K882" s="790">
        <f t="shared" si="70"/>
        <v>2.8982149456999999</v>
      </c>
      <c r="L882" s="799">
        <f t="shared" si="71"/>
        <v>42.893581196360003</v>
      </c>
      <c r="M882" s="757">
        <f t="shared" si="72"/>
        <v>326.54468265615998</v>
      </c>
      <c r="N882" s="837"/>
      <c r="O882" s="663">
        <v>0.93490804699999996</v>
      </c>
    </row>
    <row r="883" spans="1:16" ht="18.95" customHeight="1">
      <c r="A883" s="814"/>
      <c r="B883" s="789" t="s">
        <v>273</v>
      </c>
      <c r="C883" s="1174" t="s">
        <v>1744</v>
      </c>
      <c r="D883" s="815"/>
      <c r="E883" s="757">
        <v>33</v>
      </c>
      <c r="F883" s="799" t="s">
        <v>211</v>
      </c>
      <c r="G883" s="798">
        <v>28.02</v>
      </c>
      <c r="H883" s="783">
        <f t="shared" si="69"/>
        <v>26.196123476939999</v>
      </c>
      <c r="I883" s="783">
        <f t="shared" si="73"/>
        <v>864.47207473901994</v>
      </c>
      <c r="J883" s="759">
        <v>30</v>
      </c>
      <c r="K883" s="790">
        <f t="shared" si="70"/>
        <v>28.047241409999998</v>
      </c>
      <c r="L883" s="799">
        <f t="shared" si="71"/>
        <v>925.55896652999991</v>
      </c>
      <c r="M883" s="757">
        <f t="shared" si="72"/>
        <v>1790.0310412690199</v>
      </c>
      <c r="N883" s="837"/>
      <c r="O883" s="663">
        <v>0.93490804699999996</v>
      </c>
    </row>
    <row r="884" spans="1:16" ht="18.95" customHeight="1">
      <c r="A884" s="814"/>
      <c r="B884" s="789" t="s">
        <v>273</v>
      </c>
      <c r="C884" s="1170" t="s">
        <v>1745</v>
      </c>
      <c r="D884" s="852"/>
      <c r="E884" s="757">
        <v>33</v>
      </c>
      <c r="F884" s="799" t="s">
        <v>211</v>
      </c>
      <c r="G884" s="765">
        <v>32.32</v>
      </c>
      <c r="H884" s="783">
        <f t="shared" si="69"/>
        <v>30.21622807904</v>
      </c>
      <c r="I884" s="783">
        <f t="shared" si="73"/>
        <v>997.13552660831999</v>
      </c>
      <c r="J884" s="843">
        <v>35</v>
      </c>
      <c r="K884" s="790">
        <f t="shared" si="70"/>
        <v>32.721781645</v>
      </c>
      <c r="L884" s="799">
        <f t="shared" si="71"/>
        <v>1079.818794285</v>
      </c>
      <c r="M884" s="757">
        <f t="shared" si="72"/>
        <v>2076.9543208933201</v>
      </c>
      <c r="N884" s="837"/>
      <c r="O884" s="663">
        <v>0.93490804699999996</v>
      </c>
      <c r="P884" s="725" t="s">
        <v>1689</v>
      </c>
    </row>
    <row r="885" spans="1:16" ht="18.95" customHeight="1">
      <c r="A885" s="814"/>
      <c r="B885" s="789" t="s">
        <v>273</v>
      </c>
      <c r="C885" s="1174" t="s">
        <v>1746</v>
      </c>
      <c r="D885" s="815"/>
      <c r="E885" s="757">
        <v>33</v>
      </c>
      <c r="F885" s="799" t="s">
        <v>211</v>
      </c>
      <c r="G885" s="798">
        <v>130</v>
      </c>
      <c r="H885" s="783">
        <f t="shared" si="69"/>
        <v>121.53804611</v>
      </c>
      <c r="I885" s="783">
        <f t="shared" si="73"/>
        <v>4010.7555216299997</v>
      </c>
      <c r="J885" s="843">
        <v>30</v>
      </c>
      <c r="K885" s="790">
        <f t="shared" si="70"/>
        <v>28.047241409999998</v>
      </c>
      <c r="L885" s="799">
        <f t="shared" si="71"/>
        <v>925.55896652999991</v>
      </c>
      <c r="M885" s="757">
        <f t="shared" si="72"/>
        <v>4936.3144881600001</v>
      </c>
      <c r="N885" s="837"/>
      <c r="O885" s="663">
        <v>0.93490804699999996</v>
      </c>
    </row>
    <row r="886" spans="1:16" ht="18.95" customHeight="1">
      <c r="A886" s="1177" t="s">
        <v>1952</v>
      </c>
      <c r="B886" s="1169" t="s">
        <v>1953</v>
      </c>
      <c r="C886" s="852"/>
      <c r="D886" s="852"/>
      <c r="E886" s="757"/>
      <c r="F886" s="799"/>
      <c r="G886" s="759"/>
      <c r="H886" s="783"/>
      <c r="I886" s="783"/>
      <c r="J886" s="843"/>
      <c r="K886" s="790"/>
      <c r="L886" s="799"/>
      <c r="M886" s="757"/>
      <c r="N886" s="837"/>
      <c r="O886" s="663">
        <v>0.93490804699999996</v>
      </c>
    </row>
    <row r="887" spans="1:16" ht="18.95" customHeight="1">
      <c r="A887" s="853"/>
      <c r="B887" s="789" t="s">
        <v>273</v>
      </c>
      <c r="C887" s="852" t="s">
        <v>1954</v>
      </c>
      <c r="D887" s="852"/>
      <c r="E887" s="757">
        <v>1674</v>
      </c>
      <c r="F887" s="799" t="s">
        <v>397</v>
      </c>
      <c r="G887" s="798">
        <v>26.73</v>
      </c>
      <c r="H887" s="783">
        <f t="shared" si="69"/>
        <v>24.990092096310001</v>
      </c>
      <c r="I887" s="783">
        <f t="shared" si="73"/>
        <v>41833.414169222939</v>
      </c>
      <c r="J887" s="843">
        <v>12</v>
      </c>
      <c r="K887" s="790">
        <f t="shared" si="70"/>
        <v>11.218896564</v>
      </c>
      <c r="L887" s="799">
        <f t="shared" si="71"/>
        <v>18780.432848135999</v>
      </c>
      <c r="M887" s="757">
        <f t="shared" si="72"/>
        <v>60613.847017358938</v>
      </c>
      <c r="N887" s="837"/>
      <c r="O887" s="663">
        <v>0.93490804699999996</v>
      </c>
    </row>
    <row r="888" spans="1:16" ht="18.95" customHeight="1">
      <c r="A888" s="853"/>
      <c r="B888" s="789" t="s">
        <v>273</v>
      </c>
      <c r="C888" s="852" t="s">
        <v>1955</v>
      </c>
      <c r="D888" s="852"/>
      <c r="E888" s="757">
        <v>7698</v>
      </c>
      <c r="F888" s="799" t="s">
        <v>397</v>
      </c>
      <c r="G888" s="798">
        <v>26.54</v>
      </c>
      <c r="H888" s="783">
        <f t="shared" si="69"/>
        <v>24.812459567379999</v>
      </c>
      <c r="I888" s="783">
        <f t="shared" si="73"/>
        <v>191006.31374969124</v>
      </c>
      <c r="J888" s="843">
        <v>12</v>
      </c>
      <c r="K888" s="790">
        <f t="shared" si="70"/>
        <v>11.218896564</v>
      </c>
      <c r="L888" s="799">
        <f t="shared" si="71"/>
        <v>86363.065749671994</v>
      </c>
      <c r="M888" s="757">
        <f t="shared" si="72"/>
        <v>277369.37949936325</v>
      </c>
      <c r="N888" s="837"/>
      <c r="O888" s="663">
        <v>0.93490804699999996</v>
      </c>
    </row>
    <row r="889" spans="1:16" ht="18.95" customHeight="1">
      <c r="A889" s="853"/>
      <c r="B889" s="789" t="s">
        <v>273</v>
      </c>
      <c r="C889" s="852" t="s">
        <v>1956</v>
      </c>
      <c r="D889" s="852"/>
      <c r="E889" s="757">
        <v>1029</v>
      </c>
      <c r="F889" s="799" t="s">
        <v>397</v>
      </c>
      <c r="G889" s="798">
        <v>26.74</v>
      </c>
      <c r="H889" s="783">
        <f t="shared" si="69"/>
        <v>24.999441176779996</v>
      </c>
      <c r="I889" s="783">
        <f t="shared" si="73"/>
        <v>25724.424970906617</v>
      </c>
      <c r="J889" s="843">
        <v>12</v>
      </c>
      <c r="K889" s="790">
        <f t="shared" si="70"/>
        <v>11.218896564</v>
      </c>
      <c r="L889" s="799">
        <f t="shared" si="71"/>
        <v>11544.244564356</v>
      </c>
      <c r="M889" s="757">
        <f t="shared" si="72"/>
        <v>37268.669535262619</v>
      </c>
      <c r="N889" s="837"/>
      <c r="O889" s="663">
        <v>0.93490804699999996</v>
      </c>
    </row>
    <row r="890" spans="1:16" ht="18.95" customHeight="1">
      <c r="A890" s="853"/>
      <c r="B890" s="789" t="s">
        <v>273</v>
      </c>
      <c r="C890" s="852" t="s">
        <v>1869</v>
      </c>
      <c r="D890" s="852"/>
      <c r="E890" s="757">
        <v>237</v>
      </c>
      <c r="F890" s="799" t="s">
        <v>397</v>
      </c>
      <c r="G890" s="798">
        <v>24.97</v>
      </c>
      <c r="H890" s="783">
        <f t="shared" si="69"/>
        <v>23.344653933589999</v>
      </c>
      <c r="I890" s="783">
        <f t="shared" si="73"/>
        <v>5532.6829822608297</v>
      </c>
      <c r="J890" s="843">
        <v>12</v>
      </c>
      <c r="K890" s="790">
        <f t="shared" si="70"/>
        <v>11.218896564</v>
      </c>
      <c r="L890" s="799">
        <f t="shared" si="71"/>
        <v>2658.8784856679999</v>
      </c>
      <c r="M890" s="757">
        <f t="shared" si="72"/>
        <v>8191.5614679288301</v>
      </c>
      <c r="N890" s="837"/>
      <c r="O890" s="663">
        <v>0.93490804699999996</v>
      </c>
    </row>
    <row r="891" spans="1:16" ht="18.95" customHeight="1">
      <c r="A891" s="814"/>
      <c r="B891" s="789" t="s">
        <v>273</v>
      </c>
      <c r="C891" s="1174" t="s">
        <v>1957</v>
      </c>
      <c r="D891" s="815"/>
      <c r="E891" s="757">
        <v>1168</v>
      </c>
      <c r="F891" s="799" t="s">
        <v>349</v>
      </c>
      <c r="G891" s="798">
        <v>24.6</v>
      </c>
      <c r="H891" s="783">
        <f t="shared" si="69"/>
        <v>22.998737956199999</v>
      </c>
      <c r="I891" s="783">
        <f t="shared" si="73"/>
        <v>26862.5259328416</v>
      </c>
      <c r="J891" s="843">
        <v>7.38</v>
      </c>
      <c r="K891" s="790">
        <f t="shared" si="70"/>
        <v>6.8996213868599998</v>
      </c>
      <c r="L891" s="799">
        <f t="shared" si="71"/>
        <v>8058.7577798524799</v>
      </c>
      <c r="M891" s="757">
        <f t="shared" si="72"/>
        <v>34921.283712694079</v>
      </c>
      <c r="N891" s="837"/>
      <c r="O891" s="663">
        <v>0.93490804699999996</v>
      </c>
    </row>
    <row r="892" spans="1:16" ht="18.95" customHeight="1">
      <c r="A892" s="814"/>
      <c r="B892" s="789" t="s">
        <v>273</v>
      </c>
      <c r="C892" s="1174" t="s">
        <v>1744</v>
      </c>
      <c r="D892" s="815"/>
      <c r="E892" s="757">
        <v>1399</v>
      </c>
      <c r="F892" s="799" t="s">
        <v>211</v>
      </c>
      <c r="G892" s="798">
        <v>28.02</v>
      </c>
      <c r="H892" s="783">
        <f t="shared" si="69"/>
        <v>26.196123476939999</v>
      </c>
      <c r="I892" s="783">
        <f t="shared" si="73"/>
        <v>36648.37674423906</v>
      </c>
      <c r="J892" s="759">
        <v>30</v>
      </c>
      <c r="K892" s="790">
        <f t="shared" si="70"/>
        <v>28.047241409999998</v>
      </c>
      <c r="L892" s="799">
        <f t="shared" si="71"/>
        <v>39238.090732589997</v>
      </c>
      <c r="M892" s="757">
        <f t="shared" si="72"/>
        <v>75886.467476829057</v>
      </c>
      <c r="N892" s="837"/>
      <c r="O892" s="663">
        <v>0.93490804699999996</v>
      </c>
    </row>
    <row r="893" spans="1:16" ht="18.95" customHeight="1">
      <c r="A893" s="814"/>
      <c r="B893" s="789" t="s">
        <v>273</v>
      </c>
      <c r="C893" s="1170" t="s">
        <v>1745</v>
      </c>
      <c r="D893" s="852"/>
      <c r="E893" s="757">
        <v>1399</v>
      </c>
      <c r="F893" s="799" t="s">
        <v>211</v>
      </c>
      <c r="G893" s="765">
        <v>32.32</v>
      </c>
      <c r="H893" s="783">
        <f t="shared" ref="H893:H915" si="74">G893*O893</f>
        <v>30.21622807904</v>
      </c>
      <c r="I893" s="783">
        <f t="shared" si="73"/>
        <v>42272.503082576957</v>
      </c>
      <c r="J893" s="843">
        <v>35</v>
      </c>
      <c r="K893" s="790">
        <f t="shared" si="70"/>
        <v>32.721781645</v>
      </c>
      <c r="L893" s="799">
        <f t="shared" si="71"/>
        <v>45777.772521355</v>
      </c>
      <c r="M893" s="757">
        <f t="shared" si="72"/>
        <v>88050.27560393195</v>
      </c>
      <c r="N893" s="837"/>
      <c r="O893" s="663">
        <v>0.93490804699999996</v>
      </c>
      <c r="P893" s="725" t="s">
        <v>1689</v>
      </c>
    </row>
    <row r="894" spans="1:16" ht="18.95" customHeight="1">
      <c r="A894" s="814"/>
      <c r="B894" s="789" t="s">
        <v>273</v>
      </c>
      <c r="C894" s="1174" t="s">
        <v>1746</v>
      </c>
      <c r="D894" s="815"/>
      <c r="E894" s="757">
        <v>1399</v>
      </c>
      <c r="F894" s="799" t="s">
        <v>211</v>
      </c>
      <c r="G894" s="798">
        <v>130</v>
      </c>
      <c r="H894" s="783">
        <f t="shared" si="74"/>
        <v>121.53804611</v>
      </c>
      <c r="I894" s="783">
        <f t="shared" si="73"/>
        <v>170031.72650789001</v>
      </c>
      <c r="J894" s="843">
        <v>30</v>
      </c>
      <c r="K894" s="790">
        <f t="shared" ref="K894:K915" si="75">J894*O894</f>
        <v>28.047241409999998</v>
      </c>
      <c r="L894" s="799">
        <f t="shared" ref="L894:L915" si="76">K894*E894</f>
        <v>39238.090732589997</v>
      </c>
      <c r="M894" s="757">
        <f t="shared" si="72"/>
        <v>209269.81724048001</v>
      </c>
      <c r="N894" s="837"/>
      <c r="O894" s="663">
        <v>0.93490804699999996</v>
      </c>
    </row>
    <row r="895" spans="1:16" ht="18.95" customHeight="1">
      <c r="A895" s="885">
        <v>10.7</v>
      </c>
      <c r="B895" s="1169" t="s">
        <v>1958</v>
      </c>
      <c r="C895" s="852"/>
      <c r="D895" s="852"/>
      <c r="E895" s="757"/>
      <c r="F895" s="799"/>
      <c r="G895" s="759"/>
      <c r="H895" s="783"/>
      <c r="I895" s="783"/>
      <c r="J895" s="843"/>
      <c r="K895" s="790"/>
      <c r="L895" s="799"/>
      <c r="M895" s="757"/>
      <c r="N895" s="837"/>
      <c r="O895" s="663">
        <v>0.93490804699999996</v>
      </c>
    </row>
    <row r="896" spans="1:16" ht="18.95" customHeight="1">
      <c r="A896" s="853"/>
      <c r="B896" s="789" t="s">
        <v>273</v>
      </c>
      <c r="C896" s="852" t="s">
        <v>1959</v>
      </c>
      <c r="D896" s="852"/>
      <c r="E896" s="757">
        <v>1243</v>
      </c>
      <c r="F896" s="799" t="s">
        <v>397</v>
      </c>
      <c r="G896" s="798">
        <v>26.54</v>
      </c>
      <c r="H896" s="783">
        <f t="shared" si="74"/>
        <v>24.812459567379999</v>
      </c>
      <c r="I896" s="783">
        <f t="shared" si="73"/>
        <v>30841.887242253339</v>
      </c>
      <c r="J896" s="843">
        <v>12</v>
      </c>
      <c r="K896" s="790">
        <f t="shared" si="75"/>
        <v>11.218896564</v>
      </c>
      <c r="L896" s="799">
        <f t="shared" si="76"/>
        <v>13945.088429051999</v>
      </c>
      <c r="M896" s="757">
        <f t="shared" si="72"/>
        <v>44786.975671305336</v>
      </c>
      <c r="N896" s="837"/>
      <c r="O896" s="663">
        <v>0.93490804699999996</v>
      </c>
    </row>
    <row r="897" spans="1:16" ht="18.95" customHeight="1">
      <c r="A897" s="853"/>
      <c r="B897" s="789" t="s">
        <v>273</v>
      </c>
      <c r="C897" s="852" t="s">
        <v>1955</v>
      </c>
      <c r="D897" s="852"/>
      <c r="E897" s="757">
        <v>3239</v>
      </c>
      <c r="F897" s="799" t="s">
        <v>397</v>
      </c>
      <c r="G897" s="798">
        <v>26.54</v>
      </c>
      <c r="H897" s="783">
        <f t="shared" si="74"/>
        <v>24.812459567379999</v>
      </c>
      <c r="I897" s="783">
        <f t="shared" si="73"/>
        <v>80367.556538743826</v>
      </c>
      <c r="J897" s="843">
        <v>12</v>
      </c>
      <c r="K897" s="790">
        <f t="shared" si="75"/>
        <v>11.218896564</v>
      </c>
      <c r="L897" s="799">
        <f t="shared" si="76"/>
        <v>36338.005970795995</v>
      </c>
      <c r="M897" s="757">
        <f t="shared" si="72"/>
        <v>116705.56250953983</v>
      </c>
      <c r="N897" s="837"/>
      <c r="O897" s="663">
        <v>0.93490804699999996</v>
      </c>
    </row>
    <row r="898" spans="1:16" ht="18.95" customHeight="1">
      <c r="A898" s="853"/>
      <c r="B898" s="789" t="s">
        <v>273</v>
      </c>
      <c r="C898" s="852" t="s">
        <v>1869</v>
      </c>
      <c r="D898" s="852"/>
      <c r="E898" s="757">
        <v>135</v>
      </c>
      <c r="F898" s="799" t="s">
        <v>397</v>
      </c>
      <c r="G898" s="798">
        <v>24.97</v>
      </c>
      <c r="H898" s="783">
        <f t="shared" si="74"/>
        <v>23.344653933589999</v>
      </c>
      <c r="I898" s="783">
        <f t="shared" si="73"/>
        <v>3151.5282810346498</v>
      </c>
      <c r="J898" s="843">
        <v>12</v>
      </c>
      <c r="K898" s="790">
        <f t="shared" si="75"/>
        <v>11.218896564</v>
      </c>
      <c r="L898" s="799">
        <f t="shared" si="76"/>
        <v>1514.55103614</v>
      </c>
      <c r="M898" s="757">
        <f t="shared" si="72"/>
        <v>4666.07931717465</v>
      </c>
      <c r="N898" s="837"/>
      <c r="O898" s="663">
        <v>0.93490804699999996</v>
      </c>
    </row>
    <row r="899" spans="1:16" ht="18.95" customHeight="1">
      <c r="A899" s="853"/>
      <c r="B899" s="789" t="s">
        <v>273</v>
      </c>
      <c r="C899" s="852" t="s">
        <v>1957</v>
      </c>
      <c r="D899" s="852"/>
      <c r="E899" s="757">
        <v>660</v>
      </c>
      <c r="F899" s="799" t="s">
        <v>349</v>
      </c>
      <c r="G899" s="798">
        <v>24.6</v>
      </c>
      <c r="H899" s="783">
        <f t="shared" si="74"/>
        <v>22.998737956199999</v>
      </c>
      <c r="I899" s="783">
        <f t="shared" si="73"/>
        <v>15179.167051091999</v>
      </c>
      <c r="J899" s="843">
        <v>7.38</v>
      </c>
      <c r="K899" s="790">
        <f t="shared" si="75"/>
        <v>6.8996213868599998</v>
      </c>
      <c r="L899" s="799">
        <f t="shared" si="76"/>
        <v>4553.7501153275998</v>
      </c>
      <c r="M899" s="757">
        <f t="shared" si="72"/>
        <v>19732.9171664196</v>
      </c>
      <c r="N899" s="837"/>
      <c r="O899" s="663">
        <v>0.93490804699999996</v>
      </c>
    </row>
    <row r="900" spans="1:16" ht="18.95" customHeight="1">
      <c r="A900" s="814"/>
      <c r="B900" s="789" t="s">
        <v>273</v>
      </c>
      <c r="C900" s="1174" t="s">
        <v>1744</v>
      </c>
      <c r="D900" s="815"/>
      <c r="E900" s="757">
        <v>215</v>
      </c>
      <c r="F900" s="799" t="s">
        <v>211</v>
      </c>
      <c r="G900" s="798">
        <v>28.02</v>
      </c>
      <c r="H900" s="783">
        <f t="shared" si="74"/>
        <v>26.196123476939999</v>
      </c>
      <c r="I900" s="783">
        <f t="shared" si="73"/>
        <v>5632.1665475420996</v>
      </c>
      <c r="J900" s="759">
        <v>30</v>
      </c>
      <c r="K900" s="790">
        <f t="shared" si="75"/>
        <v>28.047241409999998</v>
      </c>
      <c r="L900" s="799">
        <f t="shared" si="76"/>
        <v>6030.1569031499994</v>
      </c>
      <c r="M900" s="757">
        <f t="shared" si="72"/>
        <v>11662.3234506921</v>
      </c>
      <c r="N900" s="837"/>
      <c r="O900" s="663">
        <v>0.93490804699999996</v>
      </c>
    </row>
    <row r="901" spans="1:16" ht="18.95" customHeight="1">
      <c r="A901" s="814"/>
      <c r="B901" s="789" t="s">
        <v>273</v>
      </c>
      <c r="C901" s="1170" t="s">
        <v>1745</v>
      </c>
      <c r="D901" s="852"/>
      <c r="E901" s="757">
        <v>215</v>
      </c>
      <c r="F901" s="799" t="s">
        <v>211</v>
      </c>
      <c r="G901" s="765">
        <v>32.32</v>
      </c>
      <c r="H901" s="783">
        <f t="shared" si="74"/>
        <v>30.21622807904</v>
      </c>
      <c r="I901" s="783">
        <f t="shared" si="73"/>
        <v>6496.4890369936002</v>
      </c>
      <c r="J901" s="843">
        <v>35</v>
      </c>
      <c r="K901" s="790">
        <f t="shared" si="75"/>
        <v>32.721781645</v>
      </c>
      <c r="L901" s="799">
        <f t="shared" si="76"/>
        <v>7035.1830536750003</v>
      </c>
      <c r="M901" s="757">
        <f t="shared" si="72"/>
        <v>13531.672090668601</v>
      </c>
      <c r="N901" s="837"/>
      <c r="O901" s="663">
        <v>0.93490804699999996</v>
      </c>
      <c r="P901" s="725" t="s">
        <v>1689</v>
      </c>
    </row>
    <row r="902" spans="1:16" ht="18.95" customHeight="1">
      <c r="A902" s="814"/>
      <c r="B902" s="786"/>
      <c r="C902" s="809"/>
      <c r="D902" s="815"/>
      <c r="E902" s="790"/>
      <c r="F902" s="799"/>
      <c r="G902" s="798"/>
      <c r="H902" s="783"/>
      <c r="I902" s="783"/>
      <c r="J902" s="843"/>
      <c r="K902" s="790"/>
      <c r="L902" s="799"/>
      <c r="M902" s="757"/>
      <c r="N902" s="837"/>
      <c r="O902" s="663">
        <v>0.93490804699999996</v>
      </c>
    </row>
    <row r="903" spans="1:16" s="724" customFormat="1" ht="18.95" customHeight="1">
      <c r="A903" s="791"/>
      <c r="B903" s="1336" t="s">
        <v>1960</v>
      </c>
      <c r="C903" s="1337"/>
      <c r="D903" s="1338"/>
      <c r="E903" s="792"/>
      <c r="F903" s="793"/>
      <c r="G903" s="794"/>
      <c r="H903" s="864"/>
      <c r="I903" s="864"/>
      <c r="J903" s="844"/>
      <c r="K903" s="873"/>
      <c r="L903" s="845"/>
      <c r="M903" s="846">
        <f>SUM(M836:M902)</f>
        <v>1945721.7261568841</v>
      </c>
      <c r="N903" s="847"/>
      <c r="O903" s="848">
        <v>0.93490804699999996</v>
      </c>
    </row>
    <row r="904" spans="1:16" ht="18.95" customHeight="1">
      <c r="A904" s="776"/>
      <c r="B904" s="800"/>
      <c r="C904" s="801"/>
      <c r="D904" s="785"/>
      <c r="E904" s="781"/>
      <c r="F904" s="758"/>
      <c r="G904" s="782"/>
      <c r="H904" s="783"/>
      <c r="I904" s="783"/>
      <c r="J904" s="782"/>
      <c r="K904" s="790"/>
      <c r="L904" s="799"/>
      <c r="M904" s="757"/>
      <c r="N904" s="837"/>
      <c r="O904" s="663">
        <v>0.93490804699999996</v>
      </c>
    </row>
    <row r="905" spans="1:16" ht="18.95" customHeight="1">
      <c r="A905" s="776">
        <v>11</v>
      </c>
      <c r="B905" s="1169" t="s">
        <v>1667</v>
      </c>
      <c r="C905" s="801"/>
      <c r="D905" s="785"/>
      <c r="E905" s="781"/>
      <c r="F905" s="758"/>
      <c r="G905" s="782"/>
      <c r="H905" s="783"/>
      <c r="I905" s="783"/>
      <c r="J905" s="782"/>
      <c r="K905" s="790"/>
      <c r="L905" s="799"/>
      <c r="M905" s="757"/>
      <c r="N905" s="837"/>
      <c r="O905" s="663">
        <v>0.93490804699999996</v>
      </c>
    </row>
    <row r="906" spans="1:16" ht="18.95" customHeight="1">
      <c r="A906" s="1172" t="s">
        <v>1961</v>
      </c>
      <c r="B906" s="786" t="s">
        <v>1962</v>
      </c>
      <c r="C906" s="809"/>
      <c r="D906" s="815"/>
      <c r="E906" s="790"/>
      <c r="F906" s="799"/>
      <c r="G906" s="798"/>
      <c r="H906" s="783"/>
      <c r="I906" s="783"/>
      <c r="J906" s="843"/>
      <c r="K906" s="790"/>
      <c r="L906" s="799"/>
      <c r="M906" s="757"/>
      <c r="N906" s="837"/>
      <c r="O906" s="663">
        <v>0.93490804699999996</v>
      </c>
    </row>
    <row r="907" spans="1:16" ht="18.95" customHeight="1">
      <c r="A907" s="814"/>
      <c r="B907" s="789" t="s">
        <v>273</v>
      </c>
      <c r="C907" s="1174" t="s">
        <v>1963</v>
      </c>
      <c r="D907" s="815"/>
      <c r="E907" s="757">
        <v>10.45</v>
      </c>
      <c r="F907" s="799" t="s">
        <v>397</v>
      </c>
      <c r="G907" s="798">
        <v>22.85</v>
      </c>
      <c r="H907" s="783">
        <f t="shared" si="74"/>
        <v>21.36264887395</v>
      </c>
      <c r="I907" s="783">
        <f t="shared" si="73"/>
        <v>223.23968073277749</v>
      </c>
      <c r="J907" s="843">
        <v>14</v>
      </c>
      <c r="K907" s="790">
        <f t="shared" si="75"/>
        <v>13.088712657999999</v>
      </c>
      <c r="L907" s="799">
        <f t="shared" si="76"/>
        <v>136.77704727609998</v>
      </c>
      <c r="M907" s="757">
        <f>L907+I907</f>
        <v>360.01672800887746</v>
      </c>
      <c r="N907" s="837"/>
      <c r="O907" s="663">
        <v>0.93490804699999996</v>
      </c>
    </row>
    <row r="908" spans="1:16" ht="18.95" customHeight="1">
      <c r="A908" s="814"/>
      <c r="B908" s="789" t="s">
        <v>273</v>
      </c>
      <c r="C908" s="1174" t="s">
        <v>1964</v>
      </c>
      <c r="D908" s="815"/>
      <c r="E908" s="757">
        <v>65.55</v>
      </c>
      <c r="F908" s="799" t="s">
        <v>397</v>
      </c>
      <c r="G908" s="798">
        <v>31.66</v>
      </c>
      <c r="H908" s="783">
        <f t="shared" si="74"/>
        <v>29.599188768019999</v>
      </c>
      <c r="I908" s="783">
        <f t="shared" si="73"/>
        <v>1940.2268237437108</v>
      </c>
      <c r="J908" s="843">
        <v>14</v>
      </c>
      <c r="K908" s="790">
        <f t="shared" si="75"/>
        <v>13.088712657999999</v>
      </c>
      <c r="L908" s="799">
        <f t="shared" si="76"/>
        <v>857.96511473189992</v>
      </c>
      <c r="M908" s="757">
        <f t="shared" ref="M908:M915" si="77">L908+I908</f>
        <v>2798.1919384756106</v>
      </c>
      <c r="N908" s="837"/>
      <c r="O908" s="663">
        <v>0.93490804699999996</v>
      </c>
    </row>
    <row r="909" spans="1:16" ht="18.95" customHeight="1">
      <c r="A909" s="814"/>
      <c r="B909" s="789" t="s">
        <v>273</v>
      </c>
      <c r="C909" s="1174" t="s">
        <v>1965</v>
      </c>
      <c r="D909" s="815"/>
      <c r="E909" s="757">
        <v>340.1</v>
      </c>
      <c r="F909" s="799" t="s">
        <v>397</v>
      </c>
      <c r="G909" s="798">
        <v>24.14</v>
      </c>
      <c r="H909" s="783">
        <f t="shared" si="74"/>
        <v>22.568680254579998</v>
      </c>
      <c r="I909" s="783">
        <f t="shared" si="73"/>
        <v>7675.6081545826582</v>
      </c>
      <c r="J909" s="843">
        <v>14</v>
      </c>
      <c r="K909" s="790">
        <f t="shared" si="75"/>
        <v>13.088712657999999</v>
      </c>
      <c r="L909" s="799">
        <f t="shared" si="76"/>
        <v>4451.4711749857997</v>
      </c>
      <c r="M909" s="757">
        <f t="shared" si="77"/>
        <v>12127.079329568458</v>
      </c>
      <c r="N909" s="837"/>
      <c r="O909" s="663">
        <v>0.93490804699999996</v>
      </c>
      <c r="P909" s="725" t="s">
        <v>1689</v>
      </c>
    </row>
    <row r="910" spans="1:16" ht="18.95" customHeight="1">
      <c r="A910" s="814"/>
      <c r="B910" s="789" t="s">
        <v>273</v>
      </c>
      <c r="C910" s="1174" t="s">
        <v>1966</v>
      </c>
      <c r="D910" s="815"/>
      <c r="E910" s="757">
        <v>281.2</v>
      </c>
      <c r="F910" s="799" t="s">
        <v>397</v>
      </c>
      <c r="G910" s="798">
        <v>26.54</v>
      </c>
      <c r="H910" s="783">
        <f t="shared" si="74"/>
        <v>24.812459567379999</v>
      </c>
      <c r="I910" s="783">
        <f t="shared" si="73"/>
        <v>6977.2636303472555</v>
      </c>
      <c r="J910" s="843">
        <v>14</v>
      </c>
      <c r="K910" s="790">
        <f t="shared" si="75"/>
        <v>13.088712657999999</v>
      </c>
      <c r="L910" s="799">
        <f t="shared" si="76"/>
        <v>3680.5459994295993</v>
      </c>
      <c r="M910" s="757">
        <f t="shared" si="77"/>
        <v>10657.809629776855</v>
      </c>
      <c r="N910" s="837"/>
      <c r="O910" s="663">
        <v>0.93490804699999996</v>
      </c>
    </row>
    <row r="911" spans="1:16" ht="18.95" customHeight="1">
      <c r="A911" s="814"/>
      <c r="B911" s="789" t="s">
        <v>273</v>
      </c>
      <c r="C911" s="1174" t="s">
        <v>1967</v>
      </c>
      <c r="D911" s="815"/>
      <c r="E911" s="757">
        <v>468.35</v>
      </c>
      <c r="F911" s="799" t="s">
        <v>397</v>
      </c>
      <c r="G911" s="798">
        <v>27.89</v>
      </c>
      <c r="H911" s="783">
        <f t="shared" si="74"/>
        <v>26.074585430829998</v>
      </c>
      <c r="I911" s="783">
        <f t="shared" si="73"/>
        <v>12212.032086529231</v>
      </c>
      <c r="J911" s="843">
        <v>14</v>
      </c>
      <c r="K911" s="790">
        <f t="shared" si="75"/>
        <v>13.088712657999999</v>
      </c>
      <c r="L911" s="799">
        <f t="shared" si="76"/>
        <v>6130.0985733743</v>
      </c>
      <c r="M911" s="757">
        <f t="shared" si="77"/>
        <v>18342.130659903531</v>
      </c>
      <c r="N911" s="837"/>
      <c r="O911" s="663">
        <v>0.93490804699999996</v>
      </c>
    </row>
    <row r="912" spans="1:16" ht="18.95" customHeight="1">
      <c r="A912" s="814"/>
      <c r="B912" s="789" t="s">
        <v>273</v>
      </c>
      <c r="C912" s="1174" t="s">
        <v>1968</v>
      </c>
      <c r="D912" s="815"/>
      <c r="E912" s="757">
        <v>856</v>
      </c>
      <c r="F912" s="799" t="s">
        <v>397</v>
      </c>
      <c r="G912" s="798">
        <v>26.75</v>
      </c>
      <c r="H912" s="783">
        <f t="shared" si="74"/>
        <v>25.008790257249998</v>
      </c>
      <c r="I912" s="783">
        <f t="shared" si="73"/>
        <v>21407.524460205997</v>
      </c>
      <c r="J912" s="843">
        <v>14</v>
      </c>
      <c r="K912" s="790">
        <f t="shared" si="75"/>
        <v>13.088712657999999</v>
      </c>
      <c r="L912" s="799">
        <f t="shared" si="76"/>
        <v>11203.938035247998</v>
      </c>
      <c r="M912" s="757">
        <f t="shared" si="77"/>
        <v>32611.462495453998</v>
      </c>
      <c r="N912" s="837"/>
      <c r="O912" s="663">
        <v>0.93490804699999996</v>
      </c>
    </row>
    <row r="913" spans="1:16" ht="18.95" customHeight="1">
      <c r="A913" s="814"/>
      <c r="B913" s="789" t="s">
        <v>273</v>
      </c>
      <c r="C913" s="1174" t="s">
        <v>1885</v>
      </c>
      <c r="D913" s="815"/>
      <c r="E913" s="757">
        <v>16761.8</v>
      </c>
      <c r="F913" s="799" t="s">
        <v>397</v>
      </c>
      <c r="G913" s="798">
        <v>27.2</v>
      </c>
      <c r="H913" s="783">
        <f t="shared" si="74"/>
        <v>25.429498878399997</v>
      </c>
      <c r="I913" s="783">
        <f t="shared" si="73"/>
        <v>426244.17429996503</v>
      </c>
      <c r="J913" s="843">
        <v>14</v>
      </c>
      <c r="K913" s="790">
        <f t="shared" si="75"/>
        <v>13.088712657999999</v>
      </c>
      <c r="L913" s="799">
        <f t="shared" si="76"/>
        <v>219390.38383086436</v>
      </c>
      <c r="M913" s="757">
        <f t="shared" si="77"/>
        <v>645634.55813082936</v>
      </c>
      <c r="N913" s="837"/>
      <c r="O913" s="663">
        <v>0.93490804699999996</v>
      </c>
    </row>
    <row r="914" spans="1:16" ht="18.95" customHeight="1">
      <c r="A914" s="814"/>
      <c r="B914" s="789" t="s">
        <v>273</v>
      </c>
      <c r="C914" s="1174" t="s">
        <v>1744</v>
      </c>
      <c r="D914" s="815"/>
      <c r="E914" s="757">
        <v>788.5</v>
      </c>
      <c r="F914" s="799" t="s">
        <v>211</v>
      </c>
      <c r="G914" s="798">
        <v>28.02</v>
      </c>
      <c r="H914" s="783">
        <f t="shared" si="74"/>
        <v>26.196123476939999</v>
      </c>
      <c r="I914" s="783">
        <f t="shared" si="73"/>
        <v>20655.643361567189</v>
      </c>
      <c r="J914" s="759">
        <v>30</v>
      </c>
      <c r="K914" s="790">
        <f t="shared" si="75"/>
        <v>28.047241409999998</v>
      </c>
      <c r="L914" s="799">
        <f t="shared" si="76"/>
        <v>22115.249851785</v>
      </c>
      <c r="M914" s="757">
        <f t="shared" si="77"/>
        <v>42770.893213352188</v>
      </c>
      <c r="N914" s="837"/>
      <c r="O914" s="663">
        <v>0.93490804699999996</v>
      </c>
    </row>
    <row r="915" spans="1:16" ht="18.95" customHeight="1">
      <c r="A915" s="814"/>
      <c r="B915" s="789" t="s">
        <v>273</v>
      </c>
      <c r="C915" s="1170" t="s">
        <v>1745</v>
      </c>
      <c r="D915" s="852"/>
      <c r="E915" s="757">
        <v>788.5</v>
      </c>
      <c r="F915" s="799" t="s">
        <v>211</v>
      </c>
      <c r="G915" s="765">
        <v>32.32</v>
      </c>
      <c r="H915" s="783">
        <f t="shared" si="74"/>
        <v>30.21622807904</v>
      </c>
      <c r="I915" s="783">
        <f t="shared" si="73"/>
        <v>23825.495840323041</v>
      </c>
      <c r="J915" s="843">
        <v>35</v>
      </c>
      <c r="K915" s="790">
        <f t="shared" si="75"/>
        <v>32.721781645</v>
      </c>
      <c r="L915" s="799">
        <f t="shared" si="76"/>
        <v>25801.124827082502</v>
      </c>
      <c r="M915" s="757">
        <f t="shared" si="77"/>
        <v>49626.620667405543</v>
      </c>
      <c r="N915" s="837"/>
      <c r="O915" s="663">
        <v>0.93490804699999996</v>
      </c>
      <c r="P915" s="725" t="s">
        <v>1689</v>
      </c>
    </row>
    <row r="916" spans="1:16" ht="18.95" customHeight="1">
      <c r="A916" s="814"/>
      <c r="B916" s="786"/>
      <c r="C916" s="809"/>
      <c r="D916" s="815"/>
      <c r="E916" s="790"/>
      <c r="F916" s="799"/>
      <c r="G916" s="798"/>
      <c r="H916" s="799"/>
      <c r="I916" s="790"/>
      <c r="J916" s="843"/>
      <c r="K916" s="790"/>
      <c r="L916" s="790"/>
      <c r="M916" s="757"/>
      <c r="N916" s="837"/>
    </row>
    <row r="917" spans="1:16" s="724" customFormat="1" ht="18.95" customHeight="1">
      <c r="A917" s="791"/>
      <c r="B917" s="1336" t="s">
        <v>1969</v>
      </c>
      <c r="C917" s="1337"/>
      <c r="D917" s="1338"/>
      <c r="E917" s="792"/>
      <c r="F917" s="793"/>
      <c r="G917" s="794"/>
      <c r="H917" s="795"/>
      <c r="I917" s="795"/>
      <c r="J917" s="844"/>
      <c r="K917" s="795"/>
      <c r="L917" s="845"/>
      <c r="M917" s="846">
        <f>SUM(M906:M916)</f>
        <v>814928.76279277436</v>
      </c>
      <c r="N917" s="847"/>
      <c r="O917" s="886"/>
    </row>
    <row r="918" spans="1:16" ht="18.95" customHeight="1">
      <c r="A918" s="814"/>
      <c r="B918" s="786"/>
      <c r="C918" s="809"/>
      <c r="D918" s="815"/>
      <c r="E918" s="790"/>
      <c r="F918" s="799"/>
      <c r="G918" s="798"/>
      <c r="H918" s="799"/>
      <c r="I918" s="790"/>
      <c r="J918" s="843"/>
      <c r="K918" s="790"/>
      <c r="L918" s="790"/>
      <c r="M918" s="757"/>
      <c r="N918" s="837"/>
    </row>
    <row r="919" spans="1:16" ht="18.95" customHeight="1">
      <c r="A919" s="778"/>
      <c r="B919" s="1339"/>
      <c r="C919" s="1340"/>
      <c r="D919" s="1341"/>
      <c r="E919" s="757"/>
      <c r="F919" s="766"/>
      <c r="G919" s="868"/>
      <c r="H919" s="840"/>
      <c r="I919" s="840"/>
      <c r="J919" s="874"/>
      <c r="K919" s="840"/>
      <c r="L919" s="799"/>
      <c r="M919" s="805"/>
      <c r="N919" s="841"/>
      <c r="O919" s="842"/>
    </row>
    <row r="920" spans="1:16" ht="18.95" customHeight="1">
      <c r="A920" s="776"/>
      <c r="B920" s="800"/>
      <c r="C920" s="801"/>
      <c r="D920" s="785"/>
      <c r="E920" s="781"/>
      <c r="F920" s="758"/>
      <c r="G920" s="782"/>
      <c r="H920" s="783"/>
      <c r="I920" s="783"/>
      <c r="J920" s="782"/>
      <c r="K920" s="790"/>
      <c r="L920" s="799"/>
      <c r="M920" s="757"/>
      <c r="N920" s="837"/>
    </row>
  </sheetData>
  <mergeCells count="24">
    <mergeCell ref="N5:N6"/>
    <mergeCell ref="B5:D6"/>
    <mergeCell ref="B903:D903"/>
    <mergeCell ref="B917:D917"/>
    <mergeCell ref="B919:D919"/>
    <mergeCell ref="B714:D714"/>
    <mergeCell ref="B833:D833"/>
    <mergeCell ref="B522:D522"/>
    <mergeCell ref="B604:D604"/>
    <mergeCell ref="B648:D648"/>
    <mergeCell ref="B21:D21"/>
    <mergeCell ref="B45:D45"/>
    <mergeCell ref="B230:D230"/>
    <mergeCell ref="B347:D347"/>
    <mergeCell ref="B430:D430"/>
    <mergeCell ref="A1:C1"/>
    <mergeCell ref="L1:M1"/>
    <mergeCell ref="A2:C2"/>
    <mergeCell ref="A3:C3"/>
    <mergeCell ref="G5:I5"/>
    <mergeCell ref="J5:L5"/>
    <mergeCell ref="F5:F6"/>
    <mergeCell ref="A5:A6"/>
    <mergeCell ref="E5:E6"/>
  </mergeCells>
  <printOptions horizontalCentered="1"/>
  <pageMargins left="0.39370078740157499" right="0.39370078740157499" top="1.1811023622047201" bottom="0" header="0.78740157480314998" footer="0"/>
  <pageSetup paperSize="9" scale="76" firstPageNumber="59" fitToHeight="1000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New,Regular"&amp;14แบบปร.4(ก) แผ่นที่ &amp;P/166</oddHeader>
  </headerFooter>
  <rowBreaks count="30" manualBreakCount="30">
    <brk id="30" max="11" man="1"/>
    <brk id="58" max="11" man="1"/>
    <brk id="90" max="11" man="1"/>
    <brk id="122" max="11" man="1"/>
    <brk id="155" max="11" man="1"/>
    <brk id="183" max="11" man="1"/>
    <brk id="214" max="11" man="1"/>
    <brk id="244" max="11" man="1"/>
    <brk id="273" max="11" man="1"/>
    <brk id="304" max="11" man="1"/>
    <brk id="331" max="11" man="1"/>
    <brk id="358" max="11" man="1"/>
    <brk id="390" max="11" man="1"/>
    <brk id="421" max="11" man="1"/>
    <brk id="448" max="11" man="1"/>
    <brk id="480" max="11" man="1"/>
    <brk id="511" max="11" man="1"/>
    <brk id="538" max="11" man="1"/>
    <brk id="571" max="11" man="1"/>
    <brk id="605" max="11" man="1"/>
    <brk id="633" max="11" man="1"/>
    <brk id="665" max="11" man="1"/>
    <brk id="729" max="11" man="1"/>
    <brk id="755" max="11" man="1"/>
    <brk id="781" max="11" man="1"/>
    <brk id="806" max="11" man="1"/>
    <brk id="834" max="11" man="1"/>
    <brk id="850" max="11" man="1"/>
    <brk id="875" max="11" man="1"/>
    <brk id="904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Q1331"/>
  <sheetViews>
    <sheetView showGridLines="0" view="pageLayout" topLeftCell="A510" zoomScaleNormal="100" workbookViewId="0">
      <selection activeCell="D27" sqref="D27"/>
    </sheetView>
  </sheetViews>
  <sheetFormatPr defaultColWidth="10.453125" defaultRowHeight="18.95" customHeight="1"/>
  <cols>
    <col min="1" max="1" width="10.7265625" style="203" customWidth="1"/>
    <col min="2" max="2" width="12.7265625" style="631" customWidth="1"/>
    <col min="3" max="3" width="85" style="632" customWidth="1"/>
    <col min="4" max="4" width="6.54296875" style="633" customWidth="1"/>
    <col min="5" max="5" width="12.81640625" style="307" customWidth="1"/>
    <col min="6" max="6" width="9.54296875" style="327" customWidth="1"/>
    <col min="7" max="7" width="15.7265625" style="327" hidden="1" customWidth="1"/>
    <col min="8" max="9" width="15.7265625" style="327" customWidth="1"/>
    <col min="10" max="10" width="15.7265625" style="327" hidden="1" customWidth="1"/>
    <col min="11" max="12" width="15.7265625" style="327" customWidth="1"/>
    <col min="13" max="13" width="16.54296875" style="327" customWidth="1"/>
    <col min="14" max="14" width="13.81640625" style="157" customWidth="1"/>
    <col min="15" max="16" width="15" style="157" customWidth="1"/>
    <col min="17" max="17" width="12.7265625" style="203" customWidth="1"/>
    <col min="18" max="16384" width="10.453125" style="203"/>
  </cols>
  <sheetData>
    <row r="1" spans="1:17" s="1" customFormat="1" ht="18.95" customHeight="1">
      <c r="A1" s="5" t="s">
        <v>181</v>
      </c>
      <c r="B1" s="5"/>
      <c r="C1" s="7" t="str">
        <f>+'RKCA1_ปร.5 (ก)'!C4</f>
        <v>โครงการจัดตั้งศูนย์การเรียนรู้แห่งชาติ OKMD : OKMD National Knowledge Center (Ratchadamnoen Center 1 และ 2)</v>
      </c>
      <c r="D1" s="304"/>
      <c r="E1" s="304"/>
      <c r="F1" s="304"/>
      <c r="G1" s="634"/>
      <c r="H1" s="634"/>
      <c r="I1" s="95"/>
      <c r="J1" s="95" t="s">
        <v>182</v>
      </c>
      <c r="K1" s="95" t="s">
        <v>182</v>
      </c>
      <c r="L1" s="241" t="s">
        <v>1970</v>
      </c>
      <c r="M1" s="662"/>
      <c r="N1" s="304"/>
      <c r="O1" s="3"/>
      <c r="P1" s="3"/>
    </row>
    <row r="2" spans="1:17" s="1" customFormat="1" ht="18.95" customHeight="1">
      <c r="A2" s="6" t="s">
        <v>125</v>
      </c>
      <c r="B2" s="6"/>
      <c r="C2" s="9" t="str">
        <f>+'RKCA1_ปร.5 (ก)'!C5</f>
        <v>แขวงตลาดยอด เขตพระนคร กรุงเทพมหานคร</v>
      </c>
      <c r="D2" s="8"/>
      <c r="E2" s="8"/>
      <c r="F2" s="8"/>
      <c r="G2" s="8"/>
      <c r="H2" s="8"/>
      <c r="I2" s="8"/>
      <c r="J2" s="96" t="s">
        <v>184</v>
      </c>
      <c r="K2" s="96" t="s">
        <v>184</v>
      </c>
      <c r="L2" s="97" t="str">
        <f>+'RKCA1_ปร.5 (ก)'!C10</f>
        <v xml:space="preserve">  16 กรกฎาคม 2568</v>
      </c>
      <c r="M2" s="8"/>
      <c r="N2" s="8"/>
      <c r="O2" s="3"/>
      <c r="P2" s="3"/>
    </row>
    <row r="3" spans="1:17" s="1" customFormat="1" ht="18.95" customHeight="1">
      <c r="A3" s="6" t="s">
        <v>185</v>
      </c>
      <c r="B3" s="6"/>
      <c r="C3" s="9" t="str">
        <f>+'RKCA1_ปร.5 (ก)'!C9</f>
        <v>คณะกรรมการกำหนดราคากลาง</v>
      </c>
      <c r="D3" s="8"/>
      <c r="E3" s="8"/>
      <c r="F3" s="8"/>
      <c r="G3" s="8"/>
      <c r="H3" s="8"/>
      <c r="I3" s="96"/>
      <c r="J3" s="96"/>
      <c r="K3" s="96"/>
      <c r="L3" s="97"/>
      <c r="M3" s="8"/>
      <c r="N3" s="8"/>
      <c r="O3" s="3"/>
      <c r="P3" s="3"/>
    </row>
    <row r="4" spans="1:17" s="1" customFormat="1" ht="18.95" customHeight="1">
      <c r="B4" s="369"/>
      <c r="C4" s="617"/>
      <c r="E4" s="635"/>
      <c r="F4" s="4"/>
      <c r="G4" s="4"/>
      <c r="H4" s="4"/>
      <c r="I4" s="4"/>
      <c r="J4" s="4"/>
      <c r="K4" s="4"/>
      <c r="L4" s="4"/>
      <c r="M4" s="4"/>
      <c r="N4" s="3"/>
      <c r="O4" s="3"/>
      <c r="P4" s="3"/>
    </row>
    <row r="5" spans="1:17" ht="18.95" customHeight="1">
      <c r="A5" s="1235" t="s">
        <v>186</v>
      </c>
      <c r="B5" s="1235" t="s">
        <v>138</v>
      </c>
      <c r="C5" s="1287"/>
      <c r="D5" s="1288"/>
      <c r="E5" s="1356" t="s">
        <v>187</v>
      </c>
      <c r="F5" s="1358" t="s">
        <v>188</v>
      </c>
      <c r="G5" s="1345" t="s">
        <v>189</v>
      </c>
      <c r="H5" s="1346"/>
      <c r="I5" s="1347"/>
      <c r="J5" s="1345" t="s">
        <v>190</v>
      </c>
      <c r="K5" s="1346"/>
      <c r="L5" s="1347"/>
      <c r="M5" s="99" t="s">
        <v>191</v>
      </c>
      <c r="N5" s="1237" t="s">
        <v>140</v>
      </c>
    </row>
    <row r="6" spans="1:17" ht="18.95" customHeight="1">
      <c r="A6" s="1236"/>
      <c r="B6" s="1236"/>
      <c r="C6" s="1289"/>
      <c r="D6" s="1290"/>
      <c r="E6" s="1357"/>
      <c r="F6" s="1359"/>
      <c r="G6" s="13" t="s">
        <v>192</v>
      </c>
      <c r="H6" s="13" t="s">
        <v>192</v>
      </c>
      <c r="I6" s="13" t="s">
        <v>193</v>
      </c>
      <c r="J6" s="13" t="s">
        <v>192</v>
      </c>
      <c r="K6" s="13" t="s">
        <v>192</v>
      </c>
      <c r="L6" s="13" t="s">
        <v>193</v>
      </c>
      <c r="M6" s="13" t="s">
        <v>194</v>
      </c>
      <c r="N6" s="1238"/>
    </row>
    <row r="7" spans="1:17" ht="18.75" customHeight="1">
      <c r="A7" s="506"/>
      <c r="B7" s="636" t="s">
        <v>1971</v>
      </c>
      <c r="C7" s="637"/>
      <c r="D7" s="17"/>
      <c r="E7" s="638"/>
      <c r="F7" s="20"/>
      <c r="G7" s="18"/>
      <c r="H7" s="18"/>
      <c r="I7" s="18"/>
      <c r="J7" s="20"/>
      <c r="K7" s="20"/>
      <c r="L7" s="218"/>
      <c r="M7" s="20"/>
      <c r="N7" s="19"/>
    </row>
    <row r="8" spans="1:17" ht="18.95" customHeight="1">
      <c r="A8" s="265"/>
      <c r="B8" s="22" t="s">
        <v>162</v>
      </c>
      <c r="C8" s="639"/>
      <c r="D8" s="24"/>
      <c r="E8" s="533"/>
      <c r="F8" s="30"/>
      <c r="G8" s="25"/>
      <c r="H8" s="25"/>
      <c r="I8" s="25"/>
      <c r="J8" s="30"/>
      <c r="K8" s="30"/>
      <c r="L8" s="34"/>
      <c r="M8" s="30"/>
      <c r="N8" s="26"/>
    </row>
    <row r="9" spans="1:17" ht="18.95" customHeight="1">
      <c r="A9" s="265"/>
      <c r="B9" s="22"/>
      <c r="C9" s="639"/>
      <c r="D9" s="24"/>
      <c r="E9" s="533"/>
      <c r="F9" s="30"/>
      <c r="G9" s="25"/>
      <c r="H9" s="25"/>
      <c r="I9" s="25"/>
      <c r="J9" s="30"/>
      <c r="K9" s="30"/>
      <c r="L9" s="34"/>
      <c r="M9" s="30"/>
      <c r="N9" s="26"/>
    </row>
    <row r="10" spans="1:17" ht="18.95" customHeight="1">
      <c r="A10" s="420">
        <v>1</v>
      </c>
      <c r="B10" s="223" t="s">
        <v>1972</v>
      </c>
      <c r="C10" s="640"/>
      <c r="D10" s="24"/>
      <c r="E10" s="533">
        <v>1</v>
      </c>
      <c r="F10" s="30" t="s">
        <v>788</v>
      </c>
      <c r="G10" s="25"/>
      <c r="H10" s="25"/>
      <c r="I10" s="25">
        <f>I50</f>
        <v>3571854.5247934265</v>
      </c>
      <c r="J10" s="30"/>
      <c r="K10" s="30"/>
      <c r="L10" s="30">
        <f>L50</f>
        <v>237737.76727163</v>
      </c>
      <c r="M10" s="25">
        <f>I10+L10</f>
        <v>3809592.2920650565</v>
      </c>
      <c r="N10" s="26"/>
      <c r="O10" s="591">
        <f>P10*0.934908047</f>
        <v>3809592.292065057</v>
      </c>
      <c r="P10" s="591">
        <v>4074831</v>
      </c>
      <c r="Q10" s="560">
        <f>M10-O10</f>
        <v>0</v>
      </c>
    </row>
    <row r="11" spans="1:17" ht="18.95" customHeight="1">
      <c r="A11" s="420">
        <v>2</v>
      </c>
      <c r="B11" s="1178" t="s">
        <v>1973</v>
      </c>
      <c r="C11" s="640"/>
      <c r="D11" s="24"/>
      <c r="E11" s="533">
        <v>1</v>
      </c>
      <c r="F11" s="30" t="s">
        <v>788</v>
      </c>
      <c r="G11" s="25"/>
      <c r="H11" s="25"/>
      <c r="I11" s="25">
        <f>I54</f>
        <v>37396.321879999996</v>
      </c>
      <c r="J11" s="30"/>
      <c r="K11" s="30"/>
      <c r="L11" s="30">
        <f>L54</f>
        <v>56094.482819999997</v>
      </c>
      <c r="M11" s="25">
        <f>I11+L11</f>
        <v>93490.804699999993</v>
      </c>
      <c r="N11" s="26"/>
      <c r="O11" s="591">
        <f t="shared" ref="O11:O32" si="0">P11*0.934908047</f>
        <v>93490.804699999993</v>
      </c>
      <c r="P11" s="591">
        <v>100000</v>
      </c>
      <c r="Q11" s="560">
        <f t="shared" ref="Q11:Q34" si="1">M11-O11</f>
        <v>0</v>
      </c>
    </row>
    <row r="12" spans="1:17" ht="18.95" customHeight="1">
      <c r="A12" s="420">
        <v>3</v>
      </c>
      <c r="B12" s="1178" t="s">
        <v>1974</v>
      </c>
      <c r="C12" s="640"/>
      <c r="D12" s="24"/>
      <c r="E12" s="533">
        <v>1</v>
      </c>
      <c r="F12" s="30" t="s">
        <v>788</v>
      </c>
      <c r="G12" s="25"/>
      <c r="H12" s="25"/>
      <c r="I12" s="25">
        <f>I64</f>
        <v>283342.58180428995</v>
      </c>
      <c r="J12" s="30"/>
      <c r="K12" s="30"/>
      <c r="L12" s="30">
        <f>L64</f>
        <v>9349.080469999999</v>
      </c>
      <c r="M12" s="242">
        <f t="shared" ref="M12:M32" si="2">I12+L12</f>
        <v>292691.66227428993</v>
      </c>
      <c r="N12" s="26"/>
      <c r="O12" s="591">
        <f t="shared" si="0"/>
        <v>292691.66227428999</v>
      </c>
      <c r="P12" s="591">
        <v>313070</v>
      </c>
      <c r="Q12" s="560">
        <f t="shared" si="1"/>
        <v>0</v>
      </c>
    </row>
    <row r="13" spans="1:17" ht="18.95" customHeight="1">
      <c r="A13" s="420">
        <v>4</v>
      </c>
      <c r="B13" s="1178" t="s">
        <v>1975</v>
      </c>
      <c r="C13" s="640"/>
      <c r="D13" s="24"/>
      <c r="E13" s="533">
        <v>1</v>
      </c>
      <c r="F13" s="30" t="s">
        <v>788</v>
      </c>
      <c r="G13" s="25"/>
      <c r="H13" s="25"/>
      <c r="I13" s="25">
        <f>I70</f>
        <v>1332243.966975</v>
      </c>
      <c r="J13" s="30"/>
      <c r="K13" s="30"/>
      <c r="L13" s="30">
        <f>L70</f>
        <v>11218.896563999999</v>
      </c>
      <c r="M13" s="242">
        <f t="shared" si="2"/>
        <v>1343462.863539</v>
      </c>
      <c r="N13" s="26"/>
      <c r="O13" s="591">
        <f t="shared" si="0"/>
        <v>1343462.863539</v>
      </c>
      <c r="P13" s="591">
        <v>1437000</v>
      </c>
      <c r="Q13" s="560">
        <f t="shared" si="1"/>
        <v>0</v>
      </c>
    </row>
    <row r="14" spans="1:17" ht="18.95" customHeight="1">
      <c r="A14" s="420">
        <v>5</v>
      </c>
      <c r="B14" s="1178" t="s">
        <v>1976</v>
      </c>
      <c r="C14" s="640"/>
      <c r="D14" s="24"/>
      <c r="E14" s="533">
        <v>1</v>
      </c>
      <c r="F14" s="30" t="s">
        <v>788</v>
      </c>
      <c r="G14" s="25"/>
      <c r="H14" s="25"/>
      <c r="I14" s="25">
        <f>I280</f>
        <v>6719742.320638461</v>
      </c>
      <c r="J14" s="30"/>
      <c r="K14" s="30"/>
      <c r="L14" s="30">
        <f>L280</f>
        <v>209690.52586163004</v>
      </c>
      <c r="M14" s="242">
        <f t="shared" si="2"/>
        <v>6929432.8465000913</v>
      </c>
      <c r="N14" s="26"/>
      <c r="O14" s="591">
        <f t="shared" si="0"/>
        <v>6929432.8465000913</v>
      </c>
      <c r="P14" s="591">
        <v>7411887.0499999998</v>
      </c>
      <c r="Q14" s="560">
        <f t="shared" si="1"/>
        <v>0</v>
      </c>
    </row>
    <row r="15" spans="1:17" ht="18.95" customHeight="1">
      <c r="A15" s="420">
        <v>6</v>
      </c>
      <c r="B15" s="1178" t="s">
        <v>1977</v>
      </c>
      <c r="C15" s="641"/>
      <c r="D15" s="24"/>
      <c r="E15" s="533">
        <v>1</v>
      </c>
      <c r="F15" s="30" t="s">
        <v>788</v>
      </c>
      <c r="G15" s="30"/>
      <c r="H15" s="30"/>
      <c r="I15" s="30">
        <f>I345</f>
        <v>11523544.73634864</v>
      </c>
      <c r="J15" s="30"/>
      <c r="K15" s="30"/>
      <c r="L15" s="25">
        <f>L345</f>
        <v>2882715.3406921239</v>
      </c>
      <c r="M15" s="242">
        <f t="shared" si="2"/>
        <v>14406260.077040764</v>
      </c>
      <c r="N15" s="26"/>
      <c r="O15" s="591">
        <f t="shared" si="0"/>
        <v>14406260.066806851</v>
      </c>
      <c r="P15" s="591">
        <v>15409280.210000001</v>
      </c>
      <c r="Q15" s="560">
        <f t="shared" si="1"/>
        <v>1.0233912616968155E-2</v>
      </c>
    </row>
    <row r="16" spans="1:17" ht="18.95" customHeight="1">
      <c r="A16" s="420">
        <v>7</v>
      </c>
      <c r="B16" s="223" t="s">
        <v>1978</v>
      </c>
      <c r="C16" s="641"/>
      <c r="D16" s="24"/>
      <c r="E16" s="533">
        <v>1</v>
      </c>
      <c r="F16" s="30" t="s">
        <v>788</v>
      </c>
      <c r="G16" s="25"/>
      <c r="H16" s="25"/>
      <c r="I16" s="25">
        <f>I378</f>
        <v>6246690.385621761</v>
      </c>
      <c r="J16" s="30"/>
      <c r="K16" s="30"/>
      <c r="L16" s="30">
        <f>L378</f>
        <v>2305984.6173243523</v>
      </c>
      <c r="M16" s="242">
        <f t="shared" si="2"/>
        <v>8552675.0029461123</v>
      </c>
      <c r="N16" s="26"/>
      <c r="O16" s="591">
        <f t="shared" si="0"/>
        <v>8552675.002011206</v>
      </c>
      <c r="P16" s="591">
        <v>9148145.6699999999</v>
      </c>
      <c r="Q16" s="560">
        <f t="shared" si="1"/>
        <v>9.3490630388259888E-4</v>
      </c>
    </row>
    <row r="17" spans="1:17" ht="18.95" customHeight="1">
      <c r="A17" s="420">
        <v>8</v>
      </c>
      <c r="B17" s="223" t="s">
        <v>1979</v>
      </c>
      <c r="C17" s="641"/>
      <c r="D17" s="409"/>
      <c r="E17" s="533">
        <v>1</v>
      </c>
      <c r="F17" s="30" t="s">
        <v>788</v>
      </c>
      <c r="G17" s="30"/>
      <c r="H17" s="30"/>
      <c r="I17" s="30">
        <f>I610</f>
        <v>24481952.097277302</v>
      </c>
      <c r="J17" s="30"/>
      <c r="K17" s="30"/>
      <c r="L17" s="25">
        <f>L610</f>
        <v>1153765.1829714256</v>
      </c>
      <c r="M17" s="25">
        <f t="shared" si="2"/>
        <v>25635717.280248728</v>
      </c>
      <c r="N17" s="26"/>
      <c r="O17" s="591">
        <f t="shared" si="0"/>
        <v>25635717.277313117</v>
      </c>
      <c r="P17" s="591">
        <v>27420576.129999999</v>
      </c>
      <c r="Q17" s="560">
        <f t="shared" si="1"/>
        <v>2.9356107115745544E-3</v>
      </c>
    </row>
    <row r="18" spans="1:17" ht="18.95" customHeight="1">
      <c r="A18" s="420">
        <v>9</v>
      </c>
      <c r="B18" s="1178" t="s">
        <v>1980</v>
      </c>
      <c r="C18" s="640"/>
      <c r="D18" s="24"/>
      <c r="E18" s="533">
        <v>1</v>
      </c>
      <c r="F18" s="30" t="s">
        <v>788</v>
      </c>
      <c r="G18" s="30"/>
      <c r="H18" s="30"/>
      <c r="I18" s="30">
        <f>I620</f>
        <v>477146.40220485837</v>
      </c>
      <c r="J18" s="30"/>
      <c r="K18" s="30"/>
      <c r="L18" s="25">
        <f>L620</f>
        <v>42358.028470716519</v>
      </c>
      <c r="M18" s="25">
        <f t="shared" si="2"/>
        <v>519504.43067557487</v>
      </c>
      <c r="N18" s="26"/>
      <c r="O18" s="591">
        <f t="shared" si="0"/>
        <v>519504.43067557487</v>
      </c>
      <c r="P18" s="591">
        <v>555674.36</v>
      </c>
      <c r="Q18" s="560">
        <f t="shared" si="1"/>
        <v>0</v>
      </c>
    </row>
    <row r="19" spans="1:17" ht="18.95" customHeight="1">
      <c r="A19" s="420">
        <v>10</v>
      </c>
      <c r="B19" s="227" t="s">
        <v>1981</v>
      </c>
      <c r="C19" s="642"/>
      <c r="D19" s="24"/>
      <c r="E19" s="533">
        <v>1</v>
      </c>
      <c r="F19" s="30" t="s">
        <v>788</v>
      </c>
      <c r="G19" s="30"/>
      <c r="H19" s="30"/>
      <c r="I19" s="30">
        <f>I640</f>
        <v>550802.94570614398</v>
      </c>
      <c r="J19" s="30"/>
      <c r="K19" s="30"/>
      <c r="L19" s="25">
        <f>L640</f>
        <v>229861.72792048322</v>
      </c>
      <c r="M19" s="25">
        <f t="shared" si="2"/>
        <v>780664.67362662719</v>
      </c>
      <c r="N19" s="26"/>
      <c r="O19" s="591">
        <f t="shared" si="0"/>
        <v>780664.67362662719</v>
      </c>
      <c r="P19" s="591">
        <v>835017.6</v>
      </c>
      <c r="Q19" s="560">
        <f t="shared" si="1"/>
        <v>0</v>
      </c>
    </row>
    <row r="20" spans="1:17" ht="18.95" customHeight="1">
      <c r="A20" s="420">
        <v>11</v>
      </c>
      <c r="B20" s="229" t="s">
        <v>1982</v>
      </c>
      <c r="C20" s="640"/>
      <c r="D20" s="301"/>
      <c r="E20" s="533">
        <v>1</v>
      </c>
      <c r="F20" s="30" t="s">
        <v>788</v>
      </c>
      <c r="G20" s="25"/>
      <c r="H20" s="25"/>
      <c r="I20" s="25">
        <f>I659</f>
        <v>1048308.6534689119</v>
      </c>
      <c r="J20" s="25"/>
      <c r="K20" s="25"/>
      <c r="L20" s="25">
        <f>L659</f>
        <v>151413.03275188501</v>
      </c>
      <c r="M20" s="25">
        <f t="shared" si="2"/>
        <v>1199721.6862207968</v>
      </c>
      <c r="N20" s="26"/>
      <c r="O20" s="591">
        <f t="shared" si="0"/>
        <v>1199721.686220797</v>
      </c>
      <c r="P20" s="591">
        <v>1283251</v>
      </c>
      <c r="Q20" s="560">
        <f t="shared" si="1"/>
        <v>0</v>
      </c>
    </row>
    <row r="21" spans="1:17" ht="18.95" customHeight="1">
      <c r="A21" s="420">
        <v>12</v>
      </c>
      <c r="B21" s="229" t="s">
        <v>1983</v>
      </c>
      <c r="C21" s="643"/>
      <c r="D21" s="301"/>
      <c r="E21" s="533">
        <v>1</v>
      </c>
      <c r="F21" s="30" t="s">
        <v>788</v>
      </c>
      <c r="G21" s="30"/>
      <c r="H21" s="30"/>
      <c r="I21" s="30">
        <f>I663</f>
        <v>420708.62114999996</v>
      </c>
      <c r="J21" s="30"/>
      <c r="K21" s="30"/>
      <c r="L21" s="25">
        <f>L663</f>
        <v>56094.482819999997</v>
      </c>
      <c r="M21" s="25">
        <f t="shared" si="2"/>
        <v>476803.10396999994</v>
      </c>
      <c r="N21" s="26"/>
      <c r="O21" s="591">
        <f t="shared" si="0"/>
        <v>476803.10397</v>
      </c>
      <c r="P21" s="591">
        <v>510000</v>
      </c>
      <c r="Q21" s="560">
        <f t="shared" si="1"/>
        <v>0</v>
      </c>
    </row>
    <row r="22" spans="1:17" ht="18.95" customHeight="1">
      <c r="A22" s="420">
        <v>13</v>
      </c>
      <c r="B22" s="227" t="s">
        <v>1984</v>
      </c>
      <c r="C22" s="641"/>
      <c r="D22" s="49"/>
      <c r="E22" s="533">
        <v>1</v>
      </c>
      <c r="F22" s="30" t="s">
        <v>788</v>
      </c>
      <c r="G22" s="25"/>
      <c r="H22" s="25"/>
      <c r="I22" s="25">
        <f>I768</f>
        <v>1861265.7989653572</v>
      </c>
      <c r="J22" s="25"/>
      <c r="K22" s="25"/>
      <c r="L22" s="25">
        <f>L768</f>
        <v>110562.22563821998</v>
      </c>
      <c r="M22" s="25">
        <f t="shared" si="2"/>
        <v>1971828.0246035773</v>
      </c>
      <c r="N22" s="26"/>
      <c r="O22" s="591">
        <f t="shared" si="0"/>
        <v>1971828.0246035766</v>
      </c>
      <c r="P22" s="591">
        <v>2109114.4</v>
      </c>
      <c r="Q22" s="560">
        <f t="shared" si="1"/>
        <v>0</v>
      </c>
    </row>
    <row r="23" spans="1:17" ht="18.95" customHeight="1">
      <c r="A23" s="265">
        <v>14</v>
      </c>
      <c r="B23" s="227" t="s">
        <v>1985</v>
      </c>
      <c r="C23" s="641"/>
      <c r="D23" s="49"/>
      <c r="E23" s="533">
        <v>1</v>
      </c>
      <c r="F23" s="30" t="s">
        <v>788</v>
      </c>
      <c r="G23" s="25"/>
      <c r="H23" s="25"/>
      <c r="I23" s="25">
        <f>I869</f>
        <v>5073142.9310710747</v>
      </c>
      <c r="J23" s="25"/>
      <c r="K23" s="25"/>
      <c r="L23" s="25">
        <f>L869</f>
        <v>394120.02907135914</v>
      </c>
      <c r="M23" s="25">
        <f>M869</f>
        <v>5467262.9601424364</v>
      </c>
      <c r="N23" s="26"/>
      <c r="O23" s="591">
        <f t="shared" si="0"/>
        <v>5467262.9225591309</v>
      </c>
      <c r="P23" s="591">
        <v>5847915.1399999997</v>
      </c>
      <c r="Q23" s="560">
        <f t="shared" si="1"/>
        <v>3.758330550044775E-2</v>
      </c>
    </row>
    <row r="24" spans="1:17" ht="18.95" customHeight="1">
      <c r="A24" s="508">
        <v>15</v>
      </c>
      <c r="B24" s="229" t="s">
        <v>1986</v>
      </c>
      <c r="C24" s="640"/>
      <c r="D24" s="24"/>
      <c r="E24" s="533">
        <v>1</v>
      </c>
      <c r="F24" s="30" t="s">
        <v>788</v>
      </c>
      <c r="G24" s="25"/>
      <c r="H24" s="25"/>
      <c r="I24" s="25">
        <f>I974</f>
        <v>2319862.1637890036</v>
      </c>
      <c r="J24" s="25"/>
      <c r="K24" s="25"/>
      <c r="L24" s="30">
        <f>L974</f>
        <v>690369.3191409643</v>
      </c>
      <c r="M24" s="25">
        <f t="shared" si="2"/>
        <v>3010231.4829299678</v>
      </c>
      <c r="N24" s="26"/>
      <c r="O24" s="591">
        <f t="shared" si="0"/>
        <v>3010231.4488525698</v>
      </c>
      <c r="P24" s="591">
        <v>3219815.53</v>
      </c>
      <c r="Q24" s="560">
        <f t="shared" si="1"/>
        <v>3.4077398013323545E-2</v>
      </c>
    </row>
    <row r="25" spans="1:17" ht="18.95" customHeight="1">
      <c r="A25" s="265">
        <v>16</v>
      </c>
      <c r="B25" s="227" t="s">
        <v>1987</v>
      </c>
      <c r="C25" s="641"/>
      <c r="D25" s="49"/>
      <c r="E25" s="533">
        <v>1</v>
      </c>
      <c r="F25" s="30" t="s">
        <v>788</v>
      </c>
      <c r="G25" s="25"/>
      <c r="H25" s="25"/>
      <c r="I25" s="25">
        <f>I1082</f>
        <v>5181020.3663473576</v>
      </c>
      <c r="J25" s="25"/>
      <c r="K25" s="25"/>
      <c r="L25" s="30">
        <f>L1082</f>
        <v>408122.18542003806</v>
      </c>
      <c r="M25" s="25">
        <f t="shared" si="2"/>
        <v>5589142.5517673958</v>
      </c>
      <c r="N25" s="26"/>
      <c r="O25" s="591">
        <f t="shared" si="0"/>
        <v>5589142.6401639879</v>
      </c>
      <c r="P25" s="591">
        <v>5978280.5999999996</v>
      </c>
      <c r="Q25" s="560">
        <f t="shared" si="1"/>
        <v>-8.8396592065691948E-2</v>
      </c>
    </row>
    <row r="26" spans="1:17" ht="18.95" customHeight="1">
      <c r="A26" s="508">
        <v>17</v>
      </c>
      <c r="B26" s="227" t="s">
        <v>1988</v>
      </c>
      <c r="C26" s="641"/>
      <c r="D26" s="49"/>
      <c r="E26" s="533">
        <v>1</v>
      </c>
      <c r="F26" s="30" t="s">
        <v>788</v>
      </c>
      <c r="G26" s="25"/>
      <c r="H26" s="25"/>
      <c r="I26" s="25">
        <f>I1114</f>
        <v>2278030.0757868453</v>
      </c>
      <c r="J26" s="25"/>
      <c r="K26" s="25"/>
      <c r="L26" s="30">
        <f>L1114</f>
        <v>1015526.6455149783</v>
      </c>
      <c r="M26" s="25">
        <f t="shared" si="2"/>
        <v>3293556.7213018239</v>
      </c>
      <c r="N26" s="26"/>
      <c r="O26" s="591">
        <f t="shared" si="0"/>
        <v>3293556.7161598289</v>
      </c>
      <c r="P26" s="591">
        <v>3522867.01</v>
      </c>
      <c r="Q26" s="560">
        <f t="shared" si="1"/>
        <v>5.1419949159026146E-3</v>
      </c>
    </row>
    <row r="27" spans="1:17" ht="18.95" customHeight="1">
      <c r="A27" s="265">
        <v>18</v>
      </c>
      <c r="B27" s="227" t="s">
        <v>1989</v>
      </c>
      <c r="C27" s="641"/>
      <c r="D27" s="49"/>
      <c r="E27" s="533">
        <v>1</v>
      </c>
      <c r="F27" s="30" t="s">
        <v>788</v>
      </c>
      <c r="G27" s="25"/>
      <c r="H27" s="25"/>
      <c r="I27" s="25">
        <f>I1172</f>
        <v>3250040.476855088</v>
      </c>
      <c r="J27" s="25"/>
      <c r="K27" s="25"/>
      <c r="L27" s="30">
        <f>L1172</f>
        <v>891995.76764270011</v>
      </c>
      <c r="M27" s="25">
        <f t="shared" si="2"/>
        <v>4142036.2444977881</v>
      </c>
      <c r="N27" s="26"/>
      <c r="O27" s="591">
        <f t="shared" si="0"/>
        <v>4142036.2444977867</v>
      </c>
      <c r="P27" s="591">
        <v>4430421</v>
      </c>
      <c r="Q27" s="560">
        <f t="shared" si="1"/>
        <v>0</v>
      </c>
    </row>
    <row r="28" spans="1:17" ht="18.95" customHeight="1">
      <c r="A28" s="508">
        <v>19</v>
      </c>
      <c r="B28" s="227" t="str">
        <f>B1192</f>
        <v>ระบบบริหารจัดการจอดรถ (Smart parking)</v>
      </c>
      <c r="C28" s="641"/>
      <c r="D28" s="49"/>
      <c r="E28" s="533">
        <v>1</v>
      </c>
      <c r="F28" s="30" t="s">
        <v>788</v>
      </c>
      <c r="G28" s="25"/>
      <c r="H28" s="25"/>
      <c r="I28" s="25">
        <f>I1246</f>
        <v>1552695.2844576002</v>
      </c>
      <c r="J28" s="25"/>
      <c r="K28" s="25"/>
      <c r="L28" s="25">
        <f>L1246</f>
        <v>623583.667349</v>
      </c>
      <c r="M28" s="25">
        <f t="shared" si="2"/>
        <v>2176278.9518066002</v>
      </c>
      <c r="N28" s="26"/>
      <c r="O28" s="591">
        <f t="shared" si="0"/>
        <v>2176278.9518065997</v>
      </c>
      <c r="P28" s="591">
        <v>2327800</v>
      </c>
      <c r="Q28" s="560">
        <f t="shared" si="1"/>
        <v>0</v>
      </c>
    </row>
    <row r="29" spans="1:17" ht="18.95" customHeight="1">
      <c r="A29" s="265">
        <v>20</v>
      </c>
      <c r="B29" s="227" t="str">
        <f>B1248</f>
        <v>ระบบประตูอัตโนมัติ (Access control system)</v>
      </c>
      <c r="C29" s="641"/>
      <c r="D29" s="49"/>
      <c r="E29" s="533">
        <v>1</v>
      </c>
      <c r="F29" s="30" t="s">
        <v>788</v>
      </c>
      <c r="G29" s="25"/>
      <c r="H29" s="25"/>
      <c r="I29" s="25">
        <f>I1296</f>
        <v>2959357.9319737996</v>
      </c>
      <c r="J29" s="25"/>
      <c r="K29" s="25"/>
      <c r="L29" s="25">
        <f>L1296</f>
        <v>1277458.3554207999</v>
      </c>
      <c r="M29" s="25">
        <f t="shared" si="2"/>
        <v>4236816.2873946</v>
      </c>
      <c r="N29" s="26"/>
      <c r="O29" s="591">
        <f t="shared" si="0"/>
        <v>4236816.2873946</v>
      </c>
      <c r="P29" s="591">
        <v>4531800</v>
      </c>
      <c r="Q29" s="560">
        <f t="shared" si="1"/>
        <v>0</v>
      </c>
    </row>
    <row r="30" spans="1:17" ht="18.95" customHeight="1">
      <c r="A30" s="508">
        <v>21</v>
      </c>
      <c r="B30" s="227" t="str">
        <f>B1298</f>
        <v>ระบบ Smart Booking &amp; Desk booking</v>
      </c>
      <c r="C30" s="641"/>
      <c r="D30" s="49"/>
      <c r="E30" s="104">
        <v>1</v>
      </c>
      <c r="F30" s="30" t="s">
        <v>788</v>
      </c>
      <c r="G30" s="25"/>
      <c r="H30" s="25"/>
      <c r="I30" s="25">
        <f>I1316</f>
        <v>799533.36179439991</v>
      </c>
      <c r="J30" s="25"/>
      <c r="K30" s="25"/>
      <c r="L30" s="30">
        <f>L1316</f>
        <v>656492.43060339999</v>
      </c>
      <c r="M30" s="25">
        <f t="shared" si="2"/>
        <v>1456025.7923977999</v>
      </c>
      <c r="N30" s="26"/>
      <c r="O30" s="591">
        <f t="shared" si="0"/>
        <v>1456025.7923977999</v>
      </c>
      <c r="P30" s="591">
        <v>1557400</v>
      </c>
      <c r="Q30" s="560">
        <f t="shared" si="1"/>
        <v>0</v>
      </c>
    </row>
    <row r="31" spans="1:17" ht="18.95" customHeight="1">
      <c r="A31" s="508">
        <v>22</v>
      </c>
      <c r="B31" s="227" t="str">
        <f>B1318</f>
        <v>ระบบตรวจนับคน (People Counting)</v>
      </c>
      <c r="C31" s="641"/>
      <c r="D31" s="49"/>
      <c r="E31" s="104">
        <v>1</v>
      </c>
      <c r="F31" s="30" t="s">
        <v>788</v>
      </c>
      <c r="G31" s="25"/>
      <c r="H31" s="25"/>
      <c r="I31" s="25">
        <f>I1322</f>
        <v>217459.61173220002</v>
      </c>
      <c r="J31" s="25"/>
      <c r="K31" s="25"/>
      <c r="L31" s="30">
        <f>L1322</f>
        <v>207175.6232152</v>
      </c>
      <c r="M31" s="25">
        <f t="shared" si="2"/>
        <v>424635.23494740005</v>
      </c>
      <c r="N31" s="26"/>
      <c r="O31" s="591">
        <f t="shared" si="0"/>
        <v>424635.23494739999</v>
      </c>
      <c r="P31" s="591">
        <v>454200</v>
      </c>
      <c r="Q31" s="560">
        <f t="shared" si="1"/>
        <v>0</v>
      </c>
    </row>
    <row r="32" spans="1:17" ht="18.95" customHeight="1">
      <c r="A32" s="265">
        <v>23</v>
      </c>
      <c r="B32" s="1348" t="s">
        <v>1990</v>
      </c>
      <c r="C32" s="1301"/>
      <c r="D32" s="1302"/>
      <c r="E32" s="533">
        <v>1</v>
      </c>
      <c r="F32" s="30" t="s">
        <v>788</v>
      </c>
      <c r="G32" s="25"/>
      <c r="H32" s="25"/>
      <c r="I32" s="25">
        <f>I1330</f>
        <v>0</v>
      </c>
      <c r="J32" s="25"/>
      <c r="K32" s="25"/>
      <c r="L32" s="25">
        <f>L1330</f>
        <v>962955.28840999992</v>
      </c>
      <c r="M32" s="25">
        <f t="shared" si="2"/>
        <v>962955.28840999992</v>
      </c>
      <c r="N32" s="26"/>
      <c r="O32" s="591">
        <f t="shared" si="0"/>
        <v>962955.28840999992</v>
      </c>
      <c r="P32" s="591">
        <v>1030000</v>
      </c>
      <c r="Q32" s="560">
        <f t="shared" si="1"/>
        <v>0</v>
      </c>
    </row>
    <row r="33" spans="1:17" ht="18.95" customHeight="1">
      <c r="A33" s="265"/>
      <c r="B33" s="287"/>
      <c r="C33" s="644"/>
      <c r="D33" s="534"/>
      <c r="E33" s="533"/>
      <c r="F33" s="30"/>
      <c r="G33" s="25"/>
      <c r="H33" s="25"/>
      <c r="I33" s="25"/>
      <c r="J33" s="25"/>
      <c r="K33" s="25"/>
      <c r="L33" s="25"/>
      <c r="M33" s="25"/>
      <c r="N33" s="26"/>
      <c r="O33" s="591" t="s">
        <v>151</v>
      </c>
      <c r="P33" s="591"/>
      <c r="Q33" s="560" t="s">
        <v>151</v>
      </c>
    </row>
    <row r="34" spans="1:17" ht="18.95" customHeight="1">
      <c r="A34" s="645"/>
      <c r="B34" s="1275" t="s">
        <v>1991</v>
      </c>
      <c r="C34" s="1276"/>
      <c r="D34" s="1277"/>
      <c r="E34" s="646"/>
      <c r="F34" s="102"/>
      <c r="G34" s="34"/>
      <c r="H34" s="34"/>
      <c r="I34" s="34">
        <f>SUM(I10:I32)</f>
        <v>82186141.560641512</v>
      </c>
      <c r="J34" s="102"/>
      <c r="K34" s="102"/>
      <c r="L34" s="102">
        <f>SUM(L10:L32)</f>
        <v>14584644.703364905</v>
      </c>
      <c r="M34" s="34">
        <f>SUM(M10:M32)</f>
        <v>96770786.264006421</v>
      </c>
      <c r="N34" s="35"/>
      <c r="O34" s="591">
        <f>SUM(O10:O33)</f>
        <v>96770786.261495888</v>
      </c>
      <c r="P34" s="591">
        <f>SUM(P10:P33)</f>
        <v>103508346.70000002</v>
      </c>
      <c r="Q34" s="560">
        <f t="shared" si="1"/>
        <v>2.5105327367782593E-3</v>
      </c>
    </row>
    <row r="35" spans="1:17" ht="18.95" customHeight="1">
      <c r="A35" s="645"/>
      <c r="B35" s="256"/>
      <c r="C35" s="647"/>
      <c r="D35" s="258"/>
      <c r="E35" s="646"/>
      <c r="F35" s="102"/>
      <c r="G35" s="34"/>
      <c r="H35" s="34"/>
      <c r="I35" s="34"/>
      <c r="J35" s="102"/>
      <c r="K35" s="102"/>
      <c r="L35" s="102"/>
      <c r="M35" s="34"/>
      <c r="N35" s="35"/>
      <c r="P35" s="591"/>
    </row>
    <row r="36" spans="1:17" ht="18.95" customHeight="1">
      <c r="A36" s="645"/>
      <c r="B36" s="256"/>
      <c r="C36" s="647"/>
      <c r="D36" s="258"/>
      <c r="E36" s="646"/>
      <c r="F36" s="102"/>
      <c r="G36" s="34"/>
      <c r="H36" s="34"/>
      <c r="I36" s="34"/>
      <c r="J36" s="102"/>
      <c r="K36" s="102"/>
      <c r="L36" s="102"/>
      <c r="M36" s="34"/>
      <c r="N36" s="35"/>
      <c r="O36" s="3"/>
      <c r="P36" s="3"/>
    </row>
    <row r="37" spans="1:17" ht="18.95" customHeight="1">
      <c r="A37" s="648">
        <v>1</v>
      </c>
      <c r="B37" s="649" t="s">
        <v>1972</v>
      </c>
      <c r="C37" s="650"/>
      <c r="D37" s="412"/>
      <c r="E37" s="646"/>
      <c r="F37" s="102"/>
      <c r="G37" s="34"/>
      <c r="H37" s="34"/>
      <c r="I37" s="34"/>
      <c r="J37" s="102"/>
      <c r="K37" s="102"/>
      <c r="L37" s="34"/>
      <c r="M37" s="102"/>
      <c r="N37" s="35"/>
      <c r="O37" s="3"/>
      <c r="P37" s="3"/>
    </row>
    <row r="38" spans="1:17" ht="18.95" customHeight="1">
      <c r="A38" s="651">
        <v>1.1000000000000001</v>
      </c>
      <c r="B38" s="652" t="s">
        <v>1992</v>
      </c>
      <c r="C38" s="653"/>
      <c r="D38" s="412"/>
      <c r="E38" s="533"/>
      <c r="F38" s="30"/>
      <c r="G38" s="25"/>
      <c r="H38" s="25"/>
      <c r="I38" s="25"/>
      <c r="J38" s="30"/>
      <c r="K38" s="30"/>
      <c r="L38" s="30"/>
      <c r="M38" s="25"/>
      <c r="N38" s="26"/>
      <c r="O38" s="3"/>
      <c r="P38" s="3"/>
    </row>
    <row r="39" spans="1:17" ht="18.95" customHeight="1">
      <c r="A39" s="651"/>
      <c r="B39" s="652" t="s">
        <v>1993</v>
      </c>
      <c r="C39" s="653"/>
      <c r="D39" s="412"/>
      <c r="E39" s="533"/>
      <c r="F39" s="30"/>
      <c r="G39" s="25"/>
      <c r="H39" s="25"/>
      <c r="I39" s="25"/>
      <c r="J39" s="30"/>
      <c r="K39" s="30"/>
      <c r="L39" s="30"/>
      <c r="M39" s="25"/>
      <c r="N39" s="26"/>
      <c r="O39" s="3"/>
      <c r="P39" s="3"/>
    </row>
    <row r="40" spans="1:17" ht="18.95" customHeight="1">
      <c r="A40" s="651"/>
      <c r="B40" s="1179" t="s">
        <v>273</v>
      </c>
      <c r="C40" s="1180" t="s">
        <v>1994</v>
      </c>
      <c r="D40" s="412"/>
      <c r="E40" s="533">
        <v>169</v>
      </c>
      <c r="F40" s="1181" t="s">
        <v>286</v>
      </c>
      <c r="G40" s="30">
        <f>ROUND(746*80%,0)</f>
        <v>597</v>
      </c>
      <c r="H40" s="30">
        <f>G40*O40</f>
        <v>558.14010405900001</v>
      </c>
      <c r="I40" s="30">
        <f>E40*H40</f>
        <v>94325.677585971003</v>
      </c>
      <c r="J40" s="25">
        <v>90</v>
      </c>
      <c r="K40" s="25">
        <f>J40*O40</f>
        <v>84.141724229999994</v>
      </c>
      <c r="L40" s="25">
        <f>E40*K40</f>
        <v>14219.951394869999</v>
      </c>
      <c r="M40" s="25">
        <f>I40+L40</f>
        <v>108545.62898084101</v>
      </c>
      <c r="N40" s="26"/>
      <c r="O40" s="663">
        <v>0.93490804699999996</v>
      </c>
      <c r="P40" s="3"/>
    </row>
    <row r="41" spans="1:17" ht="18.95" customHeight="1">
      <c r="A41" s="651"/>
      <c r="B41" s="1179" t="s">
        <v>273</v>
      </c>
      <c r="C41" s="1180" t="s">
        <v>1995</v>
      </c>
      <c r="D41" s="412"/>
      <c r="E41" s="533">
        <v>274</v>
      </c>
      <c r="F41" s="1181" t="s">
        <v>286</v>
      </c>
      <c r="G41" s="30">
        <f>ROUND(1656*80%,0)</f>
        <v>1325</v>
      </c>
      <c r="H41" s="30">
        <f t="shared" ref="H41:H49" si="3">G41*O41</f>
        <v>1238.753162275</v>
      </c>
      <c r="I41" s="30">
        <f t="shared" ref="I41:I49" si="4">E41*H41</f>
        <v>339418.36646335002</v>
      </c>
      <c r="J41" s="25">
        <v>155</v>
      </c>
      <c r="K41" s="25">
        <f t="shared" ref="K41:K49" si="5">J41*O41</f>
        <v>144.91074728499999</v>
      </c>
      <c r="L41" s="25">
        <f t="shared" ref="L41:L49" si="6">E41*K41</f>
        <v>39705.544756089999</v>
      </c>
      <c r="M41" s="25">
        <f>I41+L41</f>
        <v>379123.91121943999</v>
      </c>
      <c r="N41" s="26"/>
      <c r="O41" s="663">
        <v>0.93490804699999996</v>
      </c>
      <c r="P41" s="3"/>
    </row>
    <row r="42" spans="1:17" ht="18.95" customHeight="1">
      <c r="A42" s="651">
        <v>1.2</v>
      </c>
      <c r="B42" s="652" t="s">
        <v>1996</v>
      </c>
      <c r="C42" s="655"/>
      <c r="D42" s="656"/>
      <c r="E42" s="533"/>
      <c r="F42" s="30"/>
      <c r="G42" s="25"/>
      <c r="H42" s="30"/>
      <c r="I42" s="30"/>
      <c r="J42" s="30"/>
      <c r="K42" s="25"/>
      <c r="L42" s="25"/>
      <c r="M42" s="25"/>
      <c r="N42" s="26"/>
      <c r="O42" s="663">
        <v>0.93490804699999996</v>
      </c>
      <c r="P42" s="3"/>
    </row>
    <row r="43" spans="1:17" ht="18.95" customHeight="1">
      <c r="A43" s="651"/>
      <c r="B43" s="1179" t="s">
        <v>273</v>
      </c>
      <c r="C43" s="657" t="s">
        <v>1997</v>
      </c>
      <c r="D43" s="656"/>
      <c r="E43" s="533">
        <v>57</v>
      </c>
      <c r="F43" s="1181" t="s">
        <v>286</v>
      </c>
      <c r="G43" s="30">
        <v>934</v>
      </c>
      <c r="H43" s="30">
        <f t="shared" si="3"/>
        <v>873.20411589799994</v>
      </c>
      <c r="I43" s="30">
        <f t="shared" si="4"/>
        <v>49772.634606185995</v>
      </c>
      <c r="J43" s="25">
        <v>95</v>
      </c>
      <c r="K43" s="25">
        <f t="shared" si="5"/>
        <v>88.816264465000003</v>
      </c>
      <c r="L43" s="25">
        <f t="shared" si="6"/>
        <v>5062.5270745050002</v>
      </c>
      <c r="M43" s="25">
        <f>I43+L43</f>
        <v>54835.161680690995</v>
      </c>
      <c r="N43" s="26"/>
      <c r="O43" s="663">
        <v>0.93490804699999996</v>
      </c>
      <c r="P43" s="3"/>
    </row>
    <row r="44" spans="1:17" ht="18.95" customHeight="1">
      <c r="A44" s="651">
        <v>1.3</v>
      </c>
      <c r="B44" s="652" t="s">
        <v>1998</v>
      </c>
      <c r="C44" s="655"/>
      <c r="D44" s="656"/>
      <c r="E44" s="533">
        <v>30</v>
      </c>
      <c r="F44" s="1181" t="s">
        <v>286</v>
      </c>
      <c r="G44" s="30">
        <v>4500</v>
      </c>
      <c r="H44" s="30">
        <f t="shared" si="3"/>
        <v>4207.0862115</v>
      </c>
      <c r="I44" s="30">
        <f t="shared" si="4"/>
        <v>126212.586345</v>
      </c>
      <c r="J44" s="25">
        <v>1200</v>
      </c>
      <c r="K44" s="25">
        <f t="shared" si="5"/>
        <v>1121.8896563999999</v>
      </c>
      <c r="L44" s="25">
        <f t="shared" si="6"/>
        <v>33656.689692</v>
      </c>
      <c r="M44" s="25">
        <f t="shared" ref="M44:M49" si="7">I44+L44</f>
        <v>159869.276037</v>
      </c>
      <c r="N44" s="26"/>
      <c r="O44" s="663">
        <v>0.93490804699999996</v>
      </c>
      <c r="P44" s="3"/>
    </row>
    <row r="45" spans="1:17" ht="18.95" customHeight="1">
      <c r="A45" s="651">
        <v>1.4</v>
      </c>
      <c r="B45" s="652" t="s">
        <v>1999</v>
      </c>
      <c r="C45" s="655"/>
      <c r="D45" s="656"/>
      <c r="E45" s="533">
        <v>1</v>
      </c>
      <c r="F45" s="30" t="s">
        <v>349</v>
      </c>
      <c r="G45" s="30">
        <v>158460</v>
      </c>
      <c r="H45" s="30">
        <f t="shared" si="3"/>
        <v>148145.52912761999</v>
      </c>
      <c r="I45" s="30">
        <f t="shared" si="4"/>
        <v>148145.52912761999</v>
      </c>
      <c r="J45" s="25">
        <v>35195</v>
      </c>
      <c r="K45" s="25">
        <f t="shared" si="5"/>
        <v>32904.088714165002</v>
      </c>
      <c r="L45" s="25">
        <f t="shared" si="6"/>
        <v>32904.088714165002</v>
      </c>
      <c r="M45" s="25">
        <f t="shared" si="7"/>
        <v>181049.61784178499</v>
      </c>
      <c r="N45" s="26"/>
      <c r="O45" s="663">
        <v>0.93490804699999996</v>
      </c>
      <c r="P45" s="3"/>
    </row>
    <row r="46" spans="1:17" ht="18.95" customHeight="1">
      <c r="A46" s="651">
        <v>1.5</v>
      </c>
      <c r="B46" s="652" t="s">
        <v>2000</v>
      </c>
      <c r="C46" s="655"/>
      <c r="D46" s="656"/>
      <c r="E46" s="533">
        <v>2</v>
      </c>
      <c r="F46" s="30" t="s">
        <v>349</v>
      </c>
      <c r="G46" s="30">
        <f>663000*0.85</f>
        <v>563550</v>
      </c>
      <c r="H46" s="30">
        <f t="shared" si="3"/>
        <v>526867.42988684995</v>
      </c>
      <c r="I46" s="30">
        <f t="shared" si="4"/>
        <v>1053734.8597736999</v>
      </c>
      <c r="J46" s="25">
        <v>20000</v>
      </c>
      <c r="K46" s="25">
        <f t="shared" si="5"/>
        <v>18698.160939999998</v>
      </c>
      <c r="L46" s="25">
        <f t="shared" si="6"/>
        <v>37396.321879999996</v>
      </c>
      <c r="M46" s="25">
        <f t="shared" si="7"/>
        <v>1091131.1816536998</v>
      </c>
      <c r="N46" s="26"/>
      <c r="O46" s="663">
        <v>0.93490804699999996</v>
      </c>
      <c r="P46" s="3"/>
    </row>
    <row r="47" spans="1:17" ht="18.95" customHeight="1">
      <c r="A47" s="651">
        <v>1.6</v>
      </c>
      <c r="B47" s="652" t="s">
        <v>2001</v>
      </c>
      <c r="C47" s="655"/>
      <c r="D47" s="656"/>
      <c r="E47" s="533">
        <v>2</v>
      </c>
      <c r="F47" s="30" t="s">
        <v>349</v>
      </c>
      <c r="G47" s="30">
        <f>484000*0.85</f>
        <v>411400</v>
      </c>
      <c r="H47" s="30">
        <f t="shared" si="3"/>
        <v>384621.17053579999</v>
      </c>
      <c r="I47" s="30">
        <f t="shared" si="4"/>
        <v>769242.34107159998</v>
      </c>
      <c r="J47" s="25">
        <v>20000</v>
      </c>
      <c r="K47" s="25">
        <f t="shared" si="5"/>
        <v>18698.160939999998</v>
      </c>
      <c r="L47" s="25">
        <f t="shared" si="6"/>
        <v>37396.321879999996</v>
      </c>
      <c r="M47" s="25">
        <f t="shared" si="7"/>
        <v>806638.66295159992</v>
      </c>
      <c r="N47" s="26"/>
      <c r="O47" s="663">
        <v>0.93490804699999996</v>
      </c>
      <c r="P47" s="3"/>
    </row>
    <row r="48" spans="1:17" ht="18.95" customHeight="1">
      <c r="A48" s="651">
        <v>1.7</v>
      </c>
      <c r="B48" s="652" t="s">
        <v>2002</v>
      </c>
      <c r="C48" s="655"/>
      <c r="D48" s="656"/>
      <c r="E48" s="533">
        <v>2</v>
      </c>
      <c r="F48" s="30" t="s">
        <v>349</v>
      </c>
      <c r="G48" s="30">
        <v>450000</v>
      </c>
      <c r="H48" s="30">
        <f t="shared" si="3"/>
        <v>420708.62114999996</v>
      </c>
      <c r="I48" s="30">
        <f t="shared" si="4"/>
        <v>841417.24229999993</v>
      </c>
      <c r="J48" s="25">
        <v>20000</v>
      </c>
      <c r="K48" s="25">
        <f t="shared" si="5"/>
        <v>18698.160939999998</v>
      </c>
      <c r="L48" s="25">
        <f t="shared" si="6"/>
        <v>37396.321879999996</v>
      </c>
      <c r="M48" s="25">
        <f t="shared" si="7"/>
        <v>878813.56417999987</v>
      </c>
      <c r="N48" s="26"/>
      <c r="O48" s="663">
        <v>0.93490804699999996</v>
      </c>
      <c r="P48" s="3"/>
    </row>
    <row r="49" spans="1:16" ht="18.95" customHeight="1">
      <c r="A49" s="651">
        <v>1.8</v>
      </c>
      <c r="B49" s="652" t="s">
        <v>2003</v>
      </c>
      <c r="C49" s="655"/>
      <c r="D49" s="656"/>
      <c r="E49" s="533">
        <v>4</v>
      </c>
      <c r="F49" s="30" t="s">
        <v>349</v>
      </c>
      <c r="G49" s="30">
        <v>40000</v>
      </c>
      <c r="H49" s="30">
        <f t="shared" si="3"/>
        <v>37396.321879999996</v>
      </c>
      <c r="I49" s="30">
        <f t="shared" si="4"/>
        <v>149585.28751999998</v>
      </c>
      <c r="J49" s="25"/>
      <c r="K49" s="25">
        <f t="shared" si="5"/>
        <v>0</v>
      </c>
      <c r="L49" s="25">
        <f t="shared" si="6"/>
        <v>0</v>
      </c>
      <c r="M49" s="25">
        <f t="shared" si="7"/>
        <v>149585.28751999998</v>
      </c>
      <c r="N49" s="26"/>
      <c r="O49" s="663">
        <v>0.93490804699999996</v>
      </c>
      <c r="P49" s="3"/>
    </row>
    <row r="50" spans="1:16" ht="18.95" customHeight="1">
      <c r="A50" s="645"/>
      <c r="B50" s="1275" t="s">
        <v>2004</v>
      </c>
      <c r="C50" s="1276"/>
      <c r="D50" s="1277"/>
      <c r="E50" s="646"/>
      <c r="F50" s="102"/>
      <c r="G50" s="34"/>
      <c r="H50" s="34"/>
      <c r="I50" s="34">
        <f>SUM(I37:I49)</f>
        <v>3571854.5247934265</v>
      </c>
      <c r="J50" s="34"/>
      <c r="K50" s="34"/>
      <c r="L50" s="34">
        <f>SUM(L37:L49)</f>
        <v>237737.76727163</v>
      </c>
      <c r="M50" s="34">
        <f>SUM(M37:M49)</f>
        <v>3809592.292065056</v>
      </c>
      <c r="N50" s="35"/>
      <c r="O50" s="663">
        <v>0.93490804699999996</v>
      </c>
      <c r="P50" s="3"/>
    </row>
    <row r="51" spans="1:16" ht="18.95" customHeight="1">
      <c r="A51" s="648">
        <v>2</v>
      </c>
      <c r="B51" s="1182" t="s">
        <v>1973</v>
      </c>
      <c r="C51" s="650"/>
      <c r="D51" s="412"/>
      <c r="E51" s="646"/>
      <c r="F51" s="102"/>
      <c r="G51" s="34"/>
      <c r="H51" s="34"/>
      <c r="I51" s="34"/>
      <c r="J51" s="102"/>
      <c r="K51" s="102"/>
      <c r="L51" s="34"/>
      <c r="M51" s="102"/>
      <c r="N51" s="35"/>
      <c r="O51" s="663">
        <v>0.93490804699999996</v>
      </c>
      <c r="P51" s="3"/>
    </row>
    <row r="52" spans="1:16" ht="18.95" customHeight="1">
      <c r="A52" s="651">
        <v>2.1</v>
      </c>
      <c r="B52" s="652" t="s">
        <v>2005</v>
      </c>
      <c r="C52" s="653"/>
      <c r="D52" s="412"/>
      <c r="E52" s="533">
        <v>2</v>
      </c>
      <c r="F52" s="30" t="s">
        <v>349</v>
      </c>
      <c r="G52" s="30">
        <v>0</v>
      </c>
      <c r="H52" s="30"/>
      <c r="I52" s="30">
        <f>ROUNDDOWN(E52*G52,2)</f>
        <v>0</v>
      </c>
      <c r="J52" s="25">
        <v>30000</v>
      </c>
      <c r="K52" s="25">
        <f t="shared" ref="K52" si="8">J52*O52</f>
        <v>28047.241409999999</v>
      </c>
      <c r="L52" s="25">
        <f t="shared" ref="L52" si="9">E52*K52</f>
        <v>56094.482819999997</v>
      </c>
      <c r="M52" s="25">
        <f>I52+L52</f>
        <v>56094.482819999997</v>
      </c>
      <c r="N52" s="26"/>
      <c r="O52" s="663">
        <v>0.93490804699999996</v>
      </c>
      <c r="P52" s="3"/>
    </row>
    <row r="53" spans="1:16" ht="18.95" customHeight="1">
      <c r="A53" s="651">
        <v>2.2000000000000002</v>
      </c>
      <c r="B53" s="652" t="s">
        <v>2006</v>
      </c>
      <c r="C53" s="655"/>
      <c r="D53" s="656"/>
      <c r="E53" s="533">
        <v>2</v>
      </c>
      <c r="F53" s="30" t="s">
        <v>349</v>
      </c>
      <c r="G53" s="30">
        <v>20000</v>
      </c>
      <c r="H53" s="30">
        <f t="shared" ref="H53" si="10">G53*O53</f>
        <v>18698.160939999998</v>
      </c>
      <c r="I53" s="30">
        <f t="shared" ref="I53" si="11">E53*H53</f>
        <v>37396.321879999996</v>
      </c>
      <c r="J53" s="25"/>
      <c r="K53" s="25"/>
      <c r="L53" s="25">
        <f>ROUNDDOWN(E53*J53,2)</f>
        <v>0</v>
      </c>
      <c r="M53" s="25">
        <f>I53+L53</f>
        <v>37396.321879999996</v>
      </c>
      <c r="N53" s="72"/>
      <c r="O53" s="663">
        <v>0.93490804699999996</v>
      </c>
      <c r="P53" s="3"/>
    </row>
    <row r="54" spans="1:16" ht="18.95" customHeight="1">
      <c r="A54" s="645"/>
      <c r="B54" s="1275" t="s">
        <v>2007</v>
      </c>
      <c r="C54" s="1276"/>
      <c r="D54" s="1277"/>
      <c r="E54" s="646"/>
      <c r="F54" s="102"/>
      <c r="G54" s="34"/>
      <c r="H54" s="34"/>
      <c r="I54" s="34">
        <f>SUM(I51:I53)</f>
        <v>37396.321879999996</v>
      </c>
      <c r="J54" s="34"/>
      <c r="K54" s="34"/>
      <c r="L54" s="34">
        <f>SUM(L51:L53)</f>
        <v>56094.482819999997</v>
      </c>
      <c r="M54" s="34">
        <f>SUM(M51:M53)</f>
        <v>93490.804699999993</v>
      </c>
      <c r="N54" s="35"/>
      <c r="O54" s="663">
        <v>0.93490804699999996</v>
      </c>
      <c r="P54" s="3"/>
    </row>
    <row r="55" spans="1:16" ht="18.95" customHeight="1">
      <c r="A55" s="648">
        <v>3</v>
      </c>
      <c r="B55" s="1182" t="s">
        <v>1974</v>
      </c>
      <c r="C55" s="650"/>
      <c r="D55" s="412"/>
      <c r="E55" s="646"/>
      <c r="F55" s="102"/>
      <c r="G55" s="34"/>
      <c r="H55" s="34"/>
      <c r="I55" s="34"/>
      <c r="J55" s="102"/>
      <c r="K55" s="102"/>
      <c r="L55" s="34"/>
      <c r="M55" s="102"/>
      <c r="N55" s="35"/>
      <c r="O55" s="663">
        <v>0.93490804699999996</v>
      </c>
      <c r="P55" s="3"/>
    </row>
    <row r="56" spans="1:16" ht="18.95" customHeight="1">
      <c r="A56" s="651">
        <v>3.1</v>
      </c>
      <c r="B56" s="652" t="s">
        <v>2008</v>
      </c>
      <c r="C56" s="653"/>
      <c r="D56" s="412"/>
      <c r="E56" s="533">
        <v>1</v>
      </c>
      <c r="F56" s="30" t="s">
        <v>349</v>
      </c>
      <c r="G56" s="30">
        <v>0</v>
      </c>
      <c r="H56" s="30"/>
      <c r="I56" s="30">
        <f>ROUNDDOWN(E56*G56,2)</f>
        <v>0</v>
      </c>
      <c r="J56" s="25">
        <v>10000</v>
      </c>
      <c r="K56" s="25">
        <f t="shared" ref="K56" si="12">J56*O56</f>
        <v>9349.080469999999</v>
      </c>
      <c r="L56" s="25">
        <f t="shared" ref="L56" si="13">E56*K56</f>
        <v>9349.080469999999</v>
      </c>
      <c r="M56" s="25">
        <f>I56+L56</f>
        <v>9349.080469999999</v>
      </c>
      <c r="N56" s="26"/>
      <c r="O56" s="663">
        <v>0.93490804699999996</v>
      </c>
      <c r="P56" s="3"/>
    </row>
    <row r="57" spans="1:16" ht="18.95" customHeight="1">
      <c r="A57" s="651">
        <v>3.2</v>
      </c>
      <c r="B57" s="658" t="s">
        <v>2009</v>
      </c>
      <c r="C57" s="659"/>
      <c r="D57" s="660"/>
      <c r="E57" s="533">
        <v>1</v>
      </c>
      <c r="F57" s="30" t="s">
        <v>349</v>
      </c>
      <c r="G57" s="30">
        <f>33070</f>
        <v>33070</v>
      </c>
      <c r="H57" s="30">
        <f t="shared" ref="H57" si="14">G57*O57</f>
        <v>30917.40911429</v>
      </c>
      <c r="I57" s="30">
        <f t="shared" ref="I57" si="15">E57*H57</f>
        <v>30917.40911429</v>
      </c>
      <c r="J57" s="25">
        <v>0</v>
      </c>
      <c r="K57" s="25"/>
      <c r="L57" s="25">
        <f>ROUNDDOWN(E57*J57,2)</f>
        <v>0</v>
      </c>
      <c r="M57" s="25">
        <f>I57+L57</f>
        <v>30917.40911429</v>
      </c>
      <c r="N57" s="26"/>
      <c r="O57" s="663">
        <v>0.93490804699999996</v>
      </c>
      <c r="P57" s="3"/>
    </row>
    <row r="58" spans="1:16" ht="18.95" customHeight="1">
      <c r="A58" s="651"/>
      <c r="B58" s="1179" t="s">
        <v>273</v>
      </c>
      <c r="C58" s="661" t="s">
        <v>2010</v>
      </c>
      <c r="D58" s="660"/>
      <c r="E58" s="533">
        <v>1</v>
      </c>
      <c r="F58" s="30" t="s">
        <v>349</v>
      </c>
      <c r="G58" s="67" t="s">
        <v>2011</v>
      </c>
      <c r="H58" s="67" t="s">
        <v>2011</v>
      </c>
      <c r="I58" s="30"/>
      <c r="J58" s="25"/>
      <c r="K58" s="25"/>
      <c r="L58" s="25"/>
      <c r="M58" s="25"/>
      <c r="N58" s="26"/>
      <c r="O58" s="663">
        <v>0.93490804699999996</v>
      </c>
      <c r="P58" s="3"/>
    </row>
    <row r="59" spans="1:16" ht="18.95" customHeight="1">
      <c r="A59" s="651"/>
      <c r="B59" s="1179" t="s">
        <v>273</v>
      </c>
      <c r="C59" s="661" t="s">
        <v>2012</v>
      </c>
      <c r="D59" s="660"/>
      <c r="E59" s="533">
        <v>1</v>
      </c>
      <c r="F59" s="30" t="s">
        <v>349</v>
      </c>
      <c r="G59" s="67" t="s">
        <v>2011</v>
      </c>
      <c r="H59" s="67" t="s">
        <v>2011</v>
      </c>
      <c r="I59" s="30"/>
      <c r="J59" s="25"/>
      <c r="K59" s="25"/>
      <c r="L59" s="25"/>
      <c r="M59" s="25"/>
      <c r="N59" s="26"/>
      <c r="O59" s="663">
        <v>0.93490804699999996</v>
      </c>
    </row>
    <row r="60" spans="1:16" ht="18.95" customHeight="1">
      <c r="A60" s="651">
        <v>3.3</v>
      </c>
      <c r="B60" s="658" t="s">
        <v>2013</v>
      </c>
      <c r="C60" s="659"/>
      <c r="D60" s="660"/>
      <c r="E60" s="533">
        <v>1</v>
      </c>
      <c r="F60" s="30" t="s">
        <v>349</v>
      </c>
      <c r="G60" s="535"/>
      <c r="H60" s="535"/>
      <c r="I60" s="384"/>
      <c r="J60" s="242"/>
      <c r="K60" s="242"/>
      <c r="L60" s="242">
        <f>ROUNDDOWN(E60*J60,2)</f>
        <v>0</v>
      </c>
      <c r="M60" s="242">
        <f>I60+L60</f>
        <v>0</v>
      </c>
      <c r="N60" s="26"/>
      <c r="O60" s="663">
        <v>0.93490804699999996</v>
      </c>
    </row>
    <row r="61" spans="1:16" ht="18.95" customHeight="1">
      <c r="A61" s="651">
        <v>3.4</v>
      </c>
      <c r="B61" s="658" t="s">
        <v>2014</v>
      </c>
      <c r="C61" s="659"/>
      <c r="D61" s="660"/>
      <c r="E61" s="533">
        <v>1</v>
      </c>
      <c r="F61" s="30" t="s">
        <v>349</v>
      </c>
      <c r="G61" s="30">
        <f>110000+20000</f>
        <v>130000</v>
      </c>
      <c r="H61" s="30">
        <f t="shared" ref="H61:H63" si="16">G61*O61</f>
        <v>121538.04611</v>
      </c>
      <c r="I61" s="30">
        <f t="shared" ref="I61:I63" si="17">E61*H61</f>
        <v>121538.04611</v>
      </c>
      <c r="J61" s="25"/>
      <c r="K61" s="25"/>
      <c r="L61" s="25">
        <f>ROUNDDOWN(E61*J61,2)</f>
        <v>0</v>
      </c>
      <c r="M61" s="25">
        <f>I61+L61</f>
        <v>121538.04611</v>
      </c>
      <c r="N61" s="26"/>
      <c r="O61" s="663">
        <v>0.93490804699999996</v>
      </c>
    </row>
    <row r="62" spans="1:16" ht="18.95" customHeight="1">
      <c r="A62" s="651">
        <v>3.5</v>
      </c>
      <c r="B62" s="658" t="s">
        <v>2015</v>
      </c>
      <c r="C62" s="659"/>
      <c r="D62" s="660"/>
      <c r="E62" s="533">
        <v>100</v>
      </c>
      <c r="F62" s="30" t="s">
        <v>2016</v>
      </c>
      <c r="G62" s="30">
        <v>1200</v>
      </c>
      <c r="H62" s="30">
        <f t="shared" si="16"/>
        <v>1121.8896563999999</v>
      </c>
      <c r="I62" s="30">
        <f t="shared" si="17"/>
        <v>112188.96563999999</v>
      </c>
      <c r="J62" s="25"/>
      <c r="K62" s="25"/>
      <c r="L62" s="25">
        <f>ROUNDDOWN(E62*J62,2)</f>
        <v>0</v>
      </c>
      <c r="M62" s="25">
        <f>I62+L62</f>
        <v>112188.96563999999</v>
      </c>
      <c r="N62" s="26"/>
      <c r="O62" s="663">
        <v>0.93490804699999996</v>
      </c>
    </row>
    <row r="63" spans="1:16" ht="18.95" customHeight="1">
      <c r="A63" s="651">
        <v>3.6</v>
      </c>
      <c r="B63" s="658" t="s">
        <v>2006</v>
      </c>
      <c r="C63" s="659"/>
      <c r="D63" s="660"/>
      <c r="E63" s="533">
        <v>1</v>
      </c>
      <c r="F63" s="30" t="s">
        <v>349</v>
      </c>
      <c r="G63" s="30">
        <v>20000</v>
      </c>
      <c r="H63" s="30">
        <f t="shared" si="16"/>
        <v>18698.160939999998</v>
      </c>
      <c r="I63" s="30">
        <f t="shared" si="17"/>
        <v>18698.160939999998</v>
      </c>
      <c r="J63" s="25"/>
      <c r="K63" s="25"/>
      <c r="L63" s="25">
        <f>ROUNDDOWN(E63*J63,2)</f>
        <v>0</v>
      </c>
      <c r="M63" s="25">
        <f>I63+L63</f>
        <v>18698.160939999998</v>
      </c>
      <c r="N63" s="26"/>
      <c r="O63" s="663">
        <v>0.93490804699999996</v>
      </c>
    </row>
    <row r="64" spans="1:16" ht="18.95" customHeight="1">
      <c r="A64" s="645"/>
      <c r="B64" s="1275" t="s">
        <v>2017</v>
      </c>
      <c r="C64" s="1276"/>
      <c r="D64" s="1277"/>
      <c r="E64" s="646"/>
      <c r="F64" s="102"/>
      <c r="G64" s="34"/>
      <c r="H64" s="34"/>
      <c r="I64" s="34">
        <f>SUM(I55:I63)</f>
        <v>283342.58180428995</v>
      </c>
      <c r="J64" s="34"/>
      <c r="K64" s="34"/>
      <c r="L64" s="34">
        <f>SUM(L55:L63)</f>
        <v>9349.080469999999</v>
      </c>
      <c r="M64" s="34">
        <f>SUM(M55:M63)</f>
        <v>292691.66227428999</v>
      </c>
      <c r="N64" s="35"/>
      <c r="O64" s="663">
        <v>0.93490804699999996</v>
      </c>
    </row>
    <row r="65" spans="1:15" ht="18.95" customHeight="1">
      <c r="A65" s="648">
        <v>4</v>
      </c>
      <c r="B65" s="1182" t="s">
        <v>1975</v>
      </c>
      <c r="C65" s="650"/>
      <c r="D65" s="412"/>
      <c r="E65" s="646"/>
      <c r="F65" s="102"/>
      <c r="G65" s="34"/>
      <c r="H65" s="34"/>
      <c r="I65" s="34"/>
      <c r="J65" s="102"/>
      <c r="K65" s="102"/>
      <c r="L65" s="34"/>
      <c r="M65" s="102"/>
      <c r="N65" s="35"/>
      <c r="O65" s="663">
        <v>0.93490804699999996</v>
      </c>
    </row>
    <row r="66" spans="1:15" ht="18.95" customHeight="1">
      <c r="A66" s="651">
        <v>4.0999999999999996</v>
      </c>
      <c r="B66" s="652" t="s">
        <v>2018</v>
      </c>
      <c r="C66" s="657"/>
      <c r="D66" s="412"/>
      <c r="E66" s="533">
        <v>1</v>
      </c>
      <c r="F66" s="30" t="s">
        <v>349</v>
      </c>
      <c r="G66" s="30">
        <v>1393000</v>
      </c>
      <c r="H66" s="30">
        <f t="shared" ref="H66" si="18">G66*O66</f>
        <v>1302326.9094709998</v>
      </c>
      <c r="I66" s="30">
        <f t="shared" ref="I66" si="19">E66*H66</f>
        <v>1302326.9094709998</v>
      </c>
      <c r="J66" s="25">
        <v>10000</v>
      </c>
      <c r="K66" s="25">
        <f t="shared" ref="K66" si="20">J66*O66</f>
        <v>9349.080469999999</v>
      </c>
      <c r="L66" s="25">
        <f t="shared" ref="L66" si="21">E66*K66</f>
        <v>9349.080469999999</v>
      </c>
      <c r="M66" s="25">
        <f>I66+L66</f>
        <v>1311675.9899409998</v>
      </c>
      <c r="N66" s="26"/>
      <c r="O66" s="663">
        <v>0.93490804699999996</v>
      </c>
    </row>
    <row r="67" spans="1:15" ht="18.95" customHeight="1">
      <c r="A67" s="651">
        <v>4.2</v>
      </c>
      <c r="B67" s="658" t="s">
        <v>2019</v>
      </c>
      <c r="C67" s="661"/>
      <c r="D67" s="660"/>
      <c r="E67" s="533">
        <v>1</v>
      </c>
      <c r="F67" s="30" t="s">
        <v>349</v>
      </c>
      <c r="G67" s="30" t="s">
        <v>2011</v>
      </c>
      <c r="H67" s="30" t="s">
        <v>2011</v>
      </c>
      <c r="I67" s="30" t="s">
        <v>151</v>
      </c>
      <c r="J67" s="25">
        <v>0</v>
      </c>
      <c r="K67" s="25"/>
      <c r="L67" s="25">
        <f>ROUNDDOWN(E67*J67,2)</f>
        <v>0</v>
      </c>
      <c r="M67" s="25" t="s">
        <v>151</v>
      </c>
      <c r="N67" s="26"/>
      <c r="O67" s="663">
        <v>0.93490804699999996</v>
      </c>
    </row>
    <row r="68" spans="1:15" ht="18.95" customHeight="1">
      <c r="A68" s="651">
        <v>4.3</v>
      </c>
      <c r="B68" s="658" t="s">
        <v>2020</v>
      </c>
      <c r="C68" s="661"/>
      <c r="D68" s="660"/>
      <c r="E68" s="533">
        <v>1</v>
      </c>
      <c r="F68" s="30" t="s">
        <v>349</v>
      </c>
      <c r="G68" s="30">
        <v>12000</v>
      </c>
      <c r="H68" s="30">
        <f t="shared" ref="H68:H69" si="22">G68*O68</f>
        <v>11218.896563999999</v>
      </c>
      <c r="I68" s="30">
        <f t="shared" ref="I68:I69" si="23">E68*H68</f>
        <v>11218.896563999999</v>
      </c>
      <c r="J68" s="25">
        <v>2000</v>
      </c>
      <c r="K68" s="25">
        <f t="shared" ref="K68" si="24">J68*O68</f>
        <v>1869.816094</v>
      </c>
      <c r="L68" s="25">
        <f t="shared" ref="L68" si="25">E68*K68</f>
        <v>1869.816094</v>
      </c>
      <c r="M68" s="25">
        <f>I68+L68</f>
        <v>13088.712657999999</v>
      </c>
      <c r="N68" s="26"/>
      <c r="O68" s="663">
        <v>0.93490804699999996</v>
      </c>
    </row>
    <row r="69" spans="1:15" ht="18.95" customHeight="1">
      <c r="A69" s="651">
        <v>4.4000000000000004</v>
      </c>
      <c r="B69" s="658" t="s">
        <v>2006</v>
      </c>
      <c r="C69" s="661"/>
      <c r="D69" s="660"/>
      <c r="E69" s="533">
        <v>1</v>
      </c>
      <c r="F69" s="30" t="s">
        <v>349</v>
      </c>
      <c r="G69" s="30">
        <v>20000</v>
      </c>
      <c r="H69" s="30">
        <f t="shared" si="22"/>
        <v>18698.160939999998</v>
      </c>
      <c r="I69" s="30">
        <f t="shared" si="23"/>
        <v>18698.160939999998</v>
      </c>
      <c r="J69" s="25"/>
      <c r="K69" s="25"/>
      <c r="L69" s="25">
        <f>ROUNDDOWN(E69*J69,2)</f>
        <v>0</v>
      </c>
      <c r="M69" s="25">
        <f>I69+L69</f>
        <v>18698.160939999998</v>
      </c>
      <c r="N69" s="26"/>
      <c r="O69" s="663">
        <v>0.93490804699999996</v>
      </c>
    </row>
    <row r="70" spans="1:15" ht="18.95" customHeight="1">
      <c r="A70" s="645"/>
      <c r="B70" s="1275" t="s">
        <v>2021</v>
      </c>
      <c r="C70" s="1276"/>
      <c r="D70" s="1277"/>
      <c r="E70" s="646"/>
      <c r="F70" s="102"/>
      <c r="G70" s="34"/>
      <c r="H70" s="34"/>
      <c r="I70" s="34">
        <f>SUM(I65:I69)</f>
        <v>1332243.966975</v>
      </c>
      <c r="J70" s="34"/>
      <c r="K70" s="34"/>
      <c r="L70" s="34">
        <f>SUM(L65:L69)</f>
        <v>11218.896563999999</v>
      </c>
      <c r="M70" s="34">
        <f>SUM(M65:M69)</f>
        <v>1343462.8635389998</v>
      </c>
      <c r="N70" s="35"/>
      <c r="O70" s="663">
        <v>0.93490804699999996</v>
      </c>
    </row>
    <row r="71" spans="1:15" ht="18.95" customHeight="1">
      <c r="A71" s="645"/>
      <c r="B71" s="256"/>
      <c r="C71" s="647"/>
      <c r="D71" s="258"/>
      <c r="E71" s="646"/>
      <c r="F71" s="102"/>
      <c r="G71" s="34"/>
      <c r="H71" s="34"/>
      <c r="I71" s="34"/>
      <c r="J71" s="34"/>
      <c r="K71" s="34"/>
      <c r="L71" s="34"/>
      <c r="M71" s="34"/>
      <c r="N71" s="35"/>
      <c r="O71" s="663">
        <v>0.93490804699999996</v>
      </c>
    </row>
    <row r="72" spans="1:15" ht="18.95" customHeight="1">
      <c r="A72" s="648">
        <v>5</v>
      </c>
      <c r="B72" s="1182" t="s">
        <v>1976</v>
      </c>
      <c r="C72" s="650"/>
      <c r="D72" s="412"/>
      <c r="E72" s="646"/>
      <c r="F72" s="102"/>
      <c r="G72" s="34"/>
      <c r="H72" s="34"/>
      <c r="I72" s="34"/>
      <c r="J72" s="102"/>
      <c r="K72" s="102"/>
      <c r="L72" s="34"/>
      <c r="M72" s="102"/>
      <c r="N72" s="35"/>
      <c r="O72" s="663">
        <v>0.93490804699999996</v>
      </c>
    </row>
    <row r="73" spans="1:15" ht="18.95" customHeight="1">
      <c r="A73" s="651">
        <v>5.0999999999999996</v>
      </c>
      <c r="B73" s="652" t="s">
        <v>2022</v>
      </c>
      <c r="C73" s="653"/>
      <c r="D73" s="412"/>
      <c r="E73" s="533"/>
      <c r="F73" s="30"/>
      <c r="G73" s="30"/>
      <c r="H73" s="30"/>
      <c r="I73" s="30"/>
      <c r="J73" s="25"/>
      <c r="K73" s="25"/>
      <c r="L73" s="25"/>
      <c r="M73" s="25"/>
      <c r="N73" s="26"/>
      <c r="O73" s="663">
        <v>0.93490804699999996</v>
      </c>
    </row>
    <row r="74" spans="1:15" ht="18.95" customHeight="1">
      <c r="A74" s="651" t="s">
        <v>2023</v>
      </c>
      <c r="B74" s="658" t="s">
        <v>2024</v>
      </c>
      <c r="C74" s="659"/>
      <c r="D74" s="660"/>
      <c r="E74" s="533">
        <v>1</v>
      </c>
      <c r="F74" s="30" t="s">
        <v>788</v>
      </c>
      <c r="G74" s="30">
        <f>4993931*0.8</f>
        <v>3995144.8000000003</v>
      </c>
      <c r="H74" s="30">
        <f t="shared" ref="H74" si="26">G74*O74</f>
        <v>3735093.0224502059</v>
      </c>
      <c r="I74" s="30">
        <f t="shared" ref="I74" si="27">E74*H74</f>
        <v>3735093.0224502059</v>
      </c>
      <c r="J74" s="25">
        <v>50000</v>
      </c>
      <c r="K74" s="25">
        <f t="shared" ref="K74" si="28">J74*O74</f>
        <v>46745.402349999997</v>
      </c>
      <c r="L74" s="25">
        <f t="shared" ref="L74" si="29">E74*K74</f>
        <v>46745.402349999997</v>
      </c>
      <c r="M74" s="25">
        <f>I74+L74</f>
        <v>3781838.424800206</v>
      </c>
      <c r="N74" s="26"/>
      <c r="O74" s="663">
        <v>0.93490804699999996</v>
      </c>
    </row>
    <row r="75" spans="1:15" ht="18.95" customHeight="1">
      <c r="A75" s="651"/>
      <c r="B75" s="1179" t="s">
        <v>273</v>
      </c>
      <c r="C75" s="659" t="s">
        <v>2025</v>
      </c>
      <c r="D75" s="660"/>
      <c r="E75" s="533"/>
      <c r="F75" s="30"/>
      <c r="G75" s="67"/>
      <c r="H75" s="67"/>
      <c r="I75" s="30"/>
      <c r="J75" s="25"/>
      <c r="K75" s="25"/>
      <c r="L75" s="25"/>
      <c r="M75" s="25"/>
      <c r="N75" s="26"/>
      <c r="O75" s="663">
        <v>0.93490804699999996</v>
      </c>
    </row>
    <row r="76" spans="1:15" ht="18.95" customHeight="1">
      <c r="A76" s="651"/>
      <c r="B76" s="654"/>
      <c r="C76" s="661" t="s">
        <v>2026</v>
      </c>
      <c r="D76" s="660"/>
      <c r="E76" s="533">
        <v>1</v>
      </c>
      <c r="F76" s="30" t="s">
        <v>349</v>
      </c>
      <c r="G76" s="67" t="s">
        <v>2011</v>
      </c>
      <c r="H76" s="67" t="s">
        <v>2011</v>
      </c>
      <c r="I76" s="30"/>
      <c r="J76" s="25"/>
      <c r="K76" s="25"/>
      <c r="L76" s="25"/>
      <c r="M76" s="25"/>
      <c r="N76" s="26"/>
      <c r="O76" s="663">
        <v>0.93490804699999996</v>
      </c>
    </row>
    <row r="77" spans="1:15" ht="18.95" customHeight="1">
      <c r="A77" s="651"/>
      <c r="B77" s="654"/>
      <c r="C77" s="661" t="s">
        <v>2027</v>
      </c>
      <c r="D77" s="660"/>
      <c r="E77" s="533">
        <v>1</v>
      </c>
      <c r="F77" s="30" t="s">
        <v>349</v>
      </c>
      <c r="G77" s="67" t="s">
        <v>2011</v>
      </c>
      <c r="H77" s="67" t="s">
        <v>2011</v>
      </c>
      <c r="I77" s="30"/>
      <c r="J77" s="25"/>
      <c r="K77" s="25"/>
      <c r="L77" s="25"/>
      <c r="M77" s="25"/>
      <c r="N77" s="26"/>
      <c r="O77" s="663">
        <v>0.93490804699999996</v>
      </c>
    </row>
    <row r="78" spans="1:15" ht="18.95" customHeight="1">
      <c r="A78" s="651"/>
      <c r="B78" s="654"/>
      <c r="C78" s="661" t="s">
        <v>2028</v>
      </c>
      <c r="D78" s="660"/>
      <c r="E78" s="533">
        <v>2</v>
      </c>
      <c r="F78" s="30" t="s">
        <v>349</v>
      </c>
      <c r="G78" s="67" t="s">
        <v>2011</v>
      </c>
      <c r="H78" s="67" t="s">
        <v>2011</v>
      </c>
      <c r="I78" s="30"/>
      <c r="J78" s="25"/>
      <c r="K78" s="25"/>
      <c r="L78" s="25"/>
      <c r="M78" s="25"/>
      <c r="N78" s="26"/>
      <c r="O78" s="663">
        <v>0.93490804699999996</v>
      </c>
    </row>
    <row r="79" spans="1:15" ht="18.95" customHeight="1">
      <c r="A79" s="651"/>
      <c r="B79" s="654"/>
      <c r="C79" s="661" t="s">
        <v>2029</v>
      </c>
      <c r="D79" s="660"/>
      <c r="E79" s="533">
        <v>1</v>
      </c>
      <c r="F79" s="30" t="s">
        <v>349</v>
      </c>
      <c r="G79" s="67" t="s">
        <v>2011</v>
      </c>
      <c r="H79" s="67" t="s">
        <v>2011</v>
      </c>
      <c r="I79" s="30"/>
      <c r="J79" s="25"/>
      <c r="K79" s="25"/>
      <c r="L79" s="25"/>
      <c r="M79" s="25"/>
      <c r="N79" s="26"/>
      <c r="O79" s="663">
        <v>0.93490804699999996</v>
      </c>
    </row>
    <row r="80" spans="1:15" ht="18.95" customHeight="1">
      <c r="A80" s="651"/>
      <c r="B80" s="654"/>
      <c r="C80" s="661" t="s">
        <v>2030</v>
      </c>
      <c r="D80" s="660"/>
      <c r="E80" s="533">
        <v>1</v>
      </c>
      <c r="F80" s="30" t="s">
        <v>349</v>
      </c>
      <c r="G80" s="67" t="s">
        <v>2011</v>
      </c>
      <c r="H80" s="67" t="s">
        <v>2011</v>
      </c>
      <c r="I80" s="30"/>
      <c r="J80" s="25"/>
      <c r="K80" s="25"/>
      <c r="L80" s="25"/>
      <c r="M80" s="25"/>
      <c r="N80" s="26"/>
      <c r="O80" s="663">
        <v>0.93490804699999996</v>
      </c>
    </row>
    <row r="81" spans="1:15" ht="18.95" customHeight="1">
      <c r="A81" s="651"/>
      <c r="B81" s="654"/>
      <c r="C81" s="661" t="s">
        <v>2031</v>
      </c>
      <c r="D81" s="660"/>
      <c r="E81" s="533">
        <v>1</v>
      </c>
      <c r="F81" s="30" t="s">
        <v>349</v>
      </c>
      <c r="G81" s="67" t="s">
        <v>2011</v>
      </c>
      <c r="H81" s="67" t="s">
        <v>2011</v>
      </c>
      <c r="I81" s="30"/>
      <c r="J81" s="25"/>
      <c r="K81" s="25"/>
      <c r="L81" s="25"/>
      <c r="M81" s="25"/>
      <c r="N81" s="26"/>
      <c r="O81" s="663">
        <v>0.93490804699999996</v>
      </c>
    </row>
    <row r="82" spans="1:15" ht="18.95" customHeight="1">
      <c r="A82" s="651"/>
      <c r="B82" s="654"/>
      <c r="C82" s="661" t="s">
        <v>2032</v>
      </c>
      <c r="D82" s="660"/>
      <c r="E82" s="533">
        <v>1</v>
      </c>
      <c r="F82" s="30" t="s">
        <v>349</v>
      </c>
      <c r="G82" s="67" t="s">
        <v>2011</v>
      </c>
      <c r="H82" s="67" t="s">
        <v>2011</v>
      </c>
      <c r="I82" s="30"/>
      <c r="J82" s="25"/>
      <c r="K82" s="25"/>
      <c r="L82" s="25"/>
      <c r="M82" s="25"/>
      <c r="N82" s="26"/>
      <c r="O82" s="663">
        <v>0.93490804699999996</v>
      </c>
    </row>
    <row r="83" spans="1:15" ht="18.95" customHeight="1">
      <c r="A83" s="651"/>
      <c r="B83" s="654"/>
      <c r="C83" s="661" t="s">
        <v>2033</v>
      </c>
      <c r="D83" s="660"/>
      <c r="E83" s="533">
        <v>2</v>
      </c>
      <c r="F83" s="30" t="s">
        <v>349</v>
      </c>
      <c r="G83" s="67" t="s">
        <v>2011</v>
      </c>
      <c r="H83" s="67" t="s">
        <v>2011</v>
      </c>
      <c r="I83" s="30"/>
      <c r="J83" s="25"/>
      <c r="K83" s="25"/>
      <c r="L83" s="25"/>
      <c r="M83" s="25"/>
      <c r="N83" s="26"/>
      <c r="O83" s="663">
        <v>0.93490804699999996</v>
      </c>
    </row>
    <row r="84" spans="1:15" ht="18.95" customHeight="1">
      <c r="A84" s="651"/>
      <c r="B84" s="654"/>
      <c r="C84" s="661" t="s">
        <v>2034</v>
      </c>
      <c r="D84" s="660"/>
      <c r="E84" s="533">
        <v>1</v>
      </c>
      <c r="F84" s="30" t="s">
        <v>349</v>
      </c>
      <c r="G84" s="67" t="s">
        <v>2011</v>
      </c>
      <c r="H84" s="67" t="s">
        <v>2011</v>
      </c>
      <c r="I84" s="30"/>
      <c r="J84" s="25"/>
      <c r="K84" s="25"/>
      <c r="L84" s="25"/>
      <c r="M84" s="25"/>
      <c r="N84" s="26"/>
      <c r="O84" s="663">
        <v>0.93490804699999996</v>
      </c>
    </row>
    <row r="85" spans="1:15" ht="18.95" customHeight="1">
      <c r="A85" s="651"/>
      <c r="B85" s="654"/>
      <c r="C85" s="661" t="s">
        <v>2035</v>
      </c>
      <c r="D85" s="660"/>
      <c r="E85" s="533">
        <v>1</v>
      </c>
      <c r="F85" s="30" t="s">
        <v>349</v>
      </c>
      <c r="G85" s="67" t="s">
        <v>2011</v>
      </c>
      <c r="H85" s="67" t="s">
        <v>2011</v>
      </c>
      <c r="I85" s="30"/>
      <c r="J85" s="25"/>
      <c r="K85" s="25"/>
      <c r="L85" s="25"/>
      <c r="M85" s="25"/>
      <c r="N85" s="26"/>
      <c r="O85" s="663">
        <v>0.93490804699999996</v>
      </c>
    </row>
    <row r="86" spans="1:15" ht="18.95" customHeight="1">
      <c r="A86" s="651"/>
      <c r="B86" s="654"/>
      <c r="C86" s="661" t="s">
        <v>2036</v>
      </c>
      <c r="D86" s="660"/>
      <c r="E86" s="533">
        <v>1</v>
      </c>
      <c r="F86" s="30" t="s">
        <v>349</v>
      </c>
      <c r="G86" s="67" t="s">
        <v>2011</v>
      </c>
      <c r="H86" s="67" t="s">
        <v>2011</v>
      </c>
      <c r="I86" s="30"/>
      <c r="J86" s="25"/>
      <c r="K86" s="25"/>
      <c r="L86" s="25"/>
      <c r="M86" s="25"/>
      <c r="N86" s="26"/>
      <c r="O86" s="663">
        <v>0.93490804699999996</v>
      </c>
    </row>
    <row r="87" spans="1:15" ht="18.95" customHeight="1">
      <c r="A87" s="651"/>
      <c r="B87" s="1179" t="s">
        <v>273</v>
      </c>
      <c r="C87" s="659" t="s">
        <v>2037</v>
      </c>
      <c r="D87" s="660"/>
      <c r="E87" s="533"/>
      <c r="F87" s="30"/>
      <c r="G87" s="67"/>
      <c r="H87" s="67"/>
      <c r="I87" s="30"/>
      <c r="J87" s="25"/>
      <c r="K87" s="25"/>
      <c r="L87" s="25"/>
      <c r="M87" s="25"/>
      <c r="N87" s="26"/>
      <c r="O87" s="663">
        <v>0.93490804699999996</v>
      </c>
    </row>
    <row r="88" spans="1:15" ht="18.95" customHeight="1">
      <c r="A88" s="651"/>
      <c r="B88" s="654"/>
      <c r="C88" s="661" t="s">
        <v>2038</v>
      </c>
      <c r="D88" s="660"/>
      <c r="E88" s="533">
        <v>12</v>
      </c>
      <c r="F88" s="30" t="s">
        <v>349</v>
      </c>
      <c r="G88" s="67" t="s">
        <v>2011</v>
      </c>
      <c r="H88" s="67" t="s">
        <v>2011</v>
      </c>
      <c r="I88" s="30"/>
      <c r="J88" s="25"/>
      <c r="K88" s="25"/>
      <c r="L88" s="25"/>
      <c r="M88" s="25"/>
      <c r="N88" s="26"/>
      <c r="O88" s="663">
        <v>0.93490804699999996</v>
      </c>
    </row>
    <row r="89" spans="1:15" ht="18.95" customHeight="1">
      <c r="A89" s="651"/>
      <c r="B89" s="654"/>
      <c r="C89" s="661" t="s">
        <v>2039</v>
      </c>
      <c r="D89" s="660"/>
      <c r="E89" s="533">
        <v>12</v>
      </c>
      <c r="F89" s="30" t="s">
        <v>349</v>
      </c>
      <c r="G89" s="67" t="s">
        <v>2011</v>
      </c>
      <c r="H89" s="67" t="s">
        <v>2011</v>
      </c>
      <c r="I89" s="30"/>
      <c r="J89" s="25"/>
      <c r="K89" s="25"/>
      <c r="L89" s="25"/>
      <c r="M89" s="25"/>
      <c r="N89" s="26"/>
      <c r="O89" s="663">
        <v>0.93490804699999996</v>
      </c>
    </row>
    <row r="90" spans="1:15" ht="18.95" customHeight="1">
      <c r="A90" s="651"/>
      <c r="B90" s="654"/>
      <c r="C90" s="661" t="s">
        <v>2040</v>
      </c>
      <c r="D90" s="660"/>
      <c r="E90" s="533">
        <v>12</v>
      </c>
      <c r="F90" s="30" t="s">
        <v>349</v>
      </c>
      <c r="G90" s="67" t="s">
        <v>2011</v>
      </c>
      <c r="H90" s="67" t="s">
        <v>2011</v>
      </c>
      <c r="I90" s="30"/>
      <c r="J90" s="25"/>
      <c r="K90" s="25"/>
      <c r="L90" s="25"/>
      <c r="M90" s="25"/>
      <c r="N90" s="26"/>
      <c r="O90" s="663">
        <v>0.93490804699999996</v>
      </c>
    </row>
    <row r="91" spans="1:15" ht="18.95" customHeight="1">
      <c r="A91" s="651"/>
      <c r="B91" s="654"/>
      <c r="C91" s="661" t="s">
        <v>2041</v>
      </c>
      <c r="D91" s="660"/>
      <c r="E91" s="533">
        <v>1</v>
      </c>
      <c r="F91" s="30" t="s">
        <v>349</v>
      </c>
      <c r="G91" s="67" t="s">
        <v>2011</v>
      </c>
      <c r="H91" s="67" t="s">
        <v>2011</v>
      </c>
      <c r="I91" s="30"/>
      <c r="J91" s="25"/>
      <c r="K91" s="25"/>
      <c r="L91" s="25"/>
      <c r="M91" s="25"/>
      <c r="N91" s="26"/>
      <c r="O91" s="663">
        <v>0.93490804699999996</v>
      </c>
    </row>
    <row r="92" spans="1:15" ht="18.95" customHeight="1">
      <c r="A92" s="651"/>
      <c r="B92" s="1179" t="s">
        <v>273</v>
      </c>
      <c r="C92" s="659" t="s">
        <v>2042</v>
      </c>
      <c r="D92" s="660"/>
      <c r="E92" s="533"/>
      <c r="F92" s="30"/>
      <c r="G92" s="67"/>
      <c r="H92" s="67"/>
      <c r="I92" s="30"/>
      <c r="J92" s="25"/>
      <c r="K92" s="25"/>
      <c r="L92" s="25"/>
      <c r="M92" s="25"/>
      <c r="N92" s="26"/>
      <c r="O92" s="663">
        <v>0.93490804699999996</v>
      </c>
    </row>
    <row r="93" spans="1:15" ht="18.95" customHeight="1">
      <c r="A93" s="651"/>
      <c r="B93" s="654"/>
      <c r="C93" s="661" t="s">
        <v>2026</v>
      </c>
      <c r="D93" s="660"/>
      <c r="E93" s="533">
        <v>1</v>
      </c>
      <c r="F93" s="30" t="s">
        <v>349</v>
      </c>
      <c r="G93" s="67" t="s">
        <v>2011</v>
      </c>
      <c r="H93" s="67" t="s">
        <v>2011</v>
      </c>
      <c r="I93" s="30"/>
      <c r="J93" s="25"/>
      <c r="K93" s="25"/>
      <c r="L93" s="25"/>
      <c r="M93" s="25"/>
      <c r="N93" s="26"/>
      <c r="O93" s="663">
        <v>0.93490804699999996</v>
      </c>
    </row>
    <row r="94" spans="1:15" ht="18.95" customHeight="1">
      <c r="A94" s="651"/>
      <c r="B94" s="654"/>
      <c r="C94" s="661" t="s">
        <v>2027</v>
      </c>
      <c r="D94" s="660"/>
      <c r="E94" s="533">
        <v>1</v>
      </c>
      <c r="F94" s="30" t="s">
        <v>349</v>
      </c>
      <c r="G94" s="67" t="s">
        <v>2011</v>
      </c>
      <c r="H94" s="67" t="s">
        <v>2011</v>
      </c>
      <c r="I94" s="30"/>
      <c r="J94" s="25"/>
      <c r="K94" s="25"/>
      <c r="L94" s="25"/>
      <c r="M94" s="25"/>
      <c r="N94" s="26"/>
      <c r="O94" s="663">
        <v>0.93490804699999996</v>
      </c>
    </row>
    <row r="95" spans="1:15" ht="18.95" customHeight="1">
      <c r="A95" s="651"/>
      <c r="B95" s="654"/>
      <c r="C95" s="661" t="s">
        <v>2028</v>
      </c>
      <c r="D95" s="660"/>
      <c r="E95" s="533">
        <v>3</v>
      </c>
      <c r="F95" s="30" t="s">
        <v>349</v>
      </c>
      <c r="G95" s="67" t="s">
        <v>2011</v>
      </c>
      <c r="H95" s="67" t="s">
        <v>2011</v>
      </c>
      <c r="I95" s="30"/>
      <c r="J95" s="25"/>
      <c r="K95" s="25"/>
      <c r="L95" s="25"/>
      <c r="M95" s="25"/>
      <c r="N95" s="26"/>
      <c r="O95" s="663">
        <v>0.93490804699999996</v>
      </c>
    </row>
    <row r="96" spans="1:15" ht="18.95" customHeight="1">
      <c r="A96" s="651"/>
      <c r="B96" s="654"/>
      <c r="C96" s="661" t="s">
        <v>2029</v>
      </c>
      <c r="D96" s="660"/>
      <c r="E96" s="533">
        <v>1</v>
      </c>
      <c r="F96" s="30" t="s">
        <v>349</v>
      </c>
      <c r="G96" s="67" t="s">
        <v>2011</v>
      </c>
      <c r="H96" s="67" t="s">
        <v>2011</v>
      </c>
      <c r="I96" s="30"/>
      <c r="J96" s="25"/>
      <c r="K96" s="25"/>
      <c r="L96" s="25"/>
      <c r="M96" s="25"/>
      <c r="N96" s="26"/>
      <c r="O96" s="663">
        <v>0.93490804699999996</v>
      </c>
    </row>
    <row r="97" spans="1:15" ht="18.95" customHeight="1">
      <c r="A97" s="651"/>
      <c r="B97" s="654"/>
      <c r="C97" s="661" t="s">
        <v>2030</v>
      </c>
      <c r="D97" s="660"/>
      <c r="E97" s="533">
        <v>1</v>
      </c>
      <c r="F97" s="30" t="s">
        <v>349</v>
      </c>
      <c r="G97" s="67" t="s">
        <v>2011</v>
      </c>
      <c r="H97" s="67" t="s">
        <v>2011</v>
      </c>
      <c r="I97" s="30"/>
      <c r="J97" s="25"/>
      <c r="K97" s="25"/>
      <c r="L97" s="25"/>
      <c r="M97" s="25"/>
      <c r="N97" s="26"/>
      <c r="O97" s="663">
        <v>0.93490804699999996</v>
      </c>
    </row>
    <row r="98" spans="1:15" ht="18.95" customHeight="1">
      <c r="A98" s="651"/>
      <c r="B98" s="654"/>
      <c r="C98" s="661" t="s">
        <v>2031</v>
      </c>
      <c r="D98" s="660"/>
      <c r="E98" s="533">
        <v>1</v>
      </c>
      <c r="F98" s="30" t="s">
        <v>349</v>
      </c>
      <c r="G98" s="67" t="s">
        <v>2011</v>
      </c>
      <c r="H98" s="67" t="s">
        <v>2011</v>
      </c>
      <c r="I98" s="30"/>
      <c r="J98" s="25"/>
      <c r="K98" s="25"/>
      <c r="L98" s="25"/>
      <c r="M98" s="25"/>
      <c r="N98" s="26"/>
      <c r="O98" s="663">
        <v>0.93490804699999996</v>
      </c>
    </row>
    <row r="99" spans="1:15" ht="18.95" customHeight="1">
      <c r="A99" s="651"/>
      <c r="B99" s="654"/>
      <c r="C99" s="661" t="s">
        <v>2032</v>
      </c>
      <c r="D99" s="660"/>
      <c r="E99" s="533">
        <v>1</v>
      </c>
      <c r="F99" s="30" t="s">
        <v>349</v>
      </c>
      <c r="G99" s="67" t="s">
        <v>2011</v>
      </c>
      <c r="H99" s="67" t="s">
        <v>2011</v>
      </c>
      <c r="I99" s="30"/>
      <c r="J99" s="25"/>
      <c r="K99" s="25"/>
      <c r="L99" s="25"/>
      <c r="M99" s="25"/>
      <c r="N99" s="26"/>
      <c r="O99" s="663">
        <v>0.93490804699999996</v>
      </c>
    </row>
    <row r="100" spans="1:15" ht="18.95" customHeight="1">
      <c r="A100" s="651"/>
      <c r="B100" s="654"/>
      <c r="C100" s="661" t="s">
        <v>2043</v>
      </c>
      <c r="D100" s="660"/>
      <c r="E100" s="533">
        <v>1</v>
      </c>
      <c r="F100" s="30" t="s">
        <v>349</v>
      </c>
      <c r="G100" s="67" t="s">
        <v>2011</v>
      </c>
      <c r="H100" s="67" t="s">
        <v>2011</v>
      </c>
      <c r="I100" s="30"/>
      <c r="J100" s="25"/>
      <c r="K100" s="25"/>
      <c r="L100" s="25"/>
      <c r="M100" s="25"/>
      <c r="N100" s="26"/>
      <c r="O100" s="663">
        <v>0.93490804699999996</v>
      </c>
    </row>
    <row r="101" spans="1:15" ht="18.95" customHeight="1">
      <c r="A101" s="651"/>
      <c r="B101" s="654"/>
      <c r="C101" s="661" t="s">
        <v>2044</v>
      </c>
      <c r="D101" s="660"/>
      <c r="E101" s="533">
        <v>2</v>
      </c>
      <c r="F101" s="30" t="s">
        <v>349</v>
      </c>
      <c r="G101" s="67" t="s">
        <v>2011</v>
      </c>
      <c r="H101" s="67" t="s">
        <v>2011</v>
      </c>
      <c r="I101" s="30"/>
      <c r="J101" s="25"/>
      <c r="K101" s="25"/>
      <c r="L101" s="25"/>
      <c r="M101" s="25"/>
      <c r="N101" s="26"/>
      <c r="O101" s="663">
        <v>0.93490804699999996</v>
      </c>
    </row>
    <row r="102" spans="1:15" ht="18.95" customHeight="1">
      <c r="A102" s="651"/>
      <c r="B102" s="654"/>
      <c r="C102" s="661" t="s">
        <v>2045</v>
      </c>
      <c r="D102" s="660"/>
      <c r="E102" s="533">
        <v>1</v>
      </c>
      <c r="F102" s="30" t="s">
        <v>349</v>
      </c>
      <c r="G102" s="67" t="s">
        <v>2011</v>
      </c>
      <c r="H102" s="67" t="s">
        <v>2011</v>
      </c>
      <c r="I102" s="30"/>
      <c r="J102" s="25"/>
      <c r="K102" s="25"/>
      <c r="L102" s="25"/>
      <c r="M102" s="25"/>
      <c r="N102" s="26"/>
      <c r="O102" s="663">
        <v>0.93490804699999996</v>
      </c>
    </row>
    <row r="103" spans="1:15" ht="18.95" customHeight="1">
      <c r="A103" s="651"/>
      <c r="B103" s="1179" t="s">
        <v>273</v>
      </c>
      <c r="C103" s="659" t="s">
        <v>2037</v>
      </c>
      <c r="D103" s="660"/>
      <c r="E103" s="533"/>
      <c r="F103" s="30"/>
      <c r="G103" s="30"/>
      <c r="H103" s="30"/>
      <c r="I103" s="30"/>
      <c r="J103" s="25"/>
      <c r="K103" s="25"/>
      <c r="L103" s="25"/>
      <c r="M103" s="25"/>
      <c r="N103" s="26"/>
      <c r="O103" s="663">
        <v>0.93490804699999996</v>
      </c>
    </row>
    <row r="104" spans="1:15" ht="18.95" customHeight="1">
      <c r="A104" s="651"/>
      <c r="B104" s="654"/>
      <c r="C104" s="661" t="s">
        <v>2038</v>
      </c>
      <c r="D104" s="660"/>
      <c r="E104" s="533">
        <v>12</v>
      </c>
      <c r="F104" s="30" t="s">
        <v>349</v>
      </c>
      <c r="G104" s="67" t="s">
        <v>2011</v>
      </c>
      <c r="H104" s="67" t="s">
        <v>2011</v>
      </c>
      <c r="I104" s="30"/>
      <c r="J104" s="25"/>
      <c r="K104" s="25"/>
      <c r="L104" s="25"/>
      <c r="M104" s="25"/>
      <c r="N104" s="26"/>
      <c r="O104" s="663">
        <v>0.93490804699999996</v>
      </c>
    </row>
    <row r="105" spans="1:15" ht="18.95" customHeight="1">
      <c r="A105" s="651"/>
      <c r="B105" s="654"/>
      <c r="C105" s="661" t="s">
        <v>2039</v>
      </c>
      <c r="D105" s="660"/>
      <c r="E105" s="533">
        <v>12</v>
      </c>
      <c r="F105" s="30" t="s">
        <v>349</v>
      </c>
      <c r="G105" s="67" t="s">
        <v>2011</v>
      </c>
      <c r="H105" s="67" t="s">
        <v>2011</v>
      </c>
      <c r="I105" s="30"/>
      <c r="J105" s="25"/>
      <c r="K105" s="25"/>
      <c r="L105" s="25"/>
      <c r="M105" s="25"/>
      <c r="N105" s="26"/>
      <c r="O105" s="663">
        <v>0.93490804699999996</v>
      </c>
    </row>
    <row r="106" spans="1:15" ht="18.95" customHeight="1">
      <c r="A106" s="651"/>
      <c r="B106" s="654"/>
      <c r="C106" s="661" t="s">
        <v>2040</v>
      </c>
      <c r="D106" s="660"/>
      <c r="E106" s="533">
        <v>12</v>
      </c>
      <c r="F106" s="30" t="s">
        <v>349</v>
      </c>
      <c r="G106" s="67" t="s">
        <v>2011</v>
      </c>
      <c r="H106" s="67" t="s">
        <v>2011</v>
      </c>
      <c r="I106" s="30"/>
      <c r="J106" s="25"/>
      <c r="K106" s="25"/>
      <c r="L106" s="25"/>
      <c r="M106" s="25"/>
      <c r="N106" s="26"/>
      <c r="O106" s="663">
        <v>0.93490804699999996</v>
      </c>
    </row>
    <row r="107" spans="1:15" ht="18.95" customHeight="1">
      <c r="A107" s="651"/>
      <c r="B107" s="654"/>
      <c r="C107" s="661" t="s">
        <v>2041</v>
      </c>
      <c r="D107" s="660"/>
      <c r="E107" s="533">
        <v>1</v>
      </c>
      <c r="F107" s="30" t="s">
        <v>349</v>
      </c>
      <c r="G107" s="67" t="s">
        <v>2011</v>
      </c>
      <c r="H107" s="67" t="s">
        <v>2011</v>
      </c>
      <c r="I107" s="30"/>
      <c r="J107" s="25"/>
      <c r="K107" s="25"/>
      <c r="L107" s="25"/>
      <c r="M107" s="25"/>
      <c r="N107" s="26"/>
      <c r="O107" s="663">
        <v>0.93490804699999996</v>
      </c>
    </row>
    <row r="108" spans="1:15" ht="18.95" customHeight="1">
      <c r="A108" s="651"/>
      <c r="B108" s="1179" t="s">
        <v>273</v>
      </c>
      <c r="C108" s="659" t="s">
        <v>2046</v>
      </c>
      <c r="D108" s="660"/>
      <c r="E108" s="533"/>
      <c r="F108" s="30"/>
      <c r="G108" s="30"/>
      <c r="H108" s="30"/>
      <c r="I108" s="30"/>
      <c r="J108" s="25"/>
      <c r="K108" s="25"/>
      <c r="L108" s="25"/>
      <c r="M108" s="25"/>
      <c r="N108" s="26"/>
      <c r="O108" s="663">
        <v>0.93490804699999996</v>
      </c>
    </row>
    <row r="109" spans="1:15" ht="18.95" customHeight="1">
      <c r="A109" s="651"/>
      <c r="B109" s="654"/>
      <c r="C109" s="661" t="s">
        <v>2047</v>
      </c>
      <c r="D109" s="660"/>
      <c r="E109" s="533">
        <v>1</v>
      </c>
      <c r="F109" s="30" t="s">
        <v>349</v>
      </c>
      <c r="G109" s="67">
        <f>97710</f>
        <v>97710</v>
      </c>
      <c r="H109" s="30">
        <f t="shared" ref="H109:H111" si="30">G109*O109</f>
        <v>91349.865272369992</v>
      </c>
      <c r="I109" s="30">
        <f t="shared" ref="I109:I113" si="31">E109*H109</f>
        <v>91349.865272369992</v>
      </c>
      <c r="J109" s="25">
        <v>0</v>
      </c>
      <c r="K109" s="25"/>
      <c r="L109" s="25">
        <f>ROUNDDOWN(E109*J109,2)</f>
        <v>0</v>
      </c>
      <c r="M109" s="25">
        <f>I109+L109</f>
        <v>91349.865272369992</v>
      </c>
      <c r="N109" s="26"/>
      <c r="O109" s="663">
        <v>0.93490804699999996</v>
      </c>
    </row>
    <row r="110" spans="1:15" ht="18.95" customHeight="1">
      <c r="A110" s="651"/>
      <c r="B110" s="654"/>
      <c r="C110" s="661" t="s">
        <v>2048</v>
      </c>
      <c r="D110" s="660"/>
      <c r="E110" s="533">
        <v>1</v>
      </c>
      <c r="F110" s="30" t="s">
        <v>349</v>
      </c>
      <c r="G110" s="67">
        <f>60360</f>
        <v>60360</v>
      </c>
      <c r="H110" s="30">
        <f t="shared" si="30"/>
        <v>56431.049716919995</v>
      </c>
      <c r="I110" s="30">
        <f t="shared" si="31"/>
        <v>56431.049716919995</v>
      </c>
      <c r="J110" s="25">
        <v>0</v>
      </c>
      <c r="K110" s="25"/>
      <c r="L110" s="25">
        <f t="shared" ref="L110:L111" si="32">ROUNDDOWN(E110*J110,2)</f>
        <v>0</v>
      </c>
      <c r="M110" s="25">
        <f t="shared" ref="M110:M111" si="33">I110+L110</f>
        <v>56431.049716919995</v>
      </c>
      <c r="N110" s="26"/>
      <c r="O110" s="663">
        <v>0.93490804699999996</v>
      </c>
    </row>
    <row r="111" spans="1:15" ht="18.95" customHeight="1">
      <c r="A111" s="651"/>
      <c r="B111" s="654"/>
      <c r="C111" s="661" t="s">
        <v>2049</v>
      </c>
      <c r="D111" s="660"/>
      <c r="E111" s="533">
        <v>2</v>
      </c>
      <c r="F111" s="30" t="s">
        <v>349</v>
      </c>
      <c r="G111" s="67">
        <f>57950</f>
        <v>57950</v>
      </c>
      <c r="H111" s="30">
        <f t="shared" si="30"/>
        <v>54177.92132365</v>
      </c>
      <c r="I111" s="30">
        <f t="shared" si="31"/>
        <v>108355.8426473</v>
      </c>
      <c r="J111" s="25">
        <v>0</v>
      </c>
      <c r="K111" s="25"/>
      <c r="L111" s="25">
        <f t="shared" si="32"/>
        <v>0</v>
      </c>
      <c r="M111" s="25">
        <f t="shared" si="33"/>
        <v>108355.8426473</v>
      </c>
      <c r="N111" s="26"/>
      <c r="O111" s="663">
        <v>0.93490804699999996</v>
      </c>
    </row>
    <row r="112" spans="1:15" ht="18.95" customHeight="1">
      <c r="A112" s="651"/>
      <c r="B112" s="654"/>
      <c r="C112" s="661"/>
      <c r="D112" s="660"/>
      <c r="E112" s="533"/>
      <c r="F112" s="30"/>
      <c r="G112" s="67"/>
      <c r="H112" s="67"/>
      <c r="I112" s="30"/>
      <c r="J112" s="25"/>
      <c r="K112" s="25"/>
      <c r="L112" s="25"/>
      <c r="M112" s="25"/>
      <c r="N112" s="26"/>
      <c r="O112" s="663">
        <v>0.93490804699999996</v>
      </c>
    </row>
    <row r="113" spans="1:15" ht="18.95" customHeight="1">
      <c r="A113" s="651" t="s">
        <v>2050</v>
      </c>
      <c r="B113" s="658" t="s">
        <v>2051</v>
      </c>
      <c r="C113" s="659"/>
      <c r="D113" s="660"/>
      <c r="E113" s="533">
        <v>1</v>
      </c>
      <c r="F113" s="30" t="s">
        <v>349</v>
      </c>
      <c r="G113" s="30">
        <f>992311*0.8</f>
        <v>793848.8</v>
      </c>
      <c r="H113" s="30">
        <f t="shared" ref="H113" si="34">G113*O113</f>
        <v>742175.63122129359</v>
      </c>
      <c r="I113" s="30">
        <f t="shared" si="31"/>
        <v>742175.63122129359</v>
      </c>
      <c r="J113" s="25">
        <v>30000</v>
      </c>
      <c r="K113" s="25">
        <f t="shared" ref="K113" si="35">J113*O113</f>
        <v>28047.241409999999</v>
      </c>
      <c r="L113" s="25">
        <f t="shared" ref="L113" si="36">E113*K113</f>
        <v>28047.241409999999</v>
      </c>
      <c r="M113" s="25">
        <f>I113+L113</f>
        <v>770222.87263129361</v>
      </c>
      <c r="N113" s="26"/>
      <c r="O113" s="663">
        <v>0.93490804699999996</v>
      </c>
    </row>
    <row r="114" spans="1:15" ht="18.95" customHeight="1">
      <c r="A114" s="651"/>
      <c r="B114" s="658" t="s">
        <v>2052</v>
      </c>
      <c r="C114" s="659"/>
      <c r="D114" s="660"/>
      <c r="E114" s="533"/>
      <c r="F114" s="30"/>
      <c r="G114" s="30"/>
      <c r="H114" s="30"/>
      <c r="I114" s="30"/>
      <c r="J114" s="25"/>
      <c r="K114" s="25"/>
      <c r="L114" s="25"/>
      <c r="M114" s="25"/>
      <c r="N114" s="26"/>
      <c r="O114" s="663">
        <v>0.93490804699999996</v>
      </c>
    </row>
    <row r="115" spans="1:15" ht="18.95" customHeight="1">
      <c r="A115" s="651"/>
      <c r="B115" s="1179" t="s">
        <v>273</v>
      </c>
      <c r="C115" s="661" t="s">
        <v>2053</v>
      </c>
      <c r="D115" s="660"/>
      <c r="E115" s="533">
        <v>1</v>
      </c>
      <c r="F115" s="30" t="s">
        <v>349</v>
      </c>
      <c r="G115" s="67" t="s">
        <v>2011</v>
      </c>
      <c r="H115" s="67" t="s">
        <v>2011</v>
      </c>
      <c r="I115" s="30"/>
      <c r="J115" s="25"/>
      <c r="K115" s="25"/>
      <c r="L115" s="25"/>
      <c r="M115" s="25"/>
      <c r="N115" s="26"/>
      <c r="O115" s="663">
        <v>0.93490804699999996</v>
      </c>
    </row>
    <row r="116" spans="1:15" ht="18.95" customHeight="1">
      <c r="A116" s="651"/>
      <c r="B116" s="1179" t="s">
        <v>273</v>
      </c>
      <c r="C116" s="661" t="s">
        <v>2054</v>
      </c>
      <c r="D116" s="660"/>
      <c r="E116" s="533">
        <v>6</v>
      </c>
      <c r="F116" s="30" t="s">
        <v>349</v>
      </c>
      <c r="G116" s="67" t="s">
        <v>2011</v>
      </c>
      <c r="H116" s="67" t="s">
        <v>2011</v>
      </c>
      <c r="I116" s="30"/>
      <c r="J116" s="25"/>
      <c r="K116" s="25"/>
      <c r="L116" s="25"/>
      <c r="M116" s="25"/>
      <c r="N116" s="26"/>
      <c r="O116" s="663">
        <v>0.93490804699999996</v>
      </c>
    </row>
    <row r="117" spans="1:15" ht="18.95" customHeight="1">
      <c r="A117" s="651"/>
      <c r="B117" s="1179" t="s">
        <v>273</v>
      </c>
      <c r="C117" s="661" t="s">
        <v>2055</v>
      </c>
      <c r="D117" s="660"/>
      <c r="E117" s="533">
        <v>1</v>
      </c>
      <c r="F117" s="30" t="s">
        <v>349</v>
      </c>
      <c r="G117" s="67" t="s">
        <v>2011</v>
      </c>
      <c r="H117" s="67" t="s">
        <v>2011</v>
      </c>
      <c r="I117" s="30"/>
      <c r="J117" s="25"/>
      <c r="K117" s="25"/>
      <c r="L117" s="25"/>
      <c r="M117" s="25"/>
      <c r="N117" s="26"/>
      <c r="O117" s="663">
        <v>0.93490804699999996</v>
      </c>
    </row>
    <row r="118" spans="1:15" ht="18.95" customHeight="1">
      <c r="A118" s="651"/>
      <c r="B118" s="1179" t="s">
        <v>273</v>
      </c>
      <c r="C118" s="661" t="s">
        <v>2056</v>
      </c>
      <c r="D118" s="660"/>
      <c r="E118" s="533">
        <v>2</v>
      </c>
      <c r="F118" s="30" t="s">
        <v>349</v>
      </c>
      <c r="G118" s="67" t="s">
        <v>2011</v>
      </c>
      <c r="H118" s="67" t="s">
        <v>2011</v>
      </c>
      <c r="I118" s="30"/>
      <c r="J118" s="25"/>
      <c r="K118" s="25"/>
      <c r="L118" s="25"/>
      <c r="M118" s="25"/>
      <c r="N118" s="26"/>
      <c r="O118" s="663">
        <v>0.93490804699999996</v>
      </c>
    </row>
    <row r="119" spans="1:15" ht="18.95" customHeight="1">
      <c r="A119" s="651"/>
      <c r="B119" s="1179" t="s">
        <v>273</v>
      </c>
      <c r="C119" s="661" t="s">
        <v>2057</v>
      </c>
      <c r="D119" s="660"/>
      <c r="E119" s="533">
        <v>2</v>
      </c>
      <c r="F119" s="30" t="s">
        <v>349</v>
      </c>
      <c r="G119" s="67" t="s">
        <v>2011</v>
      </c>
      <c r="H119" s="67" t="s">
        <v>2011</v>
      </c>
      <c r="I119" s="30"/>
      <c r="J119" s="25"/>
      <c r="K119" s="25"/>
      <c r="L119" s="25"/>
      <c r="M119" s="25"/>
      <c r="N119" s="26"/>
      <c r="O119" s="663">
        <v>0.93490804699999996</v>
      </c>
    </row>
    <row r="120" spans="1:15" ht="18.95" customHeight="1">
      <c r="A120" s="651"/>
      <c r="B120" s="1179" t="s">
        <v>273</v>
      </c>
      <c r="C120" s="661" t="s">
        <v>2058</v>
      </c>
      <c r="D120" s="660"/>
      <c r="E120" s="533">
        <v>1</v>
      </c>
      <c r="F120" s="30" t="s">
        <v>349</v>
      </c>
      <c r="G120" s="67" t="s">
        <v>2011</v>
      </c>
      <c r="H120" s="67" t="s">
        <v>2011</v>
      </c>
      <c r="I120" s="30"/>
      <c r="J120" s="25"/>
      <c r="K120" s="25"/>
      <c r="L120" s="25"/>
      <c r="M120" s="25"/>
      <c r="N120" s="26"/>
      <c r="O120" s="663">
        <v>0.93490804699999996</v>
      </c>
    </row>
    <row r="121" spans="1:15" ht="18.95" customHeight="1">
      <c r="A121" s="651"/>
      <c r="B121" s="1179" t="s">
        <v>273</v>
      </c>
      <c r="C121" s="661" t="s">
        <v>2059</v>
      </c>
      <c r="D121" s="660"/>
      <c r="E121" s="533">
        <v>2</v>
      </c>
      <c r="F121" s="30" t="s">
        <v>349</v>
      </c>
      <c r="G121" s="67" t="s">
        <v>2011</v>
      </c>
      <c r="H121" s="67" t="s">
        <v>2011</v>
      </c>
      <c r="I121" s="30"/>
      <c r="J121" s="25"/>
      <c r="K121" s="25"/>
      <c r="L121" s="25"/>
      <c r="M121" s="25"/>
      <c r="N121" s="26"/>
      <c r="O121" s="663">
        <v>0.93490804699999996</v>
      </c>
    </row>
    <row r="122" spans="1:15" ht="18.95" customHeight="1">
      <c r="A122" s="651"/>
      <c r="B122" s="1179" t="s">
        <v>273</v>
      </c>
      <c r="C122" s="661" t="s">
        <v>2060</v>
      </c>
      <c r="D122" s="660"/>
      <c r="E122" s="533">
        <v>1</v>
      </c>
      <c r="F122" s="30" t="s">
        <v>349</v>
      </c>
      <c r="G122" s="67" t="s">
        <v>2011</v>
      </c>
      <c r="H122" s="67" t="s">
        <v>2011</v>
      </c>
      <c r="I122" s="30"/>
      <c r="J122" s="25"/>
      <c r="K122" s="25"/>
      <c r="L122" s="25"/>
      <c r="M122" s="25"/>
      <c r="N122" s="26"/>
      <c r="O122" s="663">
        <v>0.93490804699999996</v>
      </c>
    </row>
    <row r="123" spans="1:15" ht="18.95" customHeight="1">
      <c r="A123" s="651"/>
      <c r="B123" s="658" t="s">
        <v>2061</v>
      </c>
      <c r="C123" s="659"/>
      <c r="D123" s="660"/>
      <c r="E123" s="533">
        <v>1</v>
      </c>
      <c r="F123" s="30" t="s">
        <v>349</v>
      </c>
      <c r="G123" s="535"/>
      <c r="H123" s="535"/>
      <c r="I123" s="384"/>
      <c r="J123" s="242">
        <v>0</v>
      </c>
      <c r="K123" s="242"/>
      <c r="L123" s="242">
        <f t="shared" ref="L123" si="37">ROUNDDOWN(E123*J123,2)</f>
        <v>0</v>
      </c>
      <c r="M123" s="242">
        <f t="shared" ref="M123" si="38">I123+L123</f>
        <v>0</v>
      </c>
      <c r="N123" s="26"/>
      <c r="O123" s="663">
        <v>0.93490804699999996</v>
      </c>
    </row>
    <row r="124" spans="1:15" ht="18.95" customHeight="1">
      <c r="A124" s="651"/>
      <c r="B124" s="658" t="s">
        <v>2062</v>
      </c>
      <c r="C124" s="659"/>
      <c r="D124" s="660"/>
      <c r="E124" s="533">
        <v>15</v>
      </c>
      <c r="F124" s="30" t="s">
        <v>349</v>
      </c>
      <c r="G124" s="67" t="s">
        <v>2011</v>
      </c>
      <c r="H124" s="67" t="s">
        <v>2011</v>
      </c>
      <c r="I124" s="30"/>
      <c r="J124" s="25"/>
      <c r="K124" s="25"/>
      <c r="L124" s="25"/>
      <c r="M124" s="25"/>
      <c r="N124" s="26"/>
      <c r="O124" s="663">
        <v>0.93490804699999996</v>
      </c>
    </row>
    <row r="125" spans="1:15" ht="18.95" customHeight="1">
      <c r="A125" s="651"/>
      <c r="B125" s="658" t="s">
        <v>2063</v>
      </c>
      <c r="C125" s="659"/>
      <c r="D125" s="660"/>
      <c r="E125" s="533">
        <v>1</v>
      </c>
      <c r="F125" s="30" t="s">
        <v>349</v>
      </c>
      <c r="G125" s="67" t="s">
        <v>2011</v>
      </c>
      <c r="H125" s="67" t="s">
        <v>2011</v>
      </c>
      <c r="I125" s="30"/>
      <c r="J125" s="25"/>
      <c r="K125" s="25"/>
      <c r="L125" s="25"/>
      <c r="M125" s="25"/>
      <c r="N125" s="26"/>
      <c r="O125" s="663">
        <v>0.93490804699999996</v>
      </c>
    </row>
    <row r="126" spans="1:15" ht="18.95" customHeight="1">
      <c r="A126" s="651"/>
      <c r="B126" s="658" t="s">
        <v>2064</v>
      </c>
      <c r="C126" s="659"/>
      <c r="D126" s="660"/>
      <c r="E126" s="533"/>
      <c r="F126" s="30"/>
      <c r="G126" s="30"/>
      <c r="H126" s="30"/>
      <c r="I126" s="30"/>
      <c r="J126" s="25"/>
      <c r="K126" s="25"/>
      <c r="L126" s="25"/>
      <c r="M126" s="25"/>
      <c r="N126" s="26"/>
      <c r="O126" s="663">
        <v>0.93490804699999996</v>
      </c>
    </row>
    <row r="127" spans="1:15" ht="18.95" customHeight="1">
      <c r="A127" s="651">
        <v>5.2</v>
      </c>
      <c r="B127" s="652" t="s">
        <v>2065</v>
      </c>
      <c r="C127" s="653"/>
      <c r="D127" s="412"/>
      <c r="E127" s="533"/>
      <c r="F127" s="30"/>
      <c r="G127" s="30"/>
      <c r="H127" s="30"/>
      <c r="I127" s="30"/>
      <c r="J127" s="25"/>
      <c r="K127" s="25"/>
      <c r="L127" s="25"/>
      <c r="M127" s="25"/>
      <c r="N127" s="26"/>
      <c r="O127" s="663">
        <v>0.93490804699999996</v>
      </c>
    </row>
    <row r="128" spans="1:15" ht="18.95" customHeight="1">
      <c r="A128" s="651"/>
      <c r="B128" s="1179" t="s">
        <v>273</v>
      </c>
      <c r="C128" s="661" t="s">
        <v>2066</v>
      </c>
      <c r="D128" s="660"/>
      <c r="E128" s="533">
        <v>1</v>
      </c>
      <c r="F128" s="30" t="s">
        <v>349</v>
      </c>
      <c r="G128" s="67" t="s">
        <v>2067</v>
      </c>
      <c r="H128" s="67"/>
      <c r="I128" s="30"/>
      <c r="J128" s="25"/>
      <c r="K128" s="25"/>
      <c r="L128" s="25"/>
      <c r="M128" s="25"/>
      <c r="N128" s="26"/>
      <c r="O128" s="663">
        <v>0.93490804699999996</v>
      </c>
    </row>
    <row r="129" spans="1:15" ht="18.95" customHeight="1">
      <c r="A129" s="651"/>
      <c r="B129" s="1179" t="s">
        <v>273</v>
      </c>
      <c r="C129" s="661" t="s">
        <v>2068</v>
      </c>
      <c r="D129" s="660"/>
      <c r="E129" s="533">
        <v>1</v>
      </c>
      <c r="F129" s="30" t="s">
        <v>349</v>
      </c>
      <c r="G129" s="67" t="s">
        <v>2067</v>
      </c>
      <c r="H129" s="67"/>
      <c r="I129" s="30"/>
      <c r="J129" s="25"/>
      <c r="K129" s="25"/>
      <c r="L129" s="25"/>
      <c r="M129" s="25"/>
      <c r="N129" s="26"/>
      <c r="O129" s="663">
        <v>0.93490804699999996</v>
      </c>
    </row>
    <row r="130" spans="1:15" ht="18.95" customHeight="1">
      <c r="A130" s="651"/>
      <c r="B130" s="1179" t="s">
        <v>273</v>
      </c>
      <c r="C130" s="661" t="s">
        <v>2069</v>
      </c>
      <c r="D130" s="660"/>
      <c r="E130" s="533">
        <v>1</v>
      </c>
      <c r="F130" s="30" t="s">
        <v>349</v>
      </c>
      <c r="G130" s="30">
        <f>59377*0.8</f>
        <v>47501.600000000006</v>
      </c>
      <c r="H130" s="30">
        <f t="shared" ref="H130:H137" si="39">G130*O130</f>
        <v>44409.628085375203</v>
      </c>
      <c r="I130" s="30">
        <f t="shared" ref="I130:I152" si="40">E130*H130</f>
        <v>44409.628085375203</v>
      </c>
      <c r="J130" s="25">
        <v>3000</v>
      </c>
      <c r="K130" s="25">
        <f t="shared" ref="K130:K137" si="41">J130*O130</f>
        <v>2804.7241409999997</v>
      </c>
      <c r="L130" s="25">
        <f t="shared" ref="L130:L137" si="42">E130*K130</f>
        <v>2804.7241409999997</v>
      </c>
      <c r="M130" s="25">
        <f t="shared" ref="M130:M137" si="43">I130+L130</f>
        <v>47214.352226375202</v>
      </c>
      <c r="N130" s="26"/>
      <c r="O130" s="663">
        <v>0.93490804699999996</v>
      </c>
    </row>
    <row r="131" spans="1:15" ht="18.95" customHeight="1">
      <c r="A131" s="651"/>
      <c r="B131" s="1179" t="s">
        <v>273</v>
      </c>
      <c r="C131" s="661" t="s">
        <v>2070</v>
      </c>
      <c r="D131" s="660"/>
      <c r="E131" s="533">
        <v>1</v>
      </c>
      <c r="F131" s="30" t="s">
        <v>349</v>
      </c>
      <c r="G131" s="30">
        <f>64738*0.8</f>
        <v>51790.400000000001</v>
      </c>
      <c r="H131" s="30">
        <f t="shared" si="39"/>
        <v>48419.261717348796</v>
      </c>
      <c r="I131" s="30">
        <f t="shared" si="40"/>
        <v>48419.261717348796</v>
      </c>
      <c r="J131" s="25">
        <v>3000</v>
      </c>
      <c r="K131" s="25">
        <f t="shared" si="41"/>
        <v>2804.7241409999997</v>
      </c>
      <c r="L131" s="25">
        <f t="shared" si="42"/>
        <v>2804.7241409999997</v>
      </c>
      <c r="M131" s="25">
        <f t="shared" si="43"/>
        <v>51223.985858348795</v>
      </c>
      <c r="N131" s="26"/>
      <c r="O131" s="663">
        <v>0.93490804699999996</v>
      </c>
    </row>
    <row r="132" spans="1:15" ht="18.95" customHeight="1">
      <c r="A132" s="651"/>
      <c r="B132" s="1179" t="s">
        <v>273</v>
      </c>
      <c r="C132" s="661" t="s">
        <v>2071</v>
      </c>
      <c r="D132" s="660"/>
      <c r="E132" s="533">
        <v>1</v>
      </c>
      <c r="F132" s="30" t="s">
        <v>349</v>
      </c>
      <c r="G132" s="30">
        <f>49920*0.8</f>
        <v>39936</v>
      </c>
      <c r="H132" s="30">
        <f t="shared" si="39"/>
        <v>37336.487764992002</v>
      </c>
      <c r="I132" s="30">
        <f t="shared" si="40"/>
        <v>37336.487764992002</v>
      </c>
      <c r="J132" s="25">
        <v>3000</v>
      </c>
      <c r="K132" s="25">
        <f t="shared" si="41"/>
        <v>2804.7241409999997</v>
      </c>
      <c r="L132" s="25">
        <f t="shared" si="42"/>
        <v>2804.7241409999997</v>
      </c>
      <c r="M132" s="25">
        <f t="shared" si="43"/>
        <v>40141.211905992001</v>
      </c>
      <c r="N132" s="26"/>
      <c r="O132" s="663">
        <v>0.93490804699999996</v>
      </c>
    </row>
    <row r="133" spans="1:15" ht="18.95" customHeight="1">
      <c r="A133" s="651"/>
      <c r="B133" s="1179" t="s">
        <v>273</v>
      </c>
      <c r="C133" s="661" t="s">
        <v>2072</v>
      </c>
      <c r="D133" s="660"/>
      <c r="E133" s="533">
        <v>1</v>
      </c>
      <c r="F133" s="30" t="s">
        <v>349</v>
      </c>
      <c r="G133" s="30">
        <f>49920*0.8</f>
        <v>39936</v>
      </c>
      <c r="H133" s="30">
        <f t="shared" si="39"/>
        <v>37336.487764992002</v>
      </c>
      <c r="I133" s="30">
        <f t="shared" si="40"/>
        <v>37336.487764992002</v>
      </c>
      <c r="J133" s="25">
        <v>3000</v>
      </c>
      <c r="K133" s="25">
        <f t="shared" si="41"/>
        <v>2804.7241409999997</v>
      </c>
      <c r="L133" s="25">
        <f t="shared" si="42"/>
        <v>2804.7241409999997</v>
      </c>
      <c r="M133" s="25">
        <f t="shared" si="43"/>
        <v>40141.211905992001</v>
      </c>
      <c r="N133" s="26"/>
      <c r="O133" s="663">
        <v>0.93490804699999996</v>
      </c>
    </row>
    <row r="134" spans="1:15" ht="18.95" customHeight="1">
      <c r="A134" s="651"/>
      <c r="B134" s="1179" t="s">
        <v>273</v>
      </c>
      <c r="C134" s="661" t="s">
        <v>2073</v>
      </c>
      <c r="D134" s="660"/>
      <c r="E134" s="533">
        <v>1</v>
      </c>
      <c r="F134" s="30" t="s">
        <v>349</v>
      </c>
      <c r="G134" s="30">
        <f>59173*0.8</f>
        <v>47338.400000000001</v>
      </c>
      <c r="H134" s="30">
        <f t="shared" si="39"/>
        <v>44257.051092104797</v>
      </c>
      <c r="I134" s="30">
        <f t="shared" si="40"/>
        <v>44257.051092104797</v>
      </c>
      <c r="J134" s="25">
        <v>3000</v>
      </c>
      <c r="K134" s="25">
        <f t="shared" si="41"/>
        <v>2804.7241409999997</v>
      </c>
      <c r="L134" s="25">
        <f t="shared" si="42"/>
        <v>2804.7241409999997</v>
      </c>
      <c r="M134" s="25">
        <f t="shared" si="43"/>
        <v>47061.775233104796</v>
      </c>
      <c r="N134" s="26"/>
      <c r="O134" s="663">
        <v>0.93490804699999996</v>
      </c>
    </row>
    <row r="135" spans="1:15" ht="18.95" customHeight="1">
      <c r="A135" s="651"/>
      <c r="B135" s="1179" t="s">
        <v>273</v>
      </c>
      <c r="C135" s="661" t="s">
        <v>2074</v>
      </c>
      <c r="D135" s="660"/>
      <c r="E135" s="533">
        <v>1</v>
      </c>
      <c r="F135" s="30" t="s">
        <v>349</v>
      </c>
      <c r="G135" s="30">
        <f>59216*0.8</f>
        <v>47372.800000000003</v>
      </c>
      <c r="H135" s="30">
        <f t="shared" si="39"/>
        <v>44289.211928921599</v>
      </c>
      <c r="I135" s="30">
        <f t="shared" si="40"/>
        <v>44289.211928921599</v>
      </c>
      <c r="J135" s="25">
        <v>3000</v>
      </c>
      <c r="K135" s="25">
        <f t="shared" si="41"/>
        <v>2804.7241409999997</v>
      </c>
      <c r="L135" s="25">
        <f t="shared" si="42"/>
        <v>2804.7241409999997</v>
      </c>
      <c r="M135" s="25">
        <f t="shared" si="43"/>
        <v>47093.936069921598</v>
      </c>
      <c r="N135" s="26"/>
      <c r="O135" s="663">
        <v>0.93490804699999996</v>
      </c>
    </row>
    <row r="136" spans="1:15" ht="18.95" customHeight="1">
      <c r="A136" s="651"/>
      <c r="B136" s="1179" t="s">
        <v>273</v>
      </c>
      <c r="C136" s="661" t="s">
        <v>2075</v>
      </c>
      <c r="D136" s="660"/>
      <c r="E136" s="533">
        <v>1</v>
      </c>
      <c r="F136" s="30" t="s">
        <v>349</v>
      </c>
      <c r="G136" s="30">
        <f>49920*0.8</f>
        <v>39936</v>
      </c>
      <c r="H136" s="30">
        <f t="shared" si="39"/>
        <v>37336.487764992002</v>
      </c>
      <c r="I136" s="30">
        <f t="shared" si="40"/>
        <v>37336.487764992002</v>
      </c>
      <c r="J136" s="25">
        <v>3000</v>
      </c>
      <c r="K136" s="25">
        <f t="shared" si="41"/>
        <v>2804.7241409999997</v>
      </c>
      <c r="L136" s="25">
        <f t="shared" si="42"/>
        <v>2804.7241409999997</v>
      </c>
      <c r="M136" s="25">
        <f t="shared" si="43"/>
        <v>40141.211905992001</v>
      </c>
      <c r="N136" s="26"/>
      <c r="O136" s="663">
        <v>0.93490804699999996</v>
      </c>
    </row>
    <row r="137" spans="1:15" ht="18.95" customHeight="1">
      <c r="A137" s="651"/>
      <c r="B137" s="1179" t="s">
        <v>273</v>
      </c>
      <c r="C137" s="661" t="s">
        <v>2076</v>
      </c>
      <c r="D137" s="660"/>
      <c r="E137" s="533">
        <v>1</v>
      </c>
      <c r="F137" s="30" t="s">
        <v>349</v>
      </c>
      <c r="G137" s="30">
        <f>49920*0.8</f>
        <v>39936</v>
      </c>
      <c r="H137" s="30">
        <f t="shared" si="39"/>
        <v>37336.487764992002</v>
      </c>
      <c r="I137" s="30">
        <f t="shared" si="40"/>
        <v>37336.487764992002</v>
      </c>
      <c r="J137" s="25">
        <v>3000</v>
      </c>
      <c r="K137" s="25">
        <f t="shared" si="41"/>
        <v>2804.7241409999997</v>
      </c>
      <c r="L137" s="25">
        <f t="shared" si="42"/>
        <v>2804.7241409999997</v>
      </c>
      <c r="M137" s="25">
        <f t="shared" si="43"/>
        <v>40141.211905992001</v>
      </c>
      <c r="N137" s="26"/>
      <c r="O137" s="663">
        <v>0.93490804699999996</v>
      </c>
    </row>
    <row r="138" spans="1:15" ht="18.95" customHeight="1">
      <c r="A138" s="651">
        <v>5.3</v>
      </c>
      <c r="B138" s="652" t="s">
        <v>2077</v>
      </c>
      <c r="C138" s="653"/>
      <c r="D138" s="412"/>
      <c r="E138" s="533"/>
      <c r="F138" s="30"/>
      <c r="G138" s="30"/>
      <c r="H138" s="30"/>
      <c r="I138" s="30">
        <f t="shared" si="40"/>
        <v>0</v>
      </c>
      <c r="J138" s="25"/>
      <c r="K138" s="25"/>
      <c r="L138" s="25"/>
      <c r="M138" s="25"/>
      <c r="N138" s="26"/>
      <c r="O138" s="663">
        <v>0.93490804699999996</v>
      </c>
    </row>
    <row r="139" spans="1:15" ht="18.95" customHeight="1">
      <c r="A139" s="651"/>
      <c r="B139" s="1179" t="s">
        <v>273</v>
      </c>
      <c r="C139" s="661" t="s">
        <v>2078</v>
      </c>
      <c r="D139" s="660"/>
      <c r="E139" s="533">
        <v>1</v>
      </c>
      <c r="F139" s="30" t="s">
        <v>349</v>
      </c>
      <c r="G139" s="67" t="s">
        <v>2067</v>
      </c>
      <c r="H139" s="67" t="s">
        <v>2067</v>
      </c>
      <c r="I139" s="30" t="s">
        <v>151</v>
      </c>
      <c r="J139" s="25"/>
      <c r="K139" s="25"/>
      <c r="L139" s="25"/>
      <c r="M139" s="25"/>
      <c r="N139" s="26"/>
      <c r="O139" s="663">
        <v>0.93490804699999996</v>
      </c>
    </row>
    <row r="140" spans="1:15" ht="18.95" customHeight="1">
      <c r="A140" s="651"/>
      <c r="B140" s="1179" t="s">
        <v>273</v>
      </c>
      <c r="C140" s="661" t="s">
        <v>2079</v>
      </c>
      <c r="D140" s="660"/>
      <c r="E140" s="533">
        <v>1</v>
      </c>
      <c r="F140" s="30" t="s">
        <v>349</v>
      </c>
      <c r="G140" s="67" t="s">
        <v>2067</v>
      </c>
      <c r="H140" s="67" t="s">
        <v>2067</v>
      </c>
      <c r="I140" s="30"/>
      <c r="J140" s="25"/>
      <c r="K140" s="25"/>
      <c r="L140" s="25"/>
      <c r="M140" s="25"/>
      <c r="N140" s="26"/>
      <c r="O140" s="663">
        <v>0.93490804699999996</v>
      </c>
    </row>
    <row r="141" spans="1:15" ht="18.95" customHeight="1">
      <c r="A141" s="651"/>
      <c r="B141" s="1179" t="s">
        <v>273</v>
      </c>
      <c r="C141" s="661" t="s">
        <v>2080</v>
      </c>
      <c r="D141" s="660"/>
      <c r="E141" s="533">
        <v>1</v>
      </c>
      <c r="F141" s="30" t="s">
        <v>349</v>
      </c>
      <c r="G141" s="67" t="s">
        <v>2081</v>
      </c>
      <c r="H141" s="67" t="s">
        <v>2081</v>
      </c>
      <c r="I141" s="30"/>
      <c r="J141" s="25"/>
      <c r="K141" s="25"/>
      <c r="L141" s="25"/>
      <c r="M141" s="25"/>
      <c r="N141" s="26"/>
      <c r="O141" s="663">
        <v>0.93490804699999996</v>
      </c>
    </row>
    <row r="142" spans="1:15" ht="18.95" customHeight="1">
      <c r="A142" s="651"/>
      <c r="B142" s="1179" t="s">
        <v>273</v>
      </c>
      <c r="C142" s="661" t="s">
        <v>2082</v>
      </c>
      <c r="D142" s="660"/>
      <c r="E142" s="533">
        <v>3</v>
      </c>
      <c r="F142" s="30" t="s">
        <v>349</v>
      </c>
      <c r="G142" s="30">
        <v>50000</v>
      </c>
      <c r="H142" s="30">
        <f t="shared" ref="H142:H152" si="44">G142*O142</f>
        <v>46745.402349999997</v>
      </c>
      <c r="I142" s="30">
        <f t="shared" si="40"/>
        <v>140236.20705</v>
      </c>
      <c r="J142" s="25">
        <v>3000</v>
      </c>
      <c r="K142" s="25">
        <f t="shared" ref="K142:K152" si="45">J142*O142</f>
        <v>2804.7241409999997</v>
      </c>
      <c r="L142" s="25">
        <f t="shared" ref="L142:L152" si="46">E142*K142</f>
        <v>8414.172423</v>
      </c>
      <c r="M142" s="25">
        <f t="shared" ref="M142:M152" si="47">I142+L142</f>
        <v>148650.37947300001</v>
      </c>
      <c r="N142" s="288"/>
      <c r="O142" s="663">
        <v>0.93490804699999996</v>
      </c>
    </row>
    <row r="143" spans="1:15" ht="18.95" customHeight="1">
      <c r="A143" s="651"/>
      <c r="B143" s="1179" t="s">
        <v>273</v>
      </c>
      <c r="C143" s="661" t="s">
        <v>2083</v>
      </c>
      <c r="D143" s="660"/>
      <c r="E143" s="533">
        <v>1</v>
      </c>
      <c r="F143" s="30" t="s">
        <v>349</v>
      </c>
      <c r="G143" s="30">
        <f>44673*0.8</f>
        <v>35738.400000000001</v>
      </c>
      <c r="H143" s="30">
        <f t="shared" si="44"/>
        <v>33412.117746904798</v>
      </c>
      <c r="I143" s="30">
        <f t="shared" si="40"/>
        <v>33412.117746904798</v>
      </c>
      <c r="J143" s="25">
        <v>3000</v>
      </c>
      <c r="K143" s="25">
        <f t="shared" si="45"/>
        <v>2804.7241409999997</v>
      </c>
      <c r="L143" s="25">
        <f t="shared" si="46"/>
        <v>2804.7241409999997</v>
      </c>
      <c r="M143" s="25">
        <f t="shared" si="47"/>
        <v>36216.841887904797</v>
      </c>
      <c r="N143" s="26"/>
      <c r="O143" s="663">
        <v>0.93490804699999996</v>
      </c>
    </row>
    <row r="144" spans="1:15" ht="18.95" customHeight="1">
      <c r="A144" s="651"/>
      <c r="B144" s="1179" t="s">
        <v>273</v>
      </c>
      <c r="C144" s="661" t="s">
        <v>2084</v>
      </c>
      <c r="D144" s="660"/>
      <c r="E144" s="533">
        <v>1</v>
      </c>
      <c r="F144" s="30" t="s">
        <v>349</v>
      </c>
      <c r="G144" s="30">
        <f>44537*0.8</f>
        <v>35629.599999999999</v>
      </c>
      <c r="H144" s="30">
        <f t="shared" si="44"/>
        <v>33310.399751391196</v>
      </c>
      <c r="I144" s="30">
        <f t="shared" si="40"/>
        <v>33310.399751391196</v>
      </c>
      <c r="J144" s="25">
        <v>3000</v>
      </c>
      <c r="K144" s="25">
        <f t="shared" si="45"/>
        <v>2804.7241409999997</v>
      </c>
      <c r="L144" s="25">
        <f t="shared" si="46"/>
        <v>2804.7241409999997</v>
      </c>
      <c r="M144" s="25">
        <f t="shared" si="47"/>
        <v>36115.123892391195</v>
      </c>
      <c r="N144" s="26"/>
      <c r="O144" s="663">
        <v>0.93490804699999996</v>
      </c>
    </row>
    <row r="145" spans="1:15" ht="18.95" customHeight="1">
      <c r="A145" s="651"/>
      <c r="B145" s="1179" t="s">
        <v>273</v>
      </c>
      <c r="C145" s="661" t="s">
        <v>2085</v>
      </c>
      <c r="D145" s="660"/>
      <c r="E145" s="533">
        <v>1</v>
      </c>
      <c r="F145" s="30" t="s">
        <v>349</v>
      </c>
      <c r="G145" s="30">
        <f>43067*0.8</f>
        <v>34453.599999999999</v>
      </c>
      <c r="H145" s="30">
        <f t="shared" si="44"/>
        <v>32210.947888119197</v>
      </c>
      <c r="I145" s="30">
        <f t="shared" si="40"/>
        <v>32210.947888119197</v>
      </c>
      <c r="J145" s="25">
        <v>3000</v>
      </c>
      <c r="K145" s="25">
        <f t="shared" si="45"/>
        <v>2804.7241409999997</v>
      </c>
      <c r="L145" s="25">
        <f t="shared" si="46"/>
        <v>2804.7241409999997</v>
      </c>
      <c r="M145" s="25">
        <f t="shared" si="47"/>
        <v>35015.672029119196</v>
      </c>
      <c r="N145" s="26"/>
      <c r="O145" s="663">
        <v>0.93490804699999996</v>
      </c>
    </row>
    <row r="146" spans="1:15" ht="18.95" customHeight="1">
      <c r="A146" s="651"/>
      <c r="B146" s="1179" t="s">
        <v>273</v>
      </c>
      <c r="C146" s="661" t="s">
        <v>2086</v>
      </c>
      <c r="D146" s="660"/>
      <c r="E146" s="533">
        <v>1</v>
      </c>
      <c r="F146" s="30" t="s">
        <v>349</v>
      </c>
      <c r="G146" s="30">
        <f>44469*0.8</f>
        <v>35575.200000000004</v>
      </c>
      <c r="H146" s="30">
        <f t="shared" si="44"/>
        <v>33259.540753634406</v>
      </c>
      <c r="I146" s="30">
        <f t="shared" si="40"/>
        <v>33259.540753634406</v>
      </c>
      <c r="J146" s="25">
        <v>3000</v>
      </c>
      <c r="K146" s="25">
        <f t="shared" si="45"/>
        <v>2804.7241409999997</v>
      </c>
      <c r="L146" s="25">
        <f t="shared" si="46"/>
        <v>2804.7241409999997</v>
      </c>
      <c r="M146" s="25">
        <f t="shared" si="47"/>
        <v>36064.264894634405</v>
      </c>
      <c r="N146" s="26"/>
      <c r="O146" s="663">
        <v>0.93490804699999996</v>
      </c>
    </row>
    <row r="147" spans="1:15" ht="18.95" customHeight="1">
      <c r="A147" s="651"/>
      <c r="B147" s="1179" t="s">
        <v>273</v>
      </c>
      <c r="C147" s="661" t="s">
        <v>2087</v>
      </c>
      <c r="D147" s="660"/>
      <c r="E147" s="533">
        <v>1</v>
      </c>
      <c r="F147" s="30" t="s">
        <v>349</v>
      </c>
      <c r="G147" s="30">
        <f>44673*0.8</f>
        <v>35738.400000000001</v>
      </c>
      <c r="H147" s="30">
        <f t="shared" si="44"/>
        <v>33412.117746904798</v>
      </c>
      <c r="I147" s="30">
        <f t="shared" si="40"/>
        <v>33412.117746904798</v>
      </c>
      <c r="J147" s="25">
        <v>3000</v>
      </c>
      <c r="K147" s="25">
        <f t="shared" si="45"/>
        <v>2804.7241409999997</v>
      </c>
      <c r="L147" s="25">
        <f t="shared" si="46"/>
        <v>2804.7241409999997</v>
      </c>
      <c r="M147" s="25">
        <f t="shared" si="47"/>
        <v>36216.841887904797</v>
      </c>
      <c r="N147" s="26"/>
      <c r="O147" s="663">
        <v>0.93490804699999996</v>
      </c>
    </row>
    <row r="148" spans="1:15" ht="18.95" customHeight="1">
      <c r="A148" s="651"/>
      <c r="B148" s="1179" t="s">
        <v>273</v>
      </c>
      <c r="C148" s="661" t="s">
        <v>2088</v>
      </c>
      <c r="D148" s="660"/>
      <c r="E148" s="533">
        <v>1</v>
      </c>
      <c r="F148" s="30" t="s">
        <v>349</v>
      </c>
      <c r="G148" s="30">
        <f>44673*0.8</f>
        <v>35738.400000000001</v>
      </c>
      <c r="H148" s="30">
        <f t="shared" si="44"/>
        <v>33412.117746904798</v>
      </c>
      <c r="I148" s="30">
        <f t="shared" si="40"/>
        <v>33412.117746904798</v>
      </c>
      <c r="J148" s="25">
        <v>3000</v>
      </c>
      <c r="K148" s="25">
        <f t="shared" si="45"/>
        <v>2804.7241409999997</v>
      </c>
      <c r="L148" s="25">
        <f t="shared" si="46"/>
        <v>2804.7241409999997</v>
      </c>
      <c r="M148" s="25">
        <f t="shared" si="47"/>
        <v>36216.841887904797</v>
      </c>
      <c r="N148" s="26"/>
      <c r="O148" s="663">
        <v>0.93490804699999996</v>
      </c>
    </row>
    <row r="149" spans="1:15" ht="18.95" customHeight="1">
      <c r="A149" s="651"/>
      <c r="B149" s="1179" t="s">
        <v>273</v>
      </c>
      <c r="C149" s="661" t="s">
        <v>2089</v>
      </c>
      <c r="D149" s="660"/>
      <c r="E149" s="533">
        <v>1</v>
      </c>
      <c r="F149" s="30" t="s">
        <v>349</v>
      </c>
      <c r="G149" s="30">
        <f>44673*0.8</f>
        <v>35738.400000000001</v>
      </c>
      <c r="H149" s="30">
        <f t="shared" si="44"/>
        <v>33412.117746904798</v>
      </c>
      <c r="I149" s="30">
        <f t="shared" si="40"/>
        <v>33412.117746904798</v>
      </c>
      <c r="J149" s="25">
        <v>3000</v>
      </c>
      <c r="K149" s="25">
        <f t="shared" si="45"/>
        <v>2804.7241409999997</v>
      </c>
      <c r="L149" s="25">
        <f t="shared" si="46"/>
        <v>2804.7241409999997</v>
      </c>
      <c r="M149" s="25">
        <f t="shared" si="47"/>
        <v>36216.841887904797</v>
      </c>
      <c r="N149" s="26"/>
      <c r="O149" s="663">
        <v>0.93490804699999996</v>
      </c>
    </row>
    <row r="150" spans="1:15" ht="18.95" customHeight="1">
      <c r="A150" s="651"/>
      <c r="B150" s="1179" t="s">
        <v>273</v>
      </c>
      <c r="C150" s="661" t="s">
        <v>2090</v>
      </c>
      <c r="D150" s="660"/>
      <c r="E150" s="533">
        <v>1</v>
      </c>
      <c r="F150" s="30" t="s">
        <v>349</v>
      </c>
      <c r="G150" s="30">
        <f>44673*0.8</f>
        <v>35738.400000000001</v>
      </c>
      <c r="H150" s="30">
        <f t="shared" si="44"/>
        <v>33412.117746904798</v>
      </c>
      <c r="I150" s="30">
        <f t="shared" si="40"/>
        <v>33412.117746904798</v>
      </c>
      <c r="J150" s="25">
        <v>3000</v>
      </c>
      <c r="K150" s="25">
        <f t="shared" si="45"/>
        <v>2804.7241409999997</v>
      </c>
      <c r="L150" s="25">
        <f t="shared" si="46"/>
        <v>2804.7241409999997</v>
      </c>
      <c r="M150" s="25">
        <f t="shared" si="47"/>
        <v>36216.841887904797</v>
      </c>
      <c r="N150" s="26"/>
      <c r="O150" s="663">
        <v>0.93490804699999996</v>
      </c>
    </row>
    <row r="151" spans="1:15" ht="18.95" customHeight="1">
      <c r="A151" s="651"/>
      <c r="B151" s="1179" t="s">
        <v>273</v>
      </c>
      <c r="C151" s="661" t="s">
        <v>2091</v>
      </c>
      <c r="D151" s="660"/>
      <c r="E151" s="533">
        <v>1</v>
      </c>
      <c r="F151" s="30" t="s">
        <v>349</v>
      </c>
      <c r="G151" s="30">
        <f>61970*0.8</f>
        <v>49576</v>
      </c>
      <c r="H151" s="30">
        <f t="shared" si="44"/>
        <v>46349.001338071997</v>
      </c>
      <c r="I151" s="30">
        <f t="shared" si="40"/>
        <v>46349.001338071997</v>
      </c>
      <c r="J151" s="25">
        <v>3000</v>
      </c>
      <c r="K151" s="25">
        <f t="shared" si="45"/>
        <v>2804.7241409999997</v>
      </c>
      <c r="L151" s="25">
        <f t="shared" si="46"/>
        <v>2804.7241409999997</v>
      </c>
      <c r="M151" s="25">
        <f t="shared" si="47"/>
        <v>49153.725479071996</v>
      </c>
      <c r="N151" s="26"/>
      <c r="O151" s="663">
        <v>0.93490804699999996</v>
      </c>
    </row>
    <row r="152" spans="1:15" ht="18.95" customHeight="1">
      <c r="A152" s="651"/>
      <c r="B152" s="1179" t="s">
        <v>273</v>
      </c>
      <c r="C152" s="661" t="s">
        <v>2092</v>
      </c>
      <c r="D152" s="660"/>
      <c r="E152" s="533">
        <v>1</v>
      </c>
      <c r="F152" s="30" t="s">
        <v>349</v>
      </c>
      <c r="G152" s="30">
        <f>96529*0.8</f>
        <v>77223.199999999997</v>
      </c>
      <c r="H152" s="30">
        <f t="shared" si="44"/>
        <v>72196.591095090393</v>
      </c>
      <c r="I152" s="30">
        <f t="shared" si="40"/>
        <v>72196.591095090393</v>
      </c>
      <c r="J152" s="25">
        <v>3000</v>
      </c>
      <c r="K152" s="25">
        <f t="shared" si="45"/>
        <v>2804.7241409999997</v>
      </c>
      <c r="L152" s="25">
        <f t="shared" si="46"/>
        <v>2804.7241409999997</v>
      </c>
      <c r="M152" s="25">
        <f t="shared" si="47"/>
        <v>75001.315236090391</v>
      </c>
      <c r="N152" s="26"/>
      <c r="O152" s="663">
        <v>0.93490804699999996</v>
      </c>
    </row>
    <row r="153" spans="1:15" ht="18.95" hidden="1" customHeight="1">
      <c r="A153" s="651"/>
      <c r="B153" s="654"/>
      <c r="C153" s="661"/>
      <c r="D153" s="660"/>
      <c r="E153" s="533"/>
      <c r="F153" s="30"/>
      <c r="G153" s="30"/>
      <c r="H153" s="30"/>
      <c r="I153" s="30"/>
      <c r="J153" s="25"/>
      <c r="K153" s="25"/>
      <c r="L153" s="25"/>
      <c r="M153" s="25"/>
      <c r="N153" s="26"/>
      <c r="O153" s="663">
        <v>0.93490804699999996</v>
      </c>
    </row>
    <row r="154" spans="1:15" ht="18.95" customHeight="1">
      <c r="A154" s="651">
        <v>5.4</v>
      </c>
      <c r="B154" s="652" t="s">
        <v>2093</v>
      </c>
      <c r="C154" s="653"/>
      <c r="D154" s="660"/>
      <c r="E154" s="533"/>
      <c r="F154" s="30"/>
      <c r="G154" s="30"/>
      <c r="H154" s="30"/>
      <c r="I154" s="30"/>
      <c r="J154" s="25"/>
      <c r="K154" s="25"/>
      <c r="L154" s="25"/>
      <c r="M154" s="25"/>
      <c r="N154" s="26"/>
      <c r="O154" s="663">
        <v>0.93490804699999996</v>
      </c>
    </row>
    <row r="155" spans="1:15" ht="18.95" customHeight="1">
      <c r="A155" s="651"/>
      <c r="B155" s="654" t="s">
        <v>2094</v>
      </c>
      <c r="C155" s="661"/>
      <c r="D155" s="660"/>
      <c r="E155" s="533"/>
      <c r="F155" s="30"/>
      <c r="G155" s="30"/>
      <c r="H155" s="30"/>
      <c r="I155" s="30"/>
      <c r="J155" s="25"/>
      <c r="K155" s="25"/>
      <c r="L155" s="25"/>
      <c r="M155" s="25"/>
      <c r="N155" s="26"/>
      <c r="O155" s="663">
        <v>0.93490804699999996</v>
      </c>
    </row>
    <row r="156" spans="1:15" ht="18.95" customHeight="1">
      <c r="A156" s="651"/>
      <c r="B156" s="654" t="s">
        <v>273</v>
      </c>
      <c r="C156" s="661" t="s">
        <v>2095</v>
      </c>
      <c r="D156" s="660"/>
      <c r="E156" s="533">
        <v>1</v>
      </c>
      <c r="F156" s="30" t="s">
        <v>349</v>
      </c>
      <c r="G156" s="79">
        <f>ROUNDUP((17300+2980)*0.65,0)</f>
        <v>13182</v>
      </c>
      <c r="H156" s="30">
        <f t="shared" ref="H156:H159" si="48">G156*O156</f>
        <v>12323.957875553999</v>
      </c>
      <c r="I156" s="30">
        <f t="shared" ref="I156:I159" si="49">E156*H156</f>
        <v>12323.957875553999</v>
      </c>
      <c r="J156" s="25">
        <v>500</v>
      </c>
      <c r="K156" s="25">
        <f t="shared" ref="K156" si="50">J156*O156</f>
        <v>467.45402350000001</v>
      </c>
      <c r="L156" s="25">
        <f t="shared" ref="L156:L173" si="51">E156*K156</f>
        <v>467.45402350000001</v>
      </c>
      <c r="M156" s="25">
        <f>I156+L156</f>
        <v>12791.411899053999</v>
      </c>
      <c r="N156" s="26"/>
      <c r="O156" s="663">
        <v>0.93490804699999996</v>
      </c>
    </row>
    <row r="157" spans="1:15" ht="18.95" customHeight="1">
      <c r="A157" s="651"/>
      <c r="B157" s="654"/>
      <c r="C157" s="661" t="s">
        <v>2096</v>
      </c>
      <c r="D157" s="660"/>
      <c r="E157" s="533">
        <v>15</v>
      </c>
      <c r="F157" s="30" t="s">
        <v>349</v>
      </c>
      <c r="G157" s="30">
        <f>259*0.65</f>
        <v>168.35</v>
      </c>
      <c r="H157" s="30">
        <f t="shared" si="48"/>
        <v>157.39176971244999</v>
      </c>
      <c r="I157" s="30">
        <f t="shared" si="49"/>
        <v>2360.87654568675</v>
      </c>
      <c r="J157" s="25">
        <v>0</v>
      </c>
      <c r="K157" s="25"/>
      <c r="L157" s="25">
        <f t="shared" si="51"/>
        <v>0</v>
      </c>
      <c r="M157" s="25">
        <f t="shared" ref="M157:M209" si="52">I157+L157</f>
        <v>2360.87654568675</v>
      </c>
      <c r="N157" s="26"/>
      <c r="O157" s="663">
        <v>0.93490804699999996</v>
      </c>
    </row>
    <row r="158" spans="1:15" ht="18.95" customHeight="1">
      <c r="A158" s="651"/>
      <c r="B158" s="654"/>
      <c r="C158" s="661" t="s">
        <v>2097</v>
      </c>
      <c r="D158" s="660"/>
      <c r="E158" s="533">
        <v>6</v>
      </c>
      <c r="F158" s="30" t="s">
        <v>349</v>
      </c>
      <c r="G158" s="30">
        <f>259*0.65</f>
        <v>168.35</v>
      </c>
      <c r="H158" s="30">
        <f t="shared" si="48"/>
        <v>157.39176971244999</v>
      </c>
      <c r="I158" s="30">
        <f t="shared" si="49"/>
        <v>944.35061827469985</v>
      </c>
      <c r="J158" s="25">
        <v>0</v>
      </c>
      <c r="K158" s="25"/>
      <c r="L158" s="25">
        <f t="shared" si="51"/>
        <v>0</v>
      </c>
      <c r="M158" s="25">
        <f t="shared" si="52"/>
        <v>944.35061827469985</v>
      </c>
      <c r="N158" s="26"/>
      <c r="O158" s="663">
        <v>0.93490804699999996</v>
      </c>
    </row>
    <row r="159" spans="1:15" ht="18.95" customHeight="1">
      <c r="A159" s="651"/>
      <c r="B159" s="654"/>
      <c r="C159" s="661" t="s">
        <v>2098</v>
      </c>
      <c r="D159" s="660"/>
      <c r="E159" s="533">
        <v>3</v>
      </c>
      <c r="F159" s="30" t="s">
        <v>349</v>
      </c>
      <c r="G159" s="30">
        <f>2640*0.65</f>
        <v>1716</v>
      </c>
      <c r="H159" s="30">
        <f t="shared" si="48"/>
        <v>1604.302208652</v>
      </c>
      <c r="I159" s="30">
        <f t="shared" si="49"/>
        <v>4812.9066259560004</v>
      </c>
      <c r="J159" s="25">
        <v>0</v>
      </c>
      <c r="K159" s="25"/>
      <c r="L159" s="25">
        <f t="shared" si="51"/>
        <v>0</v>
      </c>
      <c r="M159" s="25">
        <f t="shared" si="52"/>
        <v>4812.9066259560004</v>
      </c>
      <c r="N159" s="26"/>
      <c r="O159" s="663">
        <v>0.93490804699999996</v>
      </c>
    </row>
    <row r="160" spans="1:15" ht="18.95" customHeight="1">
      <c r="A160" s="651"/>
      <c r="B160" s="654" t="s">
        <v>2099</v>
      </c>
      <c r="C160" s="661"/>
      <c r="D160" s="660"/>
      <c r="E160" s="533"/>
      <c r="F160" s="30"/>
      <c r="G160" s="30"/>
      <c r="H160" s="30"/>
      <c r="I160" s="30"/>
      <c r="J160" s="25"/>
      <c r="K160" s="25"/>
      <c r="L160" s="25"/>
      <c r="M160" s="25"/>
      <c r="N160" s="26"/>
      <c r="O160" s="663">
        <v>0.93490804699999996</v>
      </c>
    </row>
    <row r="161" spans="1:15" ht="18.95" customHeight="1">
      <c r="A161" s="651"/>
      <c r="B161" s="654" t="s">
        <v>273</v>
      </c>
      <c r="C161" s="661" t="s">
        <v>2100</v>
      </c>
      <c r="D161" s="660"/>
      <c r="E161" s="533">
        <v>1</v>
      </c>
      <c r="F161" s="30" t="s">
        <v>349</v>
      </c>
      <c r="G161" s="79">
        <f>ROUNDUP((14200+7070)*0.65,0)</f>
        <v>13826</v>
      </c>
      <c r="H161" s="30">
        <f t="shared" ref="H161:H163" si="53">G161*O161</f>
        <v>12926.038657821999</v>
      </c>
      <c r="I161" s="30">
        <f t="shared" ref="I161:I212" si="54">E161*H161</f>
        <v>12926.038657821999</v>
      </c>
      <c r="J161" s="25">
        <v>500</v>
      </c>
      <c r="K161" s="25">
        <f t="shared" ref="K161" si="55">J161*O161</f>
        <v>467.45402350000001</v>
      </c>
      <c r="L161" s="25">
        <f t="shared" si="51"/>
        <v>467.45402350000001</v>
      </c>
      <c r="M161" s="25">
        <f t="shared" si="52"/>
        <v>13393.492681321999</v>
      </c>
      <c r="N161" s="26"/>
      <c r="O161" s="663">
        <v>0.93490804699999996</v>
      </c>
    </row>
    <row r="162" spans="1:15" ht="18.95" customHeight="1">
      <c r="A162" s="651"/>
      <c r="B162" s="654"/>
      <c r="C162" s="661" t="s">
        <v>2096</v>
      </c>
      <c r="D162" s="660"/>
      <c r="E162" s="533">
        <v>10</v>
      </c>
      <c r="F162" s="30" t="s">
        <v>349</v>
      </c>
      <c r="G162" s="30">
        <f>259*0.65</f>
        <v>168.35</v>
      </c>
      <c r="H162" s="30">
        <f t="shared" si="53"/>
        <v>157.39176971244999</v>
      </c>
      <c r="I162" s="30">
        <f t="shared" si="54"/>
        <v>1573.9176971244999</v>
      </c>
      <c r="J162" s="25">
        <v>0</v>
      </c>
      <c r="K162" s="25"/>
      <c r="L162" s="25">
        <f t="shared" si="51"/>
        <v>0</v>
      </c>
      <c r="M162" s="25">
        <f t="shared" si="52"/>
        <v>1573.9176971244999</v>
      </c>
      <c r="N162" s="26"/>
      <c r="O162" s="663">
        <v>0.93490804699999996</v>
      </c>
    </row>
    <row r="163" spans="1:15" ht="18.95" customHeight="1">
      <c r="A163" s="651"/>
      <c r="B163" s="654"/>
      <c r="C163" s="661" t="s">
        <v>2097</v>
      </c>
      <c r="D163" s="660"/>
      <c r="E163" s="533">
        <v>3</v>
      </c>
      <c r="F163" s="30" t="s">
        <v>349</v>
      </c>
      <c r="G163" s="30">
        <f>259*0.65</f>
        <v>168.35</v>
      </c>
      <c r="H163" s="30">
        <f t="shared" si="53"/>
        <v>157.39176971244999</v>
      </c>
      <c r="I163" s="30">
        <f t="shared" si="54"/>
        <v>472.17530913734993</v>
      </c>
      <c r="J163" s="25">
        <v>0</v>
      </c>
      <c r="K163" s="25"/>
      <c r="L163" s="25">
        <f t="shared" si="51"/>
        <v>0</v>
      </c>
      <c r="M163" s="25">
        <f t="shared" si="52"/>
        <v>472.17530913734993</v>
      </c>
      <c r="N163" s="26"/>
      <c r="O163" s="663">
        <v>0.93490804699999996</v>
      </c>
    </row>
    <row r="164" spans="1:15" ht="18.95" customHeight="1">
      <c r="A164" s="651"/>
      <c r="B164" s="654" t="s">
        <v>2101</v>
      </c>
      <c r="C164" s="661"/>
      <c r="D164" s="660"/>
      <c r="E164" s="533"/>
      <c r="F164" s="30"/>
      <c r="G164" s="30"/>
      <c r="H164" s="30"/>
      <c r="I164" s="30"/>
      <c r="J164" s="25"/>
      <c r="K164" s="25"/>
      <c r="L164" s="25"/>
      <c r="M164" s="25"/>
      <c r="N164" s="26"/>
      <c r="O164" s="663">
        <v>0.93490804699999996</v>
      </c>
    </row>
    <row r="165" spans="1:15" ht="18.95" customHeight="1">
      <c r="A165" s="651"/>
      <c r="B165" s="654" t="s">
        <v>273</v>
      </c>
      <c r="C165" s="661" t="s">
        <v>2100</v>
      </c>
      <c r="D165" s="660"/>
      <c r="E165" s="533">
        <v>1</v>
      </c>
      <c r="F165" s="30" t="s">
        <v>349</v>
      </c>
      <c r="G165" s="79">
        <f>ROUNDUP((14200+7070)*0.65,0)</f>
        <v>13826</v>
      </c>
      <c r="H165" s="30">
        <f t="shared" ref="H165:H167" si="56">G165*O165</f>
        <v>12926.038657821999</v>
      </c>
      <c r="I165" s="30">
        <f t="shared" si="54"/>
        <v>12926.038657821999</v>
      </c>
      <c r="J165" s="25">
        <v>500</v>
      </c>
      <c r="K165" s="25">
        <f t="shared" ref="K165" si="57">J165*O165</f>
        <v>467.45402350000001</v>
      </c>
      <c r="L165" s="25">
        <f t="shared" si="51"/>
        <v>467.45402350000001</v>
      </c>
      <c r="M165" s="25">
        <f t="shared" si="52"/>
        <v>13393.492681321999</v>
      </c>
      <c r="N165" s="26"/>
      <c r="O165" s="663">
        <v>0.93490804699999996</v>
      </c>
    </row>
    <row r="166" spans="1:15" ht="18.95" customHeight="1">
      <c r="A166" s="651"/>
      <c r="B166" s="654"/>
      <c r="C166" s="661" t="s">
        <v>2096</v>
      </c>
      <c r="D166" s="660"/>
      <c r="E166" s="533">
        <v>16</v>
      </c>
      <c r="F166" s="30" t="s">
        <v>349</v>
      </c>
      <c r="G166" s="30">
        <f>259*0.65</f>
        <v>168.35</v>
      </c>
      <c r="H166" s="30">
        <f t="shared" si="56"/>
        <v>157.39176971244999</v>
      </c>
      <c r="I166" s="30">
        <f t="shared" si="54"/>
        <v>2518.2683153991998</v>
      </c>
      <c r="J166" s="25">
        <v>0</v>
      </c>
      <c r="K166" s="25"/>
      <c r="L166" s="25">
        <f t="shared" si="51"/>
        <v>0</v>
      </c>
      <c r="M166" s="25">
        <f t="shared" si="52"/>
        <v>2518.2683153991998</v>
      </c>
      <c r="N166" s="26"/>
      <c r="O166" s="663">
        <v>0.93490804699999996</v>
      </c>
    </row>
    <row r="167" spans="1:15" ht="18.95" customHeight="1">
      <c r="A167" s="651"/>
      <c r="B167" s="654"/>
      <c r="C167" s="661" t="s">
        <v>2097</v>
      </c>
      <c r="D167" s="660"/>
      <c r="E167" s="533">
        <v>6</v>
      </c>
      <c r="F167" s="30" t="s">
        <v>349</v>
      </c>
      <c r="G167" s="30">
        <f>259*0.65</f>
        <v>168.35</v>
      </c>
      <c r="H167" s="30">
        <f t="shared" si="56"/>
        <v>157.39176971244999</v>
      </c>
      <c r="I167" s="30">
        <f t="shared" si="54"/>
        <v>944.35061827469985</v>
      </c>
      <c r="J167" s="25">
        <v>0</v>
      </c>
      <c r="K167" s="25"/>
      <c r="L167" s="25">
        <f t="shared" si="51"/>
        <v>0</v>
      </c>
      <c r="M167" s="25">
        <f t="shared" si="52"/>
        <v>944.35061827469985</v>
      </c>
      <c r="N167" s="26"/>
      <c r="O167" s="663">
        <v>0.93490804699999996</v>
      </c>
    </row>
    <row r="168" spans="1:15" ht="18.95" customHeight="1">
      <c r="A168" s="651"/>
      <c r="B168" s="654" t="s">
        <v>2102</v>
      </c>
      <c r="C168" s="661"/>
      <c r="D168" s="660"/>
      <c r="E168" s="533"/>
      <c r="F168" s="30"/>
      <c r="G168" s="30"/>
      <c r="H168" s="30"/>
      <c r="I168" s="30"/>
      <c r="J168" s="25"/>
      <c r="K168" s="25"/>
      <c r="L168" s="25"/>
      <c r="M168" s="25"/>
      <c r="N168" s="26"/>
      <c r="O168" s="663">
        <v>0.93490804699999996</v>
      </c>
    </row>
    <row r="169" spans="1:15" ht="18.95" customHeight="1">
      <c r="A169" s="651"/>
      <c r="B169" s="654" t="s">
        <v>273</v>
      </c>
      <c r="C169" s="661" t="s">
        <v>2095</v>
      </c>
      <c r="D169" s="660"/>
      <c r="E169" s="79">
        <v>1</v>
      </c>
      <c r="F169" s="30" t="s">
        <v>349</v>
      </c>
      <c r="G169" s="79">
        <f>ROUNDUP((17300+2980)*0.65,0)</f>
        <v>13182</v>
      </c>
      <c r="H169" s="30">
        <f t="shared" ref="H169:H171" si="58">G169*O169</f>
        <v>12323.957875553999</v>
      </c>
      <c r="I169" s="30">
        <f t="shared" si="54"/>
        <v>12323.957875553999</v>
      </c>
      <c r="J169" s="25">
        <v>500</v>
      </c>
      <c r="K169" s="25">
        <f t="shared" ref="K169" si="59">J169*O169</f>
        <v>467.45402350000001</v>
      </c>
      <c r="L169" s="25">
        <f t="shared" si="51"/>
        <v>467.45402350000001</v>
      </c>
      <c r="M169" s="25">
        <f t="shared" si="52"/>
        <v>12791.411899053999</v>
      </c>
      <c r="N169" s="26"/>
      <c r="O169" s="663">
        <v>0.93490804699999996</v>
      </c>
    </row>
    <row r="170" spans="1:15" ht="18.95" customHeight="1">
      <c r="A170" s="651"/>
      <c r="B170" s="654"/>
      <c r="C170" s="661" t="s">
        <v>2096</v>
      </c>
      <c r="D170" s="660"/>
      <c r="E170" s="533">
        <v>15</v>
      </c>
      <c r="F170" s="30" t="s">
        <v>349</v>
      </c>
      <c r="G170" s="30">
        <f>259*0.65</f>
        <v>168.35</v>
      </c>
      <c r="H170" s="30">
        <f t="shared" si="58"/>
        <v>157.39176971244999</v>
      </c>
      <c r="I170" s="30">
        <f t="shared" si="54"/>
        <v>2360.87654568675</v>
      </c>
      <c r="J170" s="25">
        <v>0</v>
      </c>
      <c r="K170" s="25"/>
      <c r="L170" s="25">
        <f t="shared" si="51"/>
        <v>0</v>
      </c>
      <c r="M170" s="25">
        <f t="shared" si="52"/>
        <v>2360.87654568675</v>
      </c>
      <c r="N170" s="26"/>
      <c r="O170" s="663">
        <v>0.93490804699999996</v>
      </c>
    </row>
    <row r="171" spans="1:15" ht="18.95" customHeight="1">
      <c r="A171" s="651"/>
      <c r="B171" s="654"/>
      <c r="C171" s="661" t="s">
        <v>2097</v>
      </c>
      <c r="D171" s="660"/>
      <c r="E171" s="533">
        <v>9</v>
      </c>
      <c r="F171" s="30" t="s">
        <v>349</v>
      </c>
      <c r="G171" s="30">
        <f>259*0.65</f>
        <v>168.35</v>
      </c>
      <c r="H171" s="30">
        <f t="shared" si="58"/>
        <v>157.39176971244999</v>
      </c>
      <c r="I171" s="30">
        <f t="shared" si="54"/>
        <v>1416.5259274120499</v>
      </c>
      <c r="J171" s="25">
        <v>0</v>
      </c>
      <c r="K171" s="25"/>
      <c r="L171" s="25">
        <f t="shared" si="51"/>
        <v>0</v>
      </c>
      <c r="M171" s="25">
        <f t="shared" si="52"/>
        <v>1416.5259274120499</v>
      </c>
      <c r="N171" s="26"/>
      <c r="O171" s="663">
        <v>0.93490804699999996</v>
      </c>
    </row>
    <row r="172" spans="1:15" ht="18.95" customHeight="1">
      <c r="A172" s="651"/>
      <c r="B172" s="654" t="s">
        <v>2103</v>
      </c>
      <c r="C172" s="661"/>
      <c r="D172" s="660"/>
      <c r="E172" s="533"/>
      <c r="F172" s="30"/>
      <c r="G172" s="30"/>
      <c r="H172" s="30"/>
      <c r="I172" s="30"/>
      <c r="J172" s="25"/>
      <c r="K172" s="25"/>
      <c r="L172" s="25"/>
      <c r="M172" s="25"/>
      <c r="N172" s="26"/>
      <c r="O172" s="663">
        <v>0.93490804699999996</v>
      </c>
    </row>
    <row r="173" spans="1:15" ht="18.95" customHeight="1">
      <c r="A173" s="651"/>
      <c r="B173" s="654" t="s">
        <v>273</v>
      </c>
      <c r="C173" s="661" t="s">
        <v>2095</v>
      </c>
      <c r="D173" s="660"/>
      <c r="E173" s="533">
        <v>1</v>
      </c>
      <c r="F173" s="30" t="s">
        <v>349</v>
      </c>
      <c r="G173" s="79">
        <f>ROUNDUP((17300+2980)*0.65,0)</f>
        <v>13182</v>
      </c>
      <c r="H173" s="30">
        <f t="shared" ref="H173:H175" si="60">G173*O173</f>
        <v>12323.957875553999</v>
      </c>
      <c r="I173" s="30">
        <f t="shared" si="54"/>
        <v>12323.957875553999</v>
      </c>
      <c r="J173" s="25">
        <v>500</v>
      </c>
      <c r="K173" s="25">
        <f t="shared" ref="K173" si="61">J173*O173</f>
        <v>467.45402350000001</v>
      </c>
      <c r="L173" s="25">
        <f t="shared" si="51"/>
        <v>467.45402350000001</v>
      </c>
      <c r="M173" s="25">
        <f t="shared" si="52"/>
        <v>12791.411899053999</v>
      </c>
      <c r="N173" s="26"/>
      <c r="O173" s="663">
        <v>0.93490804699999996</v>
      </c>
    </row>
    <row r="174" spans="1:15" ht="18.95" customHeight="1">
      <c r="A174" s="651"/>
      <c r="B174" s="654"/>
      <c r="C174" s="661" t="s">
        <v>2096</v>
      </c>
      <c r="D174" s="660"/>
      <c r="E174" s="533">
        <v>15</v>
      </c>
      <c r="F174" s="30" t="s">
        <v>349</v>
      </c>
      <c r="G174" s="30">
        <f>259*0.65</f>
        <v>168.35</v>
      </c>
      <c r="H174" s="30">
        <f t="shared" si="60"/>
        <v>157.39176971244999</v>
      </c>
      <c r="I174" s="30">
        <f t="shared" si="54"/>
        <v>2360.87654568675</v>
      </c>
      <c r="J174" s="25">
        <v>0</v>
      </c>
      <c r="K174" s="25"/>
      <c r="L174" s="25">
        <f t="shared" ref="L174:L201" si="62">E174*J174</f>
        <v>0</v>
      </c>
      <c r="M174" s="25">
        <f t="shared" si="52"/>
        <v>2360.87654568675</v>
      </c>
      <c r="N174" s="26"/>
      <c r="O174" s="663">
        <v>0.93490804699999996</v>
      </c>
    </row>
    <row r="175" spans="1:15" ht="18.95" customHeight="1">
      <c r="A175" s="651"/>
      <c r="B175" s="654"/>
      <c r="C175" s="661" t="s">
        <v>2097</v>
      </c>
      <c r="D175" s="660"/>
      <c r="E175" s="533">
        <v>9</v>
      </c>
      <c r="F175" s="30" t="s">
        <v>349</v>
      </c>
      <c r="G175" s="30">
        <f>259*0.65</f>
        <v>168.35</v>
      </c>
      <c r="H175" s="30">
        <f t="shared" si="60"/>
        <v>157.39176971244999</v>
      </c>
      <c r="I175" s="30">
        <f t="shared" si="54"/>
        <v>1416.5259274120499</v>
      </c>
      <c r="J175" s="25">
        <v>0</v>
      </c>
      <c r="K175" s="25"/>
      <c r="L175" s="25">
        <f t="shared" si="62"/>
        <v>0</v>
      </c>
      <c r="M175" s="25">
        <f t="shared" si="52"/>
        <v>1416.5259274120499</v>
      </c>
      <c r="N175" s="26"/>
      <c r="O175" s="663">
        <v>0.93490804699999996</v>
      </c>
    </row>
    <row r="176" spans="1:15" ht="18.95" customHeight="1">
      <c r="A176" s="651"/>
      <c r="B176" s="654" t="s">
        <v>2104</v>
      </c>
      <c r="C176" s="661"/>
      <c r="D176" s="660"/>
      <c r="E176" s="533"/>
      <c r="F176" s="30"/>
      <c r="G176" s="30"/>
      <c r="H176" s="30"/>
      <c r="I176" s="30"/>
      <c r="J176" s="25"/>
      <c r="K176" s="25"/>
      <c r="L176" s="25"/>
      <c r="M176" s="25"/>
      <c r="N176" s="26"/>
      <c r="O176" s="663">
        <v>0.93490804699999996</v>
      </c>
    </row>
    <row r="177" spans="1:15" ht="23.25">
      <c r="A177" s="651"/>
      <c r="B177" s="654" t="s">
        <v>273</v>
      </c>
      <c r="C177" s="661" t="s">
        <v>2100</v>
      </c>
      <c r="D177" s="660"/>
      <c r="E177" s="533">
        <v>1</v>
      </c>
      <c r="F177" s="30" t="s">
        <v>349</v>
      </c>
      <c r="G177" s="79">
        <f>ROUNDUP((14200+7070)*0.65,0)</f>
        <v>13826</v>
      </c>
      <c r="H177" s="30">
        <f t="shared" ref="H177:H179" si="63">G177*O177</f>
        <v>12926.038657821999</v>
      </c>
      <c r="I177" s="30">
        <f t="shared" si="54"/>
        <v>12926.038657821999</v>
      </c>
      <c r="J177" s="25">
        <v>500</v>
      </c>
      <c r="K177" s="25">
        <f t="shared" ref="K177" si="64">J177*O177</f>
        <v>467.45402350000001</v>
      </c>
      <c r="L177" s="25">
        <f t="shared" ref="L177:L186" si="65">E177*K177</f>
        <v>467.45402350000001</v>
      </c>
      <c r="M177" s="25">
        <f t="shared" si="52"/>
        <v>13393.492681321999</v>
      </c>
      <c r="N177" s="26"/>
      <c r="O177" s="663">
        <v>0.93490804699999996</v>
      </c>
    </row>
    <row r="178" spans="1:15" ht="18.95" customHeight="1">
      <c r="A178" s="651"/>
      <c r="B178" s="654"/>
      <c r="C178" s="661" t="s">
        <v>2096</v>
      </c>
      <c r="D178" s="660"/>
      <c r="E178" s="533">
        <v>9</v>
      </c>
      <c r="F178" s="30" t="s">
        <v>349</v>
      </c>
      <c r="G178" s="30">
        <f>259*0.65</f>
        <v>168.35</v>
      </c>
      <c r="H178" s="30">
        <f t="shared" si="63"/>
        <v>157.39176971244999</v>
      </c>
      <c r="I178" s="30">
        <f t="shared" si="54"/>
        <v>1416.5259274120499</v>
      </c>
      <c r="J178" s="25">
        <v>0</v>
      </c>
      <c r="K178" s="25"/>
      <c r="L178" s="25">
        <f t="shared" si="65"/>
        <v>0</v>
      </c>
      <c r="M178" s="25">
        <f t="shared" si="52"/>
        <v>1416.5259274120499</v>
      </c>
      <c r="N178" s="26"/>
      <c r="O178" s="663">
        <v>0.93490804699999996</v>
      </c>
    </row>
    <row r="179" spans="1:15" ht="18.95" customHeight="1">
      <c r="A179" s="651"/>
      <c r="B179" s="654"/>
      <c r="C179" s="661" t="s">
        <v>2097</v>
      </c>
      <c r="D179" s="660"/>
      <c r="E179" s="533">
        <v>9</v>
      </c>
      <c r="F179" s="30" t="s">
        <v>349</v>
      </c>
      <c r="G179" s="30">
        <f>259*0.65</f>
        <v>168.35</v>
      </c>
      <c r="H179" s="30">
        <f t="shared" si="63"/>
        <v>157.39176971244999</v>
      </c>
      <c r="I179" s="30">
        <f t="shared" si="54"/>
        <v>1416.5259274120499</v>
      </c>
      <c r="J179" s="25">
        <v>0</v>
      </c>
      <c r="K179" s="25"/>
      <c r="L179" s="25">
        <f t="shared" si="65"/>
        <v>0</v>
      </c>
      <c r="M179" s="25">
        <f t="shared" si="52"/>
        <v>1416.5259274120499</v>
      </c>
      <c r="N179" s="26"/>
      <c r="O179" s="663">
        <v>0.93490804699999996</v>
      </c>
    </row>
    <row r="180" spans="1:15" ht="18.95" customHeight="1">
      <c r="A180" s="651"/>
      <c r="B180" s="654" t="s">
        <v>2103</v>
      </c>
      <c r="C180" s="661"/>
      <c r="D180" s="660"/>
      <c r="E180" s="533"/>
      <c r="F180" s="30"/>
      <c r="G180" s="30"/>
      <c r="H180" s="30"/>
      <c r="I180" s="30"/>
      <c r="J180" s="25"/>
      <c r="K180" s="25"/>
      <c r="L180" s="25"/>
      <c r="M180" s="25"/>
      <c r="N180" s="26"/>
      <c r="O180" s="663">
        <v>0.93490804699999996</v>
      </c>
    </row>
    <row r="181" spans="1:15" ht="18.95" customHeight="1">
      <c r="A181" s="651"/>
      <c r="B181" s="654" t="s">
        <v>273</v>
      </c>
      <c r="C181" s="661" t="s">
        <v>2100</v>
      </c>
      <c r="D181" s="660"/>
      <c r="E181" s="533">
        <v>1</v>
      </c>
      <c r="F181" s="30" t="s">
        <v>349</v>
      </c>
      <c r="G181" s="79">
        <f>ROUNDUP((14200+7070)*0.65,0)</f>
        <v>13826</v>
      </c>
      <c r="H181" s="30">
        <f t="shared" ref="H181:H183" si="66">G181*O181</f>
        <v>12926.038657821999</v>
      </c>
      <c r="I181" s="30">
        <f t="shared" si="54"/>
        <v>12926.038657821999</v>
      </c>
      <c r="J181" s="25">
        <v>500</v>
      </c>
      <c r="K181" s="25">
        <f t="shared" ref="K181" si="67">J181*O181</f>
        <v>467.45402350000001</v>
      </c>
      <c r="L181" s="25">
        <f t="shared" si="65"/>
        <v>467.45402350000001</v>
      </c>
      <c r="M181" s="25">
        <f t="shared" si="52"/>
        <v>13393.492681321999</v>
      </c>
      <c r="N181" s="26"/>
      <c r="O181" s="663">
        <v>0.93490804699999996</v>
      </c>
    </row>
    <row r="182" spans="1:15" ht="18.95" customHeight="1">
      <c r="A182" s="651"/>
      <c r="B182" s="654"/>
      <c r="C182" s="661" t="s">
        <v>2096</v>
      </c>
      <c r="D182" s="660"/>
      <c r="E182" s="533">
        <v>18</v>
      </c>
      <c r="F182" s="30" t="s">
        <v>349</v>
      </c>
      <c r="G182" s="30">
        <f>259*0.65</f>
        <v>168.35</v>
      </c>
      <c r="H182" s="30">
        <f t="shared" si="66"/>
        <v>157.39176971244999</v>
      </c>
      <c r="I182" s="30">
        <f t="shared" si="54"/>
        <v>2833.0518548240998</v>
      </c>
      <c r="J182" s="25">
        <v>0</v>
      </c>
      <c r="K182" s="25"/>
      <c r="L182" s="25">
        <f t="shared" si="65"/>
        <v>0</v>
      </c>
      <c r="M182" s="25">
        <f t="shared" si="52"/>
        <v>2833.0518548240998</v>
      </c>
      <c r="N182" s="26"/>
      <c r="O182" s="663">
        <v>0.93490804699999996</v>
      </c>
    </row>
    <row r="183" spans="1:15" ht="18.95" customHeight="1">
      <c r="A183" s="651"/>
      <c r="B183" s="654"/>
      <c r="C183" s="661" t="s">
        <v>2097</v>
      </c>
      <c r="D183" s="660"/>
      <c r="E183" s="533">
        <v>9</v>
      </c>
      <c r="F183" s="30" t="s">
        <v>349</v>
      </c>
      <c r="G183" s="30">
        <f>259*0.65</f>
        <v>168.35</v>
      </c>
      <c r="H183" s="30">
        <f t="shared" si="66"/>
        <v>157.39176971244999</v>
      </c>
      <c r="I183" s="30">
        <f t="shared" si="54"/>
        <v>1416.5259274120499</v>
      </c>
      <c r="J183" s="25">
        <v>0</v>
      </c>
      <c r="K183" s="25"/>
      <c r="L183" s="25">
        <f t="shared" si="65"/>
        <v>0</v>
      </c>
      <c r="M183" s="25">
        <f t="shared" si="52"/>
        <v>1416.5259274120499</v>
      </c>
      <c r="N183" s="26"/>
      <c r="O183" s="663">
        <v>0.93490804699999996</v>
      </c>
    </row>
    <row r="184" spans="1:15" ht="18.95" customHeight="1">
      <c r="A184" s="651"/>
      <c r="B184" s="654"/>
      <c r="C184" s="661"/>
      <c r="D184" s="660"/>
      <c r="E184" s="533"/>
      <c r="F184" s="30"/>
      <c r="G184" s="30"/>
      <c r="H184" s="30"/>
      <c r="I184" s="30"/>
      <c r="J184" s="25"/>
      <c r="K184" s="25"/>
      <c r="L184" s="25"/>
      <c r="M184" s="25"/>
      <c r="N184" s="26"/>
      <c r="O184" s="663">
        <v>0.93490804699999996</v>
      </c>
    </row>
    <row r="185" spans="1:15" ht="18.95" customHeight="1">
      <c r="A185" s="651"/>
      <c r="B185" s="654" t="s">
        <v>2104</v>
      </c>
      <c r="C185" s="661"/>
      <c r="D185" s="660"/>
      <c r="E185" s="533"/>
      <c r="F185" s="30"/>
      <c r="G185" s="30"/>
      <c r="H185" s="30"/>
      <c r="I185" s="30"/>
      <c r="J185" s="25"/>
      <c r="K185" s="25"/>
      <c r="L185" s="25"/>
      <c r="M185" s="25"/>
      <c r="N185" s="26"/>
      <c r="O185" s="663">
        <v>0.93490804699999996</v>
      </c>
    </row>
    <row r="186" spans="1:15" ht="18.95" customHeight="1">
      <c r="A186" s="651"/>
      <c r="B186" s="654" t="s">
        <v>273</v>
      </c>
      <c r="C186" s="661" t="s">
        <v>2100</v>
      </c>
      <c r="D186" s="660"/>
      <c r="E186" s="533">
        <v>1</v>
      </c>
      <c r="F186" s="30" t="s">
        <v>349</v>
      </c>
      <c r="G186" s="79">
        <f>ROUNDUP((14200+7070)*0.65,0)</f>
        <v>13826</v>
      </c>
      <c r="H186" s="30">
        <f t="shared" ref="H186:H188" si="68">G186*O186</f>
        <v>12926.038657821999</v>
      </c>
      <c r="I186" s="30">
        <f t="shared" si="54"/>
        <v>12926.038657821999</v>
      </c>
      <c r="J186" s="25">
        <v>500</v>
      </c>
      <c r="K186" s="25">
        <f t="shared" ref="K186" si="69">J186*O186</f>
        <v>467.45402350000001</v>
      </c>
      <c r="L186" s="25">
        <f t="shared" si="65"/>
        <v>467.45402350000001</v>
      </c>
      <c r="M186" s="25">
        <f t="shared" si="52"/>
        <v>13393.492681321999</v>
      </c>
      <c r="N186" s="26"/>
      <c r="O186" s="663">
        <v>0.93490804699999996</v>
      </c>
    </row>
    <row r="187" spans="1:15" ht="18.95" customHeight="1">
      <c r="A187" s="651"/>
      <c r="B187" s="654"/>
      <c r="C187" s="661" t="s">
        <v>2096</v>
      </c>
      <c r="D187" s="660"/>
      <c r="E187" s="533">
        <v>9</v>
      </c>
      <c r="F187" s="30" t="s">
        <v>349</v>
      </c>
      <c r="G187" s="30">
        <f>259*0.65</f>
        <v>168.35</v>
      </c>
      <c r="H187" s="30">
        <f t="shared" si="68"/>
        <v>157.39176971244999</v>
      </c>
      <c r="I187" s="30">
        <f t="shared" si="54"/>
        <v>1416.5259274120499</v>
      </c>
      <c r="J187" s="25">
        <v>0</v>
      </c>
      <c r="K187" s="25"/>
      <c r="L187" s="25">
        <f t="shared" si="62"/>
        <v>0</v>
      </c>
      <c r="M187" s="25">
        <f t="shared" si="52"/>
        <v>1416.5259274120499</v>
      </c>
      <c r="N187" s="26"/>
      <c r="O187" s="663">
        <v>0.93490804699999996</v>
      </c>
    </row>
    <row r="188" spans="1:15" ht="18.95" customHeight="1">
      <c r="A188" s="651"/>
      <c r="B188" s="654"/>
      <c r="C188" s="661" t="s">
        <v>2097</v>
      </c>
      <c r="D188" s="660"/>
      <c r="E188" s="533">
        <v>9</v>
      </c>
      <c r="F188" s="30" t="s">
        <v>349</v>
      </c>
      <c r="G188" s="30">
        <f>259*0.65</f>
        <v>168.35</v>
      </c>
      <c r="H188" s="30">
        <f t="shared" si="68"/>
        <v>157.39176971244999</v>
      </c>
      <c r="I188" s="30">
        <f t="shared" si="54"/>
        <v>1416.5259274120499</v>
      </c>
      <c r="J188" s="25">
        <v>0</v>
      </c>
      <c r="K188" s="25"/>
      <c r="L188" s="25">
        <f t="shared" si="62"/>
        <v>0</v>
      </c>
      <c r="M188" s="25">
        <f t="shared" si="52"/>
        <v>1416.5259274120499</v>
      </c>
      <c r="N188" s="26"/>
      <c r="O188" s="663">
        <v>0.93490804699999996</v>
      </c>
    </row>
    <row r="189" spans="1:15" ht="18.95" customHeight="1">
      <c r="A189" s="651"/>
      <c r="B189" s="654" t="s">
        <v>2105</v>
      </c>
      <c r="C189" s="661"/>
      <c r="D189" s="660"/>
      <c r="E189" s="533"/>
      <c r="F189" s="30"/>
      <c r="G189" s="30"/>
      <c r="H189" s="30"/>
      <c r="I189" s="30"/>
      <c r="J189" s="25"/>
      <c r="K189" s="25"/>
      <c r="L189" s="25"/>
      <c r="M189" s="25"/>
      <c r="N189" s="26"/>
      <c r="O189" s="663">
        <v>0.93490804699999996</v>
      </c>
    </row>
    <row r="190" spans="1:15" ht="18.95" customHeight="1">
      <c r="A190" s="651"/>
      <c r="B190" s="654" t="s">
        <v>273</v>
      </c>
      <c r="C190" s="661" t="s">
        <v>2100</v>
      </c>
      <c r="D190" s="660"/>
      <c r="E190" s="533">
        <v>1</v>
      </c>
      <c r="F190" s="30" t="s">
        <v>349</v>
      </c>
      <c r="G190" s="79">
        <f>ROUNDUP((14200+7070)*0.65,0)</f>
        <v>13826</v>
      </c>
      <c r="H190" s="30">
        <f t="shared" ref="H190:H192" si="70">G190*O190</f>
        <v>12926.038657821999</v>
      </c>
      <c r="I190" s="30">
        <f t="shared" si="54"/>
        <v>12926.038657821999</v>
      </c>
      <c r="J190" s="25">
        <v>500</v>
      </c>
      <c r="K190" s="25">
        <f t="shared" ref="K190" si="71">J190*O190</f>
        <v>467.45402350000001</v>
      </c>
      <c r="L190" s="25">
        <f t="shared" ref="L190:L198" si="72">E190*K190</f>
        <v>467.45402350000001</v>
      </c>
      <c r="M190" s="25">
        <f t="shared" si="52"/>
        <v>13393.492681321999</v>
      </c>
      <c r="N190" s="26"/>
      <c r="O190" s="663">
        <v>0.93490804699999996</v>
      </c>
    </row>
    <row r="191" spans="1:15" ht="18.95" customHeight="1">
      <c r="A191" s="651"/>
      <c r="B191" s="654"/>
      <c r="C191" s="661" t="s">
        <v>2096</v>
      </c>
      <c r="D191" s="660"/>
      <c r="E191" s="533">
        <v>12</v>
      </c>
      <c r="F191" s="30" t="s">
        <v>349</v>
      </c>
      <c r="G191" s="30">
        <f>259*0.65</f>
        <v>168.35</v>
      </c>
      <c r="H191" s="30">
        <f t="shared" si="70"/>
        <v>157.39176971244999</v>
      </c>
      <c r="I191" s="30">
        <f t="shared" si="54"/>
        <v>1888.7012365493997</v>
      </c>
      <c r="J191" s="25">
        <v>0</v>
      </c>
      <c r="K191" s="25"/>
      <c r="L191" s="25">
        <f t="shared" si="72"/>
        <v>0</v>
      </c>
      <c r="M191" s="25">
        <f t="shared" si="52"/>
        <v>1888.7012365493997</v>
      </c>
      <c r="N191" s="26"/>
      <c r="O191" s="663">
        <v>0.93490804699999996</v>
      </c>
    </row>
    <row r="192" spans="1:15" ht="18.95" customHeight="1">
      <c r="A192" s="651"/>
      <c r="B192" s="654"/>
      <c r="C192" s="661" t="s">
        <v>2097</v>
      </c>
      <c r="D192" s="660"/>
      <c r="E192" s="533">
        <v>9</v>
      </c>
      <c r="F192" s="30" t="s">
        <v>349</v>
      </c>
      <c r="G192" s="30">
        <f>259*0.65</f>
        <v>168.35</v>
      </c>
      <c r="H192" s="30">
        <f t="shared" si="70"/>
        <v>157.39176971244999</v>
      </c>
      <c r="I192" s="30">
        <f t="shared" si="54"/>
        <v>1416.5259274120499</v>
      </c>
      <c r="J192" s="25">
        <v>0</v>
      </c>
      <c r="K192" s="25"/>
      <c r="L192" s="25">
        <f t="shared" si="72"/>
        <v>0</v>
      </c>
      <c r="M192" s="25">
        <f t="shared" si="52"/>
        <v>1416.5259274120499</v>
      </c>
      <c r="N192" s="26"/>
      <c r="O192" s="663">
        <v>0.93490804699999996</v>
      </c>
    </row>
    <row r="193" spans="1:15" ht="18.95" customHeight="1">
      <c r="A193" s="651"/>
      <c r="B193" s="654" t="s">
        <v>2106</v>
      </c>
      <c r="C193" s="661"/>
      <c r="D193" s="660"/>
      <c r="E193" s="533"/>
      <c r="F193" s="30"/>
      <c r="G193" s="30"/>
      <c r="H193" s="30"/>
      <c r="I193" s="30"/>
      <c r="J193" s="25"/>
      <c r="K193" s="25"/>
      <c r="L193" s="25"/>
      <c r="M193" s="25"/>
      <c r="N193" s="26"/>
      <c r="O193" s="663">
        <v>0.93490804699999996</v>
      </c>
    </row>
    <row r="194" spans="1:15" ht="18.95" customHeight="1">
      <c r="A194" s="651"/>
      <c r="B194" s="654" t="s">
        <v>273</v>
      </c>
      <c r="C194" s="661" t="s">
        <v>2100</v>
      </c>
      <c r="D194" s="660"/>
      <c r="E194" s="533">
        <v>1</v>
      </c>
      <c r="F194" s="30" t="s">
        <v>349</v>
      </c>
      <c r="G194" s="79">
        <f>ROUNDUP((14200+7070)*0.65,0)</f>
        <v>13826</v>
      </c>
      <c r="H194" s="30">
        <f t="shared" ref="H194:H196" si="73">G194*O194</f>
        <v>12926.038657821999</v>
      </c>
      <c r="I194" s="30">
        <f t="shared" si="54"/>
        <v>12926.038657821999</v>
      </c>
      <c r="J194" s="25">
        <v>500</v>
      </c>
      <c r="K194" s="25">
        <f t="shared" ref="K194" si="74">J194*O194</f>
        <v>467.45402350000001</v>
      </c>
      <c r="L194" s="25">
        <f t="shared" si="72"/>
        <v>467.45402350000001</v>
      </c>
      <c r="M194" s="25">
        <f t="shared" si="52"/>
        <v>13393.492681321999</v>
      </c>
      <c r="N194" s="26"/>
      <c r="O194" s="663">
        <v>0.93490804699999996</v>
      </c>
    </row>
    <row r="195" spans="1:15" ht="18.95" customHeight="1">
      <c r="A195" s="651"/>
      <c r="B195" s="654"/>
      <c r="C195" s="661" t="s">
        <v>2096</v>
      </c>
      <c r="D195" s="660"/>
      <c r="E195" s="533">
        <v>12</v>
      </c>
      <c r="F195" s="30" t="s">
        <v>349</v>
      </c>
      <c r="G195" s="30">
        <f>259*0.65</f>
        <v>168.35</v>
      </c>
      <c r="H195" s="30">
        <f t="shared" si="73"/>
        <v>157.39176971244999</v>
      </c>
      <c r="I195" s="30">
        <f t="shared" si="54"/>
        <v>1888.7012365493997</v>
      </c>
      <c r="J195" s="25">
        <v>0</v>
      </c>
      <c r="K195" s="25"/>
      <c r="L195" s="25">
        <f t="shared" si="72"/>
        <v>0</v>
      </c>
      <c r="M195" s="25">
        <f t="shared" si="52"/>
        <v>1888.7012365493997</v>
      </c>
      <c r="N195" s="26"/>
      <c r="O195" s="663">
        <v>0.93490804699999996</v>
      </c>
    </row>
    <row r="196" spans="1:15" ht="18.95" customHeight="1">
      <c r="A196" s="651"/>
      <c r="B196" s="654"/>
      <c r="C196" s="661" t="s">
        <v>2097</v>
      </c>
      <c r="D196" s="660"/>
      <c r="E196" s="533">
        <v>9</v>
      </c>
      <c r="F196" s="30" t="s">
        <v>349</v>
      </c>
      <c r="G196" s="30">
        <f>259*0.65</f>
        <v>168.35</v>
      </c>
      <c r="H196" s="30">
        <f t="shared" si="73"/>
        <v>157.39176971244999</v>
      </c>
      <c r="I196" s="30">
        <f t="shared" si="54"/>
        <v>1416.5259274120499</v>
      </c>
      <c r="J196" s="25">
        <v>0</v>
      </c>
      <c r="K196" s="25"/>
      <c r="L196" s="25">
        <f t="shared" si="72"/>
        <v>0</v>
      </c>
      <c r="M196" s="25">
        <f t="shared" si="52"/>
        <v>1416.5259274120499</v>
      </c>
      <c r="N196" s="26"/>
      <c r="O196" s="663">
        <v>0.93490804699999996</v>
      </c>
    </row>
    <row r="197" spans="1:15" ht="18.95" customHeight="1">
      <c r="A197" s="651"/>
      <c r="B197" s="654" t="s">
        <v>2107</v>
      </c>
      <c r="C197" s="661"/>
      <c r="D197" s="660"/>
      <c r="E197" s="533"/>
      <c r="F197" s="30"/>
      <c r="G197" s="30"/>
      <c r="H197" s="30"/>
      <c r="I197" s="30"/>
      <c r="J197" s="25"/>
      <c r="K197" s="25"/>
      <c r="L197" s="25"/>
      <c r="M197" s="25"/>
      <c r="N197" s="26"/>
      <c r="O197" s="663">
        <v>0.93490804699999996</v>
      </c>
    </row>
    <row r="198" spans="1:15" ht="18.95" customHeight="1">
      <c r="A198" s="651"/>
      <c r="B198" s="654" t="s">
        <v>273</v>
      </c>
      <c r="C198" s="661" t="s">
        <v>2108</v>
      </c>
      <c r="D198" s="660"/>
      <c r="E198" s="533">
        <v>1</v>
      </c>
      <c r="F198" s="30" t="s">
        <v>349</v>
      </c>
      <c r="G198" s="79">
        <f>ROUNDUP((17300+7070)*0.65,0)</f>
        <v>15841</v>
      </c>
      <c r="H198" s="30">
        <f t="shared" ref="H198:H201" si="75">G198*O198</f>
        <v>14809.878372526999</v>
      </c>
      <c r="I198" s="30">
        <f t="shared" si="54"/>
        <v>14809.878372526999</v>
      </c>
      <c r="J198" s="25">
        <v>500</v>
      </c>
      <c r="K198" s="25">
        <f t="shared" ref="K198" si="76">J198*O198</f>
        <v>467.45402350000001</v>
      </c>
      <c r="L198" s="25">
        <f t="shared" si="72"/>
        <v>467.45402350000001</v>
      </c>
      <c r="M198" s="25">
        <f t="shared" si="52"/>
        <v>15277.332396026999</v>
      </c>
      <c r="N198" s="26"/>
      <c r="O198" s="663">
        <v>0.93490804699999996</v>
      </c>
    </row>
    <row r="199" spans="1:15" ht="18.95" customHeight="1">
      <c r="A199" s="651"/>
      <c r="B199" s="654"/>
      <c r="C199" s="661" t="s">
        <v>2096</v>
      </c>
      <c r="D199" s="660"/>
      <c r="E199" s="533">
        <v>18</v>
      </c>
      <c r="F199" s="30" t="s">
        <v>349</v>
      </c>
      <c r="G199" s="30">
        <f>259*0.65</f>
        <v>168.35</v>
      </c>
      <c r="H199" s="30">
        <f t="shared" si="75"/>
        <v>157.39176971244999</v>
      </c>
      <c r="I199" s="30">
        <f t="shared" si="54"/>
        <v>2833.0518548240998</v>
      </c>
      <c r="J199" s="25">
        <v>0</v>
      </c>
      <c r="K199" s="25"/>
      <c r="L199" s="25">
        <f t="shared" si="62"/>
        <v>0</v>
      </c>
      <c r="M199" s="25">
        <f t="shared" si="52"/>
        <v>2833.0518548240998</v>
      </c>
      <c r="N199" s="26"/>
      <c r="O199" s="663">
        <v>0.93490804699999996</v>
      </c>
    </row>
    <row r="200" spans="1:15" ht="18.95" customHeight="1">
      <c r="A200" s="651"/>
      <c r="B200" s="654"/>
      <c r="C200" s="661" t="s">
        <v>2097</v>
      </c>
      <c r="D200" s="660"/>
      <c r="E200" s="533">
        <v>3</v>
      </c>
      <c r="F200" s="30" t="s">
        <v>349</v>
      </c>
      <c r="G200" s="30">
        <f>259*0.65</f>
        <v>168.35</v>
      </c>
      <c r="H200" s="30">
        <f t="shared" si="75"/>
        <v>157.39176971244999</v>
      </c>
      <c r="I200" s="30">
        <f t="shared" si="54"/>
        <v>472.17530913734993</v>
      </c>
      <c r="J200" s="25">
        <v>0</v>
      </c>
      <c r="K200" s="25"/>
      <c r="L200" s="25">
        <f t="shared" si="62"/>
        <v>0</v>
      </c>
      <c r="M200" s="25">
        <f t="shared" si="52"/>
        <v>472.17530913734993</v>
      </c>
      <c r="N200" s="26"/>
      <c r="O200" s="663">
        <v>0.93490804699999996</v>
      </c>
    </row>
    <row r="201" spans="1:15" ht="18.95" customHeight="1">
      <c r="A201" s="651"/>
      <c r="B201" s="654"/>
      <c r="C201" s="661" t="s">
        <v>2098</v>
      </c>
      <c r="D201" s="660"/>
      <c r="E201" s="533">
        <v>15</v>
      </c>
      <c r="F201" s="30" t="s">
        <v>349</v>
      </c>
      <c r="G201" s="30">
        <f>2640*0.65</f>
        <v>1716</v>
      </c>
      <c r="H201" s="30">
        <f t="shared" si="75"/>
        <v>1604.302208652</v>
      </c>
      <c r="I201" s="30">
        <f t="shared" si="54"/>
        <v>24064.53312978</v>
      </c>
      <c r="J201" s="25"/>
      <c r="K201" s="25"/>
      <c r="L201" s="25">
        <f t="shared" si="62"/>
        <v>0</v>
      </c>
      <c r="M201" s="25">
        <f t="shared" si="52"/>
        <v>24064.53312978</v>
      </c>
      <c r="N201" s="26"/>
      <c r="O201" s="663">
        <v>0.93490804699999996</v>
      </c>
    </row>
    <row r="202" spans="1:15" ht="18.95" customHeight="1">
      <c r="A202" s="651"/>
      <c r="B202" s="654" t="s">
        <v>2109</v>
      </c>
      <c r="C202" s="661"/>
      <c r="D202" s="660"/>
      <c r="E202" s="533"/>
      <c r="F202" s="30"/>
      <c r="G202" s="30"/>
      <c r="H202" s="30" t="s">
        <v>151</v>
      </c>
      <c r="I202" s="30"/>
      <c r="J202" s="25"/>
      <c r="K202" s="25"/>
      <c r="L202" s="25"/>
      <c r="M202" s="25"/>
      <c r="N202" s="26"/>
      <c r="O202" s="663">
        <v>0.93490804699999996</v>
      </c>
    </row>
    <row r="203" spans="1:15" ht="18.95" customHeight="1">
      <c r="A203" s="651"/>
      <c r="B203" s="654" t="s">
        <v>273</v>
      </c>
      <c r="C203" s="661" t="s">
        <v>2110</v>
      </c>
      <c r="D203" s="660"/>
      <c r="E203" s="533">
        <v>1</v>
      </c>
      <c r="F203" s="30" t="s">
        <v>349</v>
      </c>
      <c r="G203" s="79">
        <f>ROUNDUP((17300+13300)*0.65,0)</f>
        <v>19890</v>
      </c>
      <c r="H203" s="30">
        <f t="shared" ref="H203:H207" si="77">G203*O203</f>
        <v>18595.321054829998</v>
      </c>
      <c r="I203" s="30">
        <f t="shared" si="54"/>
        <v>18595.321054829998</v>
      </c>
      <c r="J203" s="25">
        <v>500</v>
      </c>
      <c r="K203" s="25">
        <f t="shared" ref="K203" si="78">J203*O203</f>
        <v>467.45402350000001</v>
      </c>
      <c r="L203" s="25">
        <f t="shared" ref="L203:L212" si="79">E203*K203</f>
        <v>467.45402350000001</v>
      </c>
      <c r="M203" s="25">
        <f t="shared" si="52"/>
        <v>19062.775078329996</v>
      </c>
      <c r="N203" s="26"/>
      <c r="O203" s="663">
        <v>0.93490804699999996</v>
      </c>
    </row>
    <row r="204" spans="1:15" ht="18.95" customHeight="1">
      <c r="A204" s="651"/>
      <c r="B204" s="654"/>
      <c r="C204" s="661" t="s">
        <v>2096</v>
      </c>
      <c r="D204" s="660"/>
      <c r="E204" s="533">
        <v>18</v>
      </c>
      <c r="F204" s="30" t="s">
        <v>349</v>
      </c>
      <c r="G204" s="30">
        <f>259*0.65</f>
        <v>168.35</v>
      </c>
      <c r="H204" s="30">
        <f t="shared" si="77"/>
        <v>157.39176971244999</v>
      </c>
      <c r="I204" s="30">
        <f t="shared" si="54"/>
        <v>2833.0518548240998</v>
      </c>
      <c r="J204" s="25">
        <v>0</v>
      </c>
      <c r="K204" s="25"/>
      <c r="L204" s="25">
        <f t="shared" si="79"/>
        <v>0</v>
      </c>
      <c r="M204" s="25">
        <f t="shared" si="52"/>
        <v>2833.0518548240998</v>
      </c>
      <c r="N204" s="26"/>
      <c r="O204" s="663">
        <v>0.93490804699999996</v>
      </c>
    </row>
    <row r="205" spans="1:15" ht="18.95" customHeight="1">
      <c r="A205" s="651"/>
      <c r="B205" s="654"/>
      <c r="C205" s="661" t="s">
        <v>2097</v>
      </c>
      <c r="D205" s="660"/>
      <c r="E205" s="533">
        <v>3</v>
      </c>
      <c r="F205" s="30" t="s">
        <v>349</v>
      </c>
      <c r="G205" s="30">
        <f>259*0.65</f>
        <v>168.35</v>
      </c>
      <c r="H205" s="30">
        <f t="shared" si="77"/>
        <v>157.39176971244999</v>
      </c>
      <c r="I205" s="30">
        <f t="shared" si="54"/>
        <v>472.17530913734993</v>
      </c>
      <c r="J205" s="25">
        <v>0</v>
      </c>
      <c r="K205" s="25"/>
      <c r="L205" s="25">
        <f t="shared" si="79"/>
        <v>0</v>
      </c>
      <c r="M205" s="25">
        <f t="shared" si="52"/>
        <v>472.17530913734993</v>
      </c>
      <c r="N205" s="26"/>
      <c r="O205" s="663">
        <v>0.93490804699999996</v>
      </c>
    </row>
    <row r="206" spans="1:15" ht="18.95" customHeight="1">
      <c r="A206" s="651"/>
      <c r="B206" s="654"/>
      <c r="C206" s="661" t="s">
        <v>2098</v>
      </c>
      <c r="D206" s="660"/>
      <c r="E206" s="533">
        <v>7</v>
      </c>
      <c r="F206" s="30" t="s">
        <v>349</v>
      </c>
      <c r="G206" s="30">
        <f>2640*0.65</f>
        <v>1716</v>
      </c>
      <c r="H206" s="30">
        <f t="shared" si="77"/>
        <v>1604.302208652</v>
      </c>
      <c r="I206" s="30">
        <f t="shared" si="54"/>
        <v>11230.115460564</v>
      </c>
      <c r="J206" s="25">
        <v>0</v>
      </c>
      <c r="K206" s="25"/>
      <c r="L206" s="25">
        <f t="shared" si="79"/>
        <v>0</v>
      </c>
      <c r="M206" s="25">
        <f t="shared" si="52"/>
        <v>11230.115460564</v>
      </c>
      <c r="N206" s="26"/>
      <c r="O206" s="663">
        <v>0.93490804699999996</v>
      </c>
    </row>
    <row r="207" spans="1:15" ht="18.95" customHeight="1">
      <c r="A207" s="651"/>
      <c r="B207" s="654"/>
      <c r="C207" s="661" t="s">
        <v>2111</v>
      </c>
      <c r="D207" s="660"/>
      <c r="E207" s="533">
        <v>10</v>
      </c>
      <c r="F207" s="30" t="s">
        <v>349</v>
      </c>
      <c r="G207" s="30">
        <f>2640*0.65</f>
        <v>1716</v>
      </c>
      <c r="H207" s="30">
        <f t="shared" si="77"/>
        <v>1604.302208652</v>
      </c>
      <c r="I207" s="30">
        <f t="shared" si="54"/>
        <v>16043.022086519999</v>
      </c>
      <c r="J207" s="25">
        <v>0</v>
      </c>
      <c r="K207" s="25"/>
      <c r="L207" s="25">
        <f t="shared" si="79"/>
        <v>0</v>
      </c>
      <c r="M207" s="25">
        <f t="shared" si="52"/>
        <v>16043.022086519999</v>
      </c>
      <c r="N207" s="26"/>
      <c r="O207" s="663">
        <v>0.93490804699999996</v>
      </c>
    </row>
    <row r="208" spans="1:15" ht="18.95" customHeight="1">
      <c r="A208" s="651"/>
      <c r="B208" s="654" t="s">
        <v>2112</v>
      </c>
      <c r="C208" s="661"/>
      <c r="D208" s="660"/>
      <c r="E208" s="533"/>
      <c r="F208" s="30"/>
      <c r="G208" s="30"/>
      <c r="H208" s="30"/>
      <c r="I208" s="30"/>
      <c r="J208" s="25"/>
      <c r="K208" s="25"/>
      <c r="L208" s="25"/>
      <c r="M208" s="25"/>
      <c r="N208" s="26"/>
      <c r="O208" s="663">
        <v>0.93490804699999996</v>
      </c>
    </row>
    <row r="209" spans="1:15" ht="18.95" customHeight="1">
      <c r="A209" s="651"/>
      <c r="B209" s="654" t="s">
        <v>273</v>
      </c>
      <c r="C209" s="661" t="s">
        <v>2113</v>
      </c>
      <c r="D209" s="660"/>
      <c r="E209" s="533">
        <v>1</v>
      </c>
      <c r="F209" s="30" t="s">
        <v>349</v>
      </c>
      <c r="G209" s="79">
        <f>ROUNDUP((17300+7310)*0.65,0)</f>
        <v>15997</v>
      </c>
      <c r="H209" s="30">
        <f t="shared" ref="H209:H212" si="80">G209*O209</f>
        <v>14955.724027859</v>
      </c>
      <c r="I209" s="30">
        <f t="shared" si="54"/>
        <v>14955.724027859</v>
      </c>
      <c r="J209" s="25">
        <v>500</v>
      </c>
      <c r="K209" s="25">
        <f t="shared" ref="K209" si="81">J209*O209</f>
        <v>467.45402350000001</v>
      </c>
      <c r="L209" s="25">
        <f t="shared" si="79"/>
        <v>467.45402350000001</v>
      </c>
      <c r="M209" s="25">
        <f t="shared" si="52"/>
        <v>15423.178051359</v>
      </c>
      <c r="N209" s="26"/>
      <c r="O209" s="663">
        <v>0.93490804699999996</v>
      </c>
    </row>
    <row r="210" spans="1:15" ht="28.5" customHeight="1">
      <c r="A210" s="651"/>
      <c r="B210" s="654"/>
      <c r="C210" s="661" t="s">
        <v>2096</v>
      </c>
      <c r="D210" s="660"/>
      <c r="E210" s="533">
        <v>21</v>
      </c>
      <c r="F210" s="30" t="s">
        <v>349</v>
      </c>
      <c r="G210" s="30">
        <f>259*0.65</f>
        <v>168.35</v>
      </c>
      <c r="H210" s="30">
        <f t="shared" si="80"/>
        <v>157.39176971244999</v>
      </c>
      <c r="I210" s="30">
        <f t="shared" si="54"/>
        <v>3305.2271639614496</v>
      </c>
      <c r="J210" s="25">
        <v>0</v>
      </c>
      <c r="K210" s="25"/>
      <c r="L210" s="25">
        <f t="shared" si="79"/>
        <v>0</v>
      </c>
      <c r="M210" s="25">
        <f t="shared" ref="M210:M262" si="82">I210+L210</f>
        <v>3305.2271639614496</v>
      </c>
      <c r="N210" s="26"/>
      <c r="O210" s="663">
        <v>0.93490804699999996</v>
      </c>
    </row>
    <row r="211" spans="1:15" ht="18.95" customHeight="1">
      <c r="A211" s="651"/>
      <c r="B211" s="654"/>
      <c r="C211" s="661" t="s">
        <v>2097</v>
      </c>
      <c r="D211" s="660"/>
      <c r="E211" s="533">
        <v>3</v>
      </c>
      <c r="F211" s="30" t="s">
        <v>349</v>
      </c>
      <c r="G211" s="30">
        <f>259*0.65</f>
        <v>168.35</v>
      </c>
      <c r="H211" s="30">
        <f t="shared" si="80"/>
        <v>157.39176971244999</v>
      </c>
      <c r="I211" s="30">
        <f t="shared" si="54"/>
        <v>472.17530913734993</v>
      </c>
      <c r="J211" s="25">
        <v>0</v>
      </c>
      <c r="K211" s="25"/>
      <c r="L211" s="25">
        <f t="shared" si="79"/>
        <v>0</v>
      </c>
      <c r="M211" s="25">
        <f t="shared" si="82"/>
        <v>472.17530913734993</v>
      </c>
      <c r="N211" s="26"/>
      <c r="O211" s="663">
        <v>0.93490804699999996</v>
      </c>
    </row>
    <row r="212" spans="1:15" ht="18.95" customHeight="1">
      <c r="A212" s="651"/>
      <c r="B212" s="654"/>
      <c r="C212" s="661" t="s">
        <v>2098</v>
      </c>
      <c r="D212" s="660"/>
      <c r="E212" s="533">
        <v>15</v>
      </c>
      <c r="F212" s="30" t="s">
        <v>349</v>
      </c>
      <c r="G212" s="30">
        <f>2640*0.65</f>
        <v>1716</v>
      </c>
      <c r="H212" s="30">
        <f t="shared" si="80"/>
        <v>1604.302208652</v>
      </c>
      <c r="I212" s="30">
        <f t="shared" si="54"/>
        <v>24064.53312978</v>
      </c>
      <c r="J212" s="25">
        <v>0</v>
      </c>
      <c r="K212" s="25"/>
      <c r="L212" s="25">
        <f t="shared" si="79"/>
        <v>0</v>
      </c>
      <c r="M212" s="25">
        <f t="shared" si="82"/>
        <v>24064.53312978</v>
      </c>
      <c r="N212" s="26"/>
      <c r="O212" s="663">
        <v>0.93490804699999996</v>
      </c>
    </row>
    <row r="213" spans="1:15" ht="18.95" customHeight="1">
      <c r="A213" s="651"/>
      <c r="B213" s="654" t="s">
        <v>2114</v>
      </c>
      <c r="C213" s="661"/>
      <c r="D213" s="660"/>
      <c r="E213" s="533"/>
      <c r="F213" s="30"/>
      <c r="G213" s="30"/>
      <c r="H213" s="30"/>
      <c r="I213" s="30"/>
      <c r="J213" s="25"/>
      <c r="K213" s="25"/>
      <c r="L213" s="25"/>
      <c r="M213" s="25"/>
      <c r="N213" s="26"/>
      <c r="O213" s="663">
        <v>0.93490804699999996</v>
      </c>
    </row>
    <row r="214" spans="1:15" ht="18.95" customHeight="1">
      <c r="A214" s="651"/>
      <c r="B214" s="654" t="s">
        <v>273</v>
      </c>
      <c r="C214" s="661" t="s">
        <v>2113</v>
      </c>
      <c r="D214" s="660"/>
      <c r="E214" s="533">
        <v>1</v>
      </c>
      <c r="F214" s="30" t="s">
        <v>349</v>
      </c>
      <c r="G214" s="79">
        <f>ROUNDUP((17300+7310)*0.65,0)</f>
        <v>15997</v>
      </c>
      <c r="H214" s="30">
        <f t="shared" ref="H214:H217" si="83">G214*O214</f>
        <v>14955.724027859</v>
      </c>
      <c r="I214" s="30">
        <f t="shared" ref="I214:I266" si="84">E214*H214</f>
        <v>14955.724027859</v>
      </c>
      <c r="J214" s="25">
        <v>500</v>
      </c>
      <c r="K214" s="25">
        <f t="shared" ref="K214" si="85">J214*O214</f>
        <v>467.45402350000001</v>
      </c>
      <c r="L214" s="25">
        <f t="shared" ref="L214:L223" si="86">E214*K214</f>
        <v>467.45402350000001</v>
      </c>
      <c r="M214" s="25">
        <f t="shared" si="82"/>
        <v>15423.178051359</v>
      </c>
      <c r="N214" s="26"/>
      <c r="O214" s="663">
        <v>0.93490804699999996</v>
      </c>
    </row>
    <row r="215" spans="1:15" ht="18.95" customHeight="1">
      <c r="A215" s="651"/>
      <c r="B215" s="654"/>
      <c r="C215" s="661" t="s">
        <v>2096</v>
      </c>
      <c r="D215" s="660"/>
      <c r="E215" s="533">
        <v>18</v>
      </c>
      <c r="F215" s="30" t="s">
        <v>349</v>
      </c>
      <c r="G215" s="30">
        <f>259*0.65</f>
        <v>168.35</v>
      </c>
      <c r="H215" s="30">
        <f t="shared" si="83"/>
        <v>157.39176971244999</v>
      </c>
      <c r="I215" s="30">
        <f t="shared" si="84"/>
        <v>2833.0518548240998</v>
      </c>
      <c r="J215" s="25">
        <v>0</v>
      </c>
      <c r="K215" s="25"/>
      <c r="L215" s="25">
        <f t="shared" si="86"/>
        <v>0</v>
      </c>
      <c r="M215" s="25">
        <f t="shared" si="82"/>
        <v>2833.0518548240998</v>
      </c>
      <c r="N215" s="26"/>
      <c r="O215" s="663">
        <v>0.93490804699999996</v>
      </c>
    </row>
    <row r="216" spans="1:15" ht="18.95" customHeight="1">
      <c r="A216" s="651"/>
      <c r="B216" s="654"/>
      <c r="C216" s="661" t="s">
        <v>2097</v>
      </c>
      <c r="D216" s="660"/>
      <c r="E216" s="533">
        <v>11</v>
      </c>
      <c r="F216" s="30" t="s">
        <v>349</v>
      </c>
      <c r="G216" s="30">
        <f>259*0.65</f>
        <v>168.35</v>
      </c>
      <c r="H216" s="30">
        <f t="shared" si="83"/>
        <v>157.39176971244999</v>
      </c>
      <c r="I216" s="30">
        <f t="shared" si="84"/>
        <v>1731.3094668369499</v>
      </c>
      <c r="J216" s="25">
        <v>0</v>
      </c>
      <c r="K216" s="25"/>
      <c r="L216" s="25">
        <f t="shared" si="86"/>
        <v>0</v>
      </c>
      <c r="M216" s="25">
        <f t="shared" si="82"/>
        <v>1731.3094668369499</v>
      </c>
      <c r="N216" s="26"/>
      <c r="O216" s="663">
        <v>0.93490804699999996</v>
      </c>
    </row>
    <row r="217" spans="1:15" ht="18.95" customHeight="1">
      <c r="A217" s="651"/>
      <c r="B217" s="654"/>
      <c r="C217" s="661" t="s">
        <v>2098</v>
      </c>
      <c r="D217" s="660"/>
      <c r="E217" s="533">
        <v>7</v>
      </c>
      <c r="F217" s="30" t="s">
        <v>349</v>
      </c>
      <c r="G217" s="30">
        <f>2640*0.65</f>
        <v>1716</v>
      </c>
      <c r="H217" s="30">
        <f t="shared" si="83"/>
        <v>1604.302208652</v>
      </c>
      <c r="I217" s="30">
        <f t="shared" si="84"/>
        <v>11230.115460564</v>
      </c>
      <c r="J217" s="25">
        <v>0</v>
      </c>
      <c r="K217" s="25"/>
      <c r="L217" s="25">
        <f t="shared" si="86"/>
        <v>0</v>
      </c>
      <c r="M217" s="25">
        <f t="shared" si="82"/>
        <v>11230.115460564</v>
      </c>
      <c r="N217" s="26"/>
      <c r="O217" s="663">
        <v>0.93490804699999996</v>
      </c>
    </row>
    <row r="218" spans="1:15" ht="18.95" customHeight="1">
      <c r="A218" s="651"/>
      <c r="B218" s="654"/>
      <c r="C218" s="661"/>
      <c r="D218" s="660"/>
      <c r="E218" s="533"/>
      <c r="F218" s="30"/>
      <c r="G218" s="30"/>
      <c r="H218" s="30"/>
      <c r="I218" s="30"/>
      <c r="J218" s="25"/>
      <c r="K218" s="25"/>
      <c r="L218" s="25"/>
      <c r="M218" s="25"/>
      <c r="N218" s="26"/>
      <c r="O218" s="663">
        <v>0.93490804699999996</v>
      </c>
    </row>
    <row r="219" spans="1:15" ht="18.95" customHeight="1">
      <c r="A219" s="651"/>
      <c r="B219" s="654" t="s">
        <v>2115</v>
      </c>
      <c r="C219" s="661"/>
      <c r="D219" s="660"/>
      <c r="E219" s="533"/>
      <c r="F219" s="30"/>
      <c r="G219" s="30"/>
      <c r="H219" s="30"/>
      <c r="I219" s="30"/>
      <c r="J219" s="25"/>
      <c r="K219" s="25"/>
      <c r="L219" s="25"/>
      <c r="M219" s="25"/>
      <c r="N219" s="26"/>
      <c r="O219" s="663">
        <v>0.93490804699999996</v>
      </c>
    </row>
    <row r="220" spans="1:15" ht="18.95" customHeight="1">
      <c r="A220" s="651"/>
      <c r="B220" s="654" t="s">
        <v>273</v>
      </c>
      <c r="C220" s="661" t="s">
        <v>2108</v>
      </c>
      <c r="D220" s="660"/>
      <c r="E220" s="533">
        <v>1</v>
      </c>
      <c r="F220" s="30" t="s">
        <v>349</v>
      </c>
      <c r="G220" s="79">
        <f>ROUNDUP((17300+7070)*0.65,0)</f>
        <v>15841</v>
      </c>
      <c r="H220" s="30">
        <f t="shared" ref="H220:H223" si="87">G220*O220</f>
        <v>14809.878372526999</v>
      </c>
      <c r="I220" s="30">
        <f t="shared" si="84"/>
        <v>14809.878372526999</v>
      </c>
      <c r="J220" s="25">
        <v>500</v>
      </c>
      <c r="K220" s="25">
        <f t="shared" ref="K220" si="88">J220*O220</f>
        <v>467.45402350000001</v>
      </c>
      <c r="L220" s="25">
        <f t="shared" si="86"/>
        <v>467.45402350000001</v>
      </c>
      <c r="M220" s="25">
        <f t="shared" si="82"/>
        <v>15277.332396026999</v>
      </c>
      <c r="N220" s="26"/>
      <c r="O220" s="663">
        <v>0.93490804699999996</v>
      </c>
    </row>
    <row r="221" spans="1:15" ht="18.95" customHeight="1">
      <c r="A221" s="651"/>
      <c r="B221" s="654"/>
      <c r="C221" s="661" t="s">
        <v>2096</v>
      </c>
      <c r="D221" s="660"/>
      <c r="E221" s="533">
        <v>14</v>
      </c>
      <c r="F221" s="30" t="s">
        <v>349</v>
      </c>
      <c r="G221" s="30">
        <f>259*0.65</f>
        <v>168.35</v>
      </c>
      <c r="H221" s="30">
        <f t="shared" si="87"/>
        <v>157.39176971244999</v>
      </c>
      <c r="I221" s="30">
        <f t="shared" si="84"/>
        <v>2203.4847759742997</v>
      </c>
      <c r="J221" s="25">
        <v>0</v>
      </c>
      <c r="K221" s="25"/>
      <c r="L221" s="25">
        <f t="shared" si="86"/>
        <v>0</v>
      </c>
      <c r="M221" s="25">
        <f t="shared" si="82"/>
        <v>2203.4847759742997</v>
      </c>
      <c r="N221" s="26"/>
      <c r="O221" s="663">
        <v>0.93490804699999996</v>
      </c>
    </row>
    <row r="222" spans="1:15" ht="18.95" customHeight="1">
      <c r="A222" s="651"/>
      <c r="B222" s="654"/>
      <c r="C222" s="661" t="s">
        <v>2097</v>
      </c>
      <c r="D222" s="660"/>
      <c r="E222" s="533">
        <v>3</v>
      </c>
      <c r="F222" s="30" t="s">
        <v>349</v>
      </c>
      <c r="G222" s="30">
        <f>259*0.65</f>
        <v>168.35</v>
      </c>
      <c r="H222" s="30">
        <f t="shared" si="87"/>
        <v>157.39176971244999</v>
      </c>
      <c r="I222" s="30">
        <f t="shared" si="84"/>
        <v>472.17530913734993</v>
      </c>
      <c r="J222" s="25">
        <v>0</v>
      </c>
      <c r="K222" s="25"/>
      <c r="L222" s="25">
        <f t="shared" si="86"/>
        <v>0</v>
      </c>
      <c r="M222" s="25">
        <f t="shared" si="82"/>
        <v>472.17530913734993</v>
      </c>
      <c r="N222" s="26"/>
      <c r="O222" s="663">
        <v>0.93490804699999996</v>
      </c>
    </row>
    <row r="223" spans="1:15" ht="18.95" customHeight="1">
      <c r="A223" s="651"/>
      <c r="B223" s="654"/>
      <c r="C223" s="661" t="s">
        <v>2098</v>
      </c>
      <c r="D223" s="660"/>
      <c r="E223" s="533">
        <v>12</v>
      </c>
      <c r="F223" s="30" t="s">
        <v>349</v>
      </c>
      <c r="G223" s="30">
        <f>2640*0.65</f>
        <v>1716</v>
      </c>
      <c r="H223" s="30">
        <f t="shared" si="87"/>
        <v>1604.302208652</v>
      </c>
      <c r="I223" s="30">
        <f t="shared" si="84"/>
        <v>19251.626503824002</v>
      </c>
      <c r="J223" s="25">
        <v>0</v>
      </c>
      <c r="K223" s="25"/>
      <c r="L223" s="25">
        <f t="shared" si="86"/>
        <v>0</v>
      </c>
      <c r="M223" s="25">
        <f t="shared" si="82"/>
        <v>19251.626503824002</v>
      </c>
      <c r="N223" s="26"/>
      <c r="O223" s="663">
        <v>0.93490804699999996</v>
      </c>
    </row>
    <row r="224" spans="1:15" ht="18.95" customHeight="1">
      <c r="A224" s="651"/>
      <c r="B224" s="654" t="s">
        <v>2116</v>
      </c>
      <c r="C224" s="661"/>
      <c r="D224" s="660"/>
      <c r="E224" s="533"/>
      <c r="F224" s="30"/>
      <c r="G224" s="30"/>
      <c r="H224" s="30"/>
      <c r="I224" s="30"/>
      <c r="J224" s="25"/>
      <c r="K224" s="25"/>
      <c r="L224" s="25"/>
      <c r="M224" s="25"/>
      <c r="N224" s="26"/>
      <c r="O224" s="663">
        <v>0.93490804699999996</v>
      </c>
    </row>
    <row r="225" spans="1:15" ht="18.95" customHeight="1">
      <c r="A225" s="651"/>
      <c r="B225" s="654" t="s">
        <v>273</v>
      </c>
      <c r="C225" s="661" t="s">
        <v>2108</v>
      </c>
      <c r="D225" s="660"/>
      <c r="E225" s="533">
        <v>1</v>
      </c>
      <c r="F225" s="30" t="s">
        <v>349</v>
      </c>
      <c r="G225" s="79">
        <f>ROUNDUP((17300+7070)*0.65,0)</f>
        <v>15841</v>
      </c>
      <c r="H225" s="30">
        <f t="shared" ref="H225:H228" si="89">G225*O225</f>
        <v>14809.878372526999</v>
      </c>
      <c r="I225" s="30">
        <f t="shared" si="84"/>
        <v>14809.878372526999</v>
      </c>
      <c r="J225" s="25">
        <v>500</v>
      </c>
      <c r="K225" s="25">
        <f t="shared" ref="K225" si="90">J225*O225</f>
        <v>467.45402350000001</v>
      </c>
      <c r="L225" s="25">
        <f t="shared" ref="L225:L233" si="91">E225*K225</f>
        <v>467.45402350000001</v>
      </c>
      <c r="M225" s="25">
        <f t="shared" si="82"/>
        <v>15277.332396026999</v>
      </c>
      <c r="N225" s="26"/>
      <c r="O225" s="663">
        <v>0.93490804699999996</v>
      </c>
    </row>
    <row r="226" spans="1:15" ht="18.95" customHeight="1">
      <c r="A226" s="651"/>
      <c r="B226" s="654"/>
      <c r="C226" s="661" t="s">
        <v>2096</v>
      </c>
      <c r="D226" s="660"/>
      <c r="E226" s="533">
        <v>14</v>
      </c>
      <c r="F226" s="30" t="s">
        <v>349</v>
      </c>
      <c r="G226" s="30">
        <f>259*0.65</f>
        <v>168.35</v>
      </c>
      <c r="H226" s="30">
        <f t="shared" si="89"/>
        <v>157.39176971244999</v>
      </c>
      <c r="I226" s="30">
        <f t="shared" si="84"/>
        <v>2203.4847759742997</v>
      </c>
      <c r="J226" s="25">
        <v>0</v>
      </c>
      <c r="K226" s="25"/>
      <c r="L226" s="25">
        <f t="shared" si="91"/>
        <v>0</v>
      </c>
      <c r="M226" s="25">
        <f t="shared" si="82"/>
        <v>2203.4847759742997</v>
      </c>
      <c r="N226" s="26"/>
      <c r="O226" s="663">
        <v>0.93490804699999996</v>
      </c>
    </row>
    <row r="227" spans="1:15" ht="18.95" customHeight="1">
      <c r="A227" s="651"/>
      <c r="B227" s="654"/>
      <c r="C227" s="661" t="s">
        <v>2097</v>
      </c>
      <c r="D227" s="660"/>
      <c r="E227" s="533">
        <v>3</v>
      </c>
      <c r="F227" s="30" t="s">
        <v>349</v>
      </c>
      <c r="G227" s="30">
        <f>259*0.65</f>
        <v>168.35</v>
      </c>
      <c r="H227" s="30">
        <f t="shared" si="89"/>
        <v>157.39176971244999</v>
      </c>
      <c r="I227" s="30">
        <f t="shared" si="84"/>
        <v>472.17530913734993</v>
      </c>
      <c r="J227" s="25">
        <v>0</v>
      </c>
      <c r="K227" s="25"/>
      <c r="L227" s="25">
        <f t="shared" si="91"/>
        <v>0</v>
      </c>
      <c r="M227" s="25">
        <f t="shared" si="82"/>
        <v>472.17530913734993</v>
      </c>
      <c r="N227" s="26"/>
      <c r="O227" s="663">
        <v>0.93490804699999996</v>
      </c>
    </row>
    <row r="228" spans="1:15" ht="18.95" customHeight="1">
      <c r="A228" s="651"/>
      <c r="B228" s="654"/>
      <c r="C228" s="661" t="s">
        <v>2098</v>
      </c>
      <c r="D228" s="660"/>
      <c r="E228" s="533">
        <v>12</v>
      </c>
      <c r="F228" s="30" t="s">
        <v>349</v>
      </c>
      <c r="G228" s="30">
        <f>2640*0.65</f>
        <v>1716</v>
      </c>
      <c r="H228" s="30">
        <f t="shared" si="89"/>
        <v>1604.302208652</v>
      </c>
      <c r="I228" s="30">
        <f t="shared" si="84"/>
        <v>19251.626503824002</v>
      </c>
      <c r="J228" s="25">
        <v>0</v>
      </c>
      <c r="K228" s="25"/>
      <c r="L228" s="25">
        <f t="shared" si="91"/>
        <v>0</v>
      </c>
      <c r="M228" s="25">
        <f t="shared" si="82"/>
        <v>19251.626503824002</v>
      </c>
      <c r="N228" s="26"/>
      <c r="O228" s="663">
        <v>0.93490804699999996</v>
      </c>
    </row>
    <row r="229" spans="1:15" ht="18.95" customHeight="1">
      <c r="A229" s="651"/>
      <c r="B229" s="654" t="s">
        <v>2117</v>
      </c>
      <c r="C229" s="661"/>
      <c r="D229" s="660"/>
      <c r="E229" s="533"/>
      <c r="F229" s="30"/>
      <c r="G229" s="30"/>
      <c r="H229" s="30"/>
      <c r="I229" s="30"/>
      <c r="J229" s="25"/>
      <c r="K229" s="25"/>
      <c r="L229" s="25"/>
      <c r="M229" s="25"/>
      <c r="N229" s="26"/>
      <c r="O229" s="663">
        <v>0.93490804699999996</v>
      </c>
    </row>
    <row r="230" spans="1:15" ht="18.95" customHeight="1">
      <c r="A230" s="651"/>
      <c r="B230" s="654" t="s">
        <v>273</v>
      </c>
      <c r="C230" s="661" t="s">
        <v>2108</v>
      </c>
      <c r="D230" s="660"/>
      <c r="E230" s="533">
        <v>1</v>
      </c>
      <c r="F230" s="30" t="s">
        <v>349</v>
      </c>
      <c r="G230" s="79">
        <f>ROUNDUP((17300+7070)*0.65,0)</f>
        <v>15841</v>
      </c>
      <c r="H230" s="30">
        <f t="shared" ref="H230:H233" si="92">G230*O230</f>
        <v>14809.878372526999</v>
      </c>
      <c r="I230" s="30">
        <f t="shared" si="84"/>
        <v>14809.878372526999</v>
      </c>
      <c r="J230" s="25">
        <v>500</v>
      </c>
      <c r="K230" s="25">
        <f t="shared" ref="K230" si="93">J230*O230</f>
        <v>467.45402350000001</v>
      </c>
      <c r="L230" s="25">
        <f t="shared" si="91"/>
        <v>467.45402350000001</v>
      </c>
      <c r="M230" s="25">
        <f t="shared" si="82"/>
        <v>15277.332396026999</v>
      </c>
      <c r="N230" s="26"/>
      <c r="O230" s="663">
        <v>0.93490804699999996</v>
      </c>
    </row>
    <row r="231" spans="1:15" ht="18.95" customHeight="1">
      <c r="A231" s="651"/>
      <c r="B231" s="654"/>
      <c r="C231" s="661" t="s">
        <v>2096</v>
      </c>
      <c r="D231" s="660"/>
      <c r="E231" s="533">
        <v>18</v>
      </c>
      <c r="F231" s="30" t="s">
        <v>349</v>
      </c>
      <c r="G231" s="30">
        <f>259*0.65</f>
        <v>168.35</v>
      </c>
      <c r="H231" s="30">
        <f t="shared" si="92"/>
        <v>157.39176971244999</v>
      </c>
      <c r="I231" s="30">
        <f t="shared" si="84"/>
        <v>2833.0518548240998</v>
      </c>
      <c r="J231" s="25">
        <v>0</v>
      </c>
      <c r="K231" s="25"/>
      <c r="L231" s="25">
        <f t="shared" si="91"/>
        <v>0</v>
      </c>
      <c r="M231" s="25">
        <f t="shared" si="82"/>
        <v>2833.0518548240998</v>
      </c>
      <c r="N231" s="26"/>
      <c r="O231" s="663">
        <v>0.93490804699999996</v>
      </c>
    </row>
    <row r="232" spans="1:15" ht="18.95" customHeight="1">
      <c r="A232" s="651"/>
      <c r="B232" s="654"/>
      <c r="C232" s="661" t="s">
        <v>2097</v>
      </c>
      <c r="D232" s="660"/>
      <c r="E232" s="533">
        <v>3</v>
      </c>
      <c r="F232" s="30" t="s">
        <v>349</v>
      </c>
      <c r="G232" s="30">
        <f>259*0.65</f>
        <v>168.35</v>
      </c>
      <c r="H232" s="30">
        <f t="shared" si="92"/>
        <v>157.39176971244999</v>
      </c>
      <c r="I232" s="30">
        <f t="shared" si="84"/>
        <v>472.17530913734993</v>
      </c>
      <c r="J232" s="25">
        <v>0</v>
      </c>
      <c r="K232" s="25"/>
      <c r="L232" s="25">
        <f t="shared" si="91"/>
        <v>0</v>
      </c>
      <c r="M232" s="25">
        <f t="shared" si="82"/>
        <v>472.17530913734993</v>
      </c>
      <c r="N232" s="26"/>
      <c r="O232" s="663">
        <v>0.93490804699999996</v>
      </c>
    </row>
    <row r="233" spans="1:15" ht="18.95" customHeight="1">
      <c r="A233" s="651"/>
      <c r="B233" s="654"/>
      <c r="C233" s="661" t="s">
        <v>2098</v>
      </c>
      <c r="D233" s="660"/>
      <c r="E233" s="533">
        <v>12</v>
      </c>
      <c r="F233" s="30" t="s">
        <v>349</v>
      </c>
      <c r="G233" s="30">
        <f>2640*0.65</f>
        <v>1716</v>
      </c>
      <c r="H233" s="30">
        <f t="shared" si="92"/>
        <v>1604.302208652</v>
      </c>
      <c r="I233" s="30">
        <f t="shared" si="84"/>
        <v>19251.626503824002</v>
      </c>
      <c r="J233" s="25">
        <v>0</v>
      </c>
      <c r="K233" s="25"/>
      <c r="L233" s="25">
        <f t="shared" si="91"/>
        <v>0</v>
      </c>
      <c r="M233" s="25">
        <f t="shared" si="82"/>
        <v>19251.626503824002</v>
      </c>
      <c r="N233" s="26"/>
      <c r="O233" s="663">
        <v>0.93490804699999996</v>
      </c>
    </row>
    <row r="234" spans="1:15" ht="18.95" customHeight="1">
      <c r="A234" s="651"/>
      <c r="B234" s="654" t="s">
        <v>2118</v>
      </c>
      <c r="C234" s="661"/>
      <c r="D234" s="660"/>
      <c r="E234" s="533"/>
      <c r="F234" s="30"/>
      <c r="G234" s="30"/>
      <c r="H234" s="30"/>
      <c r="I234" s="30"/>
      <c r="J234" s="25"/>
      <c r="K234" s="25"/>
      <c r="L234" s="25"/>
      <c r="M234" s="25"/>
      <c r="N234" s="26"/>
      <c r="O234" s="663">
        <v>0.93490804699999996</v>
      </c>
    </row>
    <row r="235" spans="1:15" ht="18.95" customHeight="1">
      <c r="A235" s="651"/>
      <c r="B235" s="654" t="s">
        <v>273</v>
      </c>
      <c r="C235" s="661" t="s">
        <v>2108</v>
      </c>
      <c r="D235" s="660"/>
      <c r="E235" s="533">
        <v>1</v>
      </c>
      <c r="F235" s="30" t="s">
        <v>349</v>
      </c>
      <c r="G235" s="79">
        <f>ROUNDUP((17300+7070)*0.65,0)</f>
        <v>15841</v>
      </c>
      <c r="H235" s="30">
        <f t="shared" ref="H235:H238" si="94">G235*O235</f>
        <v>14809.878372526999</v>
      </c>
      <c r="I235" s="30">
        <f t="shared" si="84"/>
        <v>14809.878372526999</v>
      </c>
      <c r="J235" s="25">
        <v>500</v>
      </c>
      <c r="K235" s="25">
        <f t="shared" ref="K235" si="95">J235*O235</f>
        <v>467.45402350000001</v>
      </c>
      <c r="L235" s="25">
        <f t="shared" ref="L235:L278" si="96">E235*K235</f>
        <v>467.45402350000001</v>
      </c>
      <c r="M235" s="25">
        <f t="shared" si="82"/>
        <v>15277.332396026999</v>
      </c>
      <c r="N235" s="26"/>
      <c r="O235" s="663">
        <v>0.93490804699999996</v>
      </c>
    </row>
    <row r="236" spans="1:15" ht="18.95" customHeight="1">
      <c r="A236" s="651"/>
      <c r="B236" s="654"/>
      <c r="C236" s="661" t="s">
        <v>2096</v>
      </c>
      <c r="D236" s="660"/>
      <c r="E236" s="533">
        <v>15</v>
      </c>
      <c r="F236" s="30" t="s">
        <v>349</v>
      </c>
      <c r="G236" s="30">
        <f>259*0.65</f>
        <v>168.35</v>
      </c>
      <c r="H236" s="30">
        <f t="shared" si="94"/>
        <v>157.39176971244999</v>
      </c>
      <c r="I236" s="30">
        <f t="shared" si="84"/>
        <v>2360.87654568675</v>
      </c>
      <c r="J236" s="25">
        <v>0</v>
      </c>
      <c r="K236" s="25"/>
      <c r="L236" s="25">
        <f t="shared" si="96"/>
        <v>0</v>
      </c>
      <c r="M236" s="25">
        <f t="shared" si="82"/>
        <v>2360.87654568675</v>
      </c>
      <c r="N236" s="26"/>
      <c r="O236" s="663">
        <v>0.93490804699999996</v>
      </c>
    </row>
    <row r="237" spans="1:15" ht="18.95" customHeight="1">
      <c r="A237" s="651"/>
      <c r="B237" s="654"/>
      <c r="C237" s="661" t="s">
        <v>2097</v>
      </c>
      <c r="D237" s="660"/>
      <c r="E237" s="533">
        <v>3</v>
      </c>
      <c r="F237" s="30" t="s">
        <v>349</v>
      </c>
      <c r="G237" s="30">
        <f>259*0.65</f>
        <v>168.35</v>
      </c>
      <c r="H237" s="30">
        <f t="shared" si="94"/>
        <v>157.39176971244999</v>
      </c>
      <c r="I237" s="30">
        <f t="shared" si="84"/>
        <v>472.17530913734993</v>
      </c>
      <c r="J237" s="25">
        <v>0</v>
      </c>
      <c r="K237" s="25"/>
      <c r="L237" s="25">
        <f t="shared" si="96"/>
        <v>0</v>
      </c>
      <c r="M237" s="25">
        <f t="shared" si="82"/>
        <v>472.17530913734993</v>
      </c>
      <c r="N237" s="26"/>
      <c r="O237" s="663">
        <v>0.93490804699999996</v>
      </c>
    </row>
    <row r="238" spans="1:15" ht="18.95" customHeight="1">
      <c r="A238" s="651"/>
      <c r="B238" s="654"/>
      <c r="C238" s="661" t="s">
        <v>2098</v>
      </c>
      <c r="D238" s="660"/>
      <c r="E238" s="533">
        <v>12</v>
      </c>
      <c r="F238" s="30" t="s">
        <v>349</v>
      </c>
      <c r="G238" s="30">
        <f>2640*0.65</f>
        <v>1716</v>
      </c>
      <c r="H238" s="30">
        <f t="shared" si="94"/>
        <v>1604.302208652</v>
      </c>
      <c r="I238" s="30">
        <f t="shared" si="84"/>
        <v>19251.626503824002</v>
      </c>
      <c r="J238" s="25">
        <v>0</v>
      </c>
      <c r="K238" s="25"/>
      <c r="L238" s="25">
        <f t="shared" si="96"/>
        <v>0</v>
      </c>
      <c r="M238" s="25">
        <f t="shared" si="82"/>
        <v>19251.626503824002</v>
      </c>
      <c r="N238" s="26"/>
      <c r="O238" s="663">
        <v>0.93490804699999996</v>
      </c>
    </row>
    <row r="239" spans="1:15" ht="18.95" customHeight="1">
      <c r="A239" s="651"/>
      <c r="B239" s="654" t="s">
        <v>2119</v>
      </c>
      <c r="C239" s="661"/>
      <c r="D239" s="660"/>
      <c r="E239" s="533"/>
      <c r="F239" s="30"/>
      <c r="G239" s="30"/>
      <c r="H239" s="30"/>
      <c r="I239" s="30"/>
      <c r="J239" s="25"/>
      <c r="K239" s="25"/>
      <c r="L239" s="25"/>
      <c r="M239" s="25"/>
      <c r="N239" s="26"/>
      <c r="O239" s="663">
        <v>0.93490804699999996</v>
      </c>
    </row>
    <row r="240" spans="1:15" ht="18.95" customHeight="1">
      <c r="A240" s="651"/>
      <c r="B240" s="654" t="s">
        <v>273</v>
      </c>
      <c r="C240" s="661" t="s">
        <v>2108</v>
      </c>
      <c r="D240" s="660"/>
      <c r="E240" s="533">
        <v>1</v>
      </c>
      <c r="F240" s="30" t="s">
        <v>349</v>
      </c>
      <c r="G240" s="79">
        <f>ROUNDUP((17300+7070)*0.65,0)</f>
        <v>15841</v>
      </c>
      <c r="H240" s="30">
        <f t="shared" ref="H240:H241" si="97">G240*O240</f>
        <v>14809.878372526999</v>
      </c>
      <c r="I240" s="30">
        <f t="shared" si="84"/>
        <v>14809.878372526999</v>
      </c>
      <c r="J240" s="25">
        <v>500</v>
      </c>
      <c r="K240" s="25">
        <f t="shared" ref="K240" si="98">J240*O240</f>
        <v>467.45402350000001</v>
      </c>
      <c r="L240" s="25">
        <f t="shared" si="96"/>
        <v>467.45402350000001</v>
      </c>
      <c r="M240" s="25">
        <f t="shared" si="82"/>
        <v>15277.332396026999</v>
      </c>
      <c r="N240" s="26"/>
      <c r="O240" s="663">
        <v>0.93490804699999996</v>
      </c>
    </row>
    <row r="241" spans="1:15" ht="18.95" customHeight="1">
      <c r="A241" s="651"/>
      <c r="B241" s="654"/>
      <c r="C241" s="661" t="s">
        <v>2096</v>
      </c>
      <c r="D241" s="660"/>
      <c r="E241" s="533">
        <v>39</v>
      </c>
      <c r="F241" s="30" t="s">
        <v>349</v>
      </c>
      <c r="G241" s="30">
        <f>259*0.65</f>
        <v>168.35</v>
      </c>
      <c r="H241" s="30">
        <f t="shared" si="97"/>
        <v>157.39176971244999</v>
      </c>
      <c r="I241" s="30">
        <f t="shared" si="84"/>
        <v>6138.2790187855499</v>
      </c>
      <c r="J241" s="25">
        <v>0</v>
      </c>
      <c r="K241" s="25"/>
      <c r="L241" s="25">
        <f t="shared" si="96"/>
        <v>0</v>
      </c>
      <c r="M241" s="25">
        <f t="shared" si="82"/>
        <v>6138.2790187855499</v>
      </c>
      <c r="N241" s="26"/>
      <c r="O241" s="663">
        <v>0.93490804699999996</v>
      </c>
    </row>
    <row r="242" spans="1:15" ht="18.95" customHeight="1">
      <c r="A242" s="651"/>
      <c r="B242" s="654" t="s">
        <v>2120</v>
      </c>
      <c r="C242" s="661"/>
      <c r="D242" s="660"/>
      <c r="E242" s="533"/>
      <c r="F242" s="30"/>
      <c r="G242" s="30"/>
      <c r="H242" s="30"/>
      <c r="I242" s="30"/>
      <c r="J242" s="25"/>
      <c r="K242" s="25"/>
      <c r="L242" s="25"/>
      <c r="M242" s="25"/>
      <c r="N242" s="26"/>
      <c r="O242" s="663">
        <v>0.93490804699999996</v>
      </c>
    </row>
    <row r="243" spans="1:15" ht="18.95" customHeight="1">
      <c r="A243" s="651"/>
      <c r="B243" s="654" t="s">
        <v>273</v>
      </c>
      <c r="C243" s="661" t="s">
        <v>2108</v>
      </c>
      <c r="D243" s="660"/>
      <c r="E243" s="533">
        <v>1</v>
      </c>
      <c r="F243" s="30" t="s">
        <v>349</v>
      </c>
      <c r="G243" s="30"/>
      <c r="H243" s="30"/>
      <c r="I243" s="30">
        <f t="shared" si="84"/>
        <v>0</v>
      </c>
      <c r="J243" s="25">
        <v>500</v>
      </c>
      <c r="K243" s="25">
        <f t="shared" ref="K243" si="99">J243*O243</f>
        <v>467.45402350000001</v>
      </c>
      <c r="L243" s="25">
        <f t="shared" si="96"/>
        <v>467.45402350000001</v>
      </c>
      <c r="M243" s="25">
        <f t="shared" si="82"/>
        <v>467.45402350000001</v>
      </c>
      <c r="N243" s="26"/>
      <c r="O243" s="663">
        <v>0.93490804699999996</v>
      </c>
    </row>
    <row r="244" spans="1:15" ht="18.95" customHeight="1">
      <c r="A244" s="651"/>
      <c r="B244" s="654"/>
      <c r="C244" s="661" t="s">
        <v>2096</v>
      </c>
      <c r="D244" s="660"/>
      <c r="E244" s="533">
        <v>15</v>
      </c>
      <c r="F244" s="30" t="s">
        <v>349</v>
      </c>
      <c r="G244" s="30">
        <f t="shared" ref="G244:G245" si="100">259*0.65</f>
        <v>168.35</v>
      </c>
      <c r="H244" s="30">
        <f t="shared" ref="H244:H245" si="101">G244*O244</f>
        <v>157.39176971244999</v>
      </c>
      <c r="I244" s="30">
        <f t="shared" si="84"/>
        <v>2360.87654568675</v>
      </c>
      <c r="J244" s="25">
        <v>0</v>
      </c>
      <c r="K244" s="25"/>
      <c r="L244" s="25">
        <f t="shared" si="96"/>
        <v>0</v>
      </c>
      <c r="M244" s="25">
        <f t="shared" si="82"/>
        <v>2360.87654568675</v>
      </c>
      <c r="N244" s="26"/>
      <c r="O244" s="663">
        <v>0.93490804699999996</v>
      </c>
    </row>
    <row r="245" spans="1:15" ht="18.95" customHeight="1">
      <c r="A245" s="651"/>
      <c r="B245" s="654"/>
      <c r="C245" s="661" t="s">
        <v>2097</v>
      </c>
      <c r="D245" s="660"/>
      <c r="E245" s="533">
        <v>18</v>
      </c>
      <c r="F245" s="30" t="s">
        <v>349</v>
      </c>
      <c r="G245" s="30">
        <f t="shared" si="100"/>
        <v>168.35</v>
      </c>
      <c r="H245" s="30">
        <f t="shared" si="101"/>
        <v>157.39176971244999</v>
      </c>
      <c r="I245" s="30">
        <f t="shared" si="84"/>
        <v>2833.0518548240998</v>
      </c>
      <c r="J245" s="25">
        <v>0</v>
      </c>
      <c r="K245" s="25"/>
      <c r="L245" s="25">
        <f t="shared" si="96"/>
        <v>0</v>
      </c>
      <c r="M245" s="25">
        <f t="shared" si="82"/>
        <v>2833.0518548240998</v>
      </c>
      <c r="N245" s="26"/>
      <c r="O245" s="663">
        <v>0.93490804699999996</v>
      </c>
    </row>
    <row r="246" spans="1:15" ht="18.95" customHeight="1">
      <c r="A246" s="651"/>
      <c r="B246" s="654" t="s">
        <v>2121</v>
      </c>
      <c r="C246" s="661"/>
      <c r="D246" s="660"/>
      <c r="E246" s="533"/>
      <c r="F246" s="30"/>
      <c r="G246" s="30"/>
      <c r="H246" s="30"/>
      <c r="I246" s="30"/>
      <c r="J246" s="25"/>
      <c r="K246" s="25"/>
      <c r="L246" s="25"/>
      <c r="M246" s="25"/>
      <c r="N246" s="26"/>
      <c r="O246" s="663">
        <v>0.93490804699999996</v>
      </c>
    </row>
    <row r="247" spans="1:15" ht="18.95" customHeight="1">
      <c r="A247" s="651"/>
      <c r="B247" s="654" t="s">
        <v>273</v>
      </c>
      <c r="C247" s="661" t="s">
        <v>2108</v>
      </c>
      <c r="D247" s="660"/>
      <c r="E247" s="533">
        <v>1</v>
      </c>
      <c r="F247" s="30" t="s">
        <v>349</v>
      </c>
      <c r="G247" s="79">
        <f>ROUNDUP((17300+7070)*0.65,0)</f>
        <v>15841</v>
      </c>
      <c r="H247" s="30">
        <f t="shared" ref="H247:H249" si="102">G247*O247</f>
        <v>14809.878372526999</v>
      </c>
      <c r="I247" s="30">
        <f t="shared" si="84"/>
        <v>14809.878372526999</v>
      </c>
      <c r="J247" s="25">
        <v>500</v>
      </c>
      <c r="K247" s="25">
        <f t="shared" ref="K247" si="103">J247*O247</f>
        <v>467.45402350000001</v>
      </c>
      <c r="L247" s="25">
        <f t="shared" si="96"/>
        <v>467.45402350000001</v>
      </c>
      <c r="M247" s="25">
        <f t="shared" si="82"/>
        <v>15277.332396026999</v>
      </c>
      <c r="N247" s="26"/>
      <c r="O247" s="663">
        <v>0.93490804699999996</v>
      </c>
    </row>
    <row r="248" spans="1:15" ht="18.95" customHeight="1">
      <c r="A248" s="651"/>
      <c r="B248" s="654"/>
      <c r="C248" s="661" t="s">
        <v>2096</v>
      </c>
      <c r="D248" s="660"/>
      <c r="E248" s="533">
        <v>21</v>
      </c>
      <c r="F248" s="30" t="s">
        <v>349</v>
      </c>
      <c r="G248" s="30">
        <f t="shared" ref="G248:G249" si="104">259*0.65</f>
        <v>168.35</v>
      </c>
      <c r="H248" s="30">
        <f t="shared" si="102"/>
        <v>157.39176971244999</v>
      </c>
      <c r="I248" s="30">
        <f t="shared" si="84"/>
        <v>3305.2271639614496</v>
      </c>
      <c r="J248" s="25">
        <v>0</v>
      </c>
      <c r="K248" s="25"/>
      <c r="L248" s="25">
        <f t="shared" si="96"/>
        <v>0</v>
      </c>
      <c r="M248" s="25">
        <f t="shared" si="82"/>
        <v>3305.2271639614496</v>
      </c>
      <c r="N248" s="26"/>
      <c r="O248" s="663">
        <v>0.93490804699999996</v>
      </c>
    </row>
    <row r="249" spans="1:15" ht="18.95" customHeight="1">
      <c r="A249" s="651"/>
      <c r="B249" s="654"/>
      <c r="C249" s="661" t="s">
        <v>2097</v>
      </c>
      <c r="D249" s="660"/>
      <c r="E249" s="533">
        <v>18</v>
      </c>
      <c r="F249" s="30" t="s">
        <v>349</v>
      </c>
      <c r="G249" s="30">
        <f t="shared" si="104"/>
        <v>168.35</v>
      </c>
      <c r="H249" s="30">
        <f t="shared" si="102"/>
        <v>157.39176971244999</v>
      </c>
      <c r="I249" s="30">
        <f t="shared" si="84"/>
        <v>2833.0518548240998</v>
      </c>
      <c r="J249" s="25">
        <v>0</v>
      </c>
      <c r="K249" s="25"/>
      <c r="L249" s="25">
        <f t="shared" si="96"/>
        <v>0</v>
      </c>
      <c r="M249" s="25">
        <f t="shared" si="82"/>
        <v>2833.0518548240998</v>
      </c>
      <c r="N249" s="26"/>
      <c r="O249" s="663">
        <v>0.93490804699999996</v>
      </c>
    </row>
    <row r="250" spans="1:15" ht="18.95" customHeight="1">
      <c r="A250" s="651"/>
      <c r="B250" s="654"/>
      <c r="C250" s="661"/>
      <c r="D250" s="660"/>
      <c r="E250" s="533"/>
      <c r="F250" s="30"/>
      <c r="G250" s="30"/>
      <c r="H250" s="30"/>
      <c r="I250" s="30"/>
      <c r="J250" s="25"/>
      <c r="K250" s="25"/>
      <c r="L250" s="25"/>
      <c r="M250" s="25"/>
      <c r="N250" s="26"/>
      <c r="O250" s="663">
        <v>0.93490804699999996</v>
      </c>
    </row>
    <row r="251" spans="1:15" ht="18.95" customHeight="1">
      <c r="A251" s="651"/>
      <c r="B251" s="654" t="s">
        <v>2122</v>
      </c>
      <c r="C251" s="661"/>
      <c r="D251" s="660"/>
      <c r="E251" s="533"/>
      <c r="F251" s="30"/>
      <c r="G251" s="30"/>
      <c r="H251" s="30"/>
      <c r="I251" s="30"/>
      <c r="J251" s="25"/>
      <c r="K251" s="25"/>
      <c r="L251" s="25"/>
      <c r="M251" s="25"/>
      <c r="N251" s="26"/>
      <c r="O251" s="663">
        <v>0.93490804699999996</v>
      </c>
    </row>
    <row r="252" spans="1:15" ht="18.95" customHeight="1">
      <c r="A252" s="651"/>
      <c r="B252" s="654" t="s">
        <v>273</v>
      </c>
      <c r="C252" s="661" t="s">
        <v>2108</v>
      </c>
      <c r="D252" s="660"/>
      <c r="E252" s="533">
        <v>1</v>
      </c>
      <c r="F252" s="30" t="s">
        <v>349</v>
      </c>
      <c r="G252" s="79">
        <f>ROUNDUP((17300+7070)*0.65,0)</f>
        <v>15841</v>
      </c>
      <c r="H252" s="30">
        <f t="shared" ref="H252:H254" si="105">G252*O252</f>
        <v>14809.878372526999</v>
      </c>
      <c r="I252" s="30">
        <f t="shared" si="84"/>
        <v>14809.878372526999</v>
      </c>
      <c r="J252" s="25">
        <v>500</v>
      </c>
      <c r="K252" s="25">
        <f t="shared" ref="K252" si="106">J252*O252</f>
        <v>467.45402350000001</v>
      </c>
      <c r="L252" s="25">
        <f t="shared" si="96"/>
        <v>467.45402350000001</v>
      </c>
      <c r="M252" s="25">
        <f t="shared" si="82"/>
        <v>15277.332396026999</v>
      </c>
      <c r="N252" s="26"/>
      <c r="O252" s="663">
        <v>0.93490804699999996</v>
      </c>
    </row>
    <row r="253" spans="1:15" ht="18.95" customHeight="1">
      <c r="A253" s="651"/>
      <c r="B253" s="654"/>
      <c r="C253" s="661" t="s">
        <v>2096</v>
      </c>
      <c r="D253" s="660"/>
      <c r="E253" s="533">
        <v>15</v>
      </c>
      <c r="F253" s="30" t="s">
        <v>349</v>
      </c>
      <c r="G253" s="30">
        <f t="shared" ref="G253:G254" si="107">259*0.65</f>
        <v>168.35</v>
      </c>
      <c r="H253" s="30">
        <f t="shared" si="105"/>
        <v>157.39176971244999</v>
      </c>
      <c r="I253" s="30">
        <f t="shared" si="84"/>
        <v>2360.87654568675</v>
      </c>
      <c r="J253" s="25">
        <v>0</v>
      </c>
      <c r="K253" s="25"/>
      <c r="L253" s="25">
        <f t="shared" si="96"/>
        <v>0</v>
      </c>
      <c r="M253" s="25">
        <f t="shared" si="82"/>
        <v>2360.87654568675</v>
      </c>
      <c r="N253" s="26"/>
      <c r="O253" s="663">
        <v>0.93490804699999996</v>
      </c>
    </row>
    <row r="254" spans="1:15" ht="18.95" customHeight="1">
      <c r="A254" s="651"/>
      <c r="B254" s="654"/>
      <c r="C254" s="661" t="s">
        <v>2097</v>
      </c>
      <c r="D254" s="660"/>
      <c r="E254" s="533">
        <v>18</v>
      </c>
      <c r="F254" s="30" t="s">
        <v>349</v>
      </c>
      <c r="G254" s="30">
        <f t="shared" si="107"/>
        <v>168.35</v>
      </c>
      <c r="H254" s="30">
        <f t="shared" si="105"/>
        <v>157.39176971244999</v>
      </c>
      <c r="I254" s="30">
        <f t="shared" si="84"/>
        <v>2833.0518548240998</v>
      </c>
      <c r="J254" s="25">
        <v>0</v>
      </c>
      <c r="K254" s="25"/>
      <c r="L254" s="25">
        <f t="shared" si="96"/>
        <v>0</v>
      </c>
      <c r="M254" s="25">
        <f t="shared" si="82"/>
        <v>2833.0518548240998</v>
      </c>
      <c r="N254" s="26"/>
      <c r="O254" s="663">
        <v>0.93490804699999996</v>
      </c>
    </row>
    <row r="255" spans="1:15" ht="18.95" customHeight="1">
      <c r="A255" s="651"/>
      <c r="B255" s="654" t="s">
        <v>2123</v>
      </c>
      <c r="C255" s="661"/>
      <c r="D255" s="660"/>
      <c r="E255" s="533"/>
      <c r="F255" s="30"/>
      <c r="G255" s="30"/>
      <c r="H255" s="30"/>
      <c r="I255" s="30"/>
      <c r="J255" s="25"/>
      <c r="K255" s="25"/>
      <c r="L255" s="25"/>
      <c r="M255" s="25"/>
      <c r="N255" s="26"/>
      <c r="O255" s="663">
        <v>0.93490804699999996</v>
      </c>
    </row>
    <row r="256" spans="1:15" ht="18.95" customHeight="1">
      <c r="A256" s="651"/>
      <c r="B256" s="654" t="s">
        <v>273</v>
      </c>
      <c r="C256" s="661" t="s">
        <v>2108</v>
      </c>
      <c r="D256" s="660"/>
      <c r="E256" s="533">
        <v>1</v>
      </c>
      <c r="F256" s="30" t="s">
        <v>349</v>
      </c>
      <c r="G256" s="79">
        <f>ROUNDUP((17300+7070)*0.65,0)</f>
        <v>15841</v>
      </c>
      <c r="H256" s="30">
        <f t="shared" ref="H256:H258" si="108">G256*O256</f>
        <v>14809.878372526999</v>
      </c>
      <c r="I256" s="30">
        <f t="shared" si="84"/>
        <v>14809.878372526999</v>
      </c>
      <c r="J256" s="25">
        <v>500</v>
      </c>
      <c r="K256" s="25">
        <f t="shared" ref="K256" si="109">J256*O256</f>
        <v>467.45402350000001</v>
      </c>
      <c r="L256" s="25">
        <f t="shared" si="96"/>
        <v>467.45402350000001</v>
      </c>
      <c r="M256" s="25">
        <f t="shared" si="82"/>
        <v>15277.332396026999</v>
      </c>
      <c r="N256" s="26"/>
      <c r="O256" s="663">
        <v>0.93490804699999996</v>
      </c>
    </row>
    <row r="257" spans="1:15" ht="18.95" customHeight="1">
      <c r="A257" s="651"/>
      <c r="B257" s="654"/>
      <c r="C257" s="661" t="s">
        <v>2096</v>
      </c>
      <c r="D257" s="660"/>
      <c r="E257" s="533">
        <v>18</v>
      </c>
      <c r="F257" s="30" t="s">
        <v>349</v>
      </c>
      <c r="G257" s="30">
        <f t="shared" ref="G257:G258" si="110">259*0.65</f>
        <v>168.35</v>
      </c>
      <c r="H257" s="30">
        <f t="shared" si="108"/>
        <v>157.39176971244999</v>
      </c>
      <c r="I257" s="30">
        <f t="shared" si="84"/>
        <v>2833.0518548240998</v>
      </c>
      <c r="J257" s="25">
        <v>0</v>
      </c>
      <c r="K257" s="25"/>
      <c r="L257" s="25">
        <f t="shared" si="96"/>
        <v>0</v>
      </c>
      <c r="M257" s="25">
        <f t="shared" si="82"/>
        <v>2833.0518548240998</v>
      </c>
      <c r="N257" s="26"/>
      <c r="O257" s="663">
        <v>0.93490804699999996</v>
      </c>
    </row>
    <row r="258" spans="1:15" ht="18.95" customHeight="1">
      <c r="A258" s="651"/>
      <c r="B258" s="654"/>
      <c r="C258" s="661" t="s">
        <v>2097</v>
      </c>
      <c r="D258" s="660"/>
      <c r="E258" s="533">
        <v>15</v>
      </c>
      <c r="F258" s="30" t="s">
        <v>349</v>
      </c>
      <c r="G258" s="30">
        <f t="shared" si="110"/>
        <v>168.35</v>
      </c>
      <c r="H258" s="30">
        <f t="shared" si="108"/>
        <v>157.39176971244999</v>
      </c>
      <c r="I258" s="30">
        <f t="shared" si="84"/>
        <v>2360.87654568675</v>
      </c>
      <c r="J258" s="25">
        <v>0</v>
      </c>
      <c r="K258" s="25"/>
      <c r="L258" s="25">
        <f t="shared" si="96"/>
        <v>0</v>
      </c>
      <c r="M258" s="25">
        <f t="shared" si="82"/>
        <v>2360.87654568675</v>
      </c>
      <c r="N258" s="26"/>
      <c r="O258" s="663">
        <v>0.93490804699999996</v>
      </c>
    </row>
    <row r="259" spans="1:15" ht="18.95" customHeight="1">
      <c r="A259" s="651"/>
      <c r="B259" s="654" t="s">
        <v>2124</v>
      </c>
      <c r="C259" s="661"/>
      <c r="D259" s="660"/>
      <c r="E259" s="533"/>
      <c r="F259" s="30"/>
      <c r="G259" s="30"/>
      <c r="H259" s="30"/>
      <c r="I259" s="30"/>
      <c r="J259" s="25"/>
      <c r="K259" s="25"/>
      <c r="L259" s="25"/>
      <c r="M259" s="25"/>
      <c r="N259" s="26"/>
      <c r="O259" s="663">
        <v>0.93490804699999996</v>
      </c>
    </row>
    <row r="260" spans="1:15" ht="18.95" customHeight="1">
      <c r="A260" s="651"/>
      <c r="B260" s="654" t="s">
        <v>273</v>
      </c>
      <c r="C260" s="661" t="s">
        <v>2108</v>
      </c>
      <c r="D260" s="660"/>
      <c r="E260" s="533">
        <v>1</v>
      </c>
      <c r="F260" s="30" t="s">
        <v>349</v>
      </c>
      <c r="G260" s="79">
        <f>ROUNDUP((17300+7070)*0.65,0)</f>
        <v>15841</v>
      </c>
      <c r="H260" s="30">
        <f t="shared" ref="H260:H262" si="111">G260*O260</f>
        <v>14809.878372526999</v>
      </c>
      <c r="I260" s="30">
        <f t="shared" si="84"/>
        <v>14809.878372526999</v>
      </c>
      <c r="J260" s="25">
        <v>500</v>
      </c>
      <c r="K260" s="25">
        <f t="shared" ref="K260" si="112">J260*O260</f>
        <v>467.45402350000001</v>
      </c>
      <c r="L260" s="25">
        <f t="shared" si="96"/>
        <v>467.45402350000001</v>
      </c>
      <c r="M260" s="25">
        <f t="shared" si="82"/>
        <v>15277.332396026999</v>
      </c>
      <c r="N260" s="26"/>
      <c r="O260" s="663">
        <v>0.93490804699999996</v>
      </c>
    </row>
    <row r="261" spans="1:15" ht="18.95" customHeight="1">
      <c r="A261" s="651"/>
      <c r="B261" s="654"/>
      <c r="C261" s="661" t="s">
        <v>2096</v>
      </c>
      <c r="D261" s="660"/>
      <c r="E261" s="533">
        <v>18</v>
      </c>
      <c r="F261" s="30" t="s">
        <v>349</v>
      </c>
      <c r="G261" s="30">
        <f t="shared" ref="G261:G262" si="113">259*0.65</f>
        <v>168.35</v>
      </c>
      <c r="H261" s="30">
        <f t="shared" si="111"/>
        <v>157.39176971244999</v>
      </c>
      <c r="I261" s="30">
        <f t="shared" si="84"/>
        <v>2833.0518548240998</v>
      </c>
      <c r="J261" s="25">
        <v>0</v>
      </c>
      <c r="K261" s="25"/>
      <c r="L261" s="25">
        <f t="shared" si="96"/>
        <v>0</v>
      </c>
      <c r="M261" s="25">
        <f t="shared" si="82"/>
        <v>2833.0518548240998</v>
      </c>
      <c r="N261" s="26"/>
      <c r="O261" s="663">
        <v>0.93490804699999996</v>
      </c>
    </row>
    <row r="262" spans="1:15" ht="18.95" customHeight="1">
      <c r="A262" s="651"/>
      <c r="B262" s="654"/>
      <c r="C262" s="661" t="s">
        <v>2097</v>
      </c>
      <c r="D262" s="660"/>
      <c r="E262" s="533">
        <v>18</v>
      </c>
      <c r="F262" s="30" t="s">
        <v>349</v>
      </c>
      <c r="G262" s="30">
        <f t="shared" si="113"/>
        <v>168.35</v>
      </c>
      <c r="H262" s="30">
        <f t="shared" si="111"/>
        <v>157.39176971244999</v>
      </c>
      <c r="I262" s="30">
        <f t="shared" si="84"/>
        <v>2833.0518548240998</v>
      </c>
      <c r="J262" s="25">
        <v>0</v>
      </c>
      <c r="K262" s="25"/>
      <c r="L262" s="25">
        <f t="shared" si="96"/>
        <v>0</v>
      </c>
      <c r="M262" s="25">
        <f t="shared" si="82"/>
        <v>2833.0518548240998</v>
      </c>
      <c r="N262" s="26"/>
      <c r="O262" s="663">
        <v>0.93490804699999996</v>
      </c>
    </row>
    <row r="263" spans="1:15" ht="18.95" customHeight="1">
      <c r="A263" s="651"/>
      <c r="B263" s="654" t="s">
        <v>2125</v>
      </c>
      <c r="C263" s="661"/>
      <c r="D263" s="660"/>
      <c r="E263" s="533"/>
      <c r="F263" s="30"/>
      <c r="G263" s="30"/>
      <c r="H263" s="30"/>
      <c r="I263" s="30"/>
      <c r="J263" s="25"/>
      <c r="K263" s="25"/>
      <c r="L263" s="25"/>
      <c r="M263" s="25"/>
      <c r="N263" s="26"/>
      <c r="O263" s="663">
        <v>0.93490804699999996</v>
      </c>
    </row>
    <row r="264" spans="1:15" ht="18.95" customHeight="1">
      <c r="A264" s="651"/>
      <c r="B264" s="654" t="s">
        <v>273</v>
      </c>
      <c r="C264" s="661" t="s">
        <v>2108</v>
      </c>
      <c r="D264" s="660"/>
      <c r="E264" s="533">
        <v>1</v>
      </c>
      <c r="F264" s="30" t="s">
        <v>349</v>
      </c>
      <c r="G264" s="79">
        <f>ROUNDUP((17300+7070)*0.65,0)</f>
        <v>15841</v>
      </c>
      <c r="H264" s="30">
        <f t="shared" ref="H264:H266" si="114">G264*O264</f>
        <v>14809.878372526999</v>
      </c>
      <c r="I264" s="30">
        <f t="shared" si="84"/>
        <v>14809.878372526999</v>
      </c>
      <c r="J264" s="25">
        <v>500</v>
      </c>
      <c r="K264" s="25">
        <f t="shared" ref="K264" si="115">J264*O264</f>
        <v>467.45402350000001</v>
      </c>
      <c r="L264" s="25">
        <f t="shared" si="96"/>
        <v>467.45402350000001</v>
      </c>
      <c r="M264" s="25">
        <f t="shared" ref="M264:M270" si="116">I264+L264</f>
        <v>15277.332396026999</v>
      </c>
      <c r="N264" s="26"/>
      <c r="O264" s="663">
        <v>0.93490804699999996</v>
      </c>
    </row>
    <row r="265" spans="1:15" ht="18.95" customHeight="1">
      <c r="A265" s="651"/>
      <c r="B265" s="654"/>
      <c r="C265" s="661" t="s">
        <v>2096</v>
      </c>
      <c r="D265" s="660"/>
      <c r="E265" s="533">
        <v>18</v>
      </c>
      <c r="F265" s="30" t="s">
        <v>349</v>
      </c>
      <c r="G265" s="30">
        <f t="shared" ref="G265:G266" si="117">259*0.65</f>
        <v>168.35</v>
      </c>
      <c r="H265" s="30">
        <f t="shared" si="114"/>
        <v>157.39176971244999</v>
      </c>
      <c r="I265" s="30">
        <f t="shared" si="84"/>
        <v>2833.0518548240998</v>
      </c>
      <c r="J265" s="25">
        <v>0</v>
      </c>
      <c r="K265" s="25"/>
      <c r="L265" s="25">
        <f t="shared" si="96"/>
        <v>0</v>
      </c>
      <c r="M265" s="25">
        <f t="shared" si="116"/>
        <v>2833.0518548240998</v>
      </c>
      <c r="N265" s="26"/>
      <c r="O265" s="663">
        <v>0.93490804699999996</v>
      </c>
    </row>
    <row r="266" spans="1:15" ht="18.95" customHeight="1">
      <c r="A266" s="651"/>
      <c r="B266" s="654"/>
      <c r="C266" s="661" t="s">
        <v>2097</v>
      </c>
      <c r="D266" s="660"/>
      <c r="E266" s="533">
        <v>18</v>
      </c>
      <c r="F266" s="30" t="s">
        <v>349</v>
      </c>
      <c r="G266" s="30">
        <f t="shared" si="117"/>
        <v>168.35</v>
      </c>
      <c r="H266" s="30">
        <f t="shared" si="114"/>
        <v>157.39176971244999</v>
      </c>
      <c r="I266" s="30">
        <f t="shared" si="84"/>
        <v>2833.0518548240998</v>
      </c>
      <c r="J266" s="25">
        <v>0</v>
      </c>
      <c r="K266" s="25"/>
      <c r="L266" s="25">
        <f t="shared" si="96"/>
        <v>0</v>
      </c>
      <c r="M266" s="25">
        <f t="shared" si="116"/>
        <v>2833.0518548240998</v>
      </c>
      <c r="N266" s="26"/>
      <c r="O266" s="663">
        <v>0.93490804699999996</v>
      </c>
    </row>
    <row r="267" spans="1:15" ht="18.95" customHeight="1">
      <c r="A267" s="651"/>
      <c r="B267" s="654" t="s">
        <v>2126</v>
      </c>
      <c r="C267" s="661"/>
      <c r="D267" s="660"/>
      <c r="E267" s="533"/>
      <c r="F267" s="30"/>
      <c r="G267" s="30"/>
      <c r="H267" s="30"/>
      <c r="I267" s="30"/>
      <c r="J267" s="25"/>
      <c r="K267" s="25"/>
      <c r="L267" s="25"/>
      <c r="M267" s="25"/>
      <c r="N267" s="26"/>
      <c r="O267" s="663">
        <v>0.93490804699999996</v>
      </c>
    </row>
    <row r="268" spans="1:15" ht="18.95" customHeight="1">
      <c r="A268" s="651"/>
      <c r="B268" s="654" t="s">
        <v>273</v>
      </c>
      <c r="C268" s="661" t="s">
        <v>2108</v>
      </c>
      <c r="D268" s="660"/>
      <c r="E268" s="533">
        <v>1</v>
      </c>
      <c r="F268" s="30" t="s">
        <v>349</v>
      </c>
      <c r="G268" s="79">
        <f>ROUNDUP((17300+7070)*0.65,0)</f>
        <v>15841</v>
      </c>
      <c r="H268" s="30">
        <f t="shared" ref="H268:H270" si="118">G268*O268</f>
        <v>14809.878372526999</v>
      </c>
      <c r="I268" s="30">
        <f t="shared" ref="I268:I278" si="119">E268*H268</f>
        <v>14809.878372526999</v>
      </c>
      <c r="J268" s="25">
        <v>500</v>
      </c>
      <c r="K268" s="25">
        <f t="shared" ref="K268" si="120">J268*O268</f>
        <v>467.45402350000001</v>
      </c>
      <c r="L268" s="25">
        <f t="shared" si="96"/>
        <v>467.45402350000001</v>
      </c>
      <c r="M268" s="25">
        <f t="shared" si="116"/>
        <v>15277.332396026999</v>
      </c>
      <c r="N268" s="26"/>
      <c r="O268" s="663">
        <v>0.93490804699999996</v>
      </c>
    </row>
    <row r="269" spans="1:15" ht="18.95" customHeight="1">
      <c r="A269" s="651"/>
      <c r="B269" s="654"/>
      <c r="C269" s="661" t="s">
        <v>2096</v>
      </c>
      <c r="D269" s="660"/>
      <c r="E269" s="533">
        <v>15</v>
      </c>
      <c r="F269" s="30" t="s">
        <v>349</v>
      </c>
      <c r="G269" s="30">
        <f t="shared" ref="G269:G270" si="121">259*0.65</f>
        <v>168.35</v>
      </c>
      <c r="H269" s="30">
        <f t="shared" si="118"/>
        <v>157.39176971244999</v>
      </c>
      <c r="I269" s="30">
        <f t="shared" si="119"/>
        <v>2360.87654568675</v>
      </c>
      <c r="J269" s="25">
        <v>0</v>
      </c>
      <c r="K269" s="25"/>
      <c r="L269" s="25">
        <f t="shared" si="96"/>
        <v>0</v>
      </c>
      <c r="M269" s="25">
        <f t="shared" si="116"/>
        <v>2360.87654568675</v>
      </c>
      <c r="N269" s="26"/>
      <c r="O269" s="663">
        <v>0.93490804699999996</v>
      </c>
    </row>
    <row r="270" spans="1:15" ht="18.95" customHeight="1">
      <c r="A270" s="651"/>
      <c r="B270" s="654"/>
      <c r="C270" s="661" t="s">
        <v>2097</v>
      </c>
      <c r="D270" s="660"/>
      <c r="E270" s="533">
        <v>18</v>
      </c>
      <c r="F270" s="30" t="s">
        <v>349</v>
      </c>
      <c r="G270" s="30">
        <f t="shared" si="121"/>
        <v>168.35</v>
      </c>
      <c r="H270" s="30">
        <f t="shared" si="118"/>
        <v>157.39176971244999</v>
      </c>
      <c r="I270" s="30">
        <f t="shared" si="119"/>
        <v>2833.0518548240998</v>
      </c>
      <c r="J270" s="25">
        <v>0</v>
      </c>
      <c r="K270" s="25"/>
      <c r="L270" s="25">
        <f t="shared" si="96"/>
        <v>0</v>
      </c>
      <c r="M270" s="25">
        <f t="shared" si="116"/>
        <v>2833.0518548240998</v>
      </c>
      <c r="N270" s="26"/>
      <c r="O270" s="663">
        <v>0.93490804699999996</v>
      </c>
    </row>
    <row r="271" spans="1:15" ht="18.95" customHeight="1">
      <c r="A271" s="651">
        <v>5.5</v>
      </c>
      <c r="B271" s="652" t="s">
        <v>2127</v>
      </c>
      <c r="C271" s="653"/>
      <c r="D271" s="412"/>
      <c r="E271" s="533"/>
      <c r="F271" s="30"/>
      <c r="G271" s="30"/>
      <c r="H271" s="30"/>
      <c r="I271" s="30"/>
      <c r="J271" s="25"/>
      <c r="K271" s="25"/>
      <c r="L271" s="25"/>
      <c r="M271" s="25"/>
      <c r="N271" s="26"/>
      <c r="O271" s="663">
        <v>0.93490804699999996</v>
      </c>
    </row>
    <row r="272" spans="1:15" ht="18.95" customHeight="1">
      <c r="A272" s="651" t="s">
        <v>2128</v>
      </c>
      <c r="B272" s="658" t="s">
        <v>2129</v>
      </c>
      <c r="C272" s="659"/>
      <c r="D272" s="660"/>
      <c r="E272" s="533"/>
      <c r="F272" s="30"/>
      <c r="G272" s="30"/>
      <c r="H272" s="30"/>
      <c r="I272" s="30"/>
      <c r="J272" s="25"/>
      <c r="K272" s="25"/>
      <c r="L272" s="25"/>
      <c r="M272" s="25"/>
      <c r="N272" s="26"/>
      <c r="O272" s="663">
        <v>0.93490804699999996</v>
      </c>
    </row>
    <row r="273" spans="1:15" ht="18.95" customHeight="1">
      <c r="A273" s="651"/>
      <c r="B273" s="1179" t="s">
        <v>273</v>
      </c>
      <c r="C273" s="661" t="s">
        <v>2130</v>
      </c>
      <c r="D273" s="660"/>
      <c r="E273" s="664">
        <v>75</v>
      </c>
      <c r="F273" s="384" t="s">
        <v>349</v>
      </c>
      <c r="G273" s="384">
        <v>4000</v>
      </c>
      <c r="H273" s="30">
        <f t="shared" ref="H273" si="122">G273*O273</f>
        <v>3739.632188</v>
      </c>
      <c r="I273" s="30">
        <f t="shared" si="119"/>
        <v>280472.41409999999</v>
      </c>
      <c r="J273" s="242">
        <v>500</v>
      </c>
      <c r="K273" s="25">
        <f t="shared" ref="K273" si="123">J273*O273</f>
        <v>467.45402350000001</v>
      </c>
      <c r="L273" s="25">
        <f t="shared" si="96"/>
        <v>35059.051762499999</v>
      </c>
      <c r="M273" s="242">
        <f>I273+L273</f>
        <v>315531.46586250002</v>
      </c>
      <c r="N273" s="26"/>
      <c r="O273" s="663">
        <v>0.93490804699999996</v>
      </c>
    </row>
    <row r="274" spans="1:15" ht="18.95" customHeight="1">
      <c r="A274" s="651" t="s">
        <v>2131</v>
      </c>
      <c r="B274" s="658" t="s">
        <v>2132</v>
      </c>
      <c r="C274" s="659"/>
      <c r="D274" s="660"/>
      <c r="E274" s="664"/>
      <c r="F274" s="384"/>
      <c r="G274" s="384"/>
      <c r="H274" s="384"/>
      <c r="I274" s="30">
        <f t="shared" si="119"/>
        <v>0</v>
      </c>
      <c r="J274" s="242"/>
      <c r="K274" s="242"/>
      <c r="L274" s="25">
        <f t="shared" si="96"/>
        <v>0</v>
      </c>
      <c r="M274" s="242"/>
      <c r="N274" s="26"/>
      <c r="O274" s="663">
        <v>0.93490804699999996</v>
      </c>
    </row>
    <row r="275" spans="1:15" ht="18.95" customHeight="1">
      <c r="A275" s="651"/>
      <c r="B275" s="1179" t="s">
        <v>273</v>
      </c>
      <c r="C275" s="661" t="s">
        <v>2133</v>
      </c>
      <c r="D275" s="660"/>
      <c r="E275" s="664">
        <v>5</v>
      </c>
      <c r="F275" s="384" t="s">
        <v>349</v>
      </c>
      <c r="G275" s="384">
        <f>2780</f>
        <v>2780</v>
      </c>
      <c r="H275" s="30">
        <f t="shared" ref="H275:H278" si="124">G275*O275</f>
        <v>2599.0443706599999</v>
      </c>
      <c r="I275" s="30">
        <f t="shared" si="119"/>
        <v>12995.2218533</v>
      </c>
      <c r="J275" s="242">
        <v>500</v>
      </c>
      <c r="K275" s="25">
        <f t="shared" ref="K275:K278" si="125">J275*O275</f>
        <v>467.45402350000001</v>
      </c>
      <c r="L275" s="25">
        <f t="shared" si="96"/>
        <v>2337.2701175000002</v>
      </c>
      <c r="M275" s="242">
        <f>I275+L275</f>
        <v>15332.4919708</v>
      </c>
      <c r="N275" s="26"/>
      <c r="O275" s="663">
        <v>0.93490804699999996</v>
      </c>
    </row>
    <row r="276" spans="1:15" ht="18.95" customHeight="1">
      <c r="A276" s="651"/>
      <c r="B276" s="1179" t="s">
        <v>273</v>
      </c>
      <c r="C276" s="661" t="s">
        <v>2134</v>
      </c>
      <c r="D276" s="660"/>
      <c r="E276" s="664">
        <v>11</v>
      </c>
      <c r="F276" s="384" t="s">
        <v>349</v>
      </c>
      <c r="G276" s="384">
        <f>5560</f>
        <v>5560</v>
      </c>
      <c r="H276" s="30">
        <f t="shared" si="124"/>
        <v>5198.0887413199998</v>
      </c>
      <c r="I276" s="30">
        <f t="shared" si="119"/>
        <v>57178.976154520002</v>
      </c>
      <c r="J276" s="242">
        <v>500</v>
      </c>
      <c r="K276" s="25">
        <f t="shared" si="125"/>
        <v>467.45402350000001</v>
      </c>
      <c r="L276" s="25">
        <f t="shared" si="96"/>
        <v>5141.9942584999999</v>
      </c>
      <c r="M276" s="242">
        <f>I276+L276</f>
        <v>62320.970413020004</v>
      </c>
      <c r="N276" s="26"/>
      <c r="O276" s="663">
        <v>0.93490804699999996</v>
      </c>
    </row>
    <row r="277" spans="1:15" ht="18.95" customHeight="1">
      <c r="A277" s="651"/>
      <c r="B277" s="1179" t="s">
        <v>273</v>
      </c>
      <c r="C277" s="661" t="s">
        <v>2135</v>
      </c>
      <c r="D277" s="660"/>
      <c r="E277" s="664">
        <v>15</v>
      </c>
      <c r="F277" s="384" t="s">
        <v>349</v>
      </c>
      <c r="G277" s="384">
        <f>8700</f>
        <v>8700</v>
      </c>
      <c r="H277" s="30">
        <f t="shared" si="124"/>
        <v>8133.7000088999994</v>
      </c>
      <c r="I277" s="30">
        <f t="shared" si="119"/>
        <v>122005.5001335</v>
      </c>
      <c r="J277" s="242">
        <v>500</v>
      </c>
      <c r="K277" s="25">
        <f t="shared" si="125"/>
        <v>467.45402350000001</v>
      </c>
      <c r="L277" s="25">
        <f t="shared" si="96"/>
        <v>7011.8103524999997</v>
      </c>
      <c r="M277" s="242">
        <f>I277+L277</f>
        <v>129017.310486</v>
      </c>
      <c r="N277" s="26"/>
      <c r="O277" s="663">
        <v>0.93490804699999996</v>
      </c>
    </row>
    <row r="278" spans="1:15" ht="18.95" customHeight="1">
      <c r="A278" s="651" t="s">
        <v>2136</v>
      </c>
      <c r="B278" s="658" t="s">
        <v>2137</v>
      </c>
      <c r="C278" s="659"/>
      <c r="D278" s="660"/>
      <c r="E278" s="664">
        <v>139</v>
      </c>
      <c r="F278" s="384" t="s">
        <v>349</v>
      </c>
      <c r="G278" s="384">
        <f>250</f>
        <v>250</v>
      </c>
      <c r="H278" s="30">
        <f t="shared" si="124"/>
        <v>233.72701175</v>
      </c>
      <c r="I278" s="30">
        <f t="shared" si="119"/>
        <v>32488.054633250002</v>
      </c>
      <c r="J278" s="242">
        <v>110</v>
      </c>
      <c r="K278" s="25">
        <f t="shared" si="125"/>
        <v>102.83988517</v>
      </c>
      <c r="L278" s="25">
        <f t="shared" si="96"/>
        <v>14294.74403863</v>
      </c>
      <c r="M278" s="242">
        <f>I278+L278</f>
        <v>46782.798671880002</v>
      </c>
      <c r="N278" s="26"/>
      <c r="O278" s="663">
        <v>0.93490804699999996</v>
      </c>
    </row>
    <row r="279" spans="1:15" ht="18.95" customHeight="1">
      <c r="A279" s="651"/>
      <c r="B279" s="658"/>
      <c r="C279" s="659"/>
      <c r="D279" s="660"/>
      <c r="E279" s="533"/>
      <c r="F279" s="30"/>
      <c r="G279" s="30"/>
      <c r="H279" s="30"/>
      <c r="I279" s="30"/>
      <c r="J279" s="25"/>
      <c r="K279" s="25"/>
      <c r="L279" s="25"/>
      <c r="M279" s="25"/>
      <c r="N279" s="26"/>
      <c r="O279" s="663">
        <v>0.93490804699999996</v>
      </c>
    </row>
    <row r="280" spans="1:15" ht="18.95" customHeight="1">
      <c r="A280" s="645"/>
      <c r="B280" s="1275" t="s">
        <v>2138</v>
      </c>
      <c r="C280" s="1276"/>
      <c r="D280" s="1277"/>
      <c r="E280" s="646"/>
      <c r="F280" s="102"/>
      <c r="G280" s="34"/>
      <c r="H280" s="34"/>
      <c r="I280" s="34">
        <f>SUM(I72:I278)</f>
        <v>6719742.320638461</v>
      </c>
      <c r="J280" s="34"/>
      <c r="K280" s="34"/>
      <c r="L280" s="34">
        <f>SUM(L72:L278)</f>
        <v>209690.52586163004</v>
      </c>
      <c r="M280" s="34">
        <f>SUM(M72:M278)</f>
        <v>6929432.8465000866</v>
      </c>
      <c r="N280" s="35"/>
      <c r="O280" s="663">
        <v>0.93490804699999996</v>
      </c>
    </row>
    <row r="281" spans="1:15" ht="18.95" customHeight="1">
      <c r="A281" s="645"/>
      <c r="B281" s="256"/>
      <c r="C281" s="647"/>
      <c r="D281" s="258"/>
      <c r="E281" s="646"/>
      <c r="F281" s="102"/>
      <c r="G281" s="34"/>
      <c r="H281" s="34"/>
      <c r="I281" s="34"/>
      <c r="J281" s="34"/>
      <c r="K281" s="34"/>
      <c r="L281" s="34"/>
      <c r="M281" s="34"/>
      <c r="N281" s="35"/>
      <c r="O281" s="663">
        <v>0.93490804699999996</v>
      </c>
    </row>
    <row r="282" spans="1:15" ht="18.95" customHeight="1">
      <c r="A282" s="648">
        <v>6</v>
      </c>
      <c r="B282" s="1182" t="s">
        <v>1977</v>
      </c>
      <c r="C282" s="650"/>
      <c r="D282" s="412"/>
      <c r="E282" s="646"/>
      <c r="F282" s="102"/>
      <c r="G282" s="34"/>
      <c r="H282" s="34"/>
      <c r="I282" s="34"/>
      <c r="J282" s="102"/>
      <c r="K282" s="102"/>
      <c r="L282" s="34"/>
      <c r="M282" s="102"/>
      <c r="N282" s="35"/>
      <c r="O282" s="663">
        <v>0.93490804699999996</v>
      </c>
    </row>
    <row r="283" spans="1:15" ht="18.95" customHeight="1">
      <c r="A283" s="651">
        <v>6.1</v>
      </c>
      <c r="B283" s="652" t="s">
        <v>2139</v>
      </c>
      <c r="C283" s="653"/>
      <c r="D283" s="412"/>
      <c r="E283" s="533"/>
      <c r="F283" s="30"/>
      <c r="G283" s="30"/>
      <c r="H283" s="30"/>
      <c r="I283" s="30"/>
      <c r="J283" s="25"/>
      <c r="K283" s="25"/>
      <c r="L283" s="25"/>
      <c r="M283" s="25"/>
      <c r="N283" s="26"/>
      <c r="O283" s="663">
        <v>0.93490804699999996</v>
      </c>
    </row>
    <row r="284" spans="1:15" ht="18.95" customHeight="1">
      <c r="A284" s="651" t="s">
        <v>2140</v>
      </c>
      <c r="B284" s="658" t="s">
        <v>2141</v>
      </c>
      <c r="C284" s="659"/>
      <c r="D284" s="660"/>
      <c r="E284" s="533"/>
      <c r="F284" s="30"/>
      <c r="G284" s="30"/>
      <c r="H284" s="30"/>
      <c r="I284" s="30"/>
      <c r="J284" s="25"/>
      <c r="K284" s="25"/>
      <c r="L284" s="25"/>
      <c r="M284" s="25"/>
      <c r="N284" s="26"/>
      <c r="O284" s="663">
        <v>0.93490804699999996</v>
      </c>
    </row>
    <row r="285" spans="1:15" ht="18.95" customHeight="1">
      <c r="A285" s="651"/>
      <c r="B285" s="1179" t="s">
        <v>273</v>
      </c>
      <c r="C285" s="661" t="s">
        <v>2142</v>
      </c>
      <c r="D285" s="660"/>
      <c r="E285" s="533">
        <v>267</v>
      </c>
      <c r="F285" s="1181" t="s">
        <v>286</v>
      </c>
      <c r="G285" s="30">
        <f>8737.92*0.9</f>
        <v>7864.1280000000006</v>
      </c>
      <c r="H285" s="30">
        <f t="shared" ref="H285" si="126">G285*O285</f>
        <v>7352.2365498380159</v>
      </c>
      <c r="I285" s="30">
        <f>E285*H285</f>
        <v>1963047.1588067503</v>
      </c>
      <c r="J285" s="25">
        <v>1000</v>
      </c>
      <c r="K285" s="25">
        <f t="shared" ref="K285:K320" si="127">J285*O285</f>
        <v>934.90804700000001</v>
      </c>
      <c r="L285" s="25">
        <f t="shared" ref="L285:L344" si="128">E285*K285</f>
        <v>249620.44854899999</v>
      </c>
      <c r="M285" s="25">
        <f>I285+L285</f>
        <v>2212667.6073557502</v>
      </c>
      <c r="N285" s="26"/>
      <c r="O285" s="663">
        <v>0.93490804699999996</v>
      </c>
    </row>
    <row r="286" spans="1:15" ht="18.95" customHeight="1">
      <c r="A286" s="651" t="s">
        <v>2143</v>
      </c>
      <c r="B286" s="658" t="s">
        <v>2144</v>
      </c>
      <c r="C286" s="659"/>
      <c r="D286" s="660"/>
      <c r="E286" s="533"/>
      <c r="F286" s="30"/>
      <c r="G286" s="67"/>
      <c r="H286" s="67"/>
      <c r="I286" s="30"/>
      <c r="J286" s="25"/>
      <c r="K286" s="25"/>
      <c r="L286" s="25"/>
      <c r="M286" s="25"/>
      <c r="N286" s="26"/>
      <c r="O286" s="663">
        <v>0.93490804699999996</v>
      </c>
    </row>
    <row r="287" spans="1:15" ht="18.95" customHeight="1">
      <c r="A287" s="651"/>
      <c r="B287" s="1179" t="s">
        <v>273</v>
      </c>
      <c r="C287" s="661" t="s">
        <v>2142</v>
      </c>
      <c r="D287" s="660"/>
      <c r="E287" s="533">
        <v>23</v>
      </c>
      <c r="F287" s="1181" t="s">
        <v>286</v>
      </c>
      <c r="G287" s="30">
        <f>11407.84*0.9</f>
        <v>10267.056</v>
      </c>
      <c r="H287" s="30">
        <f t="shared" ref="H287" si="129">G287*O287</f>
        <v>9598.7532733996322</v>
      </c>
      <c r="I287" s="30">
        <f>E287*H287</f>
        <v>220771.32528819155</v>
      </c>
      <c r="J287" s="25">
        <v>1000</v>
      </c>
      <c r="K287" s="25">
        <f t="shared" si="127"/>
        <v>934.90804700000001</v>
      </c>
      <c r="L287" s="25">
        <f t="shared" si="128"/>
        <v>21502.885081</v>
      </c>
      <c r="M287" s="25">
        <f>I287+L287</f>
        <v>242274.21036919154</v>
      </c>
      <c r="N287" s="26"/>
      <c r="O287" s="663">
        <v>0.93490804699999996</v>
      </c>
    </row>
    <row r="288" spans="1:15" ht="18.95" customHeight="1">
      <c r="A288" s="651" t="s">
        <v>2145</v>
      </c>
      <c r="B288" s="658" t="s">
        <v>2141</v>
      </c>
      <c r="C288" s="659"/>
      <c r="D288" s="660"/>
      <c r="E288" s="533"/>
      <c r="F288" s="30"/>
      <c r="G288" s="30"/>
      <c r="H288" s="30"/>
      <c r="I288" s="30"/>
      <c r="J288" s="25"/>
      <c r="K288" s="25"/>
      <c r="L288" s="25"/>
      <c r="M288" s="25"/>
      <c r="N288" s="26"/>
      <c r="O288" s="663">
        <v>0.93490804699999996</v>
      </c>
    </row>
    <row r="289" spans="1:15" ht="18.95" customHeight="1">
      <c r="A289" s="651"/>
      <c r="B289" s="1179" t="s">
        <v>273</v>
      </c>
      <c r="C289" s="661" t="s">
        <v>2146</v>
      </c>
      <c r="D289" s="660"/>
      <c r="E289" s="533">
        <v>196</v>
      </c>
      <c r="F289" s="1181" t="s">
        <v>286</v>
      </c>
      <c r="G289" s="30">
        <f>9708.8*0.9</f>
        <v>8737.92</v>
      </c>
      <c r="H289" s="30">
        <f t="shared" ref="H289" si="130">G289*O289</f>
        <v>8169.1517220422402</v>
      </c>
      <c r="I289" s="30">
        <f t="shared" ref="I289:I343" si="131">E289*H289</f>
        <v>1601153.7375202791</v>
      </c>
      <c r="J289" s="25">
        <v>1000</v>
      </c>
      <c r="K289" s="25">
        <f t="shared" si="127"/>
        <v>934.90804700000001</v>
      </c>
      <c r="L289" s="25">
        <f t="shared" si="128"/>
        <v>183241.977212</v>
      </c>
      <c r="M289" s="25">
        <f>I289+L289</f>
        <v>1784395.7147322791</v>
      </c>
      <c r="N289" s="26"/>
      <c r="O289" s="663">
        <v>0.93490804699999996</v>
      </c>
    </row>
    <row r="290" spans="1:15" ht="18.95" customHeight="1">
      <c r="A290" s="651" t="s">
        <v>2147</v>
      </c>
      <c r="B290" s="658" t="s">
        <v>2144</v>
      </c>
      <c r="C290" s="659"/>
      <c r="D290" s="660"/>
      <c r="E290" s="533"/>
      <c r="F290" s="30"/>
      <c r="G290" s="67"/>
      <c r="H290" s="67"/>
      <c r="I290" s="30"/>
      <c r="J290" s="25"/>
      <c r="K290" s="25"/>
      <c r="L290" s="25"/>
      <c r="M290" s="25"/>
      <c r="N290" s="26"/>
      <c r="O290" s="663">
        <v>0.93490804699999996</v>
      </c>
    </row>
    <row r="291" spans="1:15" ht="18.95" customHeight="1">
      <c r="A291" s="651"/>
      <c r="B291" s="1179" t="s">
        <v>273</v>
      </c>
      <c r="C291" s="661" t="s">
        <v>2148</v>
      </c>
      <c r="D291" s="660"/>
      <c r="E291" s="533">
        <v>46</v>
      </c>
      <c r="F291" s="1181" t="s">
        <v>286</v>
      </c>
      <c r="G291" s="30">
        <f>16990.4*0.9</f>
        <v>15291.360000000002</v>
      </c>
      <c r="H291" s="30">
        <f t="shared" ref="H291" si="132">G291*O291</f>
        <v>14296.015513573922</v>
      </c>
      <c r="I291" s="30">
        <f t="shared" si="131"/>
        <v>657616.71362440044</v>
      </c>
      <c r="J291" s="25">
        <v>1000</v>
      </c>
      <c r="K291" s="25">
        <f t="shared" si="127"/>
        <v>934.90804700000001</v>
      </c>
      <c r="L291" s="25">
        <f t="shared" si="128"/>
        <v>43005.770162000001</v>
      </c>
      <c r="M291" s="25">
        <f>I291+L291</f>
        <v>700622.48378640041</v>
      </c>
      <c r="N291" s="26"/>
      <c r="O291" s="663">
        <v>0.93490804699999996</v>
      </c>
    </row>
    <row r="292" spans="1:15" ht="18.95" customHeight="1">
      <c r="A292" s="573" t="s">
        <v>2149</v>
      </c>
      <c r="B292" s="665" t="s">
        <v>2150</v>
      </c>
      <c r="C292" s="659"/>
      <c r="D292" s="660"/>
      <c r="E292" s="533"/>
      <c r="F292" s="30"/>
      <c r="G292" s="25"/>
      <c r="H292" s="25"/>
      <c r="I292" s="30"/>
      <c r="J292" s="25"/>
      <c r="K292" s="25"/>
      <c r="L292" s="25"/>
      <c r="M292" s="25"/>
      <c r="N292" s="26"/>
      <c r="O292" s="663">
        <v>0.93490804699999996</v>
      </c>
    </row>
    <row r="293" spans="1:15" ht="18.95" customHeight="1">
      <c r="A293" s="573"/>
      <c r="B293" s="1179" t="s">
        <v>273</v>
      </c>
      <c r="C293" s="666" t="s">
        <v>2151</v>
      </c>
      <c r="D293" s="660"/>
      <c r="E293" s="533">
        <v>6</v>
      </c>
      <c r="F293" s="30" t="s">
        <v>349</v>
      </c>
      <c r="G293" s="30">
        <f>22200*0.9</f>
        <v>19980</v>
      </c>
      <c r="H293" s="30">
        <f t="shared" ref="H293:H343" si="133">G293*O293</f>
        <v>18679.462779059999</v>
      </c>
      <c r="I293" s="30">
        <f t="shared" si="131"/>
        <v>112076.77667435999</v>
      </c>
      <c r="J293" s="25">
        <v>1000</v>
      </c>
      <c r="K293" s="25">
        <f t="shared" si="127"/>
        <v>934.90804700000001</v>
      </c>
      <c r="L293" s="25">
        <f t="shared" si="128"/>
        <v>5609.4482820000003</v>
      </c>
      <c r="M293" s="25">
        <f>I293+L293</f>
        <v>117686.22495635999</v>
      </c>
      <c r="N293" s="26"/>
      <c r="O293" s="663">
        <v>0.93490804699999996</v>
      </c>
    </row>
    <row r="294" spans="1:15" ht="18.95" customHeight="1">
      <c r="A294" s="573"/>
      <c r="B294" s="1179" t="s">
        <v>273</v>
      </c>
      <c r="C294" s="666" t="s">
        <v>2152</v>
      </c>
      <c r="D294" s="660"/>
      <c r="E294" s="533">
        <v>1</v>
      </c>
      <c r="F294" s="30" t="s">
        <v>349</v>
      </c>
      <c r="G294" s="30">
        <f>22200*0.9</f>
        <v>19980</v>
      </c>
      <c r="H294" s="30">
        <f t="shared" si="133"/>
        <v>18679.462779059999</v>
      </c>
      <c r="I294" s="30">
        <f t="shared" si="131"/>
        <v>18679.462779059999</v>
      </c>
      <c r="J294" s="25">
        <v>1000</v>
      </c>
      <c r="K294" s="25">
        <f t="shared" si="127"/>
        <v>934.90804700000001</v>
      </c>
      <c r="L294" s="25">
        <f t="shared" si="128"/>
        <v>934.90804700000001</v>
      </c>
      <c r="M294" s="25">
        <f>I294+L294</f>
        <v>19614.37082606</v>
      </c>
      <c r="N294" s="26"/>
      <c r="O294" s="663">
        <v>0.93490804699999996</v>
      </c>
    </row>
    <row r="295" spans="1:15" ht="18.95" customHeight="1">
      <c r="A295" s="573"/>
      <c r="B295" s="1179" t="s">
        <v>273</v>
      </c>
      <c r="C295" s="666" t="s">
        <v>2153</v>
      </c>
      <c r="D295" s="660"/>
      <c r="E295" s="533">
        <v>1</v>
      </c>
      <c r="F295" s="30" t="s">
        <v>349</v>
      </c>
      <c r="G295" s="30">
        <f>42180*0.9</f>
        <v>37962</v>
      </c>
      <c r="H295" s="30">
        <f t="shared" si="133"/>
        <v>35490.979280214</v>
      </c>
      <c r="I295" s="30">
        <f t="shared" si="131"/>
        <v>35490.979280214</v>
      </c>
      <c r="J295" s="25">
        <v>1000</v>
      </c>
      <c r="K295" s="25">
        <f t="shared" si="127"/>
        <v>934.90804700000001</v>
      </c>
      <c r="L295" s="25">
        <f t="shared" si="128"/>
        <v>934.90804700000001</v>
      </c>
      <c r="M295" s="25">
        <f>I295+L295</f>
        <v>36425.887327213997</v>
      </c>
      <c r="N295" s="26"/>
      <c r="O295" s="663">
        <v>0.93490804699999996</v>
      </c>
    </row>
    <row r="296" spans="1:15" ht="18.95" customHeight="1">
      <c r="A296" s="573"/>
      <c r="B296" s="1179" t="s">
        <v>273</v>
      </c>
      <c r="C296" s="666" t="s">
        <v>2154</v>
      </c>
      <c r="D296" s="660"/>
      <c r="E296" s="533">
        <v>1</v>
      </c>
      <c r="F296" s="30" t="s">
        <v>349</v>
      </c>
      <c r="G296" s="30">
        <v>170000</v>
      </c>
      <c r="H296" s="30">
        <f t="shared" si="133"/>
        <v>158934.36799</v>
      </c>
      <c r="I296" s="30">
        <f t="shared" si="131"/>
        <v>158934.36799</v>
      </c>
      <c r="J296" s="25">
        <v>1200</v>
      </c>
      <c r="K296" s="25">
        <f t="shared" si="127"/>
        <v>1121.8896563999999</v>
      </c>
      <c r="L296" s="25">
        <f t="shared" si="128"/>
        <v>1121.8896563999999</v>
      </c>
      <c r="M296" s="25">
        <f>I296+L296</f>
        <v>160056.25764639999</v>
      </c>
      <c r="N296" s="26"/>
      <c r="O296" s="663">
        <v>0.93490804699999996</v>
      </c>
    </row>
    <row r="297" spans="1:15" ht="18.95" customHeight="1">
      <c r="A297" s="573"/>
      <c r="B297" s="1179" t="s">
        <v>273</v>
      </c>
      <c r="C297" s="666" t="s">
        <v>2155</v>
      </c>
      <c r="D297" s="660"/>
      <c r="E297" s="533">
        <v>1</v>
      </c>
      <c r="F297" s="30" t="s">
        <v>349</v>
      </c>
      <c r="G297" s="30">
        <v>250000</v>
      </c>
      <c r="H297" s="30">
        <f t="shared" si="133"/>
        <v>233727.01175000001</v>
      </c>
      <c r="I297" s="30">
        <f t="shared" si="131"/>
        <v>233727.01175000001</v>
      </c>
      <c r="J297" s="25">
        <v>1500</v>
      </c>
      <c r="K297" s="25">
        <f t="shared" si="127"/>
        <v>1402.3620704999998</v>
      </c>
      <c r="L297" s="25">
        <f t="shared" si="128"/>
        <v>1402.3620704999998</v>
      </c>
      <c r="M297" s="25">
        <f>I297+L297</f>
        <v>235129.37382050001</v>
      </c>
      <c r="N297" s="26"/>
      <c r="O297" s="663">
        <v>0.93490804699999996</v>
      </c>
    </row>
    <row r="298" spans="1:15" ht="18.95" customHeight="1">
      <c r="A298" s="573" t="s">
        <v>2156</v>
      </c>
      <c r="B298" s="665" t="s">
        <v>2157</v>
      </c>
      <c r="C298" s="659"/>
      <c r="D298" s="660"/>
      <c r="E298" s="533"/>
      <c r="F298" s="30"/>
      <c r="G298" s="25"/>
      <c r="H298" s="25"/>
      <c r="I298" s="30"/>
      <c r="J298" s="25"/>
      <c r="K298" s="25"/>
      <c r="L298" s="25"/>
      <c r="M298" s="25"/>
      <c r="N298" s="26"/>
      <c r="O298" s="663">
        <v>0.93490804699999996</v>
      </c>
    </row>
    <row r="299" spans="1:15" ht="18.95" customHeight="1">
      <c r="A299" s="573"/>
      <c r="B299" s="1179" t="s">
        <v>273</v>
      </c>
      <c r="C299" s="666" t="s">
        <v>2142</v>
      </c>
      <c r="D299" s="660"/>
      <c r="E299" s="533">
        <v>12</v>
      </c>
      <c r="F299" s="30" t="s">
        <v>349</v>
      </c>
      <c r="G299" s="30">
        <f>18500*0.9</f>
        <v>16650</v>
      </c>
      <c r="H299" s="30">
        <f t="shared" si="133"/>
        <v>15566.218982549999</v>
      </c>
      <c r="I299" s="30">
        <f t="shared" si="131"/>
        <v>186794.6277906</v>
      </c>
      <c r="J299" s="25">
        <v>1000</v>
      </c>
      <c r="K299" s="25">
        <f t="shared" si="127"/>
        <v>934.90804700000001</v>
      </c>
      <c r="L299" s="25">
        <f t="shared" si="128"/>
        <v>11218.896564000001</v>
      </c>
      <c r="M299" s="25">
        <f>I299+L299</f>
        <v>198013.5243546</v>
      </c>
      <c r="N299" s="26"/>
      <c r="O299" s="663">
        <v>0.93490804699999996</v>
      </c>
    </row>
    <row r="300" spans="1:15" ht="18.95" customHeight="1">
      <c r="A300" s="573"/>
      <c r="B300" s="1179" t="s">
        <v>273</v>
      </c>
      <c r="C300" s="666" t="s">
        <v>2146</v>
      </c>
      <c r="D300" s="660"/>
      <c r="E300" s="533">
        <v>7</v>
      </c>
      <c r="F300" s="30" t="s">
        <v>349</v>
      </c>
      <c r="G300" s="30">
        <f>18500*0.9</f>
        <v>16650</v>
      </c>
      <c r="H300" s="30">
        <f t="shared" si="133"/>
        <v>15566.218982549999</v>
      </c>
      <c r="I300" s="30">
        <f t="shared" si="131"/>
        <v>108963.53287785</v>
      </c>
      <c r="J300" s="25">
        <v>1000</v>
      </c>
      <c r="K300" s="25">
        <f t="shared" si="127"/>
        <v>934.90804700000001</v>
      </c>
      <c r="L300" s="25">
        <f t="shared" si="128"/>
        <v>6544.3563290000002</v>
      </c>
      <c r="M300" s="25">
        <f>I300+L300</f>
        <v>115507.88920685</v>
      </c>
      <c r="N300" s="26"/>
      <c r="O300" s="663">
        <v>0.93490804699999996</v>
      </c>
    </row>
    <row r="301" spans="1:15" ht="18.95" customHeight="1">
      <c r="A301" s="573"/>
      <c r="B301" s="1179" t="s">
        <v>273</v>
      </c>
      <c r="C301" s="666" t="s">
        <v>2148</v>
      </c>
      <c r="D301" s="660"/>
      <c r="E301" s="533">
        <v>5</v>
      </c>
      <c r="F301" s="30" t="s">
        <v>349</v>
      </c>
      <c r="G301" s="30">
        <f>22200*0.9</f>
        <v>19980</v>
      </c>
      <c r="H301" s="30">
        <f t="shared" si="133"/>
        <v>18679.462779059999</v>
      </c>
      <c r="I301" s="30">
        <f t="shared" si="131"/>
        <v>93397.313895300002</v>
      </c>
      <c r="J301" s="25">
        <v>1000</v>
      </c>
      <c r="K301" s="25">
        <f t="shared" si="127"/>
        <v>934.90804700000001</v>
      </c>
      <c r="L301" s="25">
        <f t="shared" si="128"/>
        <v>4674.5402350000004</v>
      </c>
      <c r="M301" s="25">
        <f>I301+L301</f>
        <v>98071.854130299995</v>
      </c>
      <c r="N301" s="26"/>
      <c r="O301" s="663">
        <v>0.93490804699999996</v>
      </c>
    </row>
    <row r="302" spans="1:15" ht="18.95" customHeight="1">
      <c r="A302" s="573" t="s">
        <v>2158</v>
      </c>
      <c r="B302" s="665" t="s">
        <v>2159</v>
      </c>
      <c r="C302" s="659"/>
      <c r="D302" s="660"/>
      <c r="E302" s="533"/>
      <c r="F302" s="30"/>
      <c r="G302" s="25"/>
      <c r="H302" s="30" t="s">
        <v>151</v>
      </c>
      <c r="I302" s="30" t="s">
        <v>151</v>
      </c>
      <c r="J302" s="25"/>
      <c r="K302" s="25"/>
      <c r="L302" s="25"/>
      <c r="M302" s="25"/>
      <c r="N302" s="26"/>
      <c r="O302" s="663">
        <v>0.93490804699999996</v>
      </c>
    </row>
    <row r="303" spans="1:15" ht="18.95" customHeight="1">
      <c r="A303" s="573"/>
      <c r="B303" s="1179" t="s">
        <v>273</v>
      </c>
      <c r="C303" s="666" t="s">
        <v>2142</v>
      </c>
      <c r="D303" s="660"/>
      <c r="E303" s="533">
        <v>2</v>
      </c>
      <c r="F303" s="30" t="s">
        <v>349</v>
      </c>
      <c r="G303" s="30">
        <f>8880*0.9</f>
        <v>7992</v>
      </c>
      <c r="H303" s="30">
        <f t="shared" si="133"/>
        <v>7471.7851116239999</v>
      </c>
      <c r="I303" s="30">
        <f t="shared" si="131"/>
        <v>14943.570223248</v>
      </c>
      <c r="J303" s="25">
        <v>1000</v>
      </c>
      <c r="K303" s="25">
        <f t="shared" si="127"/>
        <v>934.90804700000001</v>
      </c>
      <c r="L303" s="25">
        <f t="shared" si="128"/>
        <v>1869.816094</v>
      </c>
      <c r="M303" s="25">
        <f>I303+L303</f>
        <v>16813.386317248001</v>
      </c>
      <c r="N303" s="26"/>
      <c r="O303" s="663">
        <v>0.93490804699999996</v>
      </c>
    </row>
    <row r="304" spans="1:15" ht="18.95" customHeight="1">
      <c r="A304" s="573"/>
      <c r="B304" s="1179" t="s">
        <v>273</v>
      </c>
      <c r="C304" s="666" t="s">
        <v>2146</v>
      </c>
      <c r="D304" s="660"/>
      <c r="E304" s="533">
        <v>1</v>
      </c>
      <c r="F304" s="30" t="s">
        <v>349</v>
      </c>
      <c r="G304" s="30">
        <f>8880*0.9</f>
        <v>7992</v>
      </c>
      <c r="H304" s="30">
        <f t="shared" si="133"/>
        <v>7471.7851116239999</v>
      </c>
      <c r="I304" s="30">
        <f t="shared" si="131"/>
        <v>7471.7851116239999</v>
      </c>
      <c r="J304" s="25">
        <v>1000</v>
      </c>
      <c r="K304" s="25">
        <f t="shared" si="127"/>
        <v>934.90804700000001</v>
      </c>
      <c r="L304" s="25">
        <f t="shared" si="128"/>
        <v>934.90804700000001</v>
      </c>
      <c r="M304" s="25">
        <f>I304+L304</f>
        <v>8406.6931586240007</v>
      </c>
      <c r="N304" s="26"/>
      <c r="O304" s="663">
        <v>0.93490804699999996</v>
      </c>
    </row>
    <row r="305" spans="1:17" ht="18.95" customHeight="1">
      <c r="A305" s="573"/>
      <c r="B305" s="1179" t="s">
        <v>273</v>
      </c>
      <c r="C305" s="666" t="s">
        <v>2148</v>
      </c>
      <c r="D305" s="660"/>
      <c r="E305" s="533">
        <v>1</v>
      </c>
      <c r="F305" s="30" t="s">
        <v>349</v>
      </c>
      <c r="G305" s="30">
        <f>11100*0.9</f>
        <v>9990</v>
      </c>
      <c r="H305" s="30">
        <f t="shared" si="133"/>
        <v>9339.7313895299994</v>
      </c>
      <c r="I305" s="30">
        <f t="shared" si="131"/>
        <v>9339.7313895299994</v>
      </c>
      <c r="J305" s="25">
        <v>1000</v>
      </c>
      <c r="K305" s="25">
        <f t="shared" si="127"/>
        <v>934.90804700000001</v>
      </c>
      <c r="L305" s="25">
        <f t="shared" si="128"/>
        <v>934.90804700000001</v>
      </c>
      <c r="M305" s="25">
        <f>I305+L305</f>
        <v>10274.63943653</v>
      </c>
      <c r="N305" s="26"/>
      <c r="O305" s="663">
        <v>0.93490804699999996</v>
      </c>
    </row>
    <row r="306" spans="1:17" ht="18.95" customHeight="1">
      <c r="A306" s="573" t="s">
        <v>2160</v>
      </c>
      <c r="B306" s="665" t="s">
        <v>2161</v>
      </c>
      <c r="C306" s="659"/>
      <c r="D306" s="660"/>
      <c r="E306" s="533"/>
      <c r="F306" s="30"/>
      <c r="G306" s="30"/>
      <c r="H306" s="30" t="s">
        <v>151</v>
      </c>
      <c r="I306" s="30" t="s">
        <v>151</v>
      </c>
      <c r="J306" s="25"/>
      <c r="K306" s="25"/>
      <c r="L306" s="25"/>
      <c r="M306" s="25"/>
      <c r="N306" s="26"/>
      <c r="O306" s="663">
        <v>0.93490804699999996</v>
      </c>
    </row>
    <row r="307" spans="1:17" ht="18.95" customHeight="1">
      <c r="A307" s="573"/>
      <c r="B307" s="1179" t="s">
        <v>273</v>
      </c>
      <c r="C307" s="666" t="s">
        <v>2142</v>
      </c>
      <c r="D307" s="660"/>
      <c r="E307" s="533">
        <v>1</v>
      </c>
      <c r="F307" s="30" t="s">
        <v>349</v>
      </c>
      <c r="G307" s="30">
        <f>2960*0.9</f>
        <v>2664</v>
      </c>
      <c r="H307" s="30">
        <f t="shared" si="133"/>
        <v>2490.5950372080001</v>
      </c>
      <c r="I307" s="30">
        <f t="shared" si="131"/>
        <v>2490.5950372080001</v>
      </c>
      <c r="J307" s="25">
        <v>1000</v>
      </c>
      <c r="K307" s="25">
        <f t="shared" si="127"/>
        <v>934.90804700000001</v>
      </c>
      <c r="L307" s="25">
        <f t="shared" si="128"/>
        <v>934.90804700000001</v>
      </c>
      <c r="M307" s="25">
        <f>I307+L307</f>
        <v>3425.503084208</v>
      </c>
      <c r="N307" s="26"/>
      <c r="O307" s="663">
        <v>0.93490804699999996</v>
      </c>
    </row>
    <row r="308" spans="1:17" ht="18.95" customHeight="1">
      <c r="A308" s="573"/>
      <c r="B308" s="1179" t="s">
        <v>273</v>
      </c>
      <c r="C308" s="666" t="s">
        <v>2146</v>
      </c>
      <c r="D308" s="660"/>
      <c r="E308" s="533">
        <v>1</v>
      </c>
      <c r="F308" s="30" t="s">
        <v>349</v>
      </c>
      <c r="G308" s="30">
        <v>2664</v>
      </c>
      <c r="H308" s="30">
        <f t="shared" si="133"/>
        <v>2490.5950372080001</v>
      </c>
      <c r="I308" s="30">
        <f t="shared" si="131"/>
        <v>2490.5950372080001</v>
      </c>
      <c r="J308" s="25">
        <v>1000</v>
      </c>
      <c r="K308" s="25">
        <f t="shared" si="127"/>
        <v>934.90804700000001</v>
      </c>
      <c r="L308" s="25">
        <f t="shared" si="128"/>
        <v>934.90804700000001</v>
      </c>
      <c r="M308" s="25">
        <f>I308+L308</f>
        <v>3425.503084208</v>
      </c>
      <c r="N308" s="26"/>
      <c r="O308" s="663">
        <v>0.93490804699999996</v>
      </c>
    </row>
    <row r="309" spans="1:17" ht="18.95" customHeight="1">
      <c r="A309" s="573"/>
      <c r="B309" s="1179" t="s">
        <v>273</v>
      </c>
      <c r="C309" s="666" t="s">
        <v>2148</v>
      </c>
      <c r="D309" s="660"/>
      <c r="E309" s="533">
        <v>1</v>
      </c>
      <c r="F309" s="30" t="s">
        <v>349</v>
      </c>
      <c r="G309" s="30">
        <f>4440*0.9</f>
        <v>3996</v>
      </c>
      <c r="H309" s="30">
        <f t="shared" si="133"/>
        <v>3735.892555812</v>
      </c>
      <c r="I309" s="30">
        <f t="shared" si="131"/>
        <v>3735.892555812</v>
      </c>
      <c r="J309" s="25">
        <v>1000</v>
      </c>
      <c r="K309" s="25">
        <f t="shared" si="127"/>
        <v>934.90804700000001</v>
      </c>
      <c r="L309" s="25">
        <f t="shared" si="128"/>
        <v>934.90804700000001</v>
      </c>
      <c r="M309" s="25">
        <f>I309+L309</f>
        <v>4670.8006028119999</v>
      </c>
      <c r="N309" s="26"/>
      <c r="O309" s="663">
        <v>0.93490804699999996</v>
      </c>
    </row>
    <row r="310" spans="1:17" ht="18.95" customHeight="1">
      <c r="A310" s="667" t="s">
        <v>2162</v>
      </c>
      <c r="B310" s="665" t="s">
        <v>2163</v>
      </c>
      <c r="C310" s="659"/>
      <c r="D310" s="660"/>
      <c r="E310" s="533"/>
      <c r="F310" s="30"/>
      <c r="G310" s="25"/>
      <c r="H310" s="30" t="s">
        <v>151</v>
      </c>
      <c r="I310" s="30" t="s">
        <v>151</v>
      </c>
      <c r="J310" s="25"/>
      <c r="K310" s="25"/>
      <c r="L310" s="25"/>
      <c r="M310" s="25"/>
      <c r="N310" s="26"/>
      <c r="O310" s="663">
        <v>0.93490804699999996</v>
      </c>
    </row>
    <row r="311" spans="1:17" ht="18.95" customHeight="1">
      <c r="A311" s="573"/>
      <c r="B311" s="1179" t="s">
        <v>273</v>
      </c>
      <c r="C311" s="1180" t="s">
        <v>2164</v>
      </c>
      <c r="D311" s="660"/>
      <c r="E311" s="533">
        <f>ROUND(185000*0.5,0)</f>
        <v>92500</v>
      </c>
      <c r="F311" s="1181" t="s">
        <v>286</v>
      </c>
      <c r="G311" s="30">
        <f>ROUND(900.6/100,2)</f>
        <v>9.01</v>
      </c>
      <c r="H311" s="30">
        <f t="shared" si="133"/>
        <v>8.4235215034699991</v>
      </c>
      <c r="I311" s="30">
        <f t="shared" si="131"/>
        <v>779175.73907097487</v>
      </c>
      <c r="J311" s="25">
        <v>7</v>
      </c>
      <c r="K311" s="25">
        <f t="shared" si="127"/>
        <v>6.5443563289999993</v>
      </c>
      <c r="L311" s="25">
        <f t="shared" si="128"/>
        <v>605352.96043249988</v>
      </c>
      <c r="M311" s="25">
        <f>I311+L311</f>
        <v>1384528.6995034749</v>
      </c>
      <c r="N311" s="26"/>
      <c r="O311" s="663">
        <v>0.93490804699999996</v>
      </c>
      <c r="P311" s="157" t="s">
        <v>2165</v>
      </c>
      <c r="Q311" s="157"/>
    </row>
    <row r="312" spans="1:17" ht="18.95" customHeight="1">
      <c r="A312" s="573"/>
      <c r="B312" s="1179" t="s">
        <v>273</v>
      </c>
      <c r="C312" s="1180" t="s">
        <v>2166</v>
      </c>
      <c r="D312" s="660"/>
      <c r="E312" s="533">
        <f>ROUND(141500*0.5,0)</f>
        <v>70750</v>
      </c>
      <c r="F312" s="1181" t="s">
        <v>286</v>
      </c>
      <c r="G312" s="30">
        <f>ROUND(1358.8/100,2)</f>
        <v>13.59</v>
      </c>
      <c r="H312" s="30">
        <f t="shared" si="133"/>
        <v>12.70540035873</v>
      </c>
      <c r="I312" s="30">
        <f t="shared" si="131"/>
        <v>898907.07538014743</v>
      </c>
      <c r="J312" s="25">
        <v>10</v>
      </c>
      <c r="K312" s="25">
        <f t="shared" si="127"/>
        <v>9.3490804700000005</v>
      </c>
      <c r="L312" s="25">
        <f t="shared" si="128"/>
        <v>661447.44325250003</v>
      </c>
      <c r="M312" s="25">
        <f>I312+L312</f>
        <v>1560354.5186326476</v>
      </c>
      <c r="N312" s="26"/>
      <c r="O312" s="663">
        <v>0.93490804699999996</v>
      </c>
      <c r="P312" s="157" t="s">
        <v>2165</v>
      </c>
      <c r="Q312" s="157"/>
    </row>
    <row r="313" spans="1:17" ht="18.95" customHeight="1">
      <c r="A313" s="573"/>
      <c r="B313" s="1179" t="s">
        <v>273</v>
      </c>
      <c r="C313" s="1180" t="s">
        <v>2167</v>
      </c>
      <c r="D313" s="660"/>
      <c r="E313" s="533">
        <v>15200</v>
      </c>
      <c r="F313" s="1181" t="s">
        <v>286</v>
      </c>
      <c r="G313" s="30">
        <f>ROUND(2235.7/100,2)</f>
        <v>22.36</v>
      </c>
      <c r="H313" s="30">
        <f t="shared" si="133"/>
        <v>20.904543930919999</v>
      </c>
      <c r="I313" s="30">
        <f t="shared" si="131"/>
        <v>317749.06774998398</v>
      </c>
      <c r="J313" s="25">
        <v>12</v>
      </c>
      <c r="K313" s="25">
        <f t="shared" si="127"/>
        <v>11.218896564</v>
      </c>
      <c r="L313" s="25">
        <f t="shared" si="128"/>
        <v>170527.22777279999</v>
      </c>
      <c r="M313" s="25">
        <f t="shared" ref="M313:M328" si="134">I313+L313</f>
        <v>488276.295522784</v>
      </c>
      <c r="N313" s="26"/>
      <c r="O313" s="663">
        <v>0.93490804699999996</v>
      </c>
      <c r="P313" s="157" t="s">
        <v>2165</v>
      </c>
      <c r="Q313" s="157"/>
    </row>
    <row r="314" spans="1:17" ht="18.95" customHeight="1">
      <c r="A314" s="573"/>
      <c r="B314" s="1179" t="s">
        <v>273</v>
      </c>
      <c r="C314" s="1180" t="s">
        <v>2168</v>
      </c>
      <c r="D314" s="660"/>
      <c r="E314" s="533">
        <v>1200</v>
      </c>
      <c r="F314" s="1181" t="s">
        <v>286</v>
      </c>
      <c r="G314" s="30">
        <f>ROUND(3894.7/100,2)</f>
        <v>38.950000000000003</v>
      </c>
      <c r="H314" s="30">
        <f t="shared" si="133"/>
        <v>36.414668430650003</v>
      </c>
      <c r="I314" s="30">
        <f t="shared" si="131"/>
        <v>43697.602116780006</v>
      </c>
      <c r="J314" s="25">
        <v>16</v>
      </c>
      <c r="K314" s="25">
        <f t="shared" si="127"/>
        <v>14.958528751999999</v>
      </c>
      <c r="L314" s="25">
        <f t="shared" si="128"/>
        <v>17950.234502399999</v>
      </c>
      <c r="M314" s="25">
        <f t="shared" si="134"/>
        <v>61647.836619180001</v>
      </c>
      <c r="N314" s="26"/>
      <c r="O314" s="663">
        <v>0.93490804699999996</v>
      </c>
      <c r="P314" s="157" t="s">
        <v>2165</v>
      </c>
      <c r="Q314" s="157"/>
    </row>
    <row r="315" spans="1:17" ht="18.95" customHeight="1">
      <c r="A315" s="573"/>
      <c r="B315" s="1179" t="s">
        <v>273</v>
      </c>
      <c r="C315" s="1180" t="s">
        <v>2169</v>
      </c>
      <c r="D315" s="660"/>
      <c r="E315" s="533">
        <v>3500</v>
      </c>
      <c r="F315" s="1181" t="s">
        <v>286</v>
      </c>
      <c r="G315" s="30">
        <f>ROUND(6043.5/100,2)</f>
        <v>60.44</v>
      </c>
      <c r="H315" s="30">
        <f t="shared" si="133"/>
        <v>56.505842360679999</v>
      </c>
      <c r="I315" s="30">
        <f t="shared" si="131"/>
        <v>197770.44826238</v>
      </c>
      <c r="J315" s="25">
        <v>20</v>
      </c>
      <c r="K315" s="25">
        <f t="shared" si="127"/>
        <v>18.698160940000001</v>
      </c>
      <c r="L315" s="25">
        <f t="shared" si="128"/>
        <v>65443.563290000006</v>
      </c>
      <c r="M315" s="25">
        <f t="shared" si="134"/>
        <v>263214.01155237999</v>
      </c>
      <c r="N315" s="26"/>
      <c r="O315" s="663">
        <v>0.93490804699999996</v>
      </c>
      <c r="P315" s="157" t="s">
        <v>2165</v>
      </c>
      <c r="Q315" s="157"/>
    </row>
    <row r="316" spans="1:17" ht="18.95" customHeight="1">
      <c r="A316" s="573"/>
      <c r="B316" s="1179" t="s">
        <v>273</v>
      </c>
      <c r="C316" s="1180" t="s">
        <v>2170</v>
      </c>
      <c r="D316" s="660"/>
      <c r="E316" s="533">
        <v>419</v>
      </c>
      <c r="F316" s="1181" t="s">
        <v>286</v>
      </c>
      <c r="G316" s="30">
        <f>ROUND(9480/100,2)</f>
        <v>94.8</v>
      </c>
      <c r="H316" s="30">
        <f t="shared" si="133"/>
        <v>88.629282855599996</v>
      </c>
      <c r="I316" s="30">
        <f t="shared" si="131"/>
        <v>37135.669516496397</v>
      </c>
      <c r="J316" s="25">
        <v>25</v>
      </c>
      <c r="K316" s="25">
        <f t="shared" si="127"/>
        <v>23.372701175</v>
      </c>
      <c r="L316" s="25">
        <f t="shared" si="128"/>
        <v>9793.1617923249996</v>
      </c>
      <c r="M316" s="25">
        <f t="shared" si="134"/>
        <v>46928.831308821398</v>
      </c>
      <c r="N316" s="26"/>
      <c r="O316" s="663">
        <v>0.93490804699999996</v>
      </c>
      <c r="P316" s="157" t="s">
        <v>2165</v>
      </c>
      <c r="Q316" s="157"/>
    </row>
    <row r="317" spans="1:17" ht="18.95" customHeight="1">
      <c r="A317" s="573"/>
      <c r="B317" s="1179" t="s">
        <v>273</v>
      </c>
      <c r="C317" s="1180" t="s">
        <v>2171</v>
      </c>
      <c r="D317" s="660"/>
      <c r="E317" s="533">
        <v>340</v>
      </c>
      <c r="F317" s="1181" t="s">
        <v>286</v>
      </c>
      <c r="G317" s="30">
        <f>ROUND(12584.7/100,2)</f>
        <v>125.85</v>
      </c>
      <c r="H317" s="30">
        <f t="shared" si="133"/>
        <v>117.65817771494999</v>
      </c>
      <c r="I317" s="30">
        <f t="shared" si="131"/>
        <v>40003.780423082993</v>
      </c>
      <c r="J317" s="25">
        <v>30</v>
      </c>
      <c r="K317" s="25">
        <f t="shared" si="127"/>
        <v>28.047241409999998</v>
      </c>
      <c r="L317" s="25">
        <f t="shared" si="128"/>
        <v>9536.0620793999988</v>
      </c>
      <c r="M317" s="25">
        <f t="shared" si="134"/>
        <v>49539.842502482992</v>
      </c>
      <c r="N317" s="26"/>
      <c r="O317" s="663">
        <v>0.93490804699999996</v>
      </c>
      <c r="P317" s="157" t="s">
        <v>2165</v>
      </c>
      <c r="Q317" s="157"/>
    </row>
    <row r="318" spans="1:17" ht="18.95" customHeight="1">
      <c r="A318" s="573"/>
      <c r="B318" s="1179" t="s">
        <v>273</v>
      </c>
      <c r="C318" s="1180" t="s">
        <v>2172</v>
      </c>
      <c r="D318" s="660"/>
      <c r="E318" s="533">
        <v>1007</v>
      </c>
      <c r="F318" s="1181" t="s">
        <v>286</v>
      </c>
      <c r="G318" s="30">
        <f>ROUND(18106.8/100,2)</f>
        <v>181.07</v>
      </c>
      <c r="H318" s="30">
        <f t="shared" si="133"/>
        <v>169.28380007029</v>
      </c>
      <c r="I318" s="30">
        <f t="shared" si="131"/>
        <v>170468.78667078202</v>
      </c>
      <c r="J318" s="25">
        <v>40</v>
      </c>
      <c r="K318" s="25">
        <f t="shared" si="127"/>
        <v>37.396321880000002</v>
      </c>
      <c r="L318" s="25">
        <f t="shared" si="128"/>
        <v>37658.096133160005</v>
      </c>
      <c r="M318" s="25">
        <f t="shared" si="134"/>
        <v>208126.88280394202</v>
      </c>
      <c r="N318" s="26"/>
      <c r="O318" s="663">
        <v>0.93490804699999996</v>
      </c>
      <c r="P318" s="157" t="s">
        <v>2165</v>
      </c>
      <c r="Q318" s="157"/>
    </row>
    <row r="319" spans="1:17" ht="18.95" customHeight="1">
      <c r="A319" s="573"/>
      <c r="B319" s="1179" t="s">
        <v>273</v>
      </c>
      <c r="C319" s="1180" t="s">
        <v>1994</v>
      </c>
      <c r="D319" s="660"/>
      <c r="E319" s="533">
        <v>184</v>
      </c>
      <c r="F319" s="1181" t="s">
        <v>286</v>
      </c>
      <c r="G319" s="30">
        <f>ROUND(25888.3/100,2)</f>
        <v>258.88</v>
      </c>
      <c r="H319" s="30">
        <f t="shared" si="133"/>
        <v>242.02899520736</v>
      </c>
      <c r="I319" s="30">
        <f t="shared" si="131"/>
        <v>44533.335118154238</v>
      </c>
      <c r="J319" s="25">
        <v>45</v>
      </c>
      <c r="K319" s="25">
        <f t="shared" si="127"/>
        <v>42.070862114999997</v>
      </c>
      <c r="L319" s="25">
        <f t="shared" si="128"/>
        <v>7741.0386291599998</v>
      </c>
      <c r="M319" s="25">
        <f t="shared" si="134"/>
        <v>52274.373747314239</v>
      </c>
      <c r="N319" s="26"/>
      <c r="O319" s="663">
        <v>0.93490804699999996</v>
      </c>
      <c r="P319" s="157" t="s">
        <v>2165</v>
      </c>
      <c r="Q319" s="157"/>
    </row>
    <row r="320" spans="1:17" ht="18.95" customHeight="1">
      <c r="A320" s="573"/>
      <c r="B320" s="1179" t="s">
        <v>273</v>
      </c>
      <c r="C320" s="1180" t="s">
        <v>2173</v>
      </c>
      <c r="D320" s="660"/>
      <c r="E320" s="533">
        <v>428</v>
      </c>
      <c r="F320" s="1181" t="s">
        <v>286</v>
      </c>
      <c r="G320" s="30">
        <f>ROUND(35668.5/100,2)</f>
        <v>356.69</v>
      </c>
      <c r="H320" s="30">
        <f t="shared" si="133"/>
        <v>333.47235128442998</v>
      </c>
      <c r="I320" s="30">
        <f t="shared" si="131"/>
        <v>142726.16634973604</v>
      </c>
      <c r="J320" s="25">
        <v>55</v>
      </c>
      <c r="K320" s="25">
        <f t="shared" si="127"/>
        <v>51.419942585000001</v>
      </c>
      <c r="L320" s="25">
        <f t="shared" si="128"/>
        <v>22007.735426380001</v>
      </c>
      <c r="M320" s="25">
        <f t="shared" si="134"/>
        <v>164733.90177611605</v>
      </c>
      <c r="N320" s="26"/>
      <c r="O320" s="663">
        <v>0.93490804699999996</v>
      </c>
      <c r="P320" s="157" t="s">
        <v>2165</v>
      </c>
      <c r="Q320" s="157"/>
    </row>
    <row r="321" spans="1:17" ht="18.95" customHeight="1">
      <c r="A321" s="667"/>
      <c r="B321" s="665" t="s">
        <v>2174</v>
      </c>
      <c r="C321" s="659"/>
      <c r="D321" s="660"/>
      <c r="E321" s="533"/>
      <c r="F321" s="30"/>
      <c r="G321" s="25"/>
      <c r="H321" s="30" t="s">
        <v>151</v>
      </c>
      <c r="I321" s="30" t="s">
        <v>151</v>
      </c>
      <c r="J321" s="25"/>
      <c r="K321" s="25"/>
      <c r="L321" s="25"/>
      <c r="M321" s="25"/>
      <c r="N321" s="26"/>
      <c r="O321" s="663">
        <v>0.93490804699999996</v>
      </c>
      <c r="Q321" s="157"/>
    </row>
    <row r="322" spans="1:17" ht="18.95" customHeight="1">
      <c r="A322" s="668"/>
      <c r="B322" s="1183" t="s">
        <v>273</v>
      </c>
      <c r="C322" s="1184" t="s">
        <v>2170</v>
      </c>
      <c r="D322" s="669"/>
      <c r="E322" s="664">
        <v>18</v>
      </c>
      <c r="F322" s="1185" t="s">
        <v>286</v>
      </c>
      <c r="G322" s="242">
        <v>86</v>
      </c>
      <c r="H322" s="30">
        <f t="shared" si="133"/>
        <v>80.402092041999992</v>
      </c>
      <c r="I322" s="30">
        <f t="shared" si="131"/>
        <v>1447.237656756</v>
      </c>
      <c r="J322" s="242">
        <v>30</v>
      </c>
      <c r="K322" s="25">
        <f t="shared" ref="K322:K343" si="135">J322*O322</f>
        <v>28.047241409999998</v>
      </c>
      <c r="L322" s="25">
        <f t="shared" si="128"/>
        <v>504.85034537999996</v>
      </c>
      <c r="M322" s="242">
        <f t="shared" ref="M322:M324" si="136">I322+L322</f>
        <v>1952.0880021359999</v>
      </c>
      <c r="N322" s="26"/>
      <c r="O322" s="663">
        <v>0.93490804699999996</v>
      </c>
      <c r="Q322" s="157"/>
    </row>
    <row r="323" spans="1:17" ht="18.95" customHeight="1">
      <c r="A323" s="573"/>
      <c r="B323" s="1179" t="s">
        <v>273</v>
      </c>
      <c r="C323" s="1180" t="s">
        <v>2172</v>
      </c>
      <c r="D323" s="660"/>
      <c r="E323" s="533">
        <v>105</v>
      </c>
      <c r="F323" s="1181" t="s">
        <v>286</v>
      </c>
      <c r="G323" s="30">
        <v>165</v>
      </c>
      <c r="H323" s="30">
        <f t="shared" si="133"/>
        <v>154.259827755</v>
      </c>
      <c r="I323" s="30">
        <f t="shared" si="131"/>
        <v>16197.281914275</v>
      </c>
      <c r="J323" s="25">
        <v>45</v>
      </c>
      <c r="K323" s="25">
        <f t="shared" si="135"/>
        <v>42.070862114999997</v>
      </c>
      <c r="L323" s="25">
        <f t="shared" si="128"/>
        <v>4417.4405220749995</v>
      </c>
      <c r="M323" s="25">
        <f t="shared" si="136"/>
        <v>20614.722436349999</v>
      </c>
      <c r="N323" s="26"/>
      <c r="O323" s="663">
        <v>0.93490804699999996</v>
      </c>
      <c r="Q323" s="157"/>
    </row>
    <row r="324" spans="1:17" ht="18.95" customHeight="1">
      <c r="A324" s="573"/>
      <c r="B324" s="1179" t="s">
        <v>273</v>
      </c>
      <c r="C324" s="1180" t="s">
        <v>2173</v>
      </c>
      <c r="D324" s="660"/>
      <c r="E324" s="533">
        <v>41</v>
      </c>
      <c r="F324" s="1181" t="s">
        <v>286</v>
      </c>
      <c r="G324" s="30">
        <v>318</v>
      </c>
      <c r="H324" s="30">
        <f t="shared" si="133"/>
        <v>297.30075894599997</v>
      </c>
      <c r="I324" s="30">
        <f t="shared" si="131"/>
        <v>12189.331116785999</v>
      </c>
      <c r="J324" s="25">
        <v>55</v>
      </c>
      <c r="K324" s="25">
        <f t="shared" si="135"/>
        <v>51.419942585000001</v>
      </c>
      <c r="L324" s="25">
        <f t="shared" si="128"/>
        <v>2108.2176459850002</v>
      </c>
      <c r="M324" s="25">
        <f t="shared" si="136"/>
        <v>14297.548762770999</v>
      </c>
      <c r="N324" s="26"/>
      <c r="O324" s="663">
        <v>0.93490804699999996</v>
      </c>
      <c r="Q324" s="157"/>
    </row>
    <row r="325" spans="1:17" ht="18.95" customHeight="1">
      <c r="A325" s="573"/>
      <c r="B325" s="1179" t="s">
        <v>273</v>
      </c>
      <c r="C325" s="1180" t="s">
        <v>2175</v>
      </c>
      <c r="D325" s="660"/>
      <c r="E325" s="533">
        <v>110</v>
      </c>
      <c r="F325" s="1181" t="s">
        <v>286</v>
      </c>
      <c r="G325" s="30">
        <v>403</v>
      </c>
      <c r="H325" s="30">
        <f t="shared" si="133"/>
        <v>376.767942941</v>
      </c>
      <c r="I325" s="30">
        <f t="shared" si="131"/>
        <v>41444.473723510004</v>
      </c>
      <c r="J325" s="25">
        <v>65</v>
      </c>
      <c r="K325" s="25">
        <f t="shared" si="135"/>
        <v>60.769023054999998</v>
      </c>
      <c r="L325" s="25">
        <f t="shared" si="128"/>
        <v>6684.5925360499996</v>
      </c>
      <c r="M325" s="25">
        <f t="shared" si="134"/>
        <v>48129.066259560001</v>
      </c>
      <c r="N325" s="26"/>
      <c r="O325" s="663">
        <v>0.93490804699999996</v>
      </c>
      <c r="Q325" s="157"/>
    </row>
    <row r="326" spans="1:17" ht="18.95" customHeight="1">
      <c r="A326" s="573"/>
      <c r="B326" s="1179" t="s">
        <v>273</v>
      </c>
      <c r="C326" s="1180" t="s">
        <v>2176</v>
      </c>
      <c r="D326" s="660"/>
      <c r="E326" s="533"/>
      <c r="F326" s="1181" t="s">
        <v>286</v>
      </c>
      <c r="G326" s="30">
        <v>727</v>
      </c>
      <c r="H326" s="30">
        <f t="shared" si="133"/>
        <v>679.67815016899999</v>
      </c>
      <c r="I326" s="30">
        <f t="shared" si="131"/>
        <v>0</v>
      </c>
      <c r="J326" s="25">
        <v>70</v>
      </c>
      <c r="K326" s="25">
        <f t="shared" si="135"/>
        <v>65.44356329</v>
      </c>
      <c r="L326" s="25">
        <f t="shared" si="128"/>
        <v>0</v>
      </c>
      <c r="M326" s="25">
        <f t="shared" si="134"/>
        <v>0</v>
      </c>
      <c r="N326" s="26"/>
      <c r="O326" s="663">
        <v>0.93490804699999996</v>
      </c>
      <c r="Q326" s="157"/>
    </row>
    <row r="327" spans="1:17" ht="18.95" customHeight="1">
      <c r="A327" s="573"/>
      <c r="B327" s="1179" t="s">
        <v>273</v>
      </c>
      <c r="C327" s="1180" t="s">
        <v>2177</v>
      </c>
      <c r="D327" s="660"/>
      <c r="E327" s="533"/>
      <c r="F327" s="1181" t="s">
        <v>286</v>
      </c>
      <c r="G327" s="30">
        <v>908</v>
      </c>
      <c r="H327" s="30">
        <f t="shared" si="133"/>
        <v>848.89650667599994</v>
      </c>
      <c r="I327" s="30">
        <f t="shared" si="131"/>
        <v>0</v>
      </c>
      <c r="J327" s="25">
        <v>85</v>
      </c>
      <c r="K327" s="25">
        <f t="shared" si="135"/>
        <v>79.467183994999999</v>
      </c>
      <c r="L327" s="25">
        <f t="shared" si="128"/>
        <v>0</v>
      </c>
      <c r="M327" s="25">
        <f t="shared" si="134"/>
        <v>0</v>
      </c>
      <c r="N327" s="26"/>
      <c r="O327" s="663">
        <v>0.93490804699999996</v>
      </c>
      <c r="Q327" s="157"/>
    </row>
    <row r="328" spans="1:17" ht="18.95" customHeight="1">
      <c r="A328" s="573"/>
      <c r="B328" s="1179" t="s">
        <v>273</v>
      </c>
      <c r="C328" s="1180" t="s">
        <v>1995</v>
      </c>
      <c r="D328" s="660"/>
      <c r="E328" s="533">
        <v>2050</v>
      </c>
      <c r="F328" s="1181" t="s">
        <v>286</v>
      </c>
      <c r="G328" s="30">
        <v>808</v>
      </c>
      <c r="H328" s="30">
        <f t="shared" si="133"/>
        <v>755.40570197599993</v>
      </c>
      <c r="I328" s="30">
        <f t="shared" si="131"/>
        <v>1548581.6890507999</v>
      </c>
      <c r="J328" s="25">
        <v>100</v>
      </c>
      <c r="K328" s="25">
        <f t="shared" si="135"/>
        <v>93.490804699999998</v>
      </c>
      <c r="L328" s="25">
        <f t="shared" si="128"/>
        <v>191656.14963500001</v>
      </c>
      <c r="M328" s="25">
        <f t="shared" si="134"/>
        <v>1740237.8386857999</v>
      </c>
      <c r="N328" s="26"/>
      <c r="O328" s="663">
        <v>0.93490804699999996</v>
      </c>
      <c r="Q328" s="157"/>
    </row>
    <row r="329" spans="1:17" ht="18.95" customHeight="1">
      <c r="A329" s="573" t="s">
        <v>2178</v>
      </c>
      <c r="B329" s="665" t="s">
        <v>2179</v>
      </c>
      <c r="C329" s="659"/>
      <c r="D329" s="660"/>
      <c r="E329" s="533"/>
      <c r="F329" s="30"/>
      <c r="G329" s="25"/>
      <c r="H329" s="30" t="s">
        <v>151</v>
      </c>
      <c r="I329" s="30" t="s">
        <v>151</v>
      </c>
      <c r="J329" s="25"/>
      <c r="K329" s="25"/>
      <c r="L329" s="25"/>
      <c r="M329" s="25"/>
      <c r="N329" s="26"/>
      <c r="O329" s="663">
        <v>0.93490804699999996</v>
      </c>
      <c r="Q329" s="157"/>
    </row>
    <row r="330" spans="1:17" ht="18.95" customHeight="1">
      <c r="A330" s="573"/>
      <c r="B330" s="1179" t="s">
        <v>273</v>
      </c>
      <c r="C330" s="1180" t="s">
        <v>2180</v>
      </c>
      <c r="D330" s="660"/>
      <c r="E330" s="533">
        <v>489</v>
      </c>
      <c r="F330" s="1181" t="s">
        <v>286</v>
      </c>
      <c r="G330" s="30">
        <f>ROUND(5927.04/100,2)</f>
        <v>59.27</v>
      </c>
      <c r="H330" s="30">
        <f t="shared" si="133"/>
        <v>55.411999945689999</v>
      </c>
      <c r="I330" s="30">
        <f t="shared" si="131"/>
        <v>27096.46797344241</v>
      </c>
      <c r="J330" s="25">
        <v>20</v>
      </c>
      <c r="K330" s="25">
        <f t="shared" si="135"/>
        <v>18.698160940000001</v>
      </c>
      <c r="L330" s="25">
        <f t="shared" si="128"/>
        <v>9143.4006996600001</v>
      </c>
      <c r="M330" s="25">
        <f>I330+L330</f>
        <v>36239.868673102406</v>
      </c>
      <c r="N330" s="26"/>
      <c r="O330" s="663">
        <v>0.93490804699999996</v>
      </c>
      <c r="P330" s="157" t="s">
        <v>2165</v>
      </c>
      <c r="Q330" s="157"/>
    </row>
    <row r="331" spans="1:17" ht="18.95" customHeight="1">
      <c r="A331" s="573"/>
      <c r="B331" s="1179" t="s">
        <v>273</v>
      </c>
      <c r="C331" s="1180" t="s">
        <v>2181</v>
      </c>
      <c r="D331" s="660"/>
      <c r="E331" s="533">
        <v>450</v>
      </c>
      <c r="F331" s="1181" t="s">
        <v>286</v>
      </c>
      <c r="G331" s="30">
        <f>ROUND(7106.4/100,2)</f>
        <v>71.06</v>
      </c>
      <c r="H331" s="30">
        <f t="shared" si="133"/>
        <v>66.434565819819994</v>
      </c>
      <c r="I331" s="30">
        <f t="shared" si="131"/>
        <v>29895.554618918999</v>
      </c>
      <c r="J331" s="25">
        <v>22</v>
      </c>
      <c r="K331" s="25">
        <f t="shared" si="135"/>
        <v>20.567977033999998</v>
      </c>
      <c r="L331" s="25">
        <f t="shared" si="128"/>
        <v>9255.5896653</v>
      </c>
      <c r="M331" s="25">
        <f>I331+L331</f>
        <v>39151.144284219001</v>
      </c>
      <c r="N331" s="26"/>
      <c r="O331" s="663">
        <v>0.93490804699999996</v>
      </c>
      <c r="P331" s="157" t="s">
        <v>2165</v>
      </c>
      <c r="Q331" s="157"/>
    </row>
    <row r="332" spans="1:17" ht="18.95" customHeight="1">
      <c r="A332" s="573" t="s">
        <v>2182</v>
      </c>
      <c r="B332" s="665" t="s">
        <v>2183</v>
      </c>
      <c r="C332" s="659"/>
      <c r="D332" s="660"/>
      <c r="E332" s="533"/>
      <c r="F332" s="30"/>
      <c r="G332" s="25"/>
      <c r="H332" s="30" t="s">
        <v>151</v>
      </c>
      <c r="I332" s="30" t="s">
        <v>151</v>
      </c>
      <c r="J332" s="25"/>
      <c r="K332" s="25"/>
      <c r="L332" s="25"/>
      <c r="M332" s="25"/>
      <c r="N332" s="26"/>
      <c r="O332" s="663">
        <v>0.93490804699999996</v>
      </c>
    </row>
    <row r="333" spans="1:17" ht="18.95" customHeight="1">
      <c r="A333" s="573"/>
      <c r="B333" s="1179" t="s">
        <v>273</v>
      </c>
      <c r="C333" s="1180" t="s">
        <v>2184</v>
      </c>
      <c r="D333" s="660"/>
      <c r="E333" s="533">
        <v>1450</v>
      </c>
      <c r="F333" s="1181" t="s">
        <v>286</v>
      </c>
      <c r="G333" s="30">
        <v>34</v>
      </c>
      <c r="H333" s="30">
        <f t="shared" si="133"/>
        <v>31.786873598</v>
      </c>
      <c r="I333" s="30">
        <f t="shared" si="131"/>
        <v>46090.966717099996</v>
      </c>
      <c r="J333" s="25">
        <v>14</v>
      </c>
      <c r="K333" s="25">
        <f t="shared" si="135"/>
        <v>13.088712657999999</v>
      </c>
      <c r="L333" s="25">
        <f t="shared" si="128"/>
        <v>18978.633354099999</v>
      </c>
      <c r="M333" s="25">
        <f t="shared" ref="M333:M338" si="137">I333+L333</f>
        <v>65069.600071199995</v>
      </c>
      <c r="N333" s="26"/>
      <c r="O333" s="663">
        <v>0.93490804699999996</v>
      </c>
    </row>
    <row r="334" spans="1:17" ht="18.95" customHeight="1">
      <c r="A334" s="573"/>
      <c r="B334" s="1179" t="s">
        <v>273</v>
      </c>
      <c r="C334" s="1180" t="s">
        <v>2180</v>
      </c>
      <c r="D334" s="660"/>
      <c r="E334" s="533">
        <v>232</v>
      </c>
      <c r="F334" s="1181" t="s">
        <v>286</v>
      </c>
      <c r="G334" s="30">
        <v>50</v>
      </c>
      <c r="H334" s="30">
        <f t="shared" si="133"/>
        <v>46.745402349999999</v>
      </c>
      <c r="I334" s="30">
        <f t="shared" si="131"/>
        <v>10844.933345199999</v>
      </c>
      <c r="J334" s="25">
        <v>16</v>
      </c>
      <c r="K334" s="25">
        <f t="shared" si="135"/>
        <v>14.958528751999999</v>
      </c>
      <c r="L334" s="25">
        <f t="shared" si="128"/>
        <v>3470.3786704639997</v>
      </c>
      <c r="M334" s="25">
        <f t="shared" si="137"/>
        <v>14315.312015664</v>
      </c>
      <c r="N334" s="26"/>
      <c r="O334" s="663">
        <v>0.93490804699999996</v>
      </c>
    </row>
    <row r="335" spans="1:17" ht="18.95" customHeight="1">
      <c r="A335" s="573"/>
      <c r="B335" s="1179" t="s">
        <v>273</v>
      </c>
      <c r="C335" s="1180" t="s">
        <v>2181</v>
      </c>
      <c r="D335" s="660"/>
      <c r="E335" s="533">
        <v>421</v>
      </c>
      <c r="F335" s="1181" t="s">
        <v>286</v>
      </c>
      <c r="G335" s="384"/>
      <c r="H335" s="30" t="s">
        <v>151</v>
      </c>
      <c r="I335" s="30" t="s">
        <v>151</v>
      </c>
      <c r="J335" s="242"/>
      <c r="K335" s="25" t="s">
        <v>151</v>
      </c>
      <c r="L335" s="25" t="s">
        <v>151</v>
      </c>
      <c r="M335" s="242"/>
      <c r="N335" s="26"/>
      <c r="O335" s="663">
        <v>0.93490804699999996</v>
      </c>
    </row>
    <row r="336" spans="1:17" ht="18.95" customHeight="1">
      <c r="A336" s="573"/>
      <c r="B336" s="1179" t="s">
        <v>273</v>
      </c>
      <c r="C336" s="1180" t="s">
        <v>2185</v>
      </c>
      <c r="D336" s="660"/>
      <c r="E336" s="533">
        <v>307</v>
      </c>
      <c r="F336" s="1181" t="s">
        <v>286</v>
      </c>
      <c r="G336" s="384">
        <v>104</v>
      </c>
      <c r="H336" s="30">
        <f t="shared" si="133"/>
        <v>97.230436888</v>
      </c>
      <c r="I336" s="30">
        <f t="shared" si="131"/>
        <v>29849.744124616001</v>
      </c>
      <c r="J336" s="242">
        <v>30</v>
      </c>
      <c r="K336" s="25">
        <f t="shared" si="135"/>
        <v>28.047241409999998</v>
      </c>
      <c r="L336" s="25">
        <f t="shared" si="128"/>
        <v>8610.5031128699993</v>
      </c>
      <c r="M336" s="242">
        <f t="shared" si="137"/>
        <v>38460.247237486001</v>
      </c>
      <c r="N336" s="26"/>
      <c r="O336" s="663">
        <v>0.93490804699999996</v>
      </c>
    </row>
    <row r="337" spans="1:17" ht="18.95" customHeight="1">
      <c r="A337" s="573"/>
      <c r="B337" s="654"/>
      <c r="C337" s="1180" t="s">
        <v>2186</v>
      </c>
      <c r="D337" s="660"/>
      <c r="E337" s="533">
        <v>1684</v>
      </c>
      <c r="F337" s="1181" t="s">
        <v>286</v>
      </c>
      <c r="G337" s="384"/>
      <c r="H337" s="30" t="s">
        <v>151</v>
      </c>
      <c r="I337" s="30" t="s">
        <v>151</v>
      </c>
      <c r="J337" s="242"/>
      <c r="K337" s="25" t="s">
        <v>151</v>
      </c>
      <c r="L337" s="242"/>
      <c r="M337" s="242"/>
      <c r="N337" s="26"/>
      <c r="O337" s="663">
        <v>0.93490804699999996</v>
      </c>
    </row>
    <row r="338" spans="1:17" ht="18.95" customHeight="1">
      <c r="A338" s="573"/>
      <c r="B338" s="1179" t="s">
        <v>273</v>
      </c>
      <c r="C338" s="1180" t="s">
        <v>2187</v>
      </c>
      <c r="D338" s="660"/>
      <c r="E338" s="533">
        <v>1228</v>
      </c>
      <c r="F338" s="1181" t="s">
        <v>286</v>
      </c>
      <c r="G338" s="30">
        <v>380</v>
      </c>
      <c r="H338" s="30">
        <f t="shared" si="133"/>
        <v>355.26505786000001</v>
      </c>
      <c r="I338" s="30">
        <f t="shared" si="131"/>
        <v>436265.49105208</v>
      </c>
      <c r="J338" s="25">
        <v>60</v>
      </c>
      <c r="K338" s="25">
        <f t="shared" si="135"/>
        <v>56.094482819999996</v>
      </c>
      <c r="L338" s="25">
        <f t="shared" si="128"/>
        <v>68884.024902959995</v>
      </c>
      <c r="M338" s="25">
        <f t="shared" si="137"/>
        <v>505149.51595504</v>
      </c>
      <c r="N338" s="26"/>
      <c r="O338" s="663">
        <v>0.93490804699999996</v>
      </c>
    </row>
    <row r="339" spans="1:17" ht="18.95" customHeight="1">
      <c r="A339" s="667" t="s">
        <v>2188</v>
      </c>
      <c r="B339" s="665" t="s">
        <v>2189</v>
      </c>
      <c r="C339" s="659"/>
      <c r="D339" s="660"/>
      <c r="E339" s="533"/>
      <c r="F339" s="30"/>
      <c r="G339" s="25"/>
      <c r="H339" s="30" t="s">
        <v>151</v>
      </c>
      <c r="I339" s="30" t="s">
        <v>151</v>
      </c>
      <c r="J339" s="25"/>
      <c r="K339" s="25" t="s">
        <v>151</v>
      </c>
      <c r="L339" s="25" t="s">
        <v>151</v>
      </c>
      <c r="M339" s="25"/>
      <c r="N339" s="26"/>
      <c r="O339" s="663">
        <v>0.93490804699999996</v>
      </c>
    </row>
    <row r="340" spans="1:17" ht="18.95" customHeight="1">
      <c r="A340" s="573"/>
      <c r="B340" s="1179" t="s">
        <v>273</v>
      </c>
      <c r="C340" s="1180" t="s">
        <v>2190</v>
      </c>
      <c r="D340" s="660"/>
      <c r="E340" s="533">
        <v>5000</v>
      </c>
      <c r="F340" s="1181" t="s">
        <v>286</v>
      </c>
      <c r="G340" s="30">
        <v>18</v>
      </c>
      <c r="H340" s="30">
        <f t="shared" si="133"/>
        <v>16.828344846</v>
      </c>
      <c r="I340" s="30">
        <f t="shared" si="131"/>
        <v>84141.724230000007</v>
      </c>
      <c r="J340" s="25">
        <v>8</v>
      </c>
      <c r="K340" s="25">
        <f t="shared" si="135"/>
        <v>7.4792643759999997</v>
      </c>
      <c r="L340" s="25">
        <f t="shared" si="128"/>
        <v>37396.321879999996</v>
      </c>
      <c r="M340" s="25">
        <f>I340+L340</f>
        <v>121538.04611</v>
      </c>
      <c r="N340" s="26"/>
      <c r="O340" s="663">
        <v>0.93490804699999996</v>
      </c>
    </row>
    <row r="341" spans="1:17" ht="18.95" customHeight="1">
      <c r="A341" s="573"/>
      <c r="B341" s="1179" t="s">
        <v>273</v>
      </c>
      <c r="C341" s="1180" t="s">
        <v>2191</v>
      </c>
      <c r="D341" s="660"/>
      <c r="E341" s="533">
        <v>5000</v>
      </c>
      <c r="F341" s="1181" t="s">
        <v>286</v>
      </c>
      <c r="G341" s="30">
        <v>24</v>
      </c>
      <c r="H341" s="30">
        <f t="shared" si="133"/>
        <v>22.437793127999999</v>
      </c>
      <c r="I341" s="30">
        <f t="shared" si="131"/>
        <v>112188.96563999999</v>
      </c>
      <c r="J341" s="25">
        <v>12</v>
      </c>
      <c r="K341" s="25">
        <f t="shared" si="135"/>
        <v>11.218896564</v>
      </c>
      <c r="L341" s="25">
        <f t="shared" si="128"/>
        <v>56094.482819999997</v>
      </c>
      <c r="M341" s="25">
        <f>I341+L341</f>
        <v>168283.44845999999</v>
      </c>
      <c r="N341" s="26"/>
      <c r="O341" s="663">
        <v>0.93490804699999996</v>
      </c>
    </row>
    <row r="342" spans="1:17" ht="18.95" customHeight="1">
      <c r="A342" s="573"/>
      <c r="B342" s="1179" t="s">
        <v>273</v>
      </c>
      <c r="C342" s="1180" t="s">
        <v>2180</v>
      </c>
      <c r="D342" s="660"/>
      <c r="E342" s="533">
        <v>2500</v>
      </c>
      <c r="F342" s="1181" t="s">
        <v>286</v>
      </c>
      <c r="G342" s="30">
        <v>50</v>
      </c>
      <c r="H342" s="30">
        <f t="shared" si="133"/>
        <v>46.745402349999999</v>
      </c>
      <c r="I342" s="30">
        <f t="shared" si="131"/>
        <v>116863.505875</v>
      </c>
      <c r="J342" s="25">
        <v>14</v>
      </c>
      <c r="K342" s="25">
        <f t="shared" si="135"/>
        <v>13.088712657999999</v>
      </c>
      <c r="L342" s="25">
        <f t="shared" si="128"/>
        <v>32721.781644999995</v>
      </c>
      <c r="M342" s="25">
        <f>I342+L342</f>
        <v>149585.28752000001</v>
      </c>
      <c r="N342" s="26"/>
      <c r="O342" s="663">
        <v>0.93490804699999996</v>
      </c>
    </row>
    <row r="343" spans="1:17" ht="18.95" customHeight="1">
      <c r="A343" s="573"/>
      <c r="B343" s="1179" t="s">
        <v>273</v>
      </c>
      <c r="C343" s="1180" t="s">
        <v>2181</v>
      </c>
      <c r="D343" s="660"/>
      <c r="E343" s="533">
        <v>12000</v>
      </c>
      <c r="F343" s="1181" t="s">
        <v>286</v>
      </c>
      <c r="G343" s="30">
        <v>55</v>
      </c>
      <c r="H343" s="30">
        <f t="shared" si="133"/>
        <v>51.419942585000001</v>
      </c>
      <c r="I343" s="30">
        <f t="shared" si="131"/>
        <v>617039.31102000002</v>
      </c>
      <c r="J343" s="25">
        <v>18</v>
      </c>
      <c r="K343" s="25">
        <f t="shared" si="135"/>
        <v>16.828344846</v>
      </c>
      <c r="L343" s="25">
        <f t="shared" si="128"/>
        <v>201940.138152</v>
      </c>
      <c r="M343" s="25">
        <f>I343+L343</f>
        <v>818979.44917200005</v>
      </c>
      <c r="N343" s="26"/>
      <c r="O343" s="663">
        <v>0.93490804699999996</v>
      </c>
    </row>
    <row r="344" spans="1:17" ht="18.95" customHeight="1">
      <c r="A344" s="667">
        <v>6.3</v>
      </c>
      <c r="B344" s="665" t="s">
        <v>2192</v>
      </c>
      <c r="C344" s="659"/>
      <c r="D344" s="660"/>
      <c r="E344" s="533">
        <v>1</v>
      </c>
      <c r="F344" s="30" t="s">
        <v>2193</v>
      </c>
      <c r="G344" s="670">
        <f>SUM(I311:I343)*0.05</f>
        <v>290115.21743585006</v>
      </c>
      <c r="H344" s="384">
        <f>G344</f>
        <v>290115.21743585006</v>
      </c>
      <c r="I344" s="30">
        <f>ROUNDDOWN(E344*G344,2)</f>
        <v>290115.21000000002</v>
      </c>
      <c r="J344" s="676">
        <f>G344*0.3</f>
        <v>87034.565230755019</v>
      </c>
      <c r="K344" s="25">
        <f>J344</f>
        <v>87034.565230755019</v>
      </c>
      <c r="L344" s="25">
        <f t="shared" si="128"/>
        <v>87034.565230755019</v>
      </c>
      <c r="M344" s="25">
        <f>I344+L344</f>
        <v>377149.77523075504</v>
      </c>
      <c r="N344" s="26"/>
      <c r="O344" s="663">
        <v>0.93490804699999996</v>
      </c>
    </row>
    <row r="345" spans="1:17" ht="18.95" customHeight="1">
      <c r="A345" s="645"/>
      <c r="B345" s="1275" t="s">
        <v>2194</v>
      </c>
      <c r="C345" s="1276"/>
      <c r="D345" s="1277"/>
      <c r="E345" s="646"/>
      <c r="F345" s="102"/>
      <c r="G345" s="34"/>
      <c r="H345" s="34"/>
      <c r="I345" s="34">
        <f>SUM(I283:I344)</f>
        <v>11523544.73634864</v>
      </c>
      <c r="J345" s="34"/>
      <c r="K345" s="34"/>
      <c r="L345" s="34">
        <f>SUM(L283:L344)</f>
        <v>2882715.3406921239</v>
      </c>
      <c r="M345" s="34">
        <f>SUM(M283:M344)</f>
        <v>14406260.077040758</v>
      </c>
      <c r="N345" s="35"/>
      <c r="O345" s="663">
        <v>0.93490804699999996</v>
      </c>
    </row>
    <row r="346" spans="1:17" ht="18.95" customHeight="1">
      <c r="A346" s="645"/>
      <c r="B346" s="256"/>
      <c r="C346" s="647"/>
      <c r="D346" s="258"/>
      <c r="E346" s="646"/>
      <c r="F346" s="102"/>
      <c r="G346" s="34"/>
      <c r="H346" s="34"/>
      <c r="I346" s="34"/>
      <c r="J346" s="34"/>
      <c r="K346" s="34"/>
      <c r="L346" s="34"/>
      <c r="M346" s="34"/>
      <c r="N346" s="35"/>
      <c r="O346" s="663">
        <v>0.93490804699999996</v>
      </c>
    </row>
    <row r="347" spans="1:17" ht="18.95" customHeight="1">
      <c r="A347" s="648">
        <v>7</v>
      </c>
      <c r="B347" s="1182" t="s">
        <v>1978</v>
      </c>
      <c r="C347" s="650"/>
      <c r="D347" s="412"/>
      <c r="E347" s="646"/>
      <c r="F347" s="102"/>
      <c r="G347" s="34"/>
      <c r="H347" s="34"/>
      <c r="I347" s="34"/>
      <c r="J347" s="102"/>
      <c r="K347" s="102"/>
      <c r="L347" s="34"/>
      <c r="M347" s="102"/>
      <c r="N347" s="35"/>
      <c r="O347" s="663">
        <v>0.93490804699999996</v>
      </c>
    </row>
    <row r="348" spans="1:17" ht="18.95" customHeight="1">
      <c r="A348" s="651">
        <v>7.1</v>
      </c>
      <c r="B348" s="652" t="s">
        <v>2195</v>
      </c>
      <c r="C348" s="653"/>
      <c r="D348" s="412"/>
      <c r="E348" s="533"/>
      <c r="F348" s="30"/>
      <c r="G348" s="30"/>
      <c r="H348" s="30"/>
      <c r="I348" s="30"/>
      <c r="J348" s="25"/>
      <c r="K348" s="25"/>
      <c r="L348" s="25"/>
      <c r="M348" s="25"/>
      <c r="N348" s="26"/>
      <c r="O348" s="663">
        <v>0.93490804699999996</v>
      </c>
    </row>
    <row r="349" spans="1:17" ht="18.95" customHeight="1">
      <c r="A349" s="651"/>
      <c r="B349" s="1179" t="s">
        <v>273</v>
      </c>
      <c r="C349" s="661" t="s">
        <v>2196</v>
      </c>
      <c r="D349" s="660"/>
      <c r="E349" s="533">
        <f>ROUND(50000*0.7,0)</f>
        <v>35000</v>
      </c>
      <c r="F349" s="1181" t="s">
        <v>286</v>
      </c>
      <c r="G349" s="30">
        <f>ROUND(93.1/3,2)</f>
        <v>31.03</v>
      </c>
      <c r="H349" s="30">
        <f t="shared" ref="H349:H351" si="138">G349*O349</f>
        <v>29.010196698409999</v>
      </c>
      <c r="I349" s="30">
        <f>E349*H349</f>
        <v>1015356.8844443499</v>
      </c>
      <c r="J349" s="25">
        <v>22</v>
      </c>
      <c r="K349" s="25">
        <f t="shared" ref="K349:K351" si="139">J349*O349</f>
        <v>20.567977033999998</v>
      </c>
      <c r="L349" s="25">
        <f t="shared" ref="L349:L377" si="140">E349*K349</f>
        <v>719879.19618999993</v>
      </c>
      <c r="M349" s="25">
        <f>I349+L349</f>
        <v>1735236.08063435</v>
      </c>
      <c r="N349" s="26"/>
      <c r="O349" s="663">
        <v>0.93490804699999996</v>
      </c>
      <c r="P349" s="157" t="s">
        <v>2165</v>
      </c>
      <c r="Q349" s="157"/>
    </row>
    <row r="350" spans="1:17" ht="18.95" customHeight="1">
      <c r="A350" s="651"/>
      <c r="B350" s="1179" t="s">
        <v>273</v>
      </c>
      <c r="C350" s="661" t="s">
        <v>2197</v>
      </c>
      <c r="D350" s="660"/>
      <c r="E350" s="533">
        <f>ROUND(40000*0.7,0)</f>
        <v>28000</v>
      </c>
      <c r="F350" s="1181" t="s">
        <v>286</v>
      </c>
      <c r="G350" s="30">
        <f>ROUND(134.4/3,2)</f>
        <v>44.8</v>
      </c>
      <c r="H350" s="30">
        <f t="shared" si="138"/>
        <v>41.883880505599997</v>
      </c>
      <c r="I350" s="30">
        <f t="shared" ref="I350:I377" si="141">E350*H350</f>
        <v>1172748.6541567999</v>
      </c>
      <c r="J350" s="25">
        <v>24</v>
      </c>
      <c r="K350" s="25">
        <f t="shared" si="139"/>
        <v>22.437793127999999</v>
      </c>
      <c r="L350" s="25">
        <f t="shared" si="140"/>
        <v>628258.20758399996</v>
      </c>
      <c r="M350" s="25">
        <f>I350+L350</f>
        <v>1801006.8617407999</v>
      </c>
      <c r="N350" s="26"/>
      <c r="O350" s="663">
        <v>0.93490804699999996</v>
      </c>
      <c r="P350" s="157" t="s">
        <v>2165</v>
      </c>
      <c r="Q350" s="157"/>
    </row>
    <row r="351" spans="1:17" ht="18.95" customHeight="1">
      <c r="A351" s="651"/>
      <c r="B351" s="1179" t="s">
        <v>273</v>
      </c>
      <c r="C351" s="661" t="s">
        <v>2198</v>
      </c>
      <c r="D351" s="660"/>
      <c r="E351" s="533">
        <v>10000</v>
      </c>
      <c r="F351" s="1181" t="s">
        <v>286</v>
      </c>
      <c r="G351" s="30">
        <f>ROUND(191.1/3,2)</f>
        <v>63.7</v>
      </c>
      <c r="H351" s="30">
        <f t="shared" si="138"/>
        <v>59.553642593900001</v>
      </c>
      <c r="I351" s="30">
        <f t="shared" si="141"/>
        <v>595536.42593899998</v>
      </c>
      <c r="J351" s="25">
        <v>28</v>
      </c>
      <c r="K351" s="25">
        <f t="shared" si="139"/>
        <v>26.177425315999997</v>
      </c>
      <c r="L351" s="25">
        <f t="shared" si="140"/>
        <v>261774.25315999996</v>
      </c>
      <c r="M351" s="25">
        <f t="shared" ref="M351:M377" si="142">I351+L351</f>
        <v>857310.67909899994</v>
      </c>
      <c r="N351" s="26"/>
      <c r="O351" s="663">
        <v>0.93490804699999996</v>
      </c>
      <c r="P351" s="157" t="s">
        <v>2165</v>
      </c>
      <c r="Q351" s="157"/>
    </row>
    <row r="352" spans="1:17" ht="18.95" customHeight="1">
      <c r="A352" s="651">
        <v>7.2</v>
      </c>
      <c r="B352" s="652" t="s">
        <v>2199</v>
      </c>
      <c r="C352" s="659"/>
      <c r="D352" s="660"/>
      <c r="E352" s="533"/>
      <c r="F352" s="30"/>
      <c r="G352" s="30"/>
      <c r="H352" s="30"/>
      <c r="I352" s="30"/>
      <c r="J352" s="25"/>
      <c r="K352" s="25"/>
      <c r="L352" s="25"/>
      <c r="M352" s="25"/>
      <c r="N352" s="26"/>
      <c r="O352" s="663">
        <v>0.93490804699999996</v>
      </c>
      <c r="Q352" s="157"/>
    </row>
    <row r="353" spans="1:17" ht="18.95" customHeight="1">
      <c r="A353" s="573"/>
      <c r="B353" s="1179" t="s">
        <v>273</v>
      </c>
      <c r="C353" s="666" t="s">
        <v>2198</v>
      </c>
      <c r="D353" s="660"/>
      <c r="E353" s="533">
        <v>2950</v>
      </c>
      <c r="F353" s="1181" t="s">
        <v>286</v>
      </c>
      <c r="G353" s="30">
        <f>ROUND(354.2/3,2)</f>
        <v>118.07</v>
      </c>
      <c r="H353" s="30">
        <f t="shared" ref="H353:H377" si="143">G353*O353</f>
        <v>110.38459310928999</v>
      </c>
      <c r="I353" s="30">
        <f t="shared" si="141"/>
        <v>325634.54967240547</v>
      </c>
      <c r="J353" s="25">
        <v>32</v>
      </c>
      <c r="K353" s="25">
        <f t="shared" ref="K353:K377" si="144">J353*O353</f>
        <v>29.917057503999999</v>
      </c>
      <c r="L353" s="25">
        <f t="shared" si="140"/>
        <v>88255.319636799992</v>
      </c>
      <c r="M353" s="25">
        <f t="shared" si="142"/>
        <v>413889.86930920545</v>
      </c>
      <c r="N353" s="26"/>
      <c r="O353" s="663">
        <v>0.93490804699999996</v>
      </c>
      <c r="P353" s="157" t="s">
        <v>2165</v>
      </c>
      <c r="Q353" s="157"/>
    </row>
    <row r="354" spans="1:17" ht="18.95" customHeight="1">
      <c r="A354" s="573"/>
      <c r="B354" s="1179" t="s">
        <v>273</v>
      </c>
      <c r="C354" s="666" t="s">
        <v>2200</v>
      </c>
      <c r="D354" s="660"/>
      <c r="E354" s="533">
        <v>1055</v>
      </c>
      <c r="F354" s="1181" t="s">
        <v>286</v>
      </c>
      <c r="G354" s="30">
        <f>ROUND(457.1/3,2)</f>
        <v>152.37</v>
      </c>
      <c r="H354" s="30">
        <f t="shared" si="143"/>
        <v>142.45193912139001</v>
      </c>
      <c r="I354" s="30">
        <f t="shared" si="141"/>
        <v>150286.79577306646</v>
      </c>
      <c r="J354" s="25">
        <v>38</v>
      </c>
      <c r="K354" s="25">
        <f t="shared" si="144"/>
        <v>35.526505786000001</v>
      </c>
      <c r="L354" s="25">
        <f t="shared" si="140"/>
        <v>37480.463604230004</v>
      </c>
      <c r="M354" s="25">
        <f t="shared" si="142"/>
        <v>187767.25937729646</v>
      </c>
      <c r="N354" s="26"/>
      <c r="O354" s="663">
        <v>0.93490804699999996</v>
      </c>
      <c r="P354" s="157" t="s">
        <v>2165</v>
      </c>
      <c r="Q354" s="157"/>
    </row>
    <row r="355" spans="1:17" ht="18.95" customHeight="1">
      <c r="A355" s="573"/>
      <c r="B355" s="1179" t="s">
        <v>273</v>
      </c>
      <c r="C355" s="666" t="s">
        <v>2201</v>
      </c>
      <c r="D355" s="660"/>
      <c r="E355" s="533">
        <v>202</v>
      </c>
      <c r="F355" s="1181" t="s">
        <v>286</v>
      </c>
      <c r="G355" s="30">
        <f>ROUND(561.4/3,2)</f>
        <v>187.13</v>
      </c>
      <c r="H355" s="30">
        <f t="shared" si="143"/>
        <v>174.94934283511</v>
      </c>
      <c r="I355" s="30">
        <f t="shared" si="141"/>
        <v>35339.767252692218</v>
      </c>
      <c r="J355" s="25">
        <v>42</v>
      </c>
      <c r="K355" s="25">
        <f t="shared" si="144"/>
        <v>39.266137973999996</v>
      </c>
      <c r="L355" s="25">
        <f t="shared" si="140"/>
        <v>7931.7598707479992</v>
      </c>
      <c r="M355" s="25">
        <f t="shared" si="142"/>
        <v>43271.527123440217</v>
      </c>
      <c r="N355" s="26"/>
      <c r="O355" s="663">
        <v>0.93490804699999996</v>
      </c>
      <c r="P355" s="157" t="s">
        <v>2165</v>
      </c>
      <c r="Q355" s="157"/>
    </row>
    <row r="356" spans="1:17" ht="18.95" customHeight="1">
      <c r="A356" s="573"/>
      <c r="B356" s="1179" t="s">
        <v>273</v>
      </c>
      <c r="C356" s="666" t="s">
        <v>2202</v>
      </c>
      <c r="D356" s="660"/>
      <c r="E356" s="533">
        <v>337</v>
      </c>
      <c r="F356" s="1181" t="s">
        <v>286</v>
      </c>
      <c r="G356" s="30">
        <f>ROUND(767.2/3,2)</f>
        <v>255.73</v>
      </c>
      <c r="H356" s="30">
        <f t="shared" si="143"/>
        <v>239.08403485930998</v>
      </c>
      <c r="I356" s="30">
        <f t="shared" si="141"/>
        <v>80571.319747587462</v>
      </c>
      <c r="J356" s="25">
        <v>48</v>
      </c>
      <c r="K356" s="25">
        <f t="shared" si="144"/>
        <v>44.875586255999998</v>
      </c>
      <c r="L356" s="25">
        <f t="shared" si="140"/>
        <v>15123.072568271999</v>
      </c>
      <c r="M356" s="25">
        <f t="shared" si="142"/>
        <v>95694.392315859455</v>
      </c>
      <c r="N356" s="26"/>
      <c r="O356" s="663">
        <v>0.93490804699999996</v>
      </c>
      <c r="P356" s="157" t="s">
        <v>2165</v>
      </c>
      <c r="Q356" s="157"/>
    </row>
    <row r="357" spans="1:17" ht="18.95" customHeight="1">
      <c r="A357" s="573"/>
      <c r="B357" s="1179" t="s">
        <v>273</v>
      </c>
      <c r="C357" s="666" t="s">
        <v>2203</v>
      </c>
      <c r="D357" s="660"/>
      <c r="E357" s="533">
        <v>547</v>
      </c>
      <c r="F357" s="1181" t="s">
        <v>286</v>
      </c>
      <c r="G357" s="30">
        <v>386</v>
      </c>
      <c r="H357" s="30">
        <f t="shared" si="143"/>
        <v>360.87450614199997</v>
      </c>
      <c r="I357" s="30">
        <f t="shared" si="141"/>
        <v>197398.35485967397</v>
      </c>
      <c r="J357" s="25">
        <v>55</v>
      </c>
      <c r="K357" s="25">
        <f t="shared" si="144"/>
        <v>51.419942585000001</v>
      </c>
      <c r="L357" s="25">
        <f t="shared" si="140"/>
        <v>28126.708593995001</v>
      </c>
      <c r="M357" s="25">
        <f t="shared" si="142"/>
        <v>225525.06345366896</v>
      </c>
      <c r="N357" s="26"/>
      <c r="O357" s="663">
        <v>0.93490804699999996</v>
      </c>
      <c r="Q357" s="157"/>
    </row>
    <row r="358" spans="1:17" ht="18.95" customHeight="1">
      <c r="A358" s="573"/>
      <c r="B358" s="1179" t="s">
        <v>273</v>
      </c>
      <c r="C358" s="666" t="s">
        <v>2204</v>
      </c>
      <c r="D358" s="660"/>
      <c r="E358" s="533">
        <v>307</v>
      </c>
      <c r="F358" s="1181" t="s">
        <v>286</v>
      </c>
      <c r="G358" s="30">
        <v>477</v>
      </c>
      <c r="H358" s="30">
        <f t="shared" si="143"/>
        <v>445.95113841899996</v>
      </c>
      <c r="I358" s="30">
        <f t="shared" si="141"/>
        <v>136906.999494633</v>
      </c>
      <c r="J358" s="25">
        <v>65</v>
      </c>
      <c r="K358" s="25">
        <f t="shared" si="144"/>
        <v>60.769023054999998</v>
      </c>
      <c r="L358" s="25">
        <f t="shared" si="140"/>
        <v>18656.090077885001</v>
      </c>
      <c r="M358" s="25">
        <f t="shared" si="142"/>
        <v>155563.08957251799</v>
      </c>
      <c r="N358" s="26"/>
      <c r="O358" s="663">
        <v>0.93490804699999996</v>
      </c>
    </row>
    <row r="359" spans="1:17" ht="18.95" customHeight="1">
      <c r="A359" s="573"/>
      <c r="B359" s="1179" t="s">
        <v>273</v>
      </c>
      <c r="C359" s="666" t="s">
        <v>2205</v>
      </c>
      <c r="D359" s="660"/>
      <c r="E359" s="533">
        <v>25</v>
      </c>
      <c r="F359" s="1181" t="s">
        <v>286</v>
      </c>
      <c r="G359" s="30">
        <v>549</v>
      </c>
      <c r="H359" s="30">
        <f t="shared" si="143"/>
        <v>513.26451780299999</v>
      </c>
      <c r="I359" s="30">
        <f t="shared" si="141"/>
        <v>12831.612945075</v>
      </c>
      <c r="J359" s="25">
        <v>75</v>
      </c>
      <c r="K359" s="25">
        <f t="shared" si="144"/>
        <v>70.118103524999995</v>
      </c>
      <c r="L359" s="25">
        <f t="shared" si="140"/>
        <v>1752.9525881249999</v>
      </c>
      <c r="M359" s="25">
        <f t="shared" si="142"/>
        <v>14584.565533199999</v>
      </c>
      <c r="N359" s="26"/>
      <c r="O359" s="663">
        <v>0.93490804699999996</v>
      </c>
    </row>
    <row r="360" spans="1:17" ht="18.95" customHeight="1">
      <c r="A360" s="573"/>
      <c r="B360" s="1179" t="s">
        <v>273</v>
      </c>
      <c r="C360" s="666" t="s">
        <v>2206</v>
      </c>
      <c r="D360" s="660"/>
      <c r="E360" s="533">
        <v>489</v>
      </c>
      <c r="F360" s="1181" t="s">
        <v>286</v>
      </c>
      <c r="G360" s="30">
        <v>933</v>
      </c>
      <c r="H360" s="30">
        <f t="shared" si="143"/>
        <v>872.26920785099992</v>
      </c>
      <c r="I360" s="30">
        <f t="shared" si="141"/>
        <v>426539.64263913897</v>
      </c>
      <c r="J360" s="25">
        <v>85</v>
      </c>
      <c r="K360" s="25">
        <f t="shared" si="144"/>
        <v>79.467183994999999</v>
      </c>
      <c r="L360" s="25">
        <f t="shared" si="140"/>
        <v>38859.452973555002</v>
      </c>
      <c r="M360" s="25">
        <f t="shared" si="142"/>
        <v>465399.09561269399</v>
      </c>
      <c r="N360" s="26"/>
      <c r="O360" s="663">
        <v>0.93490804699999996</v>
      </c>
    </row>
    <row r="361" spans="1:17" ht="18.95" customHeight="1">
      <c r="A361" s="667">
        <v>7.3</v>
      </c>
      <c r="B361" s="665" t="s">
        <v>2207</v>
      </c>
      <c r="C361" s="659"/>
      <c r="D361" s="660"/>
      <c r="E361" s="533"/>
      <c r="F361" s="30"/>
      <c r="G361" s="30"/>
      <c r="H361" s="30"/>
      <c r="I361" s="30"/>
      <c r="J361" s="25"/>
      <c r="K361" s="25"/>
      <c r="L361" s="25"/>
      <c r="M361" s="25"/>
      <c r="N361" s="26"/>
      <c r="O361" s="663">
        <v>0.93490804699999996</v>
      </c>
    </row>
    <row r="362" spans="1:17" ht="18.95" customHeight="1">
      <c r="A362" s="573"/>
      <c r="B362" s="1179" t="s">
        <v>273</v>
      </c>
      <c r="C362" s="666" t="s">
        <v>2208</v>
      </c>
      <c r="D362" s="660"/>
      <c r="E362" s="533">
        <v>180</v>
      </c>
      <c r="F362" s="1181" t="s">
        <v>286</v>
      </c>
      <c r="G362" s="30">
        <v>116</v>
      </c>
      <c r="H362" s="30">
        <f t="shared" si="143"/>
        <v>108.44933345199999</v>
      </c>
      <c r="I362" s="30">
        <f t="shared" si="141"/>
        <v>19520.880021359997</v>
      </c>
      <c r="J362" s="25">
        <v>27</v>
      </c>
      <c r="K362" s="25">
        <f t="shared" si="144"/>
        <v>25.242517269</v>
      </c>
      <c r="L362" s="25">
        <f t="shared" si="140"/>
        <v>4543.6531084199996</v>
      </c>
      <c r="M362" s="25">
        <f t="shared" si="142"/>
        <v>24064.533129779997</v>
      </c>
      <c r="N362" s="26"/>
      <c r="O362" s="663">
        <v>0.93490804699999996</v>
      </c>
    </row>
    <row r="363" spans="1:17" ht="18.95" customHeight="1">
      <c r="A363" s="573"/>
      <c r="B363" s="1179" t="s">
        <v>273</v>
      </c>
      <c r="C363" s="666" t="s">
        <v>2206</v>
      </c>
      <c r="D363" s="660"/>
      <c r="E363" s="533">
        <v>83</v>
      </c>
      <c r="F363" s="1181" t="s">
        <v>286</v>
      </c>
      <c r="G363" s="30">
        <v>248</v>
      </c>
      <c r="H363" s="30">
        <f t="shared" si="143"/>
        <v>231.85719565599999</v>
      </c>
      <c r="I363" s="30">
        <f t="shared" si="141"/>
        <v>19244.147239448001</v>
      </c>
      <c r="J363" s="25">
        <v>34</v>
      </c>
      <c r="K363" s="25">
        <f t="shared" si="144"/>
        <v>31.786873598</v>
      </c>
      <c r="L363" s="25">
        <f t="shared" si="140"/>
        <v>2638.3105086340001</v>
      </c>
      <c r="M363" s="25">
        <f t="shared" si="142"/>
        <v>21882.457748082001</v>
      </c>
      <c r="N363" s="26"/>
      <c r="O363" s="663">
        <v>0.93490804699999996</v>
      </c>
    </row>
    <row r="364" spans="1:17" ht="18.95" customHeight="1">
      <c r="A364" s="667">
        <v>7.4</v>
      </c>
      <c r="B364" s="665" t="s">
        <v>2209</v>
      </c>
      <c r="C364" s="659"/>
      <c r="D364" s="660"/>
      <c r="E364" s="533"/>
      <c r="F364" s="30"/>
      <c r="G364" s="30"/>
      <c r="H364" s="30"/>
      <c r="I364" s="30"/>
      <c r="J364" s="25"/>
      <c r="K364" s="25"/>
      <c r="L364" s="25"/>
      <c r="M364" s="25"/>
      <c r="N364" s="26"/>
      <c r="O364" s="663">
        <v>0.93490804699999996</v>
      </c>
    </row>
    <row r="365" spans="1:17" ht="18.95" customHeight="1">
      <c r="A365" s="573"/>
      <c r="B365" s="1179" t="s">
        <v>273</v>
      </c>
      <c r="C365" s="666" t="s">
        <v>2204</v>
      </c>
      <c r="D365" s="660"/>
      <c r="E365" s="533">
        <v>250</v>
      </c>
      <c r="F365" s="1181" t="s">
        <v>286</v>
      </c>
      <c r="G365" s="30">
        <v>133</v>
      </c>
      <c r="H365" s="30">
        <f t="shared" si="143"/>
        <v>124.34277025099999</v>
      </c>
      <c r="I365" s="30">
        <f t="shared" si="141"/>
        <v>31085.692562749999</v>
      </c>
      <c r="J365" s="25">
        <v>24</v>
      </c>
      <c r="K365" s="25">
        <f t="shared" si="144"/>
        <v>22.437793127999999</v>
      </c>
      <c r="L365" s="25">
        <f t="shared" si="140"/>
        <v>5609.4482819999994</v>
      </c>
      <c r="M365" s="25">
        <f t="shared" si="142"/>
        <v>36695.14084475</v>
      </c>
      <c r="N365" s="26"/>
      <c r="O365" s="663">
        <v>0.93490804699999996</v>
      </c>
    </row>
    <row r="366" spans="1:17" ht="18.95" customHeight="1">
      <c r="A366" s="573"/>
      <c r="B366" s="1179" t="s">
        <v>273</v>
      </c>
      <c r="C366" s="666" t="s">
        <v>2205</v>
      </c>
      <c r="D366" s="660"/>
      <c r="E366" s="533">
        <v>60</v>
      </c>
      <c r="F366" s="1181" t="s">
        <v>286</v>
      </c>
      <c r="G366" s="30">
        <v>178</v>
      </c>
      <c r="H366" s="30">
        <f t="shared" si="143"/>
        <v>166.413632366</v>
      </c>
      <c r="I366" s="30">
        <f t="shared" si="141"/>
        <v>9984.8179419600001</v>
      </c>
      <c r="J366" s="25">
        <v>26</v>
      </c>
      <c r="K366" s="25">
        <f t="shared" si="144"/>
        <v>24.307609222</v>
      </c>
      <c r="L366" s="25">
        <f t="shared" si="140"/>
        <v>1458.45655332</v>
      </c>
      <c r="M366" s="25">
        <f t="shared" si="142"/>
        <v>11443.27449528</v>
      </c>
      <c r="N366" s="26"/>
      <c r="O366" s="663">
        <v>0.93490804699999996</v>
      </c>
    </row>
    <row r="367" spans="1:17" ht="18.95" customHeight="1">
      <c r="A367" s="667">
        <v>7.5</v>
      </c>
      <c r="B367" s="665" t="s">
        <v>2210</v>
      </c>
      <c r="C367" s="659"/>
      <c r="D367" s="660"/>
      <c r="E367" s="533"/>
      <c r="F367" s="30"/>
      <c r="G367" s="30"/>
      <c r="H367" s="30"/>
      <c r="I367" s="30"/>
      <c r="J367" s="25"/>
      <c r="K367" s="25"/>
      <c r="L367" s="25"/>
      <c r="M367" s="25"/>
      <c r="N367" s="26"/>
      <c r="O367" s="663">
        <v>0.93490804699999996</v>
      </c>
    </row>
    <row r="368" spans="1:17" ht="18.95" customHeight="1">
      <c r="A368" s="573"/>
      <c r="B368" s="1179" t="s">
        <v>273</v>
      </c>
      <c r="C368" s="666" t="s">
        <v>2196</v>
      </c>
      <c r="D368" s="660"/>
      <c r="E368" s="533">
        <v>2300</v>
      </c>
      <c r="F368" s="1181" t="s">
        <v>286</v>
      </c>
      <c r="G368" s="30">
        <v>18</v>
      </c>
      <c r="H368" s="30">
        <f t="shared" si="143"/>
        <v>16.828344846</v>
      </c>
      <c r="I368" s="30">
        <f t="shared" si="141"/>
        <v>38705.193145800004</v>
      </c>
      <c r="J368" s="25">
        <v>17</v>
      </c>
      <c r="K368" s="25">
        <f t="shared" si="144"/>
        <v>15.893436799</v>
      </c>
      <c r="L368" s="25">
        <f t="shared" si="140"/>
        <v>36554.904637699998</v>
      </c>
      <c r="M368" s="25">
        <f t="shared" si="142"/>
        <v>75260.097783500009</v>
      </c>
      <c r="N368" s="26"/>
      <c r="O368" s="663">
        <v>0.93490804699999996</v>
      </c>
    </row>
    <row r="369" spans="1:15" ht="18.95" customHeight="1">
      <c r="A369" s="667">
        <v>7.6</v>
      </c>
      <c r="B369" s="665" t="s">
        <v>2211</v>
      </c>
      <c r="C369" s="659"/>
      <c r="D369" s="660"/>
      <c r="E369" s="533"/>
      <c r="F369" s="30"/>
      <c r="G369" s="30"/>
      <c r="H369" s="30"/>
      <c r="I369" s="30"/>
      <c r="J369" s="25"/>
      <c r="K369" s="25"/>
      <c r="L369" s="25"/>
      <c r="M369" s="25"/>
      <c r="N369" s="26"/>
      <c r="O369" s="663">
        <v>0.93490804699999996</v>
      </c>
    </row>
    <row r="370" spans="1:15" ht="18.95" customHeight="1">
      <c r="A370" s="573"/>
      <c r="B370" s="1179" t="s">
        <v>273</v>
      </c>
      <c r="C370" s="661" t="s">
        <v>2212</v>
      </c>
      <c r="D370" s="660"/>
      <c r="E370" s="664">
        <v>120</v>
      </c>
      <c r="F370" s="1185" t="s">
        <v>286</v>
      </c>
      <c r="G370" s="384">
        <v>200</v>
      </c>
      <c r="H370" s="30">
        <f t="shared" si="143"/>
        <v>186.9816094</v>
      </c>
      <c r="I370" s="30">
        <f t="shared" si="141"/>
        <v>22437.793128000001</v>
      </c>
      <c r="J370" s="242">
        <v>35</v>
      </c>
      <c r="K370" s="25">
        <f t="shared" si="144"/>
        <v>32.721781645</v>
      </c>
      <c r="L370" s="25">
        <f t="shared" si="140"/>
        <v>3926.6137973999998</v>
      </c>
      <c r="M370" s="242">
        <f t="shared" si="142"/>
        <v>26364.406925400002</v>
      </c>
      <c r="N370" s="384"/>
      <c r="O370" s="663">
        <v>0.93490804699999996</v>
      </c>
    </row>
    <row r="371" spans="1:15" ht="18.95" customHeight="1">
      <c r="A371" s="573"/>
      <c r="B371" s="1179" t="s">
        <v>273</v>
      </c>
      <c r="C371" s="661" t="s">
        <v>2213</v>
      </c>
      <c r="D371" s="660"/>
      <c r="E371" s="664">
        <v>250</v>
      </c>
      <c r="F371" s="1185" t="s">
        <v>286</v>
      </c>
      <c r="G371" s="384">
        <v>218</v>
      </c>
      <c r="H371" s="30">
        <f t="shared" si="143"/>
        <v>203.80995424599999</v>
      </c>
      <c r="I371" s="30">
        <f t="shared" si="141"/>
        <v>50952.488561499995</v>
      </c>
      <c r="J371" s="242">
        <v>40</v>
      </c>
      <c r="K371" s="25">
        <f t="shared" si="144"/>
        <v>37.396321880000002</v>
      </c>
      <c r="L371" s="25">
        <f t="shared" si="140"/>
        <v>9349.0804700000008</v>
      </c>
      <c r="M371" s="242">
        <f t="shared" si="142"/>
        <v>60301.569031499996</v>
      </c>
      <c r="N371" s="384"/>
      <c r="O371" s="663">
        <v>0.93490804699999996</v>
      </c>
    </row>
    <row r="372" spans="1:15" ht="18.95" customHeight="1">
      <c r="A372" s="573"/>
      <c r="B372" s="1179" t="s">
        <v>273</v>
      </c>
      <c r="C372" s="661" t="s">
        <v>2214</v>
      </c>
      <c r="D372" s="660"/>
      <c r="E372" s="664">
        <v>1000</v>
      </c>
      <c r="F372" s="1185" t="s">
        <v>286</v>
      </c>
      <c r="G372" s="384">
        <v>237</v>
      </c>
      <c r="H372" s="30">
        <f t="shared" si="143"/>
        <v>221.573207139</v>
      </c>
      <c r="I372" s="30">
        <f t="shared" si="141"/>
        <v>221573.20713900001</v>
      </c>
      <c r="J372" s="242">
        <v>45</v>
      </c>
      <c r="K372" s="25">
        <f t="shared" si="144"/>
        <v>42.070862114999997</v>
      </c>
      <c r="L372" s="25">
        <f t="shared" si="140"/>
        <v>42070.862114999996</v>
      </c>
      <c r="M372" s="242">
        <f t="shared" si="142"/>
        <v>263644.06925399997</v>
      </c>
      <c r="N372" s="384"/>
      <c r="O372" s="663">
        <v>0.93490804699999996</v>
      </c>
    </row>
    <row r="373" spans="1:15" ht="18.95" customHeight="1">
      <c r="A373" s="573"/>
      <c r="B373" s="1179" t="s">
        <v>273</v>
      </c>
      <c r="C373" s="661" t="s">
        <v>2215</v>
      </c>
      <c r="D373" s="660"/>
      <c r="E373" s="664">
        <v>300</v>
      </c>
      <c r="F373" s="1185" t="s">
        <v>286</v>
      </c>
      <c r="G373" s="384">
        <v>312</v>
      </c>
      <c r="H373" s="30">
        <f t="shared" si="143"/>
        <v>291.69131066400001</v>
      </c>
      <c r="I373" s="30">
        <f t="shared" si="141"/>
        <v>87507.3931992</v>
      </c>
      <c r="J373" s="242">
        <v>55</v>
      </c>
      <c r="K373" s="25">
        <f t="shared" si="144"/>
        <v>51.419942585000001</v>
      </c>
      <c r="L373" s="25">
        <f t="shared" si="140"/>
        <v>15425.982775500001</v>
      </c>
      <c r="M373" s="242">
        <f t="shared" si="142"/>
        <v>102933.3759747</v>
      </c>
      <c r="N373" s="384"/>
      <c r="O373" s="663">
        <v>0.93490804699999996</v>
      </c>
    </row>
    <row r="374" spans="1:15" ht="18.95" customHeight="1">
      <c r="A374" s="573"/>
      <c r="B374" s="1179" t="s">
        <v>273</v>
      </c>
      <c r="C374" s="661" t="s">
        <v>2216</v>
      </c>
      <c r="D374" s="660"/>
      <c r="E374" s="664">
        <v>500</v>
      </c>
      <c r="F374" s="1185" t="s">
        <v>286</v>
      </c>
      <c r="G374" s="384">
        <v>401</v>
      </c>
      <c r="H374" s="30">
        <f t="shared" si="143"/>
        <v>374.89812684699996</v>
      </c>
      <c r="I374" s="30">
        <f t="shared" si="141"/>
        <v>187449.06342349999</v>
      </c>
      <c r="J374" s="242">
        <v>60</v>
      </c>
      <c r="K374" s="25">
        <f t="shared" si="144"/>
        <v>56.094482819999996</v>
      </c>
      <c r="L374" s="25">
        <f t="shared" si="140"/>
        <v>28047.241409999999</v>
      </c>
      <c r="M374" s="242">
        <f t="shared" si="142"/>
        <v>215496.30483349998</v>
      </c>
      <c r="N374" s="384"/>
      <c r="O374" s="663">
        <v>0.93490804699999996</v>
      </c>
    </row>
    <row r="375" spans="1:15" ht="18.95" customHeight="1">
      <c r="A375" s="573"/>
      <c r="B375" s="1179" t="s">
        <v>273</v>
      </c>
      <c r="C375" s="661" t="s">
        <v>2217</v>
      </c>
      <c r="D375" s="660"/>
      <c r="E375" s="664">
        <v>438</v>
      </c>
      <c r="F375" s="1185" t="s">
        <v>286</v>
      </c>
      <c r="G375" s="384">
        <v>620</v>
      </c>
      <c r="H375" s="30">
        <f t="shared" si="143"/>
        <v>579.64298913999994</v>
      </c>
      <c r="I375" s="30">
        <f t="shared" si="141"/>
        <v>253883.62924331997</v>
      </c>
      <c r="J375" s="242">
        <v>70</v>
      </c>
      <c r="K375" s="25">
        <f t="shared" si="144"/>
        <v>65.44356329</v>
      </c>
      <c r="L375" s="25">
        <f t="shared" si="140"/>
        <v>28664.280721020001</v>
      </c>
      <c r="M375" s="242">
        <f t="shared" si="142"/>
        <v>282547.90996433998</v>
      </c>
      <c r="N375" s="384"/>
      <c r="O375" s="663">
        <v>0.93490804699999996</v>
      </c>
    </row>
    <row r="376" spans="1:15" ht="18.95" customHeight="1">
      <c r="A376" s="573"/>
      <c r="B376" s="1179" t="s">
        <v>273</v>
      </c>
      <c r="C376" s="661" t="s">
        <v>2218</v>
      </c>
      <c r="D376" s="660"/>
      <c r="E376" s="664">
        <v>530</v>
      </c>
      <c r="F376" s="1185" t="s">
        <v>286</v>
      </c>
      <c r="G376" s="384">
        <v>687</v>
      </c>
      <c r="H376" s="30">
        <f t="shared" si="143"/>
        <v>642.28182828900003</v>
      </c>
      <c r="I376" s="30">
        <f t="shared" si="141"/>
        <v>340409.36899317004</v>
      </c>
      <c r="J376" s="242">
        <v>75</v>
      </c>
      <c r="K376" s="25">
        <f t="shared" si="144"/>
        <v>70.118103524999995</v>
      </c>
      <c r="L376" s="25">
        <f t="shared" si="140"/>
        <v>37162.594868249995</v>
      </c>
      <c r="M376" s="242">
        <f t="shared" si="142"/>
        <v>377571.96386142005</v>
      </c>
      <c r="N376" s="384"/>
      <c r="O376" s="663">
        <v>0.93490804699999996</v>
      </c>
    </row>
    <row r="377" spans="1:15" ht="18.95" customHeight="1">
      <c r="A377" s="667">
        <v>7.7</v>
      </c>
      <c r="B377" s="665" t="s">
        <v>2219</v>
      </c>
      <c r="C377" s="659"/>
      <c r="D377" s="660"/>
      <c r="E377" s="664">
        <v>1</v>
      </c>
      <c r="F377" s="384" t="s">
        <v>2193</v>
      </c>
      <c r="G377" s="384">
        <f>871514.27</f>
        <v>871514.27</v>
      </c>
      <c r="H377" s="30">
        <f t="shared" si="143"/>
        <v>814785.70409833069</v>
      </c>
      <c r="I377" s="30">
        <f t="shared" si="141"/>
        <v>814785.70409833069</v>
      </c>
      <c r="J377" s="242">
        <f>G377*0.3</f>
        <v>261454.28099999999</v>
      </c>
      <c r="K377" s="25">
        <f t="shared" si="144"/>
        <v>244435.7112294992</v>
      </c>
      <c r="L377" s="25">
        <f t="shared" si="140"/>
        <v>244435.7112294992</v>
      </c>
      <c r="M377" s="242">
        <f t="shared" si="142"/>
        <v>1059221.4153278298</v>
      </c>
      <c r="N377" s="384"/>
      <c r="O377" s="663">
        <v>0.93490804699999996</v>
      </c>
    </row>
    <row r="378" spans="1:15" ht="18.95" customHeight="1">
      <c r="A378" s="645"/>
      <c r="B378" s="1275" t="s">
        <v>2220</v>
      </c>
      <c r="C378" s="1276"/>
      <c r="D378" s="1277"/>
      <c r="E378" s="646"/>
      <c r="F378" s="102"/>
      <c r="G378" s="34"/>
      <c r="H378" s="34"/>
      <c r="I378" s="34">
        <f>SUM(I348:I377)</f>
        <v>6246690.385621761</v>
      </c>
      <c r="J378" s="34"/>
      <c r="K378" s="34"/>
      <c r="L378" s="34">
        <f>SUM(L348:L377)</f>
        <v>2305984.6173243523</v>
      </c>
      <c r="M378" s="34">
        <f>SUM(M348:M377)</f>
        <v>8552675.0029461123</v>
      </c>
      <c r="N378" s="35"/>
      <c r="O378" s="663">
        <v>0.93490804699999996</v>
      </c>
    </row>
    <row r="379" spans="1:15" ht="20.100000000000001" customHeight="1">
      <c r="A379" s="645"/>
      <c r="B379" s="256"/>
      <c r="C379" s="647"/>
      <c r="D379" s="258"/>
      <c r="E379" s="646"/>
      <c r="F379" s="102"/>
      <c r="G379" s="34"/>
      <c r="H379" s="34"/>
      <c r="I379" s="34"/>
      <c r="J379" s="34"/>
      <c r="K379" s="34"/>
      <c r="L379" s="34"/>
      <c r="M379" s="34"/>
      <c r="N379" s="35"/>
      <c r="O379" s="663">
        <v>0.93490804699999996</v>
      </c>
    </row>
    <row r="380" spans="1:15" ht="20.100000000000001" customHeight="1">
      <c r="A380" s="648">
        <v>8</v>
      </c>
      <c r="B380" s="1182" t="s">
        <v>1979</v>
      </c>
      <c r="C380" s="650"/>
      <c r="D380" s="412"/>
      <c r="E380" s="646"/>
      <c r="F380" s="102"/>
      <c r="G380" s="34"/>
      <c r="H380" s="34"/>
      <c r="I380" s="34"/>
      <c r="J380" s="102"/>
      <c r="K380" s="102"/>
      <c r="L380" s="34"/>
      <c r="M380" s="102"/>
      <c r="N380" s="35"/>
      <c r="O380" s="663">
        <v>0.93490804699999996</v>
      </c>
    </row>
    <row r="381" spans="1:15" ht="20.100000000000001" customHeight="1">
      <c r="A381" s="420"/>
      <c r="B381" s="649" t="s">
        <v>2221</v>
      </c>
      <c r="C381" s="641"/>
      <c r="D381" s="671"/>
      <c r="E381" s="104"/>
      <c r="F381" s="30"/>
      <c r="G381" s="30"/>
      <c r="H381" s="30"/>
      <c r="I381" s="30"/>
      <c r="J381" s="30"/>
      <c r="K381" s="30"/>
      <c r="L381" s="25"/>
      <c r="M381" s="25"/>
      <c r="N381" s="26"/>
      <c r="O381" s="663">
        <v>0.93490804699999996</v>
      </c>
    </row>
    <row r="382" spans="1:15" ht="42.75" customHeight="1">
      <c r="A382" s="672">
        <v>8.1</v>
      </c>
      <c r="B382" s="227" t="s">
        <v>2222</v>
      </c>
      <c r="C382" s="1349" t="s">
        <v>2223</v>
      </c>
      <c r="D382" s="1350"/>
      <c r="E382" s="674">
        <v>25</v>
      </c>
      <c r="F382" s="30" t="s">
        <v>349</v>
      </c>
      <c r="G382" s="675">
        <v>14400</v>
      </c>
      <c r="H382" s="30">
        <f t="shared" ref="H382:H445" si="145">G382*O382</f>
        <v>13462.6758768</v>
      </c>
      <c r="I382" s="30">
        <f t="shared" ref="I382:I424" si="146">E382*H382</f>
        <v>336566.89691999997</v>
      </c>
      <c r="J382" s="677">
        <v>115</v>
      </c>
      <c r="K382" s="25">
        <f t="shared" ref="K382:K445" si="147">J382*O382</f>
        <v>107.514425405</v>
      </c>
      <c r="L382" s="25">
        <f t="shared" ref="L382:L445" si="148">E382*K382</f>
        <v>2687.860635125</v>
      </c>
      <c r="M382" s="67">
        <f>I382+L382</f>
        <v>339254.75755512499</v>
      </c>
      <c r="N382" s="72"/>
      <c r="O382" s="663">
        <v>0.93490804699999996</v>
      </c>
    </row>
    <row r="383" spans="1:15" ht="23.25">
      <c r="A383" s="672">
        <v>8.1999999999999993</v>
      </c>
      <c r="B383" s="227" t="s">
        <v>2224</v>
      </c>
      <c r="C383" s="1349" t="s">
        <v>2225</v>
      </c>
      <c r="D383" s="1350"/>
      <c r="E383" s="674">
        <v>2</v>
      </c>
      <c r="F383" s="30" t="s">
        <v>349</v>
      </c>
      <c r="G383" s="675">
        <v>14400</v>
      </c>
      <c r="H383" s="30">
        <f t="shared" si="145"/>
        <v>13462.6758768</v>
      </c>
      <c r="I383" s="30">
        <f t="shared" si="146"/>
        <v>26925.3517536</v>
      </c>
      <c r="J383" s="677">
        <v>115</v>
      </c>
      <c r="K383" s="25">
        <f t="shared" si="147"/>
        <v>107.514425405</v>
      </c>
      <c r="L383" s="25">
        <f t="shared" si="148"/>
        <v>215.02885080999999</v>
      </c>
      <c r="M383" s="67">
        <f t="shared" ref="M383:M394" si="149">I383+L383</f>
        <v>27140.380604409998</v>
      </c>
      <c r="N383" s="72"/>
      <c r="O383" s="663">
        <v>0.93490804699999996</v>
      </c>
    </row>
    <row r="384" spans="1:15" ht="23.25">
      <c r="A384" s="672">
        <v>8.3000000000000007</v>
      </c>
      <c r="B384" s="227" t="s">
        <v>2226</v>
      </c>
      <c r="C384" s="1349" t="s">
        <v>2227</v>
      </c>
      <c r="D384" s="1350"/>
      <c r="E384" s="674">
        <v>33</v>
      </c>
      <c r="F384" s="30" t="s">
        <v>349</v>
      </c>
      <c r="G384" s="675">
        <v>15700</v>
      </c>
      <c r="H384" s="30">
        <f t="shared" si="145"/>
        <v>14678.0563379</v>
      </c>
      <c r="I384" s="30">
        <f t="shared" si="146"/>
        <v>484375.85915069998</v>
      </c>
      <c r="J384" s="677">
        <v>500</v>
      </c>
      <c r="K384" s="25">
        <f t="shared" si="147"/>
        <v>467.45402350000001</v>
      </c>
      <c r="L384" s="25">
        <f t="shared" si="148"/>
        <v>15425.982775500001</v>
      </c>
      <c r="M384" s="67">
        <f t="shared" si="149"/>
        <v>499801.84192619997</v>
      </c>
      <c r="N384" s="72"/>
      <c r="O384" s="663">
        <v>0.93490804699999996</v>
      </c>
    </row>
    <row r="385" spans="1:15" ht="23.25">
      <c r="A385" s="672">
        <v>8.4</v>
      </c>
      <c r="B385" s="227" t="s">
        <v>2228</v>
      </c>
      <c r="C385" s="642" t="s">
        <v>2229</v>
      </c>
      <c r="D385" s="49"/>
      <c r="E385" s="674">
        <v>15</v>
      </c>
      <c r="F385" s="30" t="s">
        <v>349</v>
      </c>
      <c r="G385" s="675">
        <v>41800</v>
      </c>
      <c r="H385" s="30">
        <f t="shared" si="145"/>
        <v>39079.1563646</v>
      </c>
      <c r="I385" s="30">
        <f t="shared" si="146"/>
        <v>586187.34546900005</v>
      </c>
      <c r="J385" s="677">
        <v>1250</v>
      </c>
      <c r="K385" s="25">
        <f t="shared" si="147"/>
        <v>1168.6350587499999</v>
      </c>
      <c r="L385" s="25">
        <f t="shared" si="148"/>
        <v>17529.52588125</v>
      </c>
      <c r="M385" s="67">
        <f t="shared" si="149"/>
        <v>603716.87135025009</v>
      </c>
      <c r="N385" s="72"/>
      <c r="O385" s="663">
        <v>0.93490804699999996</v>
      </c>
    </row>
    <row r="386" spans="1:15" ht="47.1" customHeight="1">
      <c r="A386" s="672">
        <v>8.5</v>
      </c>
      <c r="B386" s="227" t="s">
        <v>2230</v>
      </c>
      <c r="C386" s="642" t="s">
        <v>2231</v>
      </c>
      <c r="D386" s="49"/>
      <c r="E386" s="674">
        <v>3</v>
      </c>
      <c r="F386" s="30" t="s">
        <v>349</v>
      </c>
      <c r="G386" s="675">
        <v>41800</v>
      </c>
      <c r="H386" s="30">
        <f t="shared" si="145"/>
        <v>39079.1563646</v>
      </c>
      <c r="I386" s="30">
        <f t="shared" si="146"/>
        <v>117237.4690938</v>
      </c>
      <c r="J386" s="677">
        <v>1250</v>
      </c>
      <c r="K386" s="25">
        <f t="shared" si="147"/>
        <v>1168.6350587499999</v>
      </c>
      <c r="L386" s="25">
        <f t="shared" si="148"/>
        <v>3505.9051762499994</v>
      </c>
      <c r="M386" s="67">
        <f t="shared" si="149"/>
        <v>120743.37427005</v>
      </c>
      <c r="N386" s="72"/>
      <c r="O386" s="663">
        <v>0.93490804699999996</v>
      </c>
    </row>
    <row r="387" spans="1:15" ht="47.1" customHeight="1">
      <c r="A387" s="672">
        <v>8.6</v>
      </c>
      <c r="B387" s="227" t="s">
        <v>2232</v>
      </c>
      <c r="C387" s="642" t="s">
        <v>2233</v>
      </c>
      <c r="D387" s="49"/>
      <c r="E387" s="674">
        <v>1</v>
      </c>
      <c r="F387" s="30" t="s">
        <v>349</v>
      </c>
      <c r="G387" s="675">
        <v>41800</v>
      </c>
      <c r="H387" s="30">
        <f t="shared" si="145"/>
        <v>39079.1563646</v>
      </c>
      <c r="I387" s="30">
        <f t="shared" si="146"/>
        <v>39079.1563646</v>
      </c>
      <c r="J387" s="677">
        <v>1250</v>
      </c>
      <c r="K387" s="25">
        <f t="shared" si="147"/>
        <v>1168.6350587499999</v>
      </c>
      <c r="L387" s="25">
        <f t="shared" si="148"/>
        <v>1168.6350587499999</v>
      </c>
      <c r="M387" s="67">
        <f t="shared" si="149"/>
        <v>40247.791423349998</v>
      </c>
      <c r="N387" s="72"/>
      <c r="O387" s="663">
        <v>0.93490804699999996</v>
      </c>
    </row>
    <row r="388" spans="1:15" ht="23.25">
      <c r="A388" s="672">
        <v>8.6999999999999993</v>
      </c>
      <c r="B388" s="227" t="s">
        <v>2234</v>
      </c>
      <c r="C388" s="1349" t="s">
        <v>2235</v>
      </c>
      <c r="D388" s="1350"/>
      <c r="E388" s="674">
        <v>2</v>
      </c>
      <c r="F388" s="30" t="s">
        <v>349</v>
      </c>
      <c r="G388" s="675">
        <v>41800</v>
      </c>
      <c r="H388" s="30">
        <f t="shared" si="145"/>
        <v>39079.1563646</v>
      </c>
      <c r="I388" s="30">
        <f t="shared" si="146"/>
        <v>78158.312729199999</v>
      </c>
      <c r="J388" s="677">
        <v>1250</v>
      </c>
      <c r="K388" s="25">
        <f t="shared" si="147"/>
        <v>1168.6350587499999</v>
      </c>
      <c r="L388" s="25">
        <f t="shared" si="148"/>
        <v>2337.2701174999997</v>
      </c>
      <c r="M388" s="67">
        <f t="shared" si="149"/>
        <v>80495.582846699996</v>
      </c>
      <c r="N388" s="72"/>
      <c r="O388" s="663">
        <v>0.93490804699999996</v>
      </c>
    </row>
    <row r="389" spans="1:15" ht="23.25">
      <c r="A389" s="672">
        <v>8.8000000000000007</v>
      </c>
      <c r="B389" s="227" t="s">
        <v>2236</v>
      </c>
      <c r="C389" s="1349" t="s">
        <v>2237</v>
      </c>
      <c r="D389" s="1350"/>
      <c r="E389" s="674">
        <v>5</v>
      </c>
      <c r="F389" s="30" t="s">
        <v>349</v>
      </c>
      <c r="G389" s="675">
        <v>41800</v>
      </c>
      <c r="H389" s="30">
        <f t="shared" si="145"/>
        <v>39079.1563646</v>
      </c>
      <c r="I389" s="30">
        <f t="shared" si="146"/>
        <v>195395.781823</v>
      </c>
      <c r="J389" s="677">
        <v>1250</v>
      </c>
      <c r="K389" s="25">
        <f t="shared" si="147"/>
        <v>1168.6350587499999</v>
      </c>
      <c r="L389" s="25">
        <f t="shared" si="148"/>
        <v>5843.1752937499996</v>
      </c>
      <c r="M389" s="67">
        <f t="shared" si="149"/>
        <v>201238.95711675001</v>
      </c>
      <c r="N389" s="72"/>
      <c r="O389" s="663">
        <v>0.93490804699999996</v>
      </c>
    </row>
    <row r="390" spans="1:15" ht="46.5">
      <c r="A390" s="672">
        <v>8.9</v>
      </c>
      <c r="B390" s="227" t="s">
        <v>2238</v>
      </c>
      <c r="C390" s="642" t="s">
        <v>2239</v>
      </c>
      <c r="D390" s="49"/>
      <c r="E390" s="674">
        <v>24</v>
      </c>
      <c r="F390" s="30" t="s">
        <v>349</v>
      </c>
      <c r="G390" s="675">
        <f>(10225*0.7)+230</f>
        <v>7387.5</v>
      </c>
      <c r="H390" s="30">
        <f t="shared" si="145"/>
        <v>6906.6331972124999</v>
      </c>
      <c r="I390" s="30">
        <f t="shared" si="146"/>
        <v>165759.19673309999</v>
      </c>
      <c r="J390" s="677">
        <v>150</v>
      </c>
      <c r="K390" s="25">
        <f t="shared" si="147"/>
        <v>140.23620704999999</v>
      </c>
      <c r="L390" s="25">
        <f t="shared" si="148"/>
        <v>3365.6689692</v>
      </c>
      <c r="M390" s="67">
        <f t="shared" si="149"/>
        <v>169124.86570229998</v>
      </c>
      <c r="N390" s="26"/>
      <c r="O390" s="663">
        <v>0.93490804699999996</v>
      </c>
    </row>
    <row r="391" spans="1:15" ht="46.5">
      <c r="A391" s="678">
        <v>8.1</v>
      </c>
      <c r="B391" s="227" t="s">
        <v>2240</v>
      </c>
      <c r="C391" s="642" t="s">
        <v>2241</v>
      </c>
      <c r="D391" s="49"/>
      <c r="E391" s="674">
        <v>14</v>
      </c>
      <c r="F391" s="30" t="s">
        <v>349</v>
      </c>
      <c r="G391" s="675">
        <f>(9735*0.7)+230</f>
        <v>7044.5</v>
      </c>
      <c r="H391" s="30">
        <f t="shared" si="145"/>
        <v>6585.9597370914998</v>
      </c>
      <c r="I391" s="30">
        <f t="shared" si="146"/>
        <v>92203.436319280998</v>
      </c>
      <c r="J391" s="677">
        <v>150</v>
      </c>
      <c r="K391" s="25">
        <f t="shared" si="147"/>
        <v>140.23620704999999</v>
      </c>
      <c r="L391" s="25">
        <f t="shared" si="148"/>
        <v>1963.3068986999999</v>
      </c>
      <c r="M391" s="67">
        <f t="shared" si="149"/>
        <v>94166.743217980998</v>
      </c>
      <c r="N391" s="26"/>
      <c r="O391" s="663">
        <v>0.93490804699999996</v>
      </c>
    </row>
    <row r="392" spans="1:15" ht="69.75">
      <c r="A392" s="678">
        <v>8.11</v>
      </c>
      <c r="B392" s="227" t="s">
        <v>2242</v>
      </c>
      <c r="C392" s="642" t="s">
        <v>2243</v>
      </c>
      <c r="D392" s="49"/>
      <c r="E392" s="674">
        <v>8</v>
      </c>
      <c r="F392" s="30" t="s">
        <v>349</v>
      </c>
      <c r="G392" s="675">
        <v>22900</v>
      </c>
      <c r="H392" s="30">
        <f t="shared" si="145"/>
        <v>21409.394276299998</v>
      </c>
      <c r="I392" s="30">
        <f t="shared" si="146"/>
        <v>171275.15421039998</v>
      </c>
      <c r="J392" s="677">
        <v>150</v>
      </c>
      <c r="K392" s="25">
        <f t="shared" si="147"/>
        <v>140.23620704999999</v>
      </c>
      <c r="L392" s="25">
        <f t="shared" si="148"/>
        <v>1121.8896563999999</v>
      </c>
      <c r="M392" s="67">
        <f t="shared" si="149"/>
        <v>172397.04386679997</v>
      </c>
      <c r="N392" s="26"/>
      <c r="O392" s="663">
        <v>0.93490804699999996</v>
      </c>
    </row>
    <row r="393" spans="1:15" ht="69.75">
      <c r="A393" s="678">
        <v>8.1199999999999992</v>
      </c>
      <c r="B393" s="227" t="s">
        <v>2244</v>
      </c>
      <c r="C393" s="642" t="s">
        <v>2245</v>
      </c>
      <c r="D393" s="49"/>
      <c r="E393" s="674">
        <v>1</v>
      </c>
      <c r="F393" s="30" t="s">
        <v>349</v>
      </c>
      <c r="G393" s="675">
        <v>20300</v>
      </c>
      <c r="H393" s="30">
        <f t="shared" si="145"/>
        <v>18978.633354099999</v>
      </c>
      <c r="I393" s="30">
        <f t="shared" si="146"/>
        <v>18978.633354099999</v>
      </c>
      <c r="J393" s="677">
        <v>150</v>
      </c>
      <c r="K393" s="25">
        <f t="shared" si="147"/>
        <v>140.23620704999999</v>
      </c>
      <c r="L393" s="25">
        <f t="shared" si="148"/>
        <v>140.23620704999999</v>
      </c>
      <c r="M393" s="67">
        <f t="shared" si="149"/>
        <v>19118.869561149997</v>
      </c>
      <c r="N393" s="26"/>
      <c r="O393" s="663">
        <v>0.93490804699999996</v>
      </c>
    </row>
    <row r="394" spans="1:15" ht="46.5">
      <c r="A394" s="678">
        <v>8.1300000000000008</v>
      </c>
      <c r="B394" s="227" t="s">
        <v>2246</v>
      </c>
      <c r="C394" s="642" t="s">
        <v>2247</v>
      </c>
      <c r="D394" s="49"/>
      <c r="E394" s="674">
        <v>12</v>
      </c>
      <c r="F394" s="30" t="s">
        <v>349</v>
      </c>
      <c r="G394" s="675">
        <f>(19370+1315+905)*0.7</f>
        <v>15112.999999999998</v>
      </c>
      <c r="H394" s="30">
        <f t="shared" si="145"/>
        <v>14129.265314310998</v>
      </c>
      <c r="I394" s="30">
        <f t="shared" si="146"/>
        <v>169551.18377173197</v>
      </c>
      <c r="J394" s="677">
        <v>150</v>
      </c>
      <c r="K394" s="25">
        <f t="shared" si="147"/>
        <v>140.23620704999999</v>
      </c>
      <c r="L394" s="25">
        <f t="shared" si="148"/>
        <v>1682.8344846</v>
      </c>
      <c r="M394" s="67">
        <f t="shared" si="149"/>
        <v>171234.01825633197</v>
      </c>
      <c r="N394" s="26"/>
      <c r="O394" s="663">
        <v>0.93490804699999996</v>
      </c>
    </row>
    <row r="395" spans="1:15" ht="23.25">
      <c r="A395" s="649"/>
      <c r="B395" s="649" t="s">
        <v>2248</v>
      </c>
      <c r="C395" s="673"/>
      <c r="D395" s="679"/>
      <c r="E395" s="680"/>
      <c r="F395" s="30"/>
      <c r="G395" s="675"/>
      <c r="H395" s="675"/>
      <c r="I395" s="67"/>
      <c r="J395" s="677"/>
      <c r="K395" s="25">
        <f t="shared" si="147"/>
        <v>0</v>
      </c>
      <c r="L395" s="25">
        <f t="shared" si="148"/>
        <v>0</v>
      </c>
      <c r="M395" s="67"/>
      <c r="N395" s="26"/>
      <c r="O395" s="663">
        <v>0.93490804699999996</v>
      </c>
    </row>
    <row r="396" spans="1:15" ht="69.75">
      <c r="A396" s="678">
        <v>8.14</v>
      </c>
      <c r="B396" s="227" t="s">
        <v>2249</v>
      </c>
      <c r="C396" s="642" t="s">
        <v>2250</v>
      </c>
      <c r="D396" s="679"/>
      <c r="E396" s="680">
        <v>2</v>
      </c>
      <c r="F396" s="30" t="s">
        <v>349</v>
      </c>
      <c r="G396" s="675">
        <v>6237</v>
      </c>
      <c r="H396" s="30">
        <f t="shared" si="145"/>
        <v>5831.0214891389996</v>
      </c>
      <c r="I396" s="30">
        <f t="shared" si="146"/>
        <v>11662.042978277999</v>
      </c>
      <c r="J396" s="677">
        <v>115</v>
      </c>
      <c r="K396" s="25">
        <f t="shared" si="147"/>
        <v>107.514425405</v>
      </c>
      <c r="L396" s="25">
        <f t="shared" si="148"/>
        <v>215.02885080999999</v>
      </c>
      <c r="M396" s="67">
        <f t="shared" ref="M396:M424" si="150">I396+L396</f>
        <v>11877.071829088</v>
      </c>
      <c r="N396" s="72"/>
      <c r="O396" s="663">
        <v>0.93490804699999996</v>
      </c>
    </row>
    <row r="397" spans="1:15" ht="69.75">
      <c r="A397" s="678">
        <v>8.15</v>
      </c>
      <c r="B397" s="227" t="s">
        <v>2251</v>
      </c>
      <c r="C397" s="642" t="s">
        <v>2252</v>
      </c>
      <c r="D397" s="679"/>
      <c r="E397" s="680">
        <v>2</v>
      </c>
      <c r="F397" s="30" t="s">
        <v>349</v>
      </c>
      <c r="G397" s="675">
        <v>6237</v>
      </c>
      <c r="H397" s="30">
        <f t="shared" si="145"/>
        <v>5831.0214891389996</v>
      </c>
      <c r="I397" s="30">
        <f t="shared" si="146"/>
        <v>11662.042978277999</v>
      </c>
      <c r="J397" s="677">
        <v>115</v>
      </c>
      <c r="K397" s="25">
        <f t="shared" si="147"/>
        <v>107.514425405</v>
      </c>
      <c r="L397" s="25">
        <f t="shared" si="148"/>
        <v>215.02885080999999</v>
      </c>
      <c r="M397" s="67">
        <f t="shared" si="150"/>
        <v>11877.071829088</v>
      </c>
      <c r="N397" s="72"/>
      <c r="O397" s="663">
        <v>0.93490804699999996</v>
      </c>
    </row>
    <row r="398" spans="1:15" ht="69.75">
      <c r="A398" s="678">
        <v>8.16</v>
      </c>
      <c r="B398" s="227" t="s">
        <v>2253</v>
      </c>
      <c r="C398" s="642" t="s">
        <v>2254</v>
      </c>
      <c r="D398" s="679"/>
      <c r="E398" s="680">
        <v>3</v>
      </c>
      <c r="F398" s="30" t="s">
        <v>349</v>
      </c>
      <c r="G398" s="675">
        <v>7714</v>
      </c>
      <c r="H398" s="30">
        <f t="shared" si="145"/>
        <v>7211.8806745579996</v>
      </c>
      <c r="I398" s="30">
        <f t="shared" si="146"/>
        <v>21635.642023673998</v>
      </c>
      <c r="J398" s="677">
        <v>115</v>
      </c>
      <c r="K398" s="25">
        <f t="shared" si="147"/>
        <v>107.514425405</v>
      </c>
      <c r="L398" s="25">
        <f t="shared" si="148"/>
        <v>322.54327621499999</v>
      </c>
      <c r="M398" s="67">
        <f t="shared" si="150"/>
        <v>21958.185299888999</v>
      </c>
      <c r="N398" s="72"/>
      <c r="O398" s="663">
        <v>0.93490804699999996</v>
      </c>
    </row>
    <row r="399" spans="1:15" ht="69.75">
      <c r="A399" s="678">
        <v>8.17</v>
      </c>
      <c r="B399" s="227" t="s">
        <v>2255</v>
      </c>
      <c r="C399" s="642" t="s">
        <v>2256</v>
      </c>
      <c r="D399" s="679"/>
      <c r="E399" s="680">
        <v>3</v>
      </c>
      <c r="F399" s="30" t="s">
        <v>349</v>
      </c>
      <c r="G399" s="675">
        <v>7714</v>
      </c>
      <c r="H399" s="30">
        <f t="shared" si="145"/>
        <v>7211.8806745579996</v>
      </c>
      <c r="I399" s="30">
        <f t="shared" si="146"/>
        <v>21635.642023673998</v>
      </c>
      <c r="J399" s="677">
        <v>115</v>
      </c>
      <c r="K399" s="25">
        <f t="shared" si="147"/>
        <v>107.514425405</v>
      </c>
      <c r="L399" s="25">
        <f t="shared" si="148"/>
        <v>322.54327621499999</v>
      </c>
      <c r="M399" s="67">
        <f t="shared" si="150"/>
        <v>21958.185299888999</v>
      </c>
      <c r="N399" s="72"/>
      <c r="O399" s="663">
        <v>0.93490804699999996</v>
      </c>
    </row>
    <row r="400" spans="1:15" ht="69.75">
      <c r="A400" s="678">
        <v>8.18</v>
      </c>
      <c r="B400" s="227" t="s">
        <v>2257</v>
      </c>
      <c r="C400" s="642" t="s">
        <v>2258</v>
      </c>
      <c r="D400" s="679"/>
      <c r="E400" s="680">
        <v>2</v>
      </c>
      <c r="F400" s="30" t="s">
        <v>349</v>
      </c>
      <c r="G400" s="675">
        <v>4955</v>
      </c>
      <c r="H400" s="30">
        <f t="shared" si="145"/>
        <v>4632.4693728849998</v>
      </c>
      <c r="I400" s="30">
        <f t="shared" si="146"/>
        <v>9264.9387457699995</v>
      </c>
      <c r="J400" s="677">
        <v>115</v>
      </c>
      <c r="K400" s="25">
        <f t="shared" si="147"/>
        <v>107.514425405</v>
      </c>
      <c r="L400" s="25">
        <f t="shared" si="148"/>
        <v>215.02885080999999</v>
      </c>
      <c r="M400" s="67">
        <f t="shared" si="150"/>
        <v>9479.9675965799997</v>
      </c>
      <c r="N400" s="72"/>
      <c r="O400" s="663">
        <v>0.93490804699999996</v>
      </c>
    </row>
    <row r="401" spans="1:15" ht="23.25">
      <c r="A401" s="678">
        <v>8.19</v>
      </c>
      <c r="B401" s="227" t="s">
        <v>2259</v>
      </c>
      <c r="C401" s="1349" t="s">
        <v>2260</v>
      </c>
      <c r="D401" s="1350"/>
      <c r="E401" s="680">
        <v>2</v>
      </c>
      <c r="F401" s="30" t="s">
        <v>349</v>
      </c>
      <c r="G401" s="675">
        <v>4955</v>
      </c>
      <c r="H401" s="30">
        <f t="shared" si="145"/>
        <v>4632.4693728849998</v>
      </c>
      <c r="I401" s="30">
        <f t="shared" si="146"/>
        <v>9264.9387457699995</v>
      </c>
      <c r="J401" s="677">
        <v>115</v>
      </c>
      <c r="K401" s="25">
        <f t="shared" si="147"/>
        <v>107.514425405</v>
      </c>
      <c r="L401" s="25">
        <f t="shared" si="148"/>
        <v>215.02885080999999</v>
      </c>
      <c r="M401" s="67">
        <f t="shared" si="150"/>
        <v>9479.9675965799997</v>
      </c>
      <c r="N401" s="72"/>
      <c r="O401" s="663">
        <v>0.93490804699999996</v>
      </c>
    </row>
    <row r="402" spans="1:15" ht="23.25">
      <c r="A402" s="678">
        <v>8.1999999999999993</v>
      </c>
      <c r="B402" s="227" t="s">
        <v>2261</v>
      </c>
      <c r="C402" s="1349" t="s">
        <v>2262</v>
      </c>
      <c r="D402" s="1350"/>
      <c r="E402" s="680">
        <v>4</v>
      </c>
      <c r="F402" s="30" t="s">
        <v>349</v>
      </c>
      <c r="G402" s="675">
        <v>6237</v>
      </c>
      <c r="H402" s="30">
        <f t="shared" si="145"/>
        <v>5831.0214891389996</v>
      </c>
      <c r="I402" s="30">
        <f t="shared" si="146"/>
        <v>23324.085956555999</v>
      </c>
      <c r="J402" s="677">
        <v>115</v>
      </c>
      <c r="K402" s="25">
        <f t="shared" si="147"/>
        <v>107.514425405</v>
      </c>
      <c r="L402" s="25">
        <f t="shared" si="148"/>
        <v>430.05770161999999</v>
      </c>
      <c r="M402" s="67">
        <f t="shared" si="150"/>
        <v>23754.143658175999</v>
      </c>
      <c r="N402" s="72"/>
      <c r="O402" s="663">
        <v>0.93490804699999996</v>
      </c>
    </row>
    <row r="403" spans="1:15" ht="23.25">
      <c r="A403" s="678">
        <v>8.2100000000000009</v>
      </c>
      <c r="B403" s="227" t="s">
        <v>2263</v>
      </c>
      <c r="C403" s="1349" t="s">
        <v>2264</v>
      </c>
      <c r="D403" s="1350"/>
      <c r="E403" s="680">
        <v>16</v>
      </c>
      <c r="F403" s="30" t="s">
        <v>349</v>
      </c>
      <c r="G403" s="675">
        <v>7016</v>
      </c>
      <c r="H403" s="30">
        <f t="shared" si="145"/>
        <v>6559.3148577519996</v>
      </c>
      <c r="I403" s="30">
        <f t="shared" si="146"/>
        <v>104949.03772403199</v>
      </c>
      <c r="J403" s="677">
        <v>115</v>
      </c>
      <c r="K403" s="25">
        <f t="shared" si="147"/>
        <v>107.514425405</v>
      </c>
      <c r="L403" s="25">
        <f t="shared" si="148"/>
        <v>1720.23080648</v>
      </c>
      <c r="M403" s="67">
        <f t="shared" si="150"/>
        <v>106669.268530512</v>
      </c>
      <c r="N403" s="72"/>
      <c r="O403" s="663">
        <v>0.93490804699999996</v>
      </c>
    </row>
    <row r="404" spans="1:15" ht="23.25">
      <c r="A404" s="678">
        <v>8.2200000000000006</v>
      </c>
      <c r="B404" s="227" t="s">
        <v>2265</v>
      </c>
      <c r="C404" s="1349" t="s">
        <v>2266</v>
      </c>
      <c r="D404" s="1350"/>
      <c r="E404" s="680">
        <v>7</v>
      </c>
      <c r="F404" s="30" t="s">
        <v>349</v>
      </c>
      <c r="G404" s="675">
        <v>4955</v>
      </c>
      <c r="H404" s="30">
        <f t="shared" si="145"/>
        <v>4632.4693728849998</v>
      </c>
      <c r="I404" s="30">
        <f t="shared" si="146"/>
        <v>32427.285610194998</v>
      </c>
      <c r="J404" s="677">
        <v>115</v>
      </c>
      <c r="K404" s="25">
        <f t="shared" si="147"/>
        <v>107.514425405</v>
      </c>
      <c r="L404" s="25">
        <f t="shared" si="148"/>
        <v>752.60097783499998</v>
      </c>
      <c r="M404" s="67">
        <f t="shared" si="150"/>
        <v>33179.88658803</v>
      </c>
      <c r="N404" s="72"/>
      <c r="O404" s="663">
        <v>0.93490804699999996</v>
      </c>
    </row>
    <row r="405" spans="1:15" ht="23.25">
      <c r="A405" s="678">
        <v>8.23</v>
      </c>
      <c r="B405" s="227" t="s">
        <v>2267</v>
      </c>
      <c r="C405" s="1349" t="s">
        <v>2268</v>
      </c>
      <c r="D405" s="1350"/>
      <c r="E405" s="680">
        <v>55</v>
      </c>
      <c r="F405" s="30" t="s">
        <v>286</v>
      </c>
      <c r="G405" s="675">
        <v>1563</v>
      </c>
      <c r="H405" s="30">
        <f t="shared" si="145"/>
        <v>1461.261277461</v>
      </c>
      <c r="I405" s="30">
        <f t="shared" si="146"/>
        <v>80369.370260355005</v>
      </c>
      <c r="J405" s="677">
        <v>115</v>
      </c>
      <c r="K405" s="25">
        <f t="shared" si="147"/>
        <v>107.514425405</v>
      </c>
      <c r="L405" s="25">
        <f t="shared" si="148"/>
        <v>5913.2933972749997</v>
      </c>
      <c r="M405" s="67">
        <f t="shared" si="150"/>
        <v>86282.663657630008</v>
      </c>
      <c r="N405" s="72"/>
      <c r="O405" s="663">
        <v>0.93490804699999996</v>
      </c>
    </row>
    <row r="406" spans="1:15" ht="23.25">
      <c r="A406" s="678">
        <v>8.24</v>
      </c>
      <c r="B406" s="227" t="s">
        <v>2269</v>
      </c>
      <c r="C406" s="1349" t="s">
        <v>2270</v>
      </c>
      <c r="D406" s="1350"/>
      <c r="E406" s="680">
        <v>25</v>
      </c>
      <c r="F406" s="30" t="s">
        <v>286</v>
      </c>
      <c r="G406" s="675">
        <v>1991</v>
      </c>
      <c r="H406" s="30">
        <f t="shared" si="145"/>
        <v>1861.4019215769999</v>
      </c>
      <c r="I406" s="30">
        <f t="shared" si="146"/>
        <v>46535.048039424997</v>
      </c>
      <c r="J406" s="677">
        <v>115</v>
      </c>
      <c r="K406" s="25">
        <f t="shared" si="147"/>
        <v>107.514425405</v>
      </c>
      <c r="L406" s="25">
        <f t="shared" si="148"/>
        <v>2687.860635125</v>
      </c>
      <c r="M406" s="67">
        <f t="shared" si="150"/>
        <v>49222.908674549995</v>
      </c>
      <c r="N406" s="72"/>
      <c r="O406" s="663">
        <v>0.93490804699999996</v>
      </c>
    </row>
    <row r="407" spans="1:15" ht="93">
      <c r="A407" s="678">
        <v>8.25</v>
      </c>
      <c r="B407" s="227" t="s">
        <v>2271</v>
      </c>
      <c r="C407" s="642" t="s">
        <v>2272</v>
      </c>
      <c r="D407" s="679"/>
      <c r="E407" s="680">
        <v>42.5</v>
      </c>
      <c r="F407" s="30" t="s">
        <v>286</v>
      </c>
      <c r="G407" s="675">
        <v>4218</v>
      </c>
      <c r="H407" s="30">
        <f t="shared" si="145"/>
        <v>3943.442142246</v>
      </c>
      <c r="I407" s="30">
        <f t="shared" si="146"/>
        <v>167596.291045455</v>
      </c>
      <c r="J407" s="677">
        <v>115</v>
      </c>
      <c r="K407" s="25">
        <f t="shared" si="147"/>
        <v>107.514425405</v>
      </c>
      <c r="L407" s="25">
        <f t="shared" si="148"/>
        <v>4569.3630797124997</v>
      </c>
      <c r="M407" s="67">
        <f t="shared" si="150"/>
        <v>172165.65412516749</v>
      </c>
      <c r="N407" s="72"/>
      <c r="O407" s="663">
        <v>0.93490804699999996</v>
      </c>
    </row>
    <row r="408" spans="1:15" ht="69.75">
      <c r="A408" s="678">
        <v>8.26</v>
      </c>
      <c r="B408" s="227" t="s">
        <v>2273</v>
      </c>
      <c r="C408" s="642" t="s">
        <v>2274</v>
      </c>
      <c r="D408" s="679"/>
      <c r="E408" s="680">
        <v>25</v>
      </c>
      <c r="F408" s="30" t="s">
        <v>286</v>
      </c>
      <c r="G408" s="675">
        <v>1250</v>
      </c>
      <c r="H408" s="30">
        <f t="shared" si="145"/>
        <v>1168.6350587499999</v>
      </c>
      <c r="I408" s="30">
        <f t="shared" si="146"/>
        <v>29215.876468749997</v>
      </c>
      <c r="J408" s="677">
        <v>115</v>
      </c>
      <c r="K408" s="25">
        <f t="shared" si="147"/>
        <v>107.514425405</v>
      </c>
      <c r="L408" s="25">
        <f t="shared" si="148"/>
        <v>2687.860635125</v>
      </c>
      <c r="M408" s="67">
        <f t="shared" si="150"/>
        <v>31903.737103874999</v>
      </c>
      <c r="N408" s="72"/>
      <c r="O408" s="663">
        <v>0.93490804699999996</v>
      </c>
    </row>
    <row r="409" spans="1:15" ht="69.75">
      <c r="A409" s="678">
        <v>8.27</v>
      </c>
      <c r="B409" s="227" t="s">
        <v>2275</v>
      </c>
      <c r="C409" s="642" t="s">
        <v>2276</v>
      </c>
      <c r="D409" s="679"/>
      <c r="E409" s="680">
        <v>36</v>
      </c>
      <c r="F409" s="30" t="s">
        <v>286</v>
      </c>
      <c r="G409" s="675">
        <v>5734</v>
      </c>
      <c r="H409" s="30">
        <f t="shared" si="145"/>
        <v>5360.7627414979997</v>
      </c>
      <c r="I409" s="30">
        <f t="shared" si="146"/>
        <v>192987.458693928</v>
      </c>
      <c r="J409" s="677">
        <v>115</v>
      </c>
      <c r="K409" s="25">
        <f t="shared" si="147"/>
        <v>107.514425405</v>
      </c>
      <c r="L409" s="25">
        <f t="shared" si="148"/>
        <v>3870.5193145799999</v>
      </c>
      <c r="M409" s="67">
        <f t="shared" si="150"/>
        <v>196857.97800850798</v>
      </c>
      <c r="N409" s="72"/>
      <c r="O409" s="663">
        <v>0.93490804699999996</v>
      </c>
    </row>
    <row r="410" spans="1:15" ht="69.75">
      <c r="A410" s="678">
        <v>8.2799999999999994</v>
      </c>
      <c r="B410" s="227" t="s">
        <v>2277</v>
      </c>
      <c r="C410" s="642" t="s">
        <v>2276</v>
      </c>
      <c r="D410" s="679"/>
      <c r="E410" s="680">
        <v>16.899999999999999</v>
      </c>
      <c r="F410" s="30" t="s">
        <v>286</v>
      </c>
      <c r="G410" s="675">
        <v>5734</v>
      </c>
      <c r="H410" s="30">
        <f t="shared" si="145"/>
        <v>5360.7627414979997</v>
      </c>
      <c r="I410" s="30">
        <f t="shared" si="146"/>
        <v>90596.890331316186</v>
      </c>
      <c r="J410" s="677">
        <v>115</v>
      </c>
      <c r="K410" s="25">
        <f t="shared" si="147"/>
        <v>107.514425405</v>
      </c>
      <c r="L410" s="25">
        <f t="shared" si="148"/>
        <v>1816.9937893444999</v>
      </c>
      <c r="M410" s="67">
        <f t="shared" si="150"/>
        <v>92413.884120660688</v>
      </c>
      <c r="N410" s="72"/>
      <c r="O410" s="663">
        <v>0.93490804699999996</v>
      </c>
    </row>
    <row r="411" spans="1:15" ht="23.25">
      <c r="A411" s="678">
        <v>8.2899999999999991</v>
      </c>
      <c r="B411" s="227" t="s">
        <v>2278</v>
      </c>
      <c r="C411" s="1349" t="s">
        <v>2272</v>
      </c>
      <c r="D411" s="1350"/>
      <c r="E411" s="680">
        <v>6.3</v>
      </c>
      <c r="F411" s="30" t="s">
        <v>286</v>
      </c>
      <c r="G411" s="675">
        <v>4503</v>
      </c>
      <c r="H411" s="30">
        <f t="shared" si="145"/>
        <v>4209.8909356409995</v>
      </c>
      <c r="I411" s="30">
        <f t="shared" si="146"/>
        <v>26522.312894538296</v>
      </c>
      <c r="J411" s="677">
        <v>115</v>
      </c>
      <c r="K411" s="25">
        <f t="shared" si="147"/>
        <v>107.514425405</v>
      </c>
      <c r="L411" s="25">
        <f t="shared" si="148"/>
        <v>677.34088005149999</v>
      </c>
      <c r="M411" s="67">
        <f t="shared" si="150"/>
        <v>27199.653774589795</v>
      </c>
      <c r="N411" s="72"/>
      <c r="O411" s="663">
        <v>0.93490804699999996</v>
      </c>
    </row>
    <row r="412" spans="1:15" ht="23.25">
      <c r="A412" s="678">
        <v>8.3000000000000007</v>
      </c>
      <c r="B412" s="227" t="s">
        <v>2279</v>
      </c>
      <c r="C412" s="1349" t="s">
        <v>2268</v>
      </c>
      <c r="D412" s="1350"/>
      <c r="E412" s="680">
        <v>8</v>
      </c>
      <c r="F412" s="30" t="s">
        <v>286</v>
      </c>
      <c r="G412" s="675">
        <v>1563</v>
      </c>
      <c r="H412" s="30">
        <f t="shared" si="145"/>
        <v>1461.261277461</v>
      </c>
      <c r="I412" s="30">
        <f t="shared" si="146"/>
        <v>11690.090219688</v>
      </c>
      <c r="J412" s="677">
        <v>115</v>
      </c>
      <c r="K412" s="25">
        <f t="shared" si="147"/>
        <v>107.514425405</v>
      </c>
      <c r="L412" s="25">
        <f t="shared" si="148"/>
        <v>860.11540323999998</v>
      </c>
      <c r="M412" s="67">
        <f t="shared" si="150"/>
        <v>12550.205622927999</v>
      </c>
      <c r="N412" s="72"/>
      <c r="O412" s="663">
        <v>0.93490804699999996</v>
      </c>
    </row>
    <row r="413" spans="1:15" ht="72" customHeight="1">
      <c r="A413" s="678">
        <v>8.31</v>
      </c>
      <c r="B413" s="227" t="s">
        <v>2280</v>
      </c>
      <c r="C413" s="642" t="s">
        <v>2270</v>
      </c>
      <c r="D413" s="679"/>
      <c r="E413" s="680">
        <v>27.8</v>
      </c>
      <c r="F413" s="30" t="s">
        <v>286</v>
      </c>
      <c r="G413" s="675">
        <v>1991</v>
      </c>
      <c r="H413" s="30">
        <f t="shared" si="145"/>
        <v>1861.4019215769999</v>
      </c>
      <c r="I413" s="30">
        <f t="shared" si="146"/>
        <v>51746.9734198406</v>
      </c>
      <c r="J413" s="677">
        <v>115</v>
      </c>
      <c r="K413" s="25">
        <f t="shared" si="147"/>
        <v>107.514425405</v>
      </c>
      <c r="L413" s="25">
        <f t="shared" si="148"/>
        <v>2988.901026259</v>
      </c>
      <c r="M413" s="67">
        <f t="shared" si="150"/>
        <v>54735.874446099602</v>
      </c>
      <c r="N413" s="72"/>
      <c r="O413" s="663">
        <v>0.93490804699999996</v>
      </c>
    </row>
    <row r="414" spans="1:15" ht="23.25">
      <c r="A414" s="678">
        <v>8.32</v>
      </c>
      <c r="B414" s="227" t="s">
        <v>2281</v>
      </c>
      <c r="C414" s="1349" t="s">
        <v>2282</v>
      </c>
      <c r="D414" s="1350"/>
      <c r="E414" s="680">
        <v>3</v>
      </c>
      <c r="F414" s="30" t="s">
        <v>349</v>
      </c>
      <c r="G414" s="675">
        <v>9940</v>
      </c>
      <c r="H414" s="30">
        <f t="shared" si="145"/>
        <v>9292.9859871799999</v>
      </c>
      <c r="I414" s="30">
        <f t="shared" si="146"/>
        <v>27878.95796154</v>
      </c>
      <c r="J414" s="677">
        <v>150</v>
      </c>
      <c r="K414" s="25">
        <f t="shared" si="147"/>
        <v>140.23620704999999</v>
      </c>
      <c r="L414" s="25">
        <f t="shared" si="148"/>
        <v>420.70862115</v>
      </c>
      <c r="M414" s="67">
        <f t="shared" si="150"/>
        <v>28299.666582689999</v>
      </c>
      <c r="N414" s="72"/>
      <c r="O414" s="663">
        <v>0.93490804699999996</v>
      </c>
    </row>
    <row r="415" spans="1:15" ht="23.25">
      <c r="A415" s="678">
        <v>8.33</v>
      </c>
      <c r="B415" s="227" t="s">
        <v>2283</v>
      </c>
      <c r="C415" s="1349" t="s">
        <v>2284</v>
      </c>
      <c r="D415" s="1350"/>
      <c r="E415" s="680">
        <v>3</v>
      </c>
      <c r="F415" s="30" t="s">
        <v>349</v>
      </c>
      <c r="G415" s="675">
        <v>19900</v>
      </c>
      <c r="H415" s="30">
        <f t="shared" si="145"/>
        <v>18604.670135299999</v>
      </c>
      <c r="I415" s="30">
        <f t="shared" si="146"/>
        <v>55814.0104059</v>
      </c>
      <c r="J415" s="677">
        <v>150</v>
      </c>
      <c r="K415" s="25">
        <f t="shared" si="147"/>
        <v>140.23620704999999</v>
      </c>
      <c r="L415" s="25">
        <f t="shared" si="148"/>
        <v>420.70862115</v>
      </c>
      <c r="M415" s="67">
        <f t="shared" si="150"/>
        <v>56234.71902705</v>
      </c>
      <c r="N415" s="72"/>
      <c r="O415" s="663">
        <v>0.93490804699999996</v>
      </c>
    </row>
    <row r="416" spans="1:15" ht="23.25">
      <c r="A416" s="678">
        <v>8.34</v>
      </c>
      <c r="B416" s="227" t="s">
        <v>2285</v>
      </c>
      <c r="C416" s="1349" t="s">
        <v>2286</v>
      </c>
      <c r="D416" s="1350"/>
      <c r="E416" s="680">
        <v>2</v>
      </c>
      <c r="F416" s="30" t="s">
        <v>349</v>
      </c>
      <c r="G416" s="675">
        <v>10500</v>
      </c>
      <c r="H416" s="30">
        <f t="shared" si="145"/>
        <v>9816.5344934999994</v>
      </c>
      <c r="I416" s="30">
        <f t="shared" si="146"/>
        <v>19633.068986999999</v>
      </c>
      <c r="J416" s="677">
        <v>150</v>
      </c>
      <c r="K416" s="25">
        <f t="shared" si="147"/>
        <v>140.23620704999999</v>
      </c>
      <c r="L416" s="25">
        <f t="shared" si="148"/>
        <v>280.47241409999998</v>
      </c>
      <c r="M416" s="67">
        <f t="shared" si="150"/>
        <v>19913.541401099999</v>
      </c>
      <c r="N416" s="72"/>
      <c r="O416" s="663">
        <v>0.93490804699999996</v>
      </c>
    </row>
    <row r="417" spans="1:15" ht="23.25">
      <c r="A417" s="678">
        <v>8.35</v>
      </c>
      <c r="B417" s="227" t="s">
        <v>2287</v>
      </c>
      <c r="C417" s="1349" t="s">
        <v>2288</v>
      </c>
      <c r="D417" s="1350"/>
      <c r="E417" s="680">
        <v>2</v>
      </c>
      <c r="F417" s="30" t="s">
        <v>349</v>
      </c>
      <c r="G417" s="675">
        <v>11700</v>
      </c>
      <c r="H417" s="30">
        <f t="shared" si="145"/>
        <v>10938.4241499</v>
      </c>
      <c r="I417" s="30">
        <f t="shared" si="146"/>
        <v>21876.8482998</v>
      </c>
      <c r="J417" s="677">
        <v>150</v>
      </c>
      <c r="K417" s="25">
        <f t="shared" si="147"/>
        <v>140.23620704999999</v>
      </c>
      <c r="L417" s="25">
        <f t="shared" si="148"/>
        <v>280.47241409999998</v>
      </c>
      <c r="M417" s="67">
        <f t="shared" si="150"/>
        <v>22157.320713900001</v>
      </c>
      <c r="N417" s="72"/>
      <c r="O417" s="663">
        <v>0.93490804699999996</v>
      </c>
    </row>
    <row r="418" spans="1:15" ht="23.25">
      <c r="A418" s="678">
        <v>8.36</v>
      </c>
      <c r="B418" s="227" t="s">
        <v>2289</v>
      </c>
      <c r="C418" s="1349" t="s">
        <v>2290</v>
      </c>
      <c r="D418" s="1350"/>
      <c r="E418" s="680">
        <v>11</v>
      </c>
      <c r="F418" s="30" t="s">
        <v>349</v>
      </c>
      <c r="G418" s="675">
        <v>22190</v>
      </c>
      <c r="H418" s="30">
        <f t="shared" si="145"/>
        <v>20745.60956293</v>
      </c>
      <c r="I418" s="30">
        <f t="shared" si="146"/>
        <v>228201.70519223</v>
      </c>
      <c r="J418" s="677">
        <v>150</v>
      </c>
      <c r="K418" s="25">
        <f t="shared" si="147"/>
        <v>140.23620704999999</v>
      </c>
      <c r="L418" s="25">
        <f t="shared" si="148"/>
        <v>1542.5982775499999</v>
      </c>
      <c r="M418" s="67">
        <f t="shared" si="150"/>
        <v>229744.30346977999</v>
      </c>
      <c r="N418" s="72"/>
      <c r="O418" s="663">
        <v>0.93490804699999996</v>
      </c>
    </row>
    <row r="419" spans="1:15" ht="23.25">
      <c r="A419" s="678">
        <v>8.3699999999999992</v>
      </c>
      <c r="B419" s="227" t="s">
        <v>2291</v>
      </c>
      <c r="C419" s="1349" t="s">
        <v>2292</v>
      </c>
      <c r="D419" s="1350"/>
      <c r="E419" s="680">
        <v>26</v>
      </c>
      <c r="F419" s="30" t="s">
        <v>349</v>
      </c>
      <c r="G419" s="675">
        <v>33320</v>
      </c>
      <c r="H419" s="30">
        <f t="shared" si="145"/>
        <v>31151.136126039997</v>
      </c>
      <c r="I419" s="30">
        <f t="shared" si="146"/>
        <v>809929.53927703993</v>
      </c>
      <c r="J419" s="677">
        <v>150</v>
      </c>
      <c r="K419" s="25">
        <f t="shared" si="147"/>
        <v>140.23620704999999</v>
      </c>
      <c r="L419" s="25">
        <f t="shared" si="148"/>
        <v>3646.1413832999997</v>
      </c>
      <c r="M419" s="67">
        <f t="shared" si="150"/>
        <v>813575.68066033989</v>
      </c>
      <c r="N419" s="72"/>
      <c r="O419" s="663">
        <v>0.93490804699999996</v>
      </c>
    </row>
    <row r="420" spans="1:15" ht="23.25">
      <c r="A420" s="678">
        <v>8.3800000000000008</v>
      </c>
      <c r="B420" s="227" t="s">
        <v>2293</v>
      </c>
      <c r="C420" s="1349" t="s">
        <v>2294</v>
      </c>
      <c r="D420" s="1350"/>
      <c r="E420" s="680">
        <v>26</v>
      </c>
      <c r="F420" s="30" t="s">
        <v>349</v>
      </c>
      <c r="G420" s="675">
        <v>24570</v>
      </c>
      <c r="H420" s="30">
        <f t="shared" si="145"/>
        <v>22970.690714789998</v>
      </c>
      <c r="I420" s="30">
        <f t="shared" si="146"/>
        <v>597237.95858453994</v>
      </c>
      <c r="J420" s="677">
        <v>150</v>
      </c>
      <c r="K420" s="25">
        <f t="shared" si="147"/>
        <v>140.23620704999999</v>
      </c>
      <c r="L420" s="25">
        <f t="shared" si="148"/>
        <v>3646.1413832999997</v>
      </c>
      <c r="M420" s="67">
        <f t="shared" si="150"/>
        <v>600884.09996783989</v>
      </c>
      <c r="N420" s="72"/>
      <c r="O420" s="663">
        <v>0.93490804699999996</v>
      </c>
    </row>
    <row r="421" spans="1:15" ht="46.5">
      <c r="A421" s="678">
        <v>8.39</v>
      </c>
      <c r="B421" s="227" t="s">
        <v>2295</v>
      </c>
      <c r="C421" s="642" t="s">
        <v>2296</v>
      </c>
      <c r="D421" s="679"/>
      <c r="E421" s="680">
        <v>6</v>
      </c>
      <c r="F421" s="30" t="s">
        <v>349</v>
      </c>
      <c r="G421" s="675">
        <f>4120*0.7</f>
        <v>2884</v>
      </c>
      <c r="H421" s="30">
        <f t="shared" si="145"/>
        <v>2696.2748075479999</v>
      </c>
      <c r="I421" s="30">
        <f t="shared" si="146"/>
        <v>16177.648845288</v>
      </c>
      <c r="J421" s="677">
        <v>115</v>
      </c>
      <c r="K421" s="25">
        <f t="shared" si="147"/>
        <v>107.514425405</v>
      </c>
      <c r="L421" s="25">
        <f t="shared" si="148"/>
        <v>645.08655242999998</v>
      </c>
      <c r="M421" s="67">
        <f t="shared" si="150"/>
        <v>16822.735397717999</v>
      </c>
      <c r="N421" s="72"/>
      <c r="O421" s="663">
        <v>0.93490804699999996</v>
      </c>
    </row>
    <row r="422" spans="1:15" ht="46.5">
      <c r="A422" s="678">
        <v>8.4</v>
      </c>
      <c r="B422" s="227" t="s">
        <v>2297</v>
      </c>
      <c r="C422" s="642" t="s">
        <v>2296</v>
      </c>
      <c r="D422" s="679"/>
      <c r="E422" s="680">
        <v>4</v>
      </c>
      <c r="F422" s="30" t="s">
        <v>349</v>
      </c>
      <c r="G422" s="675">
        <v>2884</v>
      </c>
      <c r="H422" s="30">
        <f t="shared" si="145"/>
        <v>2696.2748075479999</v>
      </c>
      <c r="I422" s="30">
        <f t="shared" si="146"/>
        <v>10785.099230192</v>
      </c>
      <c r="J422" s="677">
        <v>115</v>
      </c>
      <c r="K422" s="25">
        <f t="shared" si="147"/>
        <v>107.514425405</v>
      </c>
      <c r="L422" s="25">
        <f t="shared" si="148"/>
        <v>430.05770161999999</v>
      </c>
      <c r="M422" s="67">
        <f t="shared" si="150"/>
        <v>11215.156931812</v>
      </c>
      <c r="N422" s="72"/>
      <c r="O422" s="663">
        <v>0.93490804699999996</v>
      </c>
    </row>
    <row r="423" spans="1:15" ht="46.5">
      <c r="A423" s="678">
        <v>8.4099999999999895</v>
      </c>
      <c r="B423" s="227" t="s">
        <v>2298</v>
      </c>
      <c r="C423" s="642" t="s">
        <v>2296</v>
      </c>
      <c r="D423" s="679"/>
      <c r="E423" s="680">
        <v>4</v>
      </c>
      <c r="F423" s="30" t="s">
        <v>349</v>
      </c>
      <c r="G423" s="675">
        <v>2884</v>
      </c>
      <c r="H423" s="30">
        <f t="shared" si="145"/>
        <v>2696.2748075479999</v>
      </c>
      <c r="I423" s="30">
        <f t="shared" si="146"/>
        <v>10785.099230192</v>
      </c>
      <c r="J423" s="677">
        <v>115</v>
      </c>
      <c r="K423" s="25">
        <f t="shared" si="147"/>
        <v>107.514425405</v>
      </c>
      <c r="L423" s="25">
        <f t="shared" si="148"/>
        <v>430.05770161999999</v>
      </c>
      <c r="M423" s="67">
        <f t="shared" si="150"/>
        <v>11215.156931812</v>
      </c>
      <c r="N423" s="72"/>
      <c r="O423" s="663">
        <v>0.93490804699999996</v>
      </c>
    </row>
    <row r="424" spans="1:15" ht="23.25">
      <c r="A424" s="678">
        <v>8.4199999999999893</v>
      </c>
      <c r="B424" s="227" t="s">
        <v>2299</v>
      </c>
      <c r="C424" s="1349" t="s">
        <v>2300</v>
      </c>
      <c r="D424" s="1350"/>
      <c r="E424" s="680">
        <v>3</v>
      </c>
      <c r="F424" s="30" t="s">
        <v>349</v>
      </c>
      <c r="G424" s="675">
        <v>8600</v>
      </c>
      <c r="H424" s="30">
        <f t="shared" si="145"/>
        <v>8040.2092041999995</v>
      </c>
      <c r="I424" s="30">
        <f t="shared" si="146"/>
        <v>24120.627612599998</v>
      </c>
      <c r="J424" s="677">
        <v>115</v>
      </c>
      <c r="K424" s="25">
        <f t="shared" si="147"/>
        <v>107.514425405</v>
      </c>
      <c r="L424" s="25">
        <f t="shared" si="148"/>
        <v>322.54327621499999</v>
      </c>
      <c r="M424" s="67">
        <f t="shared" si="150"/>
        <v>24443.170888814999</v>
      </c>
      <c r="N424" s="72"/>
      <c r="O424" s="663">
        <v>0.93490804699999996</v>
      </c>
    </row>
    <row r="425" spans="1:15" ht="23.25">
      <c r="A425" s="678"/>
      <c r="B425" s="678"/>
      <c r="C425" s="673"/>
      <c r="D425" s="679"/>
      <c r="E425" s="680"/>
      <c r="F425" s="30"/>
      <c r="G425" s="675"/>
      <c r="H425" s="30"/>
      <c r="I425" s="683"/>
      <c r="J425" s="677"/>
      <c r="K425" s="25">
        <f t="shared" si="147"/>
        <v>0</v>
      </c>
      <c r="L425" s="25">
        <f t="shared" si="148"/>
        <v>0</v>
      </c>
      <c r="M425" s="67"/>
      <c r="N425" s="72"/>
      <c r="O425" s="663">
        <v>0.93490804699999996</v>
      </c>
    </row>
    <row r="426" spans="1:15" ht="23.25">
      <c r="A426" s="649"/>
      <c r="B426" s="649" t="s">
        <v>2301</v>
      </c>
      <c r="C426" s="673"/>
      <c r="D426" s="679"/>
      <c r="E426" s="680"/>
      <c r="F426" s="30"/>
      <c r="G426" s="675"/>
      <c r="H426" s="30"/>
      <c r="I426" s="683"/>
      <c r="J426" s="677"/>
      <c r="K426" s="25">
        <f t="shared" si="147"/>
        <v>0</v>
      </c>
      <c r="L426" s="25">
        <f t="shared" si="148"/>
        <v>0</v>
      </c>
      <c r="M426" s="67"/>
      <c r="N426" s="26"/>
      <c r="O426" s="663">
        <v>0.93490804699999996</v>
      </c>
    </row>
    <row r="427" spans="1:15" ht="23.25">
      <c r="A427" s="678">
        <v>8.43</v>
      </c>
      <c r="B427" s="227" t="s">
        <v>2302</v>
      </c>
      <c r="C427" s="1349" t="s">
        <v>2303</v>
      </c>
      <c r="D427" s="1350"/>
      <c r="E427" s="680">
        <v>11</v>
      </c>
      <c r="F427" s="30" t="s">
        <v>349</v>
      </c>
      <c r="G427" s="675">
        <f>3400*0.75</f>
        <v>2550</v>
      </c>
      <c r="H427" s="30">
        <f t="shared" si="145"/>
        <v>2384.0155198499997</v>
      </c>
      <c r="I427" s="30">
        <f t="shared" ref="I427:I468" si="151">E427*H427</f>
        <v>26224.170718349997</v>
      </c>
      <c r="J427" s="677">
        <v>115</v>
      </c>
      <c r="K427" s="25">
        <f t="shared" si="147"/>
        <v>107.514425405</v>
      </c>
      <c r="L427" s="25">
        <f t="shared" si="148"/>
        <v>1182.6586794549999</v>
      </c>
      <c r="M427" s="67">
        <f t="shared" ref="M427:M468" si="152">I427+L427</f>
        <v>27406.829397804995</v>
      </c>
      <c r="N427" s="72"/>
      <c r="O427" s="663">
        <v>0.93490804699999996</v>
      </c>
    </row>
    <row r="428" spans="1:15" ht="23.25">
      <c r="A428" s="678">
        <v>8.44</v>
      </c>
      <c r="B428" s="227" t="s">
        <v>2304</v>
      </c>
      <c r="C428" s="1349" t="s">
        <v>2305</v>
      </c>
      <c r="D428" s="1350"/>
      <c r="E428" s="680">
        <v>85</v>
      </c>
      <c r="F428" s="30" t="s">
        <v>349</v>
      </c>
      <c r="G428" s="675">
        <f>4500*0.75</f>
        <v>3375</v>
      </c>
      <c r="H428" s="30">
        <f t="shared" si="145"/>
        <v>3155.314658625</v>
      </c>
      <c r="I428" s="30">
        <f t="shared" si="151"/>
        <v>268201.745983125</v>
      </c>
      <c r="J428" s="677">
        <v>115</v>
      </c>
      <c r="K428" s="25">
        <f t="shared" si="147"/>
        <v>107.514425405</v>
      </c>
      <c r="L428" s="25">
        <f t="shared" si="148"/>
        <v>9138.7261594249994</v>
      </c>
      <c r="M428" s="67">
        <f t="shared" si="152"/>
        <v>277340.47214254999</v>
      </c>
      <c r="N428" s="72"/>
      <c r="O428" s="663">
        <v>0.93490804699999996</v>
      </c>
    </row>
    <row r="429" spans="1:15" ht="23.25">
      <c r="A429" s="678">
        <v>8.4499999999999993</v>
      </c>
      <c r="B429" s="227" t="s">
        <v>2306</v>
      </c>
      <c r="C429" s="1349" t="s">
        <v>2307</v>
      </c>
      <c r="D429" s="1350"/>
      <c r="E429" s="680">
        <v>25</v>
      </c>
      <c r="F429" s="30" t="s">
        <v>349</v>
      </c>
      <c r="G429" s="675">
        <f>980*0.9</f>
        <v>882</v>
      </c>
      <c r="H429" s="30">
        <f t="shared" si="145"/>
        <v>824.58889745399995</v>
      </c>
      <c r="I429" s="30">
        <f t="shared" si="151"/>
        <v>20614.722436349999</v>
      </c>
      <c r="J429" s="677">
        <v>115</v>
      </c>
      <c r="K429" s="25">
        <f t="shared" si="147"/>
        <v>107.514425405</v>
      </c>
      <c r="L429" s="25">
        <f t="shared" si="148"/>
        <v>2687.860635125</v>
      </c>
      <c r="M429" s="67">
        <f t="shared" si="152"/>
        <v>23302.583071474997</v>
      </c>
      <c r="N429" s="72"/>
      <c r="O429" s="663">
        <v>0.93490804699999996</v>
      </c>
    </row>
    <row r="430" spans="1:15" ht="23.25">
      <c r="A430" s="678">
        <v>8.4600000000000009</v>
      </c>
      <c r="B430" s="227" t="s">
        <v>2308</v>
      </c>
      <c r="C430" s="1349" t="s">
        <v>2309</v>
      </c>
      <c r="D430" s="1350"/>
      <c r="E430" s="680">
        <v>12</v>
      </c>
      <c r="F430" s="30" t="s">
        <v>349</v>
      </c>
      <c r="G430" s="675">
        <f>4900*0.75</f>
        <v>3675</v>
      </c>
      <c r="H430" s="30">
        <f t="shared" si="145"/>
        <v>3435.7870727249997</v>
      </c>
      <c r="I430" s="30">
        <f t="shared" si="151"/>
        <v>41229.444872699998</v>
      </c>
      <c r="J430" s="677">
        <v>115</v>
      </c>
      <c r="K430" s="25">
        <f t="shared" si="147"/>
        <v>107.514425405</v>
      </c>
      <c r="L430" s="25">
        <f t="shared" si="148"/>
        <v>1290.17310486</v>
      </c>
      <c r="M430" s="67">
        <f t="shared" si="152"/>
        <v>42519.617977559996</v>
      </c>
      <c r="N430" s="72"/>
      <c r="O430" s="663">
        <v>0.93490804699999996</v>
      </c>
    </row>
    <row r="431" spans="1:15" ht="23.25">
      <c r="A431" s="678">
        <v>8.4700000000000006</v>
      </c>
      <c r="B431" s="227" t="s">
        <v>2310</v>
      </c>
      <c r="C431" s="1349" t="s">
        <v>2311</v>
      </c>
      <c r="D431" s="1350"/>
      <c r="E431" s="680">
        <v>15</v>
      </c>
      <c r="F431" s="30" t="s">
        <v>349</v>
      </c>
      <c r="G431" s="675">
        <v>3740</v>
      </c>
      <c r="H431" s="30">
        <f t="shared" si="145"/>
        <v>3496.5560957799999</v>
      </c>
      <c r="I431" s="30">
        <f t="shared" si="151"/>
        <v>52448.3414367</v>
      </c>
      <c r="J431" s="677">
        <v>115</v>
      </c>
      <c r="K431" s="25">
        <f t="shared" si="147"/>
        <v>107.514425405</v>
      </c>
      <c r="L431" s="25">
        <f t="shared" si="148"/>
        <v>1612.7163810749998</v>
      </c>
      <c r="M431" s="67">
        <f t="shared" si="152"/>
        <v>54061.057817774999</v>
      </c>
      <c r="N431" s="72"/>
      <c r="O431" s="663">
        <v>0.93490804699999996</v>
      </c>
    </row>
    <row r="432" spans="1:15" ht="23.25">
      <c r="A432" s="678">
        <v>8.48</v>
      </c>
      <c r="B432" s="227" t="s">
        <v>2312</v>
      </c>
      <c r="C432" s="1349" t="s">
        <v>2313</v>
      </c>
      <c r="D432" s="1350"/>
      <c r="E432" s="680">
        <v>13</v>
      </c>
      <c r="F432" s="30" t="s">
        <v>349</v>
      </c>
      <c r="G432" s="675">
        <f>3500*0.75</f>
        <v>2625</v>
      </c>
      <c r="H432" s="30">
        <f t="shared" si="145"/>
        <v>2454.1336233749998</v>
      </c>
      <c r="I432" s="30">
        <f t="shared" si="151"/>
        <v>31903.737103874999</v>
      </c>
      <c r="J432" s="677">
        <v>115</v>
      </c>
      <c r="K432" s="25">
        <f t="shared" si="147"/>
        <v>107.514425405</v>
      </c>
      <c r="L432" s="25">
        <f t="shared" si="148"/>
        <v>1397.6875302650001</v>
      </c>
      <c r="M432" s="67">
        <f t="shared" si="152"/>
        <v>33301.424634139999</v>
      </c>
      <c r="N432" s="72"/>
      <c r="O432" s="663">
        <v>0.93490804699999996</v>
      </c>
    </row>
    <row r="433" spans="1:15" ht="46.5">
      <c r="A433" s="678">
        <v>8.49</v>
      </c>
      <c r="B433" s="227" t="s">
        <v>2314</v>
      </c>
      <c r="C433" s="642" t="s">
        <v>2315</v>
      </c>
      <c r="D433" s="681"/>
      <c r="E433" s="680">
        <v>8</v>
      </c>
      <c r="F433" s="30" t="s">
        <v>349</v>
      </c>
      <c r="G433" s="675">
        <v>1800</v>
      </c>
      <c r="H433" s="30">
        <f t="shared" si="145"/>
        <v>1682.8344846</v>
      </c>
      <c r="I433" s="30">
        <f t="shared" si="151"/>
        <v>13462.6758768</v>
      </c>
      <c r="J433" s="677">
        <v>115</v>
      </c>
      <c r="K433" s="25">
        <f t="shared" si="147"/>
        <v>107.514425405</v>
      </c>
      <c r="L433" s="25">
        <f t="shared" si="148"/>
        <v>860.11540323999998</v>
      </c>
      <c r="M433" s="67">
        <f t="shared" si="152"/>
        <v>14322.791280040001</v>
      </c>
      <c r="N433" s="72"/>
      <c r="O433" s="663">
        <v>0.93490804699999996</v>
      </c>
    </row>
    <row r="434" spans="1:15" ht="23.25">
      <c r="A434" s="678">
        <v>8.5</v>
      </c>
      <c r="B434" s="227" t="s">
        <v>2316</v>
      </c>
      <c r="C434" s="1349" t="s">
        <v>2317</v>
      </c>
      <c r="D434" s="1350"/>
      <c r="E434" s="680">
        <v>16</v>
      </c>
      <c r="F434" s="30" t="s">
        <v>349</v>
      </c>
      <c r="G434" s="675">
        <v>3550</v>
      </c>
      <c r="H434" s="30">
        <f t="shared" si="145"/>
        <v>3318.92356685</v>
      </c>
      <c r="I434" s="30">
        <f t="shared" si="151"/>
        <v>53102.777069600001</v>
      </c>
      <c r="J434" s="677">
        <v>115</v>
      </c>
      <c r="K434" s="25">
        <f t="shared" si="147"/>
        <v>107.514425405</v>
      </c>
      <c r="L434" s="25">
        <f t="shared" si="148"/>
        <v>1720.23080648</v>
      </c>
      <c r="M434" s="67">
        <f t="shared" si="152"/>
        <v>54823.007876080002</v>
      </c>
      <c r="N434" s="72"/>
      <c r="O434" s="663">
        <v>0.93490804699999996</v>
      </c>
    </row>
    <row r="435" spans="1:15" ht="46.5">
      <c r="A435" s="678">
        <v>8.51</v>
      </c>
      <c r="B435" s="227" t="s">
        <v>2318</v>
      </c>
      <c r="C435" s="642" t="s">
        <v>2319</v>
      </c>
      <c r="D435" s="681"/>
      <c r="E435" s="680">
        <v>2</v>
      </c>
      <c r="F435" s="30" t="s">
        <v>349</v>
      </c>
      <c r="G435" s="675">
        <v>5950</v>
      </c>
      <c r="H435" s="30">
        <f t="shared" si="145"/>
        <v>5562.7028796499999</v>
      </c>
      <c r="I435" s="30">
        <f t="shared" si="151"/>
        <v>11125.4057593</v>
      </c>
      <c r="J435" s="677">
        <v>115</v>
      </c>
      <c r="K435" s="25">
        <f t="shared" si="147"/>
        <v>107.514425405</v>
      </c>
      <c r="L435" s="25">
        <f t="shared" si="148"/>
        <v>215.02885080999999</v>
      </c>
      <c r="M435" s="67">
        <f t="shared" si="152"/>
        <v>11340.43461011</v>
      </c>
      <c r="N435" s="72"/>
      <c r="O435" s="663">
        <v>0.93490804699999996</v>
      </c>
    </row>
    <row r="436" spans="1:15" ht="23.25">
      <c r="A436" s="678">
        <v>8.52</v>
      </c>
      <c r="B436" s="227" t="s">
        <v>2320</v>
      </c>
      <c r="C436" s="1349" t="s">
        <v>2321</v>
      </c>
      <c r="D436" s="1350"/>
      <c r="E436" s="680">
        <v>24</v>
      </c>
      <c r="F436" s="30" t="s">
        <v>349</v>
      </c>
      <c r="G436" s="675">
        <v>1100</v>
      </c>
      <c r="H436" s="30">
        <f t="shared" si="145"/>
        <v>1028.3988517</v>
      </c>
      <c r="I436" s="30">
        <f t="shared" si="151"/>
        <v>24681.572440800002</v>
      </c>
      <c r="J436" s="677">
        <v>115</v>
      </c>
      <c r="K436" s="25">
        <f t="shared" si="147"/>
        <v>107.514425405</v>
      </c>
      <c r="L436" s="25">
        <f t="shared" si="148"/>
        <v>2580.3462097199999</v>
      </c>
      <c r="M436" s="67">
        <f t="shared" si="152"/>
        <v>27261.918650520001</v>
      </c>
      <c r="N436" s="72"/>
      <c r="O436" s="663">
        <v>0.93490804699999996</v>
      </c>
    </row>
    <row r="437" spans="1:15" ht="23.25">
      <c r="A437" s="678">
        <v>8.5299999999999994</v>
      </c>
      <c r="B437" s="227" t="s">
        <v>2322</v>
      </c>
      <c r="C437" s="1349" t="s">
        <v>2323</v>
      </c>
      <c r="D437" s="1350"/>
      <c r="E437" s="680">
        <v>27</v>
      </c>
      <c r="F437" s="30" t="s">
        <v>349</v>
      </c>
      <c r="G437" s="675">
        <v>1100</v>
      </c>
      <c r="H437" s="30">
        <f t="shared" si="145"/>
        <v>1028.3988517</v>
      </c>
      <c r="I437" s="30">
        <f t="shared" si="151"/>
        <v>27766.768995900002</v>
      </c>
      <c r="J437" s="677">
        <v>115</v>
      </c>
      <c r="K437" s="25">
        <f t="shared" si="147"/>
        <v>107.514425405</v>
      </c>
      <c r="L437" s="25">
        <f t="shared" si="148"/>
        <v>2902.8894859349998</v>
      </c>
      <c r="M437" s="67">
        <f t="shared" si="152"/>
        <v>30669.658481835002</v>
      </c>
      <c r="N437" s="72"/>
      <c r="O437" s="663">
        <v>0.93490804699999996</v>
      </c>
    </row>
    <row r="438" spans="1:15" ht="23.25">
      <c r="A438" s="678">
        <v>8.5399999999999991</v>
      </c>
      <c r="B438" s="227" t="s">
        <v>2324</v>
      </c>
      <c r="C438" s="1349" t="s">
        <v>2325</v>
      </c>
      <c r="D438" s="1350"/>
      <c r="E438" s="680">
        <v>21</v>
      </c>
      <c r="F438" s="30" t="s">
        <v>349</v>
      </c>
      <c r="G438" s="675">
        <v>1100</v>
      </c>
      <c r="H438" s="30">
        <f t="shared" si="145"/>
        <v>1028.3988517</v>
      </c>
      <c r="I438" s="30">
        <f t="shared" si="151"/>
        <v>21596.375885699999</v>
      </c>
      <c r="J438" s="677">
        <v>115</v>
      </c>
      <c r="K438" s="25">
        <f t="shared" si="147"/>
        <v>107.514425405</v>
      </c>
      <c r="L438" s="25">
        <f t="shared" si="148"/>
        <v>2257.8029335050001</v>
      </c>
      <c r="M438" s="67">
        <f t="shared" si="152"/>
        <v>23854.178819205001</v>
      </c>
      <c r="N438" s="72"/>
      <c r="O438" s="663">
        <v>0.93490804699999996</v>
      </c>
    </row>
    <row r="439" spans="1:15" ht="46.5">
      <c r="A439" s="678">
        <v>8.5500000000000007</v>
      </c>
      <c r="B439" s="227" t="s">
        <v>2326</v>
      </c>
      <c r="C439" s="642" t="s">
        <v>2327</v>
      </c>
      <c r="D439" s="681"/>
      <c r="E439" s="680">
        <v>45</v>
      </c>
      <c r="F439" s="30" t="s">
        <v>349</v>
      </c>
      <c r="G439" s="675">
        <f>1150*0.9</f>
        <v>1035</v>
      </c>
      <c r="H439" s="30">
        <f t="shared" si="145"/>
        <v>967.62982864499998</v>
      </c>
      <c r="I439" s="30">
        <f t="shared" si="151"/>
        <v>43543.342289025</v>
      </c>
      <c r="J439" s="677">
        <v>115</v>
      </c>
      <c r="K439" s="25">
        <f t="shared" si="147"/>
        <v>107.514425405</v>
      </c>
      <c r="L439" s="25">
        <f t="shared" si="148"/>
        <v>4838.1491432249995</v>
      </c>
      <c r="M439" s="67">
        <f t="shared" si="152"/>
        <v>48381.491432249997</v>
      </c>
      <c r="N439" s="72"/>
      <c r="O439" s="663">
        <v>0.93490804699999996</v>
      </c>
    </row>
    <row r="440" spans="1:15" ht="46.5">
      <c r="A440" s="678">
        <v>8.56</v>
      </c>
      <c r="B440" s="227" t="s">
        <v>2328</v>
      </c>
      <c r="C440" s="642" t="s">
        <v>2329</v>
      </c>
      <c r="D440" s="681"/>
      <c r="E440" s="680">
        <v>1</v>
      </c>
      <c r="F440" s="30" t="s">
        <v>349</v>
      </c>
      <c r="G440" s="675">
        <f>2330*0.9</f>
        <v>2097</v>
      </c>
      <c r="H440" s="30">
        <f t="shared" si="145"/>
        <v>1960.502174559</v>
      </c>
      <c r="I440" s="30">
        <f t="shared" si="151"/>
        <v>1960.502174559</v>
      </c>
      <c r="J440" s="677">
        <v>115</v>
      </c>
      <c r="K440" s="25">
        <f t="shared" si="147"/>
        <v>107.514425405</v>
      </c>
      <c r="L440" s="25">
        <f t="shared" si="148"/>
        <v>107.514425405</v>
      </c>
      <c r="M440" s="67">
        <f t="shared" si="152"/>
        <v>2068.0165999639999</v>
      </c>
      <c r="N440" s="72"/>
      <c r="O440" s="663">
        <v>0.93490804699999996</v>
      </c>
    </row>
    <row r="441" spans="1:15" ht="23.25">
      <c r="A441" s="678">
        <v>8.57</v>
      </c>
      <c r="B441" s="287" t="s">
        <v>2330</v>
      </c>
      <c r="C441" s="1296" t="s">
        <v>2331</v>
      </c>
      <c r="D441" s="1297"/>
      <c r="E441" s="104">
        <v>11</v>
      </c>
      <c r="F441" s="26" t="s">
        <v>349</v>
      </c>
      <c r="G441" s="67">
        <f>3400*0.75</f>
        <v>2550</v>
      </c>
      <c r="H441" s="30">
        <f t="shared" si="145"/>
        <v>2384.0155198499997</v>
      </c>
      <c r="I441" s="30">
        <f t="shared" si="151"/>
        <v>26224.170718349997</v>
      </c>
      <c r="J441" s="677">
        <v>115</v>
      </c>
      <c r="K441" s="25">
        <f t="shared" si="147"/>
        <v>107.514425405</v>
      </c>
      <c r="L441" s="25">
        <f t="shared" si="148"/>
        <v>1182.6586794549999</v>
      </c>
      <c r="M441" s="67">
        <f t="shared" si="152"/>
        <v>27406.829397804995</v>
      </c>
      <c r="N441" s="72"/>
      <c r="O441" s="663">
        <v>0.93490804699999996</v>
      </c>
    </row>
    <row r="442" spans="1:15" ht="23.25">
      <c r="A442" s="678">
        <v>8.58</v>
      </c>
      <c r="B442" s="27" t="s">
        <v>2332</v>
      </c>
      <c r="C442" s="1351" t="s">
        <v>2333</v>
      </c>
      <c r="D442" s="1352"/>
      <c r="E442" s="104">
        <v>20</v>
      </c>
      <c r="F442" s="26" t="s">
        <v>349</v>
      </c>
      <c r="G442" s="67">
        <f>2330*0.9</f>
        <v>2097</v>
      </c>
      <c r="H442" s="30">
        <f t="shared" si="145"/>
        <v>1960.502174559</v>
      </c>
      <c r="I442" s="30">
        <f t="shared" si="151"/>
        <v>39210.043491179997</v>
      </c>
      <c r="J442" s="677">
        <v>115</v>
      </c>
      <c r="K442" s="25">
        <f t="shared" si="147"/>
        <v>107.514425405</v>
      </c>
      <c r="L442" s="25">
        <f t="shared" si="148"/>
        <v>2150.2885080999999</v>
      </c>
      <c r="M442" s="67">
        <f t="shared" si="152"/>
        <v>41360.331999279995</v>
      </c>
      <c r="N442" s="72"/>
      <c r="O442" s="663">
        <v>0.93490804699999996</v>
      </c>
    </row>
    <row r="443" spans="1:15" ht="23.25">
      <c r="A443" s="678">
        <v>8.59</v>
      </c>
      <c r="B443" s="227" t="s">
        <v>2334</v>
      </c>
      <c r="C443" s="1349" t="s">
        <v>2335</v>
      </c>
      <c r="D443" s="1350"/>
      <c r="E443" s="680">
        <v>10</v>
      </c>
      <c r="F443" s="30" t="s">
        <v>349</v>
      </c>
      <c r="G443" s="675">
        <f>4800*0.75</f>
        <v>3600</v>
      </c>
      <c r="H443" s="30">
        <f t="shared" si="145"/>
        <v>3365.6689692</v>
      </c>
      <c r="I443" s="30">
        <f t="shared" si="151"/>
        <v>33656.689692</v>
      </c>
      <c r="J443" s="677">
        <v>115</v>
      </c>
      <c r="K443" s="25">
        <f t="shared" si="147"/>
        <v>107.514425405</v>
      </c>
      <c r="L443" s="25">
        <f t="shared" si="148"/>
        <v>1075.14425405</v>
      </c>
      <c r="M443" s="67">
        <f t="shared" si="152"/>
        <v>34731.833946049999</v>
      </c>
      <c r="N443" s="72"/>
      <c r="O443" s="663">
        <v>0.93490804699999996</v>
      </c>
    </row>
    <row r="444" spans="1:15" ht="46.5" customHeight="1">
      <c r="A444" s="678">
        <v>8.6</v>
      </c>
      <c r="B444" s="227" t="s">
        <v>2336</v>
      </c>
      <c r="C444" s="1349" t="s">
        <v>2337</v>
      </c>
      <c r="D444" s="1350"/>
      <c r="E444" s="680">
        <v>107</v>
      </c>
      <c r="F444" s="30" t="s">
        <v>349</v>
      </c>
      <c r="G444" s="675">
        <f>660*0.9</f>
        <v>594</v>
      </c>
      <c r="H444" s="30">
        <f t="shared" si="145"/>
        <v>555.33537991799994</v>
      </c>
      <c r="I444" s="30">
        <f t="shared" si="151"/>
        <v>59420.885651225995</v>
      </c>
      <c r="J444" s="677">
        <v>115</v>
      </c>
      <c r="K444" s="25">
        <f t="shared" si="147"/>
        <v>107.514425405</v>
      </c>
      <c r="L444" s="25">
        <f t="shared" si="148"/>
        <v>11504.043518335</v>
      </c>
      <c r="M444" s="67">
        <f t="shared" si="152"/>
        <v>70924.929169561001</v>
      </c>
      <c r="N444" s="72"/>
      <c r="O444" s="663">
        <v>0.93490804699999996</v>
      </c>
    </row>
    <row r="445" spans="1:15" ht="23.25">
      <c r="A445" s="678">
        <v>8.61</v>
      </c>
      <c r="B445" s="227" t="s">
        <v>2338</v>
      </c>
      <c r="C445" s="1349" t="s">
        <v>2339</v>
      </c>
      <c r="D445" s="1350"/>
      <c r="E445" s="680">
        <v>2</v>
      </c>
      <c r="F445" s="30" t="s">
        <v>349</v>
      </c>
      <c r="G445" s="675">
        <f>1080*0.9</f>
        <v>972</v>
      </c>
      <c r="H445" s="30">
        <f t="shared" si="145"/>
        <v>908.73062168399997</v>
      </c>
      <c r="I445" s="30">
        <f t="shared" si="151"/>
        <v>1817.4612433679999</v>
      </c>
      <c r="J445" s="677">
        <v>115</v>
      </c>
      <c r="K445" s="25">
        <f t="shared" si="147"/>
        <v>107.514425405</v>
      </c>
      <c r="L445" s="25">
        <f t="shared" si="148"/>
        <v>215.02885080999999</v>
      </c>
      <c r="M445" s="67">
        <f t="shared" si="152"/>
        <v>2032.4900941779999</v>
      </c>
      <c r="N445" s="72"/>
      <c r="O445" s="663">
        <v>0.93490804699999996</v>
      </c>
    </row>
    <row r="446" spans="1:15" ht="23.25">
      <c r="A446" s="678">
        <v>8.6199999999999992</v>
      </c>
      <c r="B446" s="227" t="s">
        <v>2340</v>
      </c>
      <c r="C446" s="1349" t="s">
        <v>2341</v>
      </c>
      <c r="D446" s="1350"/>
      <c r="E446" s="680">
        <v>29</v>
      </c>
      <c r="F446" s="30" t="s">
        <v>349</v>
      </c>
      <c r="G446" s="675">
        <f>1930*0.9</f>
        <v>1737</v>
      </c>
      <c r="H446" s="30">
        <f t="shared" ref="H446:H468" si="153">G446*O446</f>
        <v>1623.9352776389999</v>
      </c>
      <c r="I446" s="30">
        <f t="shared" si="151"/>
        <v>47094.123051530994</v>
      </c>
      <c r="J446" s="677">
        <v>115</v>
      </c>
      <c r="K446" s="25">
        <f t="shared" ref="K446:K509" si="154">J446*O446</f>
        <v>107.514425405</v>
      </c>
      <c r="L446" s="25">
        <f t="shared" ref="L446:L468" si="155">E446*K446</f>
        <v>3117.918336745</v>
      </c>
      <c r="M446" s="67">
        <f t="shared" si="152"/>
        <v>50212.041388275997</v>
      </c>
      <c r="N446" s="72"/>
      <c r="O446" s="663">
        <v>0.93490804699999996</v>
      </c>
    </row>
    <row r="447" spans="1:15" ht="23.25">
      <c r="A447" s="678">
        <v>8.6300000000000008</v>
      </c>
      <c r="B447" s="227" t="s">
        <v>2342</v>
      </c>
      <c r="C447" s="1349" t="s">
        <v>2343</v>
      </c>
      <c r="D447" s="1350"/>
      <c r="E447" s="680">
        <v>1</v>
      </c>
      <c r="F447" s="30" t="s">
        <v>349</v>
      </c>
      <c r="G447" s="675">
        <f>1930*0.9</f>
        <v>1737</v>
      </c>
      <c r="H447" s="30">
        <f t="shared" si="153"/>
        <v>1623.9352776389999</v>
      </c>
      <c r="I447" s="30">
        <f t="shared" si="151"/>
        <v>1623.9352776389999</v>
      </c>
      <c r="J447" s="677">
        <v>115</v>
      </c>
      <c r="K447" s="25">
        <f t="shared" si="154"/>
        <v>107.514425405</v>
      </c>
      <c r="L447" s="25">
        <f t="shared" si="155"/>
        <v>107.514425405</v>
      </c>
      <c r="M447" s="67">
        <f t="shared" si="152"/>
        <v>1731.4497030439998</v>
      </c>
      <c r="N447" s="72"/>
      <c r="O447" s="663">
        <v>0.93490804699999996</v>
      </c>
    </row>
    <row r="448" spans="1:15" ht="46.5">
      <c r="A448" s="678">
        <v>8.64</v>
      </c>
      <c r="B448" s="227" t="s">
        <v>2344</v>
      </c>
      <c r="C448" s="642" t="s">
        <v>2345</v>
      </c>
      <c r="D448" s="681"/>
      <c r="E448" s="680">
        <v>43</v>
      </c>
      <c r="F448" s="30" t="s">
        <v>349</v>
      </c>
      <c r="G448" s="675">
        <f>1060*0.9</f>
        <v>954</v>
      </c>
      <c r="H448" s="30">
        <f t="shared" si="153"/>
        <v>891.90227683799992</v>
      </c>
      <c r="I448" s="30">
        <f t="shared" si="151"/>
        <v>38351.797904034</v>
      </c>
      <c r="J448" s="677">
        <v>115</v>
      </c>
      <c r="K448" s="25">
        <f t="shared" si="154"/>
        <v>107.514425405</v>
      </c>
      <c r="L448" s="25">
        <f t="shared" si="155"/>
        <v>4623.1202924150002</v>
      </c>
      <c r="M448" s="67">
        <f t="shared" si="152"/>
        <v>42974.918196448998</v>
      </c>
      <c r="N448" s="72"/>
      <c r="O448" s="663">
        <v>0.93490804699999996</v>
      </c>
    </row>
    <row r="449" spans="1:15" ht="23.25">
      <c r="A449" s="678">
        <v>8.65</v>
      </c>
      <c r="B449" s="227" t="s">
        <v>2346</v>
      </c>
      <c r="C449" s="642" t="s">
        <v>2347</v>
      </c>
      <c r="D449" s="681"/>
      <c r="E449" s="680">
        <v>7</v>
      </c>
      <c r="F449" s="30" t="s">
        <v>349</v>
      </c>
      <c r="G449" s="675">
        <v>1080</v>
      </c>
      <c r="H449" s="30">
        <f t="shared" si="153"/>
        <v>1009.7006907599999</v>
      </c>
      <c r="I449" s="30">
        <f t="shared" si="151"/>
        <v>7067.9048353199996</v>
      </c>
      <c r="J449" s="677">
        <v>115</v>
      </c>
      <c r="K449" s="25">
        <f t="shared" si="154"/>
        <v>107.514425405</v>
      </c>
      <c r="L449" s="25">
        <f t="shared" si="155"/>
        <v>752.60097783499998</v>
      </c>
      <c r="M449" s="67">
        <f t="shared" si="152"/>
        <v>7820.5058131549995</v>
      </c>
      <c r="N449" s="72"/>
      <c r="O449" s="663">
        <v>0.93490804699999996</v>
      </c>
    </row>
    <row r="450" spans="1:15" ht="69.75">
      <c r="A450" s="678">
        <v>8.6599999999999895</v>
      </c>
      <c r="B450" s="227" t="s">
        <v>2348</v>
      </c>
      <c r="C450" s="642" t="s">
        <v>2349</v>
      </c>
      <c r="D450" s="681"/>
      <c r="E450" s="680">
        <v>780</v>
      </c>
      <c r="F450" s="30" t="s">
        <v>211</v>
      </c>
      <c r="G450" s="675">
        <v>400</v>
      </c>
      <c r="H450" s="30">
        <f t="shared" si="153"/>
        <v>373.96321879999999</v>
      </c>
      <c r="I450" s="30">
        <f t="shared" si="151"/>
        <v>291691.31066399999</v>
      </c>
      <c r="J450" s="677">
        <v>115</v>
      </c>
      <c r="K450" s="25">
        <f t="shared" si="154"/>
        <v>107.514425405</v>
      </c>
      <c r="L450" s="25">
        <f t="shared" si="155"/>
        <v>83861.251815900003</v>
      </c>
      <c r="M450" s="67">
        <f t="shared" si="152"/>
        <v>375552.56247989996</v>
      </c>
      <c r="N450" s="72"/>
      <c r="O450" s="663">
        <v>0.93490804699999996</v>
      </c>
    </row>
    <row r="451" spans="1:15" ht="23.25">
      <c r="A451" s="678">
        <v>8.6699999999999893</v>
      </c>
      <c r="B451" s="227" t="s">
        <v>2350</v>
      </c>
      <c r="C451" s="1349" t="s">
        <v>2351</v>
      </c>
      <c r="D451" s="1350"/>
      <c r="E451" s="680">
        <v>126</v>
      </c>
      <c r="F451" s="30" t="s">
        <v>286</v>
      </c>
      <c r="G451" s="675">
        <v>1290</v>
      </c>
      <c r="H451" s="30">
        <f t="shared" si="153"/>
        <v>1206.0313806300001</v>
      </c>
      <c r="I451" s="30">
        <f t="shared" si="151"/>
        <v>151959.95395938001</v>
      </c>
      <c r="J451" s="677">
        <v>115</v>
      </c>
      <c r="K451" s="25">
        <f t="shared" si="154"/>
        <v>107.514425405</v>
      </c>
      <c r="L451" s="25">
        <f t="shared" si="155"/>
        <v>13546.817601029999</v>
      </c>
      <c r="M451" s="67">
        <f t="shared" si="152"/>
        <v>165506.77156041001</v>
      </c>
      <c r="N451" s="72"/>
      <c r="O451" s="663">
        <v>0.93490804699999996</v>
      </c>
    </row>
    <row r="452" spans="1:15" ht="23.25">
      <c r="A452" s="678">
        <v>8.6799999999999908</v>
      </c>
      <c r="B452" s="227" t="s">
        <v>2352</v>
      </c>
      <c r="C452" s="1349" t="s">
        <v>2353</v>
      </c>
      <c r="D452" s="1350"/>
      <c r="E452" s="680">
        <v>35</v>
      </c>
      <c r="F452" s="30" t="s">
        <v>286</v>
      </c>
      <c r="G452" s="675">
        <v>1230</v>
      </c>
      <c r="H452" s="30">
        <f t="shared" si="153"/>
        <v>1149.9368978099999</v>
      </c>
      <c r="I452" s="30">
        <f t="shared" si="151"/>
        <v>40247.791423349998</v>
      </c>
      <c r="J452" s="677">
        <v>115</v>
      </c>
      <c r="K452" s="25">
        <f t="shared" si="154"/>
        <v>107.514425405</v>
      </c>
      <c r="L452" s="25">
        <f t="shared" si="155"/>
        <v>3763.0048891749998</v>
      </c>
      <c r="M452" s="67">
        <f t="shared" si="152"/>
        <v>44010.796312524995</v>
      </c>
      <c r="N452" s="72"/>
      <c r="O452" s="663">
        <v>0.93490804699999996</v>
      </c>
    </row>
    <row r="453" spans="1:15" ht="23.25">
      <c r="A453" s="678">
        <v>8.6899999999999906</v>
      </c>
      <c r="B453" s="227" t="s">
        <v>2354</v>
      </c>
      <c r="C453" s="1349" t="s">
        <v>2355</v>
      </c>
      <c r="D453" s="1350"/>
      <c r="E453" s="680">
        <v>56</v>
      </c>
      <c r="F453" s="30" t="s">
        <v>286</v>
      </c>
      <c r="G453" s="675">
        <v>1600</v>
      </c>
      <c r="H453" s="30">
        <f t="shared" si="153"/>
        <v>1495.8528752</v>
      </c>
      <c r="I453" s="30">
        <f t="shared" si="151"/>
        <v>83767.761011199997</v>
      </c>
      <c r="J453" s="677">
        <v>115</v>
      </c>
      <c r="K453" s="25">
        <f t="shared" si="154"/>
        <v>107.514425405</v>
      </c>
      <c r="L453" s="25">
        <f t="shared" si="155"/>
        <v>6020.8078226799998</v>
      </c>
      <c r="M453" s="67">
        <f t="shared" si="152"/>
        <v>89788.568833879996</v>
      </c>
      <c r="N453" s="72"/>
      <c r="O453" s="663">
        <v>0.93490804699999996</v>
      </c>
    </row>
    <row r="454" spans="1:15" ht="23.25">
      <c r="A454" s="678">
        <v>8.6999999999999904</v>
      </c>
      <c r="B454" s="227" t="s">
        <v>2356</v>
      </c>
      <c r="C454" s="1349" t="s">
        <v>2357</v>
      </c>
      <c r="D454" s="1350"/>
      <c r="E454" s="680">
        <v>48</v>
      </c>
      <c r="F454" s="30" t="s">
        <v>286</v>
      </c>
      <c r="G454" s="675">
        <v>1180</v>
      </c>
      <c r="H454" s="30">
        <f t="shared" si="153"/>
        <v>1103.1914954599999</v>
      </c>
      <c r="I454" s="30">
        <f t="shared" si="151"/>
        <v>52953.191782080001</v>
      </c>
      <c r="J454" s="677">
        <v>115</v>
      </c>
      <c r="K454" s="25">
        <f t="shared" si="154"/>
        <v>107.514425405</v>
      </c>
      <c r="L454" s="25">
        <f t="shared" si="155"/>
        <v>5160.6924194399999</v>
      </c>
      <c r="M454" s="67">
        <f t="shared" si="152"/>
        <v>58113.884201519999</v>
      </c>
      <c r="N454" s="72"/>
      <c r="O454" s="663">
        <v>0.93490804699999996</v>
      </c>
    </row>
    <row r="455" spans="1:15" ht="23.25">
      <c r="A455" s="678">
        <v>8.7099999999999902</v>
      </c>
      <c r="B455" s="227" t="s">
        <v>2358</v>
      </c>
      <c r="C455" s="1349" t="s">
        <v>2359</v>
      </c>
      <c r="D455" s="1350"/>
      <c r="E455" s="680">
        <v>67.72</v>
      </c>
      <c r="F455" s="30" t="s">
        <v>286</v>
      </c>
      <c r="G455" s="675">
        <v>1600</v>
      </c>
      <c r="H455" s="30">
        <f t="shared" si="153"/>
        <v>1495.8528752</v>
      </c>
      <c r="I455" s="30">
        <f t="shared" si="151"/>
        <v>101299.15670854399</v>
      </c>
      <c r="J455" s="677">
        <v>115</v>
      </c>
      <c r="K455" s="25">
        <f t="shared" si="154"/>
        <v>107.514425405</v>
      </c>
      <c r="L455" s="25">
        <f t="shared" si="155"/>
        <v>7280.8768884266001</v>
      </c>
      <c r="M455" s="67">
        <f t="shared" si="152"/>
        <v>108580.03359697059</v>
      </c>
      <c r="N455" s="72"/>
      <c r="O455" s="663">
        <v>0.93490804699999996</v>
      </c>
    </row>
    <row r="456" spans="1:15" ht="46.5">
      <c r="A456" s="678">
        <v>8.71999999999999</v>
      </c>
      <c r="B456" s="227" t="s">
        <v>2360</v>
      </c>
      <c r="C456" s="642" t="s">
        <v>2361</v>
      </c>
      <c r="D456" s="681"/>
      <c r="E456" s="680">
        <v>2</v>
      </c>
      <c r="F456" s="30" t="s">
        <v>349</v>
      </c>
      <c r="G456" s="675">
        <f>1480*0.9</f>
        <v>1332</v>
      </c>
      <c r="H456" s="30">
        <f t="shared" si="153"/>
        <v>1245.2975186040001</v>
      </c>
      <c r="I456" s="30">
        <f t="shared" si="151"/>
        <v>2490.5950372080001</v>
      </c>
      <c r="J456" s="677">
        <v>115</v>
      </c>
      <c r="K456" s="25">
        <f t="shared" si="154"/>
        <v>107.514425405</v>
      </c>
      <c r="L456" s="25">
        <f t="shared" si="155"/>
        <v>215.02885080999999</v>
      </c>
      <c r="M456" s="67">
        <f t="shared" si="152"/>
        <v>2705.6238880179999</v>
      </c>
      <c r="N456" s="72"/>
      <c r="O456" s="663">
        <v>0.93490804699999996</v>
      </c>
    </row>
    <row r="457" spans="1:15" ht="46.5">
      <c r="A457" s="678">
        <v>8.7299999999999898</v>
      </c>
      <c r="B457" s="227" t="s">
        <v>2362</v>
      </c>
      <c r="C457" s="642" t="s">
        <v>2363</v>
      </c>
      <c r="D457" s="681"/>
      <c r="E457" s="680">
        <v>14</v>
      </c>
      <c r="F457" s="30" t="s">
        <v>349</v>
      </c>
      <c r="G457" s="675">
        <f>2230*0.9</f>
        <v>2007</v>
      </c>
      <c r="H457" s="30">
        <f t="shared" si="153"/>
        <v>1876.3604503289998</v>
      </c>
      <c r="I457" s="30">
        <f t="shared" si="151"/>
        <v>26269.046304605996</v>
      </c>
      <c r="J457" s="677">
        <v>115</v>
      </c>
      <c r="K457" s="25">
        <f t="shared" si="154"/>
        <v>107.514425405</v>
      </c>
      <c r="L457" s="25">
        <f t="shared" si="155"/>
        <v>1505.20195567</v>
      </c>
      <c r="M457" s="67">
        <f t="shared" si="152"/>
        <v>27774.248260275996</v>
      </c>
      <c r="N457" s="72"/>
      <c r="O457" s="663">
        <v>0.93490804699999996</v>
      </c>
    </row>
    <row r="458" spans="1:15" ht="46.5">
      <c r="A458" s="678">
        <v>8.7399999999999896</v>
      </c>
      <c r="B458" s="227" t="s">
        <v>2364</v>
      </c>
      <c r="C458" s="642" t="s">
        <v>2365</v>
      </c>
      <c r="D458" s="681"/>
      <c r="E458" s="680">
        <v>2</v>
      </c>
      <c r="F458" s="30" t="s">
        <v>349</v>
      </c>
      <c r="G458" s="675">
        <f>2975*0.9</f>
        <v>2677.5</v>
      </c>
      <c r="H458" s="30">
        <f t="shared" si="153"/>
        <v>2503.2162958425001</v>
      </c>
      <c r="I458" s="30">
        <f t="shared" si="151"/>
        <v>5006.4325916850003</v>
      </c>
      <c r="J458" s="677">
        <v>115</v>
      </c>
      <c r="K458" s="25">
        <f t="shared" si="154"/>
        <v>107.514425405</v>
      </c>
      <c r="L458" s="25">
        <f t="shared" si="155"/>
        <v>215.02885080999999</v>
      </c>
      <c r="M458" s="67">
        <f t="shared" si="152"/>
        <v>5221.4614424950005</v>
      </c>
      <c r="N458" s="72"/>
      <c r="O458" s="663">
        <v>0.93490804699999996</v>
      </c>
    </row>
    <row r="459" spans="1:15" ht="23.25">
      <c r="A459" s="678">
        <v>8.7499999999999893</v>
      </c>
      <c r="B459" s="227" t="s">
        <v>2366</v>
      </c>
      <c r="C459" s="1349" t="s">
        <v>2367</v>
      </c>
      <c r="D459" s="1350"/>
      <c r="E459" s="680">
        <v>43</v>
      </c>
      <c r="F459" s="30" t="s">
        <v>286</v>
      </c>
      <c r="G459" s="675">
        <v>7500</v>
      </c>
      <c r="H459" s="30">
        <f t="shared" si="153"/>
        <v>7011.8103524999997</v>
      </c>
      <c r="I459" s="30">
        <f t="shared" si="151"/>
        <v>301507.84515750001</v>
      </c>
      <c r="J459" s="677">
        <v>115</v>
      </c>
      <c r="K459" s="25">
        <f t="shared" si="154"/>
        <v>107.514425405</v>
      </c>
      <c r="L459" s="25">
        <f t="shared" si="155"/>
        <v>4623.1202924150002</v>
      </c>
      <c r="M459" s="67">
        <f t="shared" si="152"/>
        <v>306130.96544991503</v>
      </c>
      <c r="N459" s="72"/>
      <c r="O459" s="663">
        <v>0.93490804699999996</v>
      </c>
    </row>
    <row r="460" spans="1:15" ht="46.5">
      <c r="A460" s="678">
        <v>8.7599999999999891</v>
      </c>
      <c r="B460" s="227" t="s">
        <v>2368</v>
      </c>
      <c r="C460" s="642" t="s">
        <v>2369</v>
      </c>
      <c r="D460" s="681"/>
      <c r="E460" s="680">
        <v>78</v>
      </c>
      <c r="F460" s="30" t="s">
        <v>286</v>
      </c>
      <c r="G460" s="675">
        <v>1020</v>
      </c>
      <c r="H460" s="30">
        <f t="shared" si="153"/>
        <v>953.60620793999999</v>
      </c>
      <c r="I460" s="30">
        <f t="shared" si="151"/>
        <v>74381.284219320005</v>
      </c>
      <c r="J460" s="677">
        <v>115</v>
      </c>
      <c r="K460" s="25">
        <f t="shared" si="154"/>
        <v>107.514425405</v>
      </c>
      <c r="L460" s="25">
        <f t="shared" si="155"/>
        <v>8386.1251815899996</v>
      </c>
      <c r="M460" s="67">
        <f t="shared" si="152"/>
        <v>82767.409400910008</v>
      </c>
      <c r="N460" s="72"/>
      <c r="O460" s="663">
        <v>0.93490804699999996</v>
      </c>
    </row>
    <row r="461" spans="1:15" ht="23.25">
      <c r="A461" s="678">
        <v>8.7699999999999907</v>
      </c>
      <c r="B461" s="227" t="s">
        <v>2370</v>
      </c>
      <c r="C461" s="1349" t="s">
        <v>2353</v>
      </c>
      <c r="D461" s="1350"/>
      <c r="E461" s="680">
        <v>28.52</v>
      </c>
      <c r="F461" s="30" t="s">
        <v>286</v>
      </c>
      <c r="G461" s="675">
        <v>1220</v>
      </c>
      <c r="H461" s="30">
        <f t="shared" si="153"/>
        <v>1140.5878173399999</v>
      </c>
      <c r="I461" s="30">
        <f t="shared" si="151"/>
        <v>32529.564550536797</v>
      </c>
      <c r="J461" s="677">
        <v>115</v>
      </c>
      <c r="K461" s="25">
        <f t="shared" si="154"/>
        <v>107.514425405</v>
      </c>
      <c r="L461" s="25">
        <f t="shared" si="155"/>
        <v>3066.3114125505999</v>
      </c>
      <c r="M461" s="67">
        <f t="shared" si="152"/>
        <v>35595.875963087397</v>
      </c>
      <c r="N461" s="72"/>
      <c r="O461" s="663">
        <v>0.93490804699999996</v>
      </c>
    </row>
    <row r="462" spans="1:15" ht="23.25">
      <c r="A462" s="678">
        <v>8.7799999999999905</v>
      </c>
      <c r="B462" s="227" t="s">
        <v>2371</v>
      </c>
      <c r="C462" s="1349" t="s">
        <v>2372</v>
      </c>
      <c r="D462" s="1350"/>
      <c r="E462" s="680">
        <v>8.85</v>
      </c>
      <c r="F462" s="30" t="s">
        <v>286</v>
      </c>
      <c r="G462" s="675">
        <v>2875</v>
      </c>
      <c r="H462" s="30">
        <f t="shared" si="153"/>
        <v>2687.860635125</v>
      </c>
      <c r="I462" s="30">
        <f t="shared" si="151"/>
        <v>23787.566620856251</v>
      </c>
      <c r="J462" s="677">
        <v>115</v>
      </c>
      <c r="K462" s="25">
        <f t="shared" si="154"/>
        <v>107.514425405</v>
      </c>
      <c r="L462" s="25">
        <f t="shared" si="155"/>
        <v>951.50266483424991</v>
      </c>
      <c r="M462" s="67">
        <f t="shared" si="152"/>
        <v>24739.069285690501</v>
      </c>
      <c r="N462" s="72"/>
      <c r="O462" s="663">
        <v>0.93490804699999996</v>
      </c>
    </row>
    <row r="463" spans="1:15" ht="23.25">
      <c r="A463" s="678">
        <v>8.7899999999999903</v>
      </c>
      <c r="B463" s="227" t="s">
        <v>2373</v>
      </c>
      <c r="C463" s="1349" t="s">
        <v>2374</v>
      </c>
      <c r="D463" s="1350"/>
      <c r="E463" s="680">
        <v>14</v>
      </c>
      <c r="F463" s="30" t="s">
        <v>349</v>
      </c>
      <c r="G463" s="675">
        <f>2000*0.9</f>
        <v>1800</v>
      </c>
      <c r="H463" s="30">
        <f t="shared" si="153"/>
        <v>1682.8344846</v>
      </c>
      <c r="I463" s="30">
        <f t="shared" si="151"/>
        <v>23559.6827844</v>
      </c>
      <c r="J463" s="677">
        <v>150</v>
      </c>
      <c r="K463" s="25">
        <f t="shared" si="154"/>
        <v>140.23620704999999</v>
      </c>
      <c r="L463" s="25">
        <f t="shared" si="155"/>
        <v>1963.3068986999999</v>
      </c>
      <c r="M463" s="67">
        <f t="shared" si="152"/>
        <v>25522.989683100001</v>
      </c>
      <c r="N463" s="72"/>
      <c r="O463" s="663">
        <v>0.93490804699999996</v>
      </c>
    </row>
    <row r="464" spans="1:15" ht="23.25">
      <c r="A464" s="678">
        <v>8.7999999999999901</v>
      </c>
      <c r="B464" s="227" t="s">
        <v>2375</v>
      </c>
      <c r="C464" s="642" t="s">
        <v>2376</v>
      </c>
      <c r="D464" s="681"/>
      <c r="E464" s="680">
        <v>4</v>
      </c>
      <c r="F464" s="30" t="s">
        <v>349</v>
      </c>
      <c r="G464" s="675">
        <f>560*0.9</f>
        <v>504</v>
      </c>
      <c r="H464" s="30">
        <f t="shared" si="153"/>
        <v>471.19365568799998</v>
      </c>
      <c r="I464" s="30">
        <f t="shared" si="151"/>
        <v>1884.7746227519999</v>
      </c>
      <c r="J464" s="677">
        <v>115</v>
      </c>
      <c r="K464" s="25">
        <f t="shared" si="154"/>
        <v>107.514425405</v>
      </c>
      <c r="L464" s="25">
        <f t="shared" si="155"/>
        <v>430.05770161999999</v>
      </c>
      <c r="M464" s="67">
        <f t="shared" si="152"/>
        <v>2314.8323243719997</v>
      </c>
      <c r="N464" s="72"/>
      <c r="O464" s="663">
        <v>0.93490804699999996</v>
      </c>
    </row>
    <row r="465" spans="1:15" ht="23.25">
      <c r="A465" s="678">
        <v>8.8099999999999898</v>
      </c>
      <c r="B465" s="227" t="s">
        <v>2377</v>
      </c>
      <c r="C465" s="1349" t="s">
        <v>2378</v>
      </c>
      <c r="D465" s="1350"/>
      <c r="E465" s="680">
        <v>6</v>
      </c>
      <c r="F465" s="30" t="s">
        <v>349</v>
      </c>
      <c r="G465" s="675">
        <f>2000*0.9</f>
        <v>1800</v>
      </c>
      <c r="H465" s="30">
        <f t="shared" si="153"/>
        <v>1682.8344846</v>
      </c>
      <c r="I465" s="30">
        <f t="shared" si="151"/>
        <v>10097.0069076</v>
      </c>
      <c r="J465" s="677">
        <v>115</v>
      </c>
      <c r="K465" s="25">
        <f t="shared" si="154"/>
        <v>107.514425405</v>
      </c>
      <c r="L465" s="25">
        <f t="shared" si="155"/>
        <v>645.08655242999998</v>
      </c>
      <c r="M465" s="67">
        <f t="shared" si="152"/>
        <v>10742.093460030001</v>
      </c>
      <c r="N465" s="72"/>
      <c r="O465" s="663">
        <v>0.93490804699999996</v>
      </c>
    </row>
    <row r="466" spans="1:15" ht="23.25">
      <c r="A466" s="678">
        <v>8.8199999999999896</v>
      </c>
      <c r="B466" s="227" t="s">
        <v>2379</v>
      </c>
      <c r="C466" s="642" t="s">
        <v>2380</v>
      </c>
      <c r="D466" s="681"/>
      <c r="E466" s="680">
        <v>6</v>
      </c>
      <c r="F466" s="30" t="s">
        <v>349</v>
      </c>
      <c r="G466" s="675">
        <f>560*0.9</f>
        <v>504</v>
      </c>
      <c r="H466" s="30">
        <f t="shared" si="153"/>
        <v>471.19365568799998</v>
      </c>
      <c r="I466" s="30">
        <f t="shared" si="151"/>
        <v>2827.1619341279998</v>
      </c>
      <c r="J466" s="677">
        <v>115</v>
      </c>
      <c r="K466" s="25">
        <f t="shared" si="154"/>
        <v>107.514425405</v>
      </c>
      <c r="L466" s="25">
        <f t="shared" si="155"/>
        <v>645.08655242999998</v>
      </c>
      <c r="M466" s="67">
        <f t="shared" si="152"/>
        <v>3472.248486558</v>
      </c>
      <c r="N466" s="72"/>
      <c r="O466" s="663">
        <v>0.93490804699999996</v>
      </c>
    </row>
    <row r="467" spans="1:15" ht="23.25">
      <c r="A467" s="678">
        <v>8.8299999999999894</v>
      </c>
      <c r="B467" s="227" t="s">
        <v>2381</v>
      </c>
      <c r="C467" s="642" t="s">
        <v>2382</v>
      </c>
      <c r="D467" s="681"/>
      <c r="E467" s="680">
        <v>9</v>
      </c>
      <c r="F467" s="30" t="s">
        <v>349</v>
      </c>
      <c r="G467" s="675">
        <f>560*0.9</f>
        <v>504</v>
      </c>
      <c r="H467" s="30">
        <f t="shared" si="153"/>
        <v>471.19365568799998</v>
      </c>
      <c r="I467" s="30">
        <f t="shared" si="151"/>
        <v>4240.7429011919994</v>
      </c>
      <c r="J467" s="677">
        <v>115</v>
      </c>
      <c r="K467" s="25">
        <f t="shared" si="154"/>
        <v>107.514425405</v>
      </c>
      <c r="L467" s="25">
        <f t="shared" si="155"/>
        <v>967.62982864499998</v>
      </c>
      <c r="M467" s="67">
        <f t="shared" si="152"/>
        <v>5208.3727298369995</v>
      </c>
      <c r="N467" s="72"/>
      <c r="O467" s="663">
        <v>0.93490804699999996</v>
      </c>
    </row>
    <row r="468" spans="1:15" ht="46.5">
      <c r="A468" s="678">
        <v>8.8399999999999892</v>
      </c>
      <c r="B468" s="227" t="s">
        <v>2383</v>
      </c>
      <c r="C468" s="642" t="s">
        <v>2384</v>
      </c>
      <c r="D468" s="681"/>
      <c r="E468" s="680">
        <v>0</v>
      </c>
      <c r="F468" s="30" t="s">
        <v>349</v>
      </c>
      <c r="G468" s="675">
        <v>9980</v>
      </c>
      <c r="H468" s="30">
        <f t="shared" si="153"/>
        <v>9330.3823090599999</v>
      </c>
      <c r="I468" s="30">
        <f t="shared" si="151"/>
        <v>0</v>
      </c>
      <c r="J468" s="677">
        <v>115</v>
      </c>
      <c r="K468" s="25">
        <f t="shared" si="154"/>
        <v>107.514425405</v>
      </c>
      <c r="L468" s="25">
        <f t="shared" si="155"/>
        <v>0</v>
      </c>
      <c r="M468" s="67">
        <f t="shared" si="152"/>
        <v>0</v>
      </c>
      <c r="N468" s="72"/>
      <c r="O468" s="663">
        <v>0.93490804699999996</v>
      </c>
    </row>
    <row r="469" spans="1:15" ht="20.100000000000001" customHeight="1">
      <c r="A469" s="678"/>
      <c r="B469" s="678"/>
      <c r="C469" s="673"/>
      <c r="D469" s="679"/>
      <c r="E469" s="680"/>
      <c r="F469" s="30"/>
      <c r="G469" s="675"/>
      <c r="H469" s="684"/>
      <c r="I469" s="683"/>
      <c r="J469" s="677"/>
      <c r="K469" s="25"/>
      <c r="L469" s="25"/>
      <c r="M469" s="67"/>
      <c r="N469" s="72"/>
      <c r="O469" s="663">
        <v>0.93490804699999996</v>
      </c>
    </row>
    <row r="470" spans="1:15" ht="20.100000000000001" customHeight="1">
      <c r="A470" s="649"/>
      <c r="B470" s="649" t="s">
        <v>2385</v>
      </c>
      <c r="C470" s="673"/>
      <c r="D470" s="679"/>
      <c r="E470" s="680"/>
      <c r="F470" s="30"/>
      <c r="G470" s="675"/>
      <c r="H470" s="684"/>
      <c r="I470" s="683"/>
      <c r="J470" s="677"/>
      <c r="K470" s="25"/>
      <c r="L470" s="25"/>
      <c r="M470" s="67"/>
      <c r="N470" s="26"/>
      <c r="O470" s="663">
        <v>0.93490804699999996</v>
      </c>
    </row>
    <row r="471" spans="1:15" ht="20.100000000000001" customHeight="1">
      <c r="A471" s="678">
        <v>8.85</v>
      </c>
      <c r="B471" s="227" t="s">
        <v>2386</v>
      </c>
      <c r="C471" s="642" t="s">
        <v>2387</v>
      </c>
      <c r="D471" s="679"/>
      <c r="E471" s="680">
        <v>11</v>
      </c>
      <c r="F471" s="30" t="s">
        <v>349</v>
      </c>
      <c r="G471" s="675">
        <f>5018*0.9</f>
        <v>4516.2</v>
      </c>
      <c r="H471" s="30">
        <f t="shared" ref="H471:H511" si="156">G471*O471</f>
        <v>4222.2317218613998</v>
      </c>
      <c r="I471" s="67">
        <f>E471*H471</f>
        <v>46444.548940475397</v>
      </c>
      <c r="J471" s="677">
        <v>150</v>
      </c>
      <c r="K471" s="25">
        <f t="shared" si="154"/>
        <v>140.23620704999999</v>
      </c>
      <c r="L471" s="25">
        <f t="shared" ref="L471:L534" si="157">E471*K471</f>
        <v>1542.5982775499999</v>
      </c>
      <c r="M471" s="67">
        <f>I471+L471</f>
        <v>47987.147218025399</v>
      </c>
      <c r="N471" s="26"/>
      <c r="O471" s="663">
        <v>0.93490804699999996</v>
      </c>
    </row>
    <row r="472" spans="1:15" ht="20.100000000000001" customHeight="1">
      <c r="A472" s="678">
        <v>8.86</v>
      </c>
      <c r="B472" s="227" t="s">
        <v>2388</v>
      </c>
      <c r="C472" s="642" t="s">
        <v>2389</v>
      </c>
      <c r="D472" s="679"/>
      <c r="E472" s="680">
        <v>11</v>
      </c>
      <c r="F472" s="30" t="s">
        <v>349</v>
      </c>
      <c r="G472" s="675">
        <f>5018*0.9</f>
        <v>4516.2</v>
      </c>
      <c r="H472" s="30">
        <f t="shared" si="156"/>
        <v>4222.2317218613998</v>
      </c>
      <c r="I472" s="67">
        <f t="shared" ref="I472:I511" si="158">E472*H472</f>
        <v>46444.548940475397</v>
      </c>
      <c r="J472" s="677">
        <v>150</v>
      </c>
      <c r="K472" s="25">
        <f t="shared" si="154"/>
        <v>140.23620704999999</v>
      </c>
      <c r="L472" s="25">
        <f t="shared" si="157"/>
        <v>1542.5982775499999</v>
      </c>
      <c r="M472" s="67">
        <f t="shared" ref="M472:M511" si="159">I472+L472</f>
        <v>47987.147218025399</v>
      </c>
      <c r="N472" s="26"/>
      <c r="O472" s="663">
        <v>0.93490804699999996</v>
      </c>
    </row>
    <row r="473" spans="1:15" ht="20.100000000000001" customHeight="1">
      <c r="A473" s="678">
        <v>8.8699999999999992</v>
      </c>
      <c r="B473" s="227" t="s">
        <v>2390</v>
      </c>
      <c r="C473" s="642" t="s">
        <v>2391</v>
      </c>
      <c r="D473" s="679"/>
      <c r="E473" s="680">
        <v>11</v>
      </c>
      <c r="F473" s="30" t="s">
        <v>349</v>
      </c>
      <c r="G473" s="675">
        <f>4508*0.9</f>
        <v>4057.2000000000003</v>
      </c>
      <c r="H473" s="30">
        <f t="shared" si="156"/>
        <v>3793.1089282884</v>
      </c>
      <c r="I473" s="67">
        <f t="shared" si="158"/>
        <v>41724.198211172399</v>
      </c>
      <c r="J473" s="677">
        <v>150</v>
      </c>
      <c r="K473" s="25">
        <f t="shared" si="154"/>
        <v>140.23620704999999</v>
      </c>
      <c r="L473" s="25">
        <f t="shared" si="157"/>
        <v>1542.5982775499999</v>
      </c>
      <c r="M473" s="67">
        <f t="shared" si="159"/>
        <v>43266.796488722401</v>
      </c>
      <c r="N473" s="26"/>
      <c r="O473" s="663">
        <v>0.93490804699999996</v>
      </c>
    </row>
    <row r="474" spans="1:15" ht="20.100000000000001" customHeight="1">
      <c r="A474" s="678">
        <v>8.8800000000000008</v>
      </c>
      <c r="B474" s="227" t="s">
        <v>2392</v>
      </c>
      <c r="C474" s="642" t="s">
        <v>2393</v>
      </c>
      <c r="D474" s="679"/>
      <c r="E474" s="680">
        <v>6</v>
      </c>
      <c r="F474" s="30" t="s">
        <v>349</v>
      </c>
      <c r="G474" s="675">
        <f>2637*0.9</f>
        <v>2373.3000000000002</v>
      </c>
      <c r="H474" s="30">
        <f t="shared" si="156"/>
        <v>2218.8172679451</v>
      </c>
      <c r="I474" s="67">
        <f t="shared" si="158"/>
        <v>13312.9036076706</v>
      </c>
      <c r="J474" s="677">
        <v>150</v>
      </c>
      <c r="K474" s="25">
        <f t="shared" si="154"/>
        <v>140.23620704999999</v>
      </c>
      <c r="L474" s="25">
        <f t="shared" si="157"/>
        <v>841.4172423</v>
      </c>
      <c r="M474" s="67">
        <f t="shared" si="159"/>
        <v>14154.3208499706</v>
      </c>
      <c r="N474" s="26"/>
      <c r="O474" s="663">
        <v>0.93490804699999996</v>
      </c>
    </row>
    <row r="475" spans="1:15" ht="20.100000000000001" customHeight="1">
      <c r="A475" s="678">
        <v>8.89</v>
      </c>
      <c r="B475" s="227" t="s">
        <v>2394</v>
      </c>
      <c r="C475" s="642" t="s">
        <v>2395</v>
      </c>
      <c r="D475" s="679"/>
      <c r="E475" s="680">
        <v>16</v>
      </c>
      <c r="F475" s="30" t="s">
        <v>349</v>
      </c>
      <c r="G475" s="675">
        <f>2637*0.9</f>
        <v>2373.3000000000002</v>
      </c>
      <c r="H475" s="30">
        <f t="shared" si="156"/>
        <v>2218.8172679451</v>
      </c>
      <c r="I475" s="67">
        <f t="shared" si="158"/>
        <v>35501.076287121599</v>
      </c>
      <c r="J475" s="677">
        <v>150</v>
      </c>
      <c r="K475" s="25">
        <f t="shared" si="154"/>
        <v>140.23620704999999</v>
      </c>
      <c r="L475" s="25">
        <f t="shared" si="157"/>
        <v>2243.7793127999998</v>
      </c>
      <c r="M475" s="67">
        <f t="shared" si="159"/>
        <v>37744.855599921597</v>
      </c>
      <c r="N475" s="26"/>
      <c r="O475" s="663">
        <v>0.93490804699999996</v>
      </c>
    </row>
    <row r="476" spans="1:15" ht="20.100000000000001" customHeight="1">
      <c r="A476" s="678">
        <v>8.9</v>
      </c>
      <c r="B476" s="227" t="s">
        <v>2396</v>
      </c>
      <c r="C476" s="642" t="s">
        <v>2397</v>
      </c>
      <c r="D476" s="679"/>
      <c r="E476" s="680">
        <v>11</v>
      </c>
      <c r="F476" s="30" t="s">
        <v>349</v>
      </c>
      <c r="G476" s="675">
        <f>3147*0.9</f>
        <v>2832.3</v>
      </c>
      <c r="H476" s="30">
        <f t="shared" si="156"/>
        <v>2647.9400615181003</v>
      </c>
      <c r="I476" s="67">
        <f t="shared" si="158"/>
        <v>29127.340676699103</v>
      </c>
      <c r="J476" s="677">
        <v>150</v>
      </c>
      <c r="K476" s="25">
        <f t="shared" si="154"/>
        <v>140.23620704999999</v>
      </c>
      <c r="L476" s="25">
        <f t="shared" si="157"/>
        <v>1542.5982775499999</v>
      </c>
      <c r="M476" s="67">
        <f t="shared" si="159"/>
        <v>30669.938954249104</v>
      </c>
      <c r="N476" s="26"/>
      <c r="O476" s="663">
        <v>0.93490804699999996</v>
      </c>
    </row>
    <row r="477" spans="1:15" ht="20.100000000000001" customHeight="1">
      <c r="A477" s="678">
        <v>8.91</v>
      </c>
      <c r="B477" s="227" t="s">
        <v>2398</v>
      </c>
      <c r="C477" s="642" t="s">
        <v>2399</v>
      </c>
      <c r="D477" s="679"/>
      <c r="E477" s="680">
        <v>67</v>
      </c>
      <c r="F477" s="30" t="s">
        <v>349</v>
      </c>
      <c r="G477" s="675">
        <f>3147*0.9</f>
        <v>2832.3</v>
      </c>
      <c r="H477" s="30">
        <f t="shared" si="156"/>
        <v>2647.9400615181003</v>
      </c>
      <c r="I477" s="67">
        <f t="shared" si="158"/>
        <v>177411.98412171271</v>
      </c>
      <c r="J477" s="677">
        <v>150</v>
      </c>
      <c r="K477" s="25">
        <f t="shared" si="154"/>
        <v>140.23620704999999</v>
      </c>
      <c r="L477" s="25">
        <f t="shared" si="157"/>
        <v>9395.8258723499985</v>
      </c>
      <c r="M477" s="67">
        <f t="shared" si="159"/>
        <v>186807.8099940627</v>
      </c>
      <c r="N477" s="26"/>
      <c r="O477" s="663">
        <v>0.93490804699999996</v>
      </c>
    </row>
    <row r="478" spans="1:15" ht="20.100000000000001" customHeight="1">
      <c r="A478" s="678">
        <v>8.92</v>
      </c>
      <c r="B478" s="227" t="s">
        <v>2400</v>
      </c>
      <c r="C478" s="642" t="s">
        <v>2401</v>
      </c>
      <c r="D478" s="679"/>
      <c r="E478" s="680">
        <v>0</v>
      </c>
      <c r="F478" s="30" t="s">
        <v>286</v>
      </c>
      <c r="G478" s="675">
        <f>1446+310+310</f>
        <v>2066</v>
      </c>
      <c r="H478" s="30">
        <f t="shared" si="156"/>
        <v>1931.5200251019999</v>
      </c>
      <c r="I478" s="67">
        <f t="shared" si="158"/>
        <v>0</v>
      </c>
      <c r="J478" s="677">
        <v>115</v>
      </c>
      <c r="K478" s="25">
        <f t="shared" si="154"/>
        <v>107.514425405</v>
      </c>
      <c r="L478" s="25">
        <f t="shared" si="157"/>
        <v>0</v>
      </c>
      <c r="M478" s="67">
        <f t="shared" si="159"/>
        <v>0</v>
      </c>
      <c r="N478" s="72"/>
      <c r="O478" s="663">
        <v>0.93490804699999996</v>
      </c>
    </row>
    <row r="479" spans="1:15" ht="20.100000000000001" customHeight="1">
      <c r="A479" s="678">
        <v>8.93</v>
      </c>
      <c r="B479" s="227" t="s">
        <v>2402</v>
      </c>
      <c r="C479" s="642" t="s">
        <v>2403</v>
      </c>
      <c r="D479" s="679"/>
      <c r="E479" s="680">
        <v>0</v>
      </c>
      <c r="F479" s="30" t="s">
        <v>286</v>
      </c>
      <c r="G479" s="675">
        <f>1290+279+279</f>
        <v>1848</v>
      </c>
      <c r="H479" s="30">
        <f t="shared" si="156"/>
        <v>1727.7100708559999</v>
      </c>
      <c r="I479" s="67">
        <f t="shared" si="158"/>
        <v>0</v>
      </c>
      <c r="J479" s="677">
        <v>115</v>
      </c>
      <c r="K479" s="25">
        <f t="shared" si="154"/>
        <v>107.514425405</v>
      </c>
      <c r="L479" s="25">
        <f t="shared" si="157"/>
        <v>0</v>
      </c>
      <c r="M479" s="67">
        <f t="shared" si="159"/>
        <v>0</v>
      </c>
      <c r="N479" s="72"/>
      <c r="O479" s="663">
        <v>0.93490804699999996</v>
      </c>
    </row>
    <row r="480" spans="1:15" ht="20.100000000000001" customHeight="1">
      <c r="A480" s="678">
        <v>8.94</v>
      </c>
      <c r="B480" s="227" t="s">
        <v>2404</v>
      </c>
      <c r="C480" s="642" t="s">
        <v>2405</v>
      </c>
      <c r="D480" s="679"/>
      <c r="E480" s="680">
        <v>0</v>
      </c>
      <c r="F480" s="30" t="s">
        <v>286</v>
      </c>
      <c r="G480" s="675">
        <f>1290+279+279</f>
        <v>1848</v>
      </c>
      <c r="H480" s="30">
        <f t="shared" si="156"/>
        <v>1727.7100708559999</v>
      </c>
      <c r="I480" s="67">
        <f t="shared" si="158"/>
        <v>0</v>
      </c>
      <c r="J480" s="677">
        <v>115</v>
      </c>
      <c r="K480" s="25">
        <f t="shared" si="154"/>
        <v>107.514425405</v>
      </c>
      <c r="L480" s="25">
        <f t="shared" si="157"/>
        <v>0</v>
      </c>
      <c r="M480" s="67">
        <f t="shared" si="159"/>
        <v>0</v>
      </c>
      <c r="N480" s="72"/>
      <c r="O480" s="663">
        <v>0.93490804699999996</v>
      </c>
    </row>
    <row r="481" spans="1:15" ht="20.100000000000001" customHeight="1">
      <c r="A481" s="678">
        <v>8.9499999999999993</v>
      </c>
      <c r="B481" s="227" t="s">
        <v>2406</v>
      </c>
      <c r="C481" s="642" t="s">
        <v>2407</v>
      </c>
      <c r="D481" s="679"/>
      <c r="E481" s="680">
        <v>59</v>
      </c>
      <c r="F481" s="30" t="s">
        <v>349</v>
      </c>
      <c r="G481" s="675">
        <v>3300</v>
      </c>
      <c r="H481" s="30">
        <f t="shared" si="156"/>
        <v>3085.1965550999998</v>
      </c>
      <c r="I481" s="67">
        <f t="shared" si="158"/>
        <v>182026.5967509</v>
      </c>
      <c r="J481" s="677">
        <v>115</v>
      </c>
      <c r="K481" s="25">
        <f t="shared" si="154"/>
        <v>107.514425405</v>
      </c>
      <c r="L481" s="25">
        <f t="shared" si="157"/>
        <v>6343.3510988950002</v>
      </c>
      <c r="M481" s="67">
        <f t="shared" si="159"/>
        <v>188369.94784979499</v>
      </c>
      <c r="N481" s="26"/>
      <c r="O481" s="663">
        <v>0.93490804699999996</v>
      </c>
    </row>
    <row r="482" spans="1:15" ht="20.100000000000001" customHeight="1">
      <c r="A482" s="678">
        <v>8.9600000000000009</v>
      </c>
      <c r="B482" s="227" t="s">
        <v>2408</v>
      </c>
      <c r="C482" s="642" t="s">
        <v>2407</v>
      </c>
      <c r="D482" s="679"/>
      <c r="E482" s="680">
        <v>44</v>
      </c>
      <c r="F482" s="30" t="s">
        <v>349</v>
      </c>
      <c r="G482" s="675">
        <v>3300</v>
      </c>
      <c r="H482" s="30">
        <f t="shared" si="156"/>
        <v>3085.1965550999998</v>
      </c>
      <c r="I482" s="67">
        <f t="shared" si="158"/>
        <v>135748.64842439999</v>
      </c>
      <c r="J482" s="677">
        <v>115</v>
      </c>
      <c r="K482" s="25">
        <f t="shared" si="154"/>
        <v>107.514425405</v>
      </c>
      <c r="L482" s="25">
        <f t="shared" si="157"/>
        <v>4730.6347178199994</v>
      </c>
      <c r="M482" s="67">
        <f t="shared" si="159"/>
        <v>140479.28314222</v>
      </c>
      <c r="N482" s="26"/>
      <c r="O482" s="663">
        <v>0.93490804699999996</v>
      </c>
    </row>
    <row r="483" spans="1:15" ht="20.100000000000001" customHeight="1">
      <c r="A483" s="678">
        <v>8.9700000000000006</v>
      </c>
      <c r="B483" s="227" t="s">
        <v>2409</v>
      </c>
      <c r="C483" s="642" t="s">
        <v>2410</v>
      </c>
      <c r="D483" s="679"/>
      <c r="E483" s="680">
        <v>16</v>
      </c>
      <c r="F483" s="30" t="s">
        <v>349</v>
      </c>
      <c r="G483" s="675">
        <v>4200</v>
      </c>
      <c r="H483" s="30">
        <f t="shared" si="156"/>
        <v>3926.6137973999998</v>
      </c>
      <c r="I483" s="67">
        <f t="shared" si="158"/>
        <v>62825.820758399997</v>
      </c>
      <c r="J483" s="677">
        <v>115</v>
      </c>
      <c r="K483" s="25">
        <f t="shared" si="154"/>
        <v>107.514425405</v>
      </c>
      <c r="L483" s="25">
        <f t="shared" si="157"/>
        <v>1720.23080648</v>
      </c>
      <c r="M483" s="67">
        <f t="shared" si="159"/>
        <v>64546.051564879999</v>
      </c>
      <c r="N483" s="26"/>
      <c r="O483" s="663">
        <v>0.93490804699999996</v>
      </c>
    </row>
    <row r="484" spans="1:15" ht="20.100000000000001" customHeight="1">
      <c r="A484" s="678">
        <v>8.98</v>
      </c>
      <c r="B484" s="227" t="s">
        <v>2411</v>
      </c>
      <c r="C484" s="642" t="s">
        <v>2412</v>
      </c>
      <c r="D484" s="679"/>
      <c r="E484" s="680">
        <v>87</v>
      </c>
      <c r="F484" s="30" t="s">
        <v>349</v>
      </c>
      <c r="G484" s="675">
        <v>4300</v>
      </c>
      <c r="H484" s="30">
        <f t="shared" si="156"/>
        <v>4020.1046020999997</v>
      </c>
      <c r="I484" s="67">
        <f t="shared" si="158"/>
        <v>349749.10038269998</v>
      </c>
      <c r="J484" s="677">
        <v>115</v>
      </c>
      <c r="K484" s="25">
        <f t="shared" si="154"/>
        <v>107.514425405</v>
      </c>
      <c r="L484" s="25">
        <f t="shared" si="157"/>
        <v>9353.7550102349996</v>
      </c>
      <c r="M484" s="67">
        <f t="shared" si="159"/>
        <v>359102.85539293499</v>
      </c>
      <c r="N484" s="26"/>
      <c r="O484" s="663">
        <v>0.93490804699999996</v>
      </c>
    </row>
    <row r="485" spans="1:15" ht="20.100000000000001" customHeight="1">
      <c r="A485" s="678">
        <v>8.99</v>
      </c>
      <c r="B485" s="227" t="s">
        <v>2413</v>
      </c>
      <c r="C485" s="642" t="s">
        <v>2414</v>
      </c>
      <c r="D485" s="679"/>
      <c r="E485" s="680">
        <v>11</v>
      </c>
      <c r="F485" s="30" t="s">
        <v>349</v>
      </c>
      <c r="G485" s="675">
        <v>4300</v>
      </c>
      <c r="H485" s="30">
        <f t="shared" si="156"/>
        <v>4020.1046020999997</v>
      </c>
      <c r="I485" s="67">
        <f t="shared" si="158"/>
        <v>44221.150623099995</v>
      </c>
      <c r="J485" s="677">
        <v>115</v>
      </c>
      <c r="K485" s="25">
        <f t="shared" si="154"/>
        <v>107.514425405</v>
      </c>
      <c r="L485" s="25">
        <f t="shared" si="157"/>
        <v>1182.6586794549999</v>
      </c>
      <c r="M485" s="67">
        <f t="shared" si="159"/>
        <v>45403.809302554997</v>
      </c>
      <c r="N485" s="26"/>
      <c r="O485" s="663">
        <v>0.93490804699999996</v>
      </c>
    </row>
    <row r="486" spans="1:15" ht="20.100000000000001" customHeight="1">
      <c r="A486" s="685">
        <v>8.1</v>
      </c>
      <c r="B486" s="227" t="s">
        <v>2415</v>
      </c>
      <c r="C486" s="642" t="s">
        <v>2416</v>
      </c>
      <c r="D486" s="679"/>
      <c r="E486" s="680">
        <v>52</v>
      </c>
      <c r="F486" s="30" t="s">
        <v>349</v>
      </c>
      <c r="G486" s="675">
        <v>3900</v>
      </c>
      <c r="H486" s="30">
        <f t="shared" si="156"/>
        <v>3646.1413832999997</v>
      </c>
      <c r="I486" s="67">
        <f t="shared" si="158"/>
        <v>189599.35193159999</v>
      </c>
      <c r="J486" s="677">
        <v>115</v>
      </c>
      <c r="K486" s="25">
        <f t="shared" si="154"/>
        <v>107.514425405</v>
      </c>
      <c r="L486" s="25">
        <f t="shared" si="157"/>
        <v>5590.7501210600003</v>
      </c>
      <c r="M486" s="67">
        <f t="shared" si="159"/>
        <v>195190.10205265999</v>
      </c>
      <c r="N486" s="26"/>
      <c r="O486" s="663">
        <v>0.93490804699999996</v>
      </c>
    </row>
    <row r="487" spans="1:15" ht="20.100000000000001" customHeight="1">
      <c r="A487" s="685">
        <v>8.1010000000000009</v>
      </c>
      <c r="B487" s="227" t="s">
        <v>2417</v>
      </c>
      <c r="C487" s="642" t="s">
        <v>2418</v>
      </c>
      <c r="D487" s="679"/>
      <c r="E487" s="680">
        <v>78</v>
      </c>
      <c r="F487" s="30" t="s">
        <v>349</v>
      </c>
      <c r="G487" s="675">
        <v>5550</v>
      </c>
      <c r="H487" s="30">
        <f t="shared" si="156"/>
        <v>5188.7396608499994</v>
      </c>
      <c r="I487" s="67">
        <f t="shared" si="158"/>
        <v>404721.69354629994</v>
      </c>
      <c r="J487" s="677">
        <v>115</v>
      </c>
      <c r="K487" s="25">
        <f t="shared" si="154"/>
        <v>107.514425405</v>
      </c>
      <c r="L487" s="25">
        <f t="shared" si="157"/>
        <v>8386.1251815899996</v>
      </c>
      <c r="M487" s="67">
        <f t="shared" si="159"/>
        <v>413107.81872788991</v>
      </c>
      <c r="N487" s="26"/>
      <c r="O487" s="663">
        <v>0.93490804699999996</v>
      </c>
    </row>
    <row r="488" spans="1:15" ht="20.100000000000001" customHeight="1">
      <c r="A488" s="685">
        <v>8.1020000000000003</v>
      </c>
      <c r="B488" s="227" t="s">
        <v>2419</v>
      </c>
      <c r="C488" s="642" t="s">
        <v>2418</v>
      </c>
      <c r="D488" s="679"/>
      <c r="E488" s="680">
        <v>10</v>
      </c>
      <c r="F488" s="30" t="s">
        <v>349</v>
      </c>
      <c r="G488" s="675">
        <v>5550</v>
      </c>
      <c r="H488" s="30">
        <f t="shared" si="156"/>
        <v>5188.7396608499994</v>
      </c>
      <c r="I488" s="67">
        <f t="shared" si="158"/>
        <v>51887.396608499992</v>
      </c>
      <c r="J488" s="677">
        <v>115</v>
      </c>
      <c r="K488" s="25">
        <f t="shared" si="154"/>
        <v>107.514425405</v>
      </c>
      <c r="L488" s="25">
        <f t="shared" si="157"/>
        <v>1075.14425405</v>
      </c>
      <c r="M488" s="67">
        <f t="shared" si="159"/>
        <v>52962.540862549991</v>
      </c>
      <c r="N488" s="26"/>
      <c r="O488" s="663">
        <v>0.93490804699999996</v>
      </c>
    </row>
    <row r="489" spans="1:15" ht="20.100000000000001" customHeight="1">
      <c r="A489" s="685">
        <v>8.1029999999999998</v>
      </c>
      <c r="B489" s="227" t="s">
        <v>2420</v>
      </c>
      <c r="C489" s="642" t="s">
        <v>2421</v>
      </c>
      <c r="D489" s="679"/>
      <c r="E489" s="680">
        <v>43</v>
      </c>
      <c r="F489" s="30" t="s">
        <v>349</v>
      </c>
      <c r="G489" s="675">
        <v>6000</v>
      </c>
      <c r="H489" s="30">
        <f t="shared" si="156"/>
        <v>5609.4482819999994</v>
      </c>
      <c r="I489" s="67">
        <f t="shared" si="158"/>
        <v>241206.27612599998</v>
      </c>
      <c r="J489" s="677">
        <v>115</v>
      </c>
      <c r="K489" s="25">
        <f t="shared" si="154"/>
        <v>107.514425405</v>
      </c>
      <c r="L489" s="25">
        <f t="shared" si="157"/>
        <v>4623.1202924150002</v>
      </c>
      <c r="M489" s="67">
        <f t="shared" si="159"/>
        <v>245829.39641841498</v>
      </c>
      <c r="N489" s="26"/>
      <c r="O489" s="663">
        <v>0.93490804699999996</v>
      </c>
    </row>
    <row r="490" spans="1:15" ht="20.100000000000001" customHeight="1">
      <c r="A490" s="685">
        <v>8.1039999999999992</v>
      </c>
      <c r="B490" s="227" t="s">
        <v>2422</v>
      </c>
      <c r="C490" s="642" t="s">
        <v>2421</v>
      </c>
      <c r="D490" s="679"/>
      <c r="E490" s="680">
        <v>40</v>
      </c>
      <c r="F490" s="30" t="s">
        <v>349</v>
      </c>
      <c r="G490" s="675">
        <v>6000</v>
      </c>
      <c r="H490" s="30">
        <f t="shared" si="156"/>
        <v>5609.4482819999994</v>
      </c>
      <c r="I490" s="67">
        <f t="shared" si="158"/>
        <v>224377.93127999996</v>
      </c>
      <c r="J490" s="677">
        <v>115</v>
      </c>
      <c r="K490" s="25">
        <f t="shared" si="154"/>
        <v>107.514425405</v>
      </c>
      <c r="L490" s="25">
        <f t="shared" si="157"/>
        <v>4300.5770161999999</v>
      </c>
      <c r="M490" s="67">
        <f t="shared" si="159"/>
        <v>228678.50829619996</v>
      </c>
      <c r="N490" s="26"/>
      <c r="O490" s="663">
        <v>0.93490804699999996</v>
      </c>
    </row>
    <row r="491" spans="1:15" ht="20.100000000000001" customHeight="1">
      <c r="A491" s="685">
        <v>8.1050000000000093</v>
      </c>
      <c r="B491" s="287" t="s">
        <v>2423</v>
      </c>
      <c r="C491" s="686" t="s">
        <v>2410</v>
      </c>
      <c r="D491" s="49"/>
      <c r="E491" s="104">
        <v>11</v>
      </c>
      <c r="F491" s="30" t="s">
        <v>349</v>
      </c>
      <c r="G491" s="675">
        <v>6000</v>
      </c>
      <c r="H491" s="30">
        <f t="shared" si="156"/>
        <v>5609.4482819999994</v>
      </c>
      <c r="I491" s="67">
        <f t="shared" si="158"/>
        <v>61703.931101999995</v>
      </c>
      <c r="J491" s="677">
        <v>115</v>
      </c>
      <c r="K491" s="25">
        <f t="shared" si="154"/>
        <v>107.514425405</v>
      </c>
      <c r="L491" s="25">
        <f t="shared" si="157"/>
        <v>1182.6586794549999</v>
      </c>
      <c r="M491" s="67">
        <f t="shared" si="159"/>
        <v>62886.589781454997</v>
      </c>
      <c r="N491" s="26"/>
      <c r="O491" s="663">
        <v>0.93490804699999996</v>
      </c>
    </row>
    <row r="492" spans="1:15" ht="20.100000000000001" customHeight="1">
      <c r="A492" s="685">
        <v>8.1060000000000194</v>
      </c>
      <c r="B492" s="27" t="s">
        <v>2424</v>
      </c>
      <c r="C492" s="687" t="s">
        <v>2425</v>
      </c>
      <c r="D492" s="24"/>
      <c r="E492" s="104">
        <v>41</v>
      </c>
      <c r="F492" s="30" t="s">
        <v>349</v>
      </c>
      <c r="G492" s="67">
        <v>4300</v>
      </c>
      <c r="H492" s="30">
        <f t="shared" si="156"/>
        <v>4020.1046020999997</v>
      </c>
      <c r="I492" s="67">
        <f t="shared" si="158"/>
        <v>164824.28868609999</v>
      </c>
      <c r="J492" s="677">
        <v>115</v>
      </c>
      <c r="K492" s="25">
        <f t="shared" si="154"/>
        <v>107.514425405</v>
      </c>
      <c r="L492" s="25">
        <f t="shared" si="157"/>
        <v>4408.091441605</v>
      </c>
      <c r="M492" s="67">
        <f t="shared" si="159"/>
        <v>169232.38012770499</v>
      </c>
      <c r="N492" s="26"/>
      <c r="O492" s="663">
        <v>0.93490804699999996</v>
      </c>
    </row>
    <row r="493" spans="1:15" ht="20.100000000000001" customHeight="1">
      <c r="A493" s="685">
        <v>8.1070000000000295</v>
      </c>
      <c r="B493" s="227" t="s">
        <v>2426</v>
      </c>
      <c r="C493" s="642" t="s">
        <v>2427</v>
      </c>
      <c r="D493" s="679"/>
      <c r="E493" s="680">
        <v>5</v>
      </c>
      <c r="F493" s="30" t="s">
        <v>349</v>
      </c>
      <c r="G493" s="675">
        <v>4300</v>
      </c>
      <c r="H493" s="30">
        <f t="shared" si="156"/>
        <v>4020.1046020999997</v>
      </c>
      <c r="I493" s="67">
        <f t="shared" si="158"/>
        <v>20100.523010499997</v>
      </c>
      <c r="J493" s="677">
        <v>115</v>
      </c>
      <c r="K493" s="25">
        <f t="shared" si="154"/>
        <v>107.514425405</v>
      </c>
      <c r="L493" s="25">
        <f t="shared" si="157"/>
        <v>537.57212702499999</v>
      </c>
      <c r="M493" s="67">
        <f t="shared" si="159"/>
        <v>20638.095137524997</v>
      </c>
      <c r="N493" s="26"/>
      <c r="O493" s="663">
        <v>0.93490804699999996</v>
      </c>
    </row>
    <row r="494" spans="1:15" ht="20.100000000000001" customHeight="1">
      <c r="A494" s="685">
        <v>8.1080000000000396</v>
      </c>
      <c r="B494" s="227" t="s">
        <v>2428</v>
      </c>
      <c r="C494" s="642" t="s">
        <v>2429</v>
      </c>
      <c r="D494" s="679"/>
      <c r="E494" s="680">
        <v>39</v>
      </c>
      <c r="F494" s="30" t="s">
        <v>349</v>
      </c>
      <c r="G494" s="675">
        <f>2950*0.9</f>
        <v>2655</v>
      </c>
      <c r="H494" s="30">
        <f t="shared" si="156"/>
        <v>2482.1808647849998</v>
      </c>
      <c r="I494" s="67">
        <f t="shared" si="158"/>
        <v>96805.053726614991</v>
      </c>
      <c r="J494" s="677">
        <v>115</v>
      </c>
      <c r="K494" s="25">
        <f t="shared" si="154"/>
        <v>107.514425405</v>
      </c>
      <c r="L494" s="25">
        <f t="shared" si="157"/>
        <v>4193.0625907949998</v>
      </c>
      <c r="M494" s="67">
        <f t="shared" si="159"/>
        <v>100998.11631740999</v>
      </c>
      <c r="N494" s="72"/>
      <c r="O494" s="663">
        <v>0.93490804699999996</v>
      </c>
    </row>
    <row r="495" spans="1:15" ht="20.100000000000001" customHeight="1">
      <c r="A495" s="685">
        <v>8.1090000000000497</v>
      </c>
      <c r="B495" s="227" t="s">
        <v>2430</v>
      </c>
      <c r="C495" s="642" t="s">
        <v>2431</v>
      </c>
      <c r="D495" s="679"/>
      <c r="E495" s="680">
        <v>38</v>
      </c>
      <c r="F495" s="30" t="s">
        <v>349</v>
      </c>
      <c r="G495" s="675">
        <f>(650*0.8)+550+210</f>
        <v>1280</v>
      </c>
      <c r="H495" s="30">
        <f t="shared" si="156"/>
        <v>1196.6823001600001</v>
      </c>
      <c r="I495" s="67">
        <f t="shared" si="158"/>
        <v>45473.927406080002</v>
      </c>
      <c r="J495" s="677">
        <v>115</v>
      </c>
      <c r="K495" s="25">
        <f t="shared" si="154"/>
        <v>107.514425405</v>
      </c>
      <c r="L495" s="25">
        <f t="shared" si="157"/>
        <v>4085.5481653899997</v>
      </c>
      <c r="M495" s="67">
        <f t="shared" si="159"/>
        <v>49559.47557147</v>
      </c>
      <c r="N495" s="72"/>
      <c r="O495" s="663">
        <v>0.93490804699999996</v>
      </c>
    </row>
    <row r="496" spans="1:15" ht="20.100000000000001" customHeight="1">
      <c r="A496" s="685">
        <v>8.1100000000000598</v>
      </c>
      <c r="B496" s="227" t="s">
        <v>2432</v>
      </c>
      <c r="C496" s="642" t="s">
        <v>2433</v>
      </c>
      <c r="D496" s="679"/>
      <c r="E496" s="680">
        <v>5</v>
      </c>
      <c r="F496" s="30" t="s">
        <v>349</v>
      </c>
      <c r="G496" s="675">
        <f>1850*0.9</f>
        <v>1665</v>
      </c>
      <c r="H496" s="30">
        <f t="shared" si="156"/>
        <v>1556.6218982549999</v>
      </c>
      <c r="I496" s="67">
        <f t="shared" si="158"/>
        <v>7783.1094912749995</v>
      </c>
      <c r="J496" s="677">
        <v>115</v>
      </c>
      <c r="K496" s="25">
        <f t="shared" si="154"/>
        <v>107.514425405</v>
      </c>
      <c r="L496" s="25">
        <f t="shared" si="157"/>
        <v>537.57212702499999</v>
      </c>
      <c r="M496" s="67">
        <f t="shared" si="159"/>
        <v>8320.6816182999992</v>
      </c>
      <c r="N496" s="72"/>
      <c r="O496" s="663">
        <v>0.93490804699999996</v>
      </c>
    </row>
    <row r="497" spans="1:15" ht="20.100000000000001" customHeight="1">
      <c r="A497" s="685">
        <v>8.1110000000000699</v>
      </c>
      <c r="B497" s="227" t="s">
        <v>2434</v>
      </c>
      <c r="C497" s="642" t="s">
        <v>2435</v>
      </c>
      <c r="D497" s="679"/>
      <c r="E497" s="680">
        <v>22</v>
      </c>
      <c r="F497" s="30" t="s">
        <v>349</v>
      </c>
      <c r="G497" s="675">
        <v>6350</v>
      </c>
      <c r="H497" s="30">
        <f t="shared" si="156"/>
        <v>5936.6660984499995</v>
      </c>
      <c r="I497" s="67">
        <f t="shared" si="158"/>
        <v>130606.65416589999</v>
      </c>
      <c r="J497" s="677">
        <v>115</v>
      </c>
      <c r="K497" s="25">
        <f t="shared" si="154"/>
        <v>107.514425405</v>
      </c>
      <c r="L497" s="25">
        <f t="shared" si="157"/>
        <v>2365.3173589099997</v>
      </c>
      <c r="M497" s="67">
        <f t="shared" si="159"/>
        <v>132971.97152480998</v>
      </c>
      <c r="N497" s="72"/>
      <c r="O497" s="663">
        <v>0.93490804699999996</v>
      </c>
    </row>
    <row r="498" spans="1:15" ht="20.100000000000001" customHeight="1">
      <c r="A498" s="685">
        <v>8.11200000000008</v>
      </c>
      <c r="B498" s="227" t="s">
        <v>2436</v>
      </c>
      <c r="C498" s="642" t="s">
        <v>2437</v>
      </c>
      <c r="D498" s="679"/>
      <c r="E498" s="680">
        <v>21</v>
      </c>
      <c r="F498" s="30" t="s">
        <v>349</v>
      </c>
      <c r="G498" s="675">
        <v>4500</v>
      </c>
      <c r="H498" s="30">
        <f t="shared" si="156"/>
        <v>4207.0862115</v>
      </c>
      <c r="I498" s="67">
        <f t="shared" si="158"/>
        <v>88348.810441499998</v>
      </c>
      <c r="J498" s="677">
        <v>115</v>
      </c>
      <c r="K498" s="25">
        <f t="shared" si="154"/>
        <v>107.514425405</v>
      </c>
      <c r="L498" s="25">
        <f t="shared" si="157"/>
        <v>2257.8029335050001</v>
      </c>
      <c r="M498" s="67">
        <f t="shared" si="159"/>
        <v>90606.613375004992</v>
      </c>
      <c r="N498" s="72"/>
      <c r="O498" s="663">
        <v>0.93490804699999996</v>
      </c>
    </row>
    <row r="499" spans="1:15" ht="20.100000000000001" customHeight="1">
      <c r="A499" s="685">
        <v>8.1130000000000901</v>
      </c>
      <c r="B499" s="227" t="s">
        <v>2438</v>
      </c>
      <c r="C499" s="642" t="s">
        <v>2439</v>
      </c>
      <c r="D499" s="679"/>
      <c r="E499" s="533">
        <v>11</v>
      </c>
      <c r="F499" s="30" t="s">
        <v>349</v>
      </c>
      <c r="G499" s="675">
        <f>1676*0.9</f>
        <v>1508.4</v>
      </c>
      <c r="H499" s="30">
        <f t="shared" si="156"/>
        <v>1410.2152980948001</v>
      </c>
      <c r="I499" s="67">
        <f t="shared" si="158"/>
        <v>15512.368279042801</v>
      </c>
      <c r="J499" s="677">
        <v>115</v>
      </c>
      <c r="K499" s="25">
        <f t="shared" si="154"/>
        <v>107.514425405</v>
      </c>
      <c r="L499" s="25">
        <f t="shared" si="157"/>
        <v>1182.6586794549999</v>
      </c>
      <c r="M499" s="67">
        <f t="shared" si="159"/>
        <v>16695.026958497801</v>
      </c>
      <c r="N499" s="72"/>
      <c r="O499" s="663">
        <v>0.93490804699999996</v>
      </c>
    </row>
    <row r="500" spans="1:15" ht="20.100000000000001" customHeight="1">
      <c r="A500" s="685">
        <v>8.1140000000001002</v>
      </c>
      <c r="B500" s="227" t="s">
        <v>2440</v>
      </c>
      <c r="C500" s="642" t="s">
        <v>2441</v>
      </c>
      <c r="D500" s="679"/>
      <c r="E500" s="680">
        <v>16</v>
      </c>
      <c r="F500" s="30" t="s">
        <v>349</v>
      </c>
      <c r="G500" s="675">
        <v>8160</v>
      </c>
      <c r="H500" s="30">
        <f t="shared" si="156"/>
        <v>7628.8496635199999</v>
      </c>
      <c r="I500" s="67">
        <f t="shared" si="158"/>
        <v>122061.59461632</v>
      </c>
      <c r="J500" s="677">
        <v>115</v>
      </c>
      <c r="K500" s="25">
        <f t="shared" si="154"/>
        <v>107.514425405</v>
      </c>
      <c r="L500" s="25">
        <f t="shared" si="157"/>
        <v>1720.23080648</v>
      </c>
      <c r="M500" s="67">
        <f t="shared" si="159"/>
        <v>123781.8254228</v>
      </c>
      <c r="N500" s="72"/>
      <c r="O500" s="663">
        <v>0.93490804699999996</v>
      </c>
    </row>
    <row r="501" spans="1:15" ht="20.100000000000001" customHeight="1">
      <c r="A501" s="685">
        <v>8.1150000000001103</v>
      </c>
      <c r="B501" s="227" t="s">
        <v>2442</v>
      </c>
      <c r="C501" s="642" t="s">
        <v>2443</v>
      </c>
      <c r="D501" s="679"/>
      <c r="E501" s="680">
        <v>10</v>
      </c>
      <c r="F501" s="30" t="s">
        <v>349</v>
      </c>
      <c r="G501" s="675">
        <v>8410</v>
      </c>
      <c r="H501" s="30">
        <f t="shared" si="156"/>
        <v>7862.5766752700001</v>
      </c>
      <c r="I501" s="67">
        <f t="shared" si="158"/>
        <v>78625.766752700001</v>
      </c>
      <c r="J501" s="677">
        <v>115</v>
      </c>
      <c r="K501" s="25">
        <f t="shared" si="154"/>
        <v>107.514425405</v>
      </c>
      <c r="L501" s="25">
        <f t="shared" si="157"/>
        <v>1075.14425405</v>
      </c>
      <c r="M501" s="67">
        <f t="shared" si="159"/>
        <v>79700.911006750001</v>
      </c>
      <c r="N501" s="72"/>
      <c r="O501" s="663">
        <v>0.93490804699999996</v>
      </c>
    </row>
    <row r="502" spans="1:15" ht="20.100000000000001" customHeight="1">
      <c r="A502" s="685">
        <v>8.1160000000001205</v>
      </c>
      <c r="B502" s="227" t="s">
        <v>2444</v>
      </c>
      <c r="C502" s="642" t="s">
        <v>2445</v>
      </c>
      <c r="D502" s="679"/>
      <c r="E502" s="680">
        <v>355.85</v>
      </c>
      <c r="F502" s="30" t="s">
        <v>286</v>
      </c>
      <c r="G502" s="675">
        <v>1043</v>
      </c>
      <c r="H502" s="30">
        <f t="shared" si="156"/>
        <v>975.10909302099992</v>
      </c>
      <c r="I502" s="67">
        <f t="shared" si="158"/>
        <v>346992.57075152284</v>
      </c>
      <c r="J502" s="677">
        <v>115</v>
      </c>
      <c r="K502" s="25">
        <f t="shared" si="154"/>
        <v>107.514425405</v>
      </c>
      <c r="L502" s="25">
        <f t="shared" si="157"/>
        <v>38259.008280369249</v>
      </c>
      <c r="M502" s="67">
        <f t="shared" si="159"/>
        <v>385251.57903189212</v>
      </c>
      <c r="N502" s="72"/>
      <c r="O502" s="663">
        <v>0.93490804699999996</v>
      </c>
    </row>
    <row r="503" spans="1:15" ht="20.100000000000001" customHeight="1">
      <c r="A503" s="685">
        <v>8.1170000000001306</v>
      </c>
      <c r="B503" s="227" t="s">
        <v>2446</v>
      </c>
      <c r="C503" s="642" t="s">
        <v>2447</v>
      </c>
      <c r="D503" s="679"/>
      <c r="E503" s="680">
        <v>249.3</v>
      </c>
      <c r="F503" s="30" t="s">
        <v>286</v>
      </c>
      <c r="G503" s="675">
        <v>4634</v>
      </c>
      <c r="H503" s="30">
        <f t="shared" si="156"/>
        <v>4332.3638897979999</v>
      </c>
      <c r="I503" s="67">
        <f t="shared" si="158"/>
        <v>1080058.3177266414</v>
      </c>
      <c r="J503" s="677">
        <v>115</v>
      </c>
      <c r="K503" s="25">
        <f t="shared" si="154"/>
        <v>107.514425405</v>
      </c>
      <c r="L503" s="25">
        <f t="shared" si="157"/>
        <v>26803.346253466501</v>
      </c>
      <c r="M503" s="67">
        <f t="shared" si="159"/>
        <v>1106861.663980108</v>
      </c>
      <c r="N503" s="72"/>
      <c r="O503" s="663">
        <v>0.93490804699999996</v>
      </c>
    </row>
    <row r="504" spans="1:15" ht="20.100000000000001" customHeight="1">
      <c r="A504" s="685">
        <v>8.1180000000001407</v>
      </c>
      <c r="B504" s="227" t="s">
        <v>2448</v>
      </c>
      <c r="C504" s="642" t="s">
        <v>2449</v>
      </c>
      <c r="D504" s="679"/>
      <c r="E504" s="680">
        <v>16</v>
      </c>
      <c r="F504" s="30" t="s">
        <v>286</v>
      </c>
      <c r="G504" s="675">
        <v>1770</v>
      </c>
      <c r="H504" s="30">
        <f t="shared" si="156"/>
        <v>1654.78724319</v>
      </c>
      <c r="I504" s="67">
        <f t="shared" si="158"/>
        <v>26476.59589104</v>
      </c>
      <c r="J504" s="677">
        <v>115</v>
      </c>
      <c r="K504" s="25">
        <f t="shared" si="154"/>
        <v>107.514425405</v>
      </c>
      <c r="L504" s="25">
        <f t="shared" si="157"/>
        <v>1720.23080648</v>
      </c>
      <c r="M504" s="67">
        <f t="shared" si="159"/>
        <v>28196.826697520002</v>
      </c>
      <c r="N504" s="72"/>
      <c r="O504" s="663">
        <v>0.93490804699999996</v>
      </c>
    </row>
    <row r="505" spans="1:15" ht="20.100000000000001" customHeight="1">
      <c r="A505" s="685">
        <v>8.1190000000001508</v>
      </c>
      <c r="B505" s="227" t="s">
        <v>2450</v>
      </c>
      <c r="C505" s="642" t="s">
        <v>2451</v>
      </c>
      <c r="D505" s="679"/>
      <c r="E505" s="680">
        <v>6</v>
      </c>
      <c r="F505" s="30" t="s">
        <v>286</v>
      </c>
      <c r="G505" s="675">
        <v>1770</v>
      </c>
      <c r="H505" s="30">
        <f t="shared" si="156"/>
        <v>1654.78724319</v>
      </c>
      <c r="I505" s="67">
        <f t="shared" si="158"/>
        <v>9928.7234591400011</v>
      </c>
      <c r="J505" s="677">
        <v>115</v>
      </c>
      <c r="K505" s="25">
        <f t="shared" si="154"/>
        <v>107.514425405</v>
      </c>
      <c r="L505" s="25">
        <f t="shared" si="157"/>
        <v>645.08655242999998</v>
      </c>
      <c r="M505" s="67">
        <f t="shared" si="159"/>
        <v>10573.810011570002</v>
      </c>
      <c r="N505" s="72"/>
      <c r="O505" s="663">
        <v>0.93490804699999996</v>
      </c>
    </row>
    <row r="506" spans="1:15" ht="20.100000000000001" customHeight="1">
      <c r="A506" s="685">
        <v>8.1200000000001609</v>
      </c>
      <c r="B506" s="227" t="s">
        <v>2452</v>
      </c>
      <c r="C506" s="642" t="s">
        <v>2453</v>
      </c>
      <c r="D506" s="679"/>
      <c r="E506" s="680">
        <f>589.04+17.2-5.6-5.6</f>
        <v>595.04</v>
      </c>
      <c r="F506" s="30" t="s">
        <v>286</v>
      </c>
      <c r="G506" s="675">
        <v>1279</v>
      </c>
      <c r="H506" s="30">
        <f t="shared" si="156"/>
        <v>1195.7473921129999</v>
      </c>
      <c r="I506" s="67">
        <f t="shared" si="158"/>
        <v>711517.52820291941</v>
      </c>
      <c r="J506" s="677">
        <v>115</v>
      </c>
      <c r="K506" s="25">
        <f t="shared" si="154"/>
        <v>107.514425405</v>
      </c>
      <c r="L506" s="25">
        <f t="shared" si="157"/>
        <v>63975.383692991192</v>
      </c>
      <c r="M506" s="67">
        <f t="shared" si="159"/>
        <v>775492.91189591063</v>
      </c>
      <c r="N506" s="72"/>
      <c r="O506" s="663">
        <v>0.93490804699999996</v>
      </c>
    </row>
    <row r="507" spans="1:15" ht="20.100000000000001" customHeight="1">
      <c r="A507" s="685">
        <v>8.1210000000001692</v>
      </c>
      <c r="B507" s="227" t="s">
        <v>2454</v>
      </c>
      <c r="C507" s="642" t="s">
        <v>2455</v>
      </c>
      <c r="D507" s="679"/>
      <c r="E507" s="533">
        <v>389</v>
      </c>
      <c r="F507" s="30" t="s">
        <v>286</v>
      </c>
      <c r="G507" s="675">
        <v>1464</v>
      </c>
      <c r="H507" s="30">
        <f t="shared" si="156"/>
        <v>1368.705380808</v>
      </c>
      <c r="I507" s="67">
        <f t="shared" si="158"/>
        <v>532426.39313431201</v>
      </c>
      <c r="J507" s="677">
        <v>115</v>
      </c>
      <c r="K507" s="25">
        <f t="shared" si="154"/>
        <v>107.514425405</v>
      </c>
      <c r="L507" s="25">
        <f t="shared" si="157"/>
        <v>41823.111482544999</v>
      </c>
      <c r="M507" s="67">
        <f t="shared" si="159"/>
        <v>574249.50461685704</v>
      </c>
      <c r="N507" s="72"/>
      <c r="O507" s="663">
        <v>0.93490804699999996</v>
      </c>
    </row>
    <row r="508" spans="1:15" ht="20.100000000000001" customHeight="1">
      <c r="A508" s="685">
        <v>8.1220000000001793</v>
      </c>
      <c r="B508" s="227" t="s">
        <v>2456</v>
      </c>
      <c r="C508" s="642" t="s">
        <v>2457</v>
      </c>
      <c r="D508" s="679"/>
      <c r="E508" s="680">
        <v>12</v>
      </c>
      <c r="F508" s="30" t="s">
        <v>286</v>
      </c>
      <c r="G508" s="675">
        <f>13500+3235+730+2760</f>
        <v>20225</v>
      </c>
      <c r="H508" s="30">
        <f t="shared" si="156"/>
        <v>18908.515250574997</v>
      </c>
      <c r="I508" s="67">
        <f t="shared" si="158"/>
        <v>226902.18300689996</v>
      </c>
      <c r="J508" s="677">
        <v>115</v>
      </c>
      <c r="K508" s="25">
        <f t="shared" si="154"/>
        <v>107.514425405</v>
      </c>
      <c r="L508" s="25">
        <f t="shared" si="157"/>
        <v>1290.17310486</v>
      </c>
      <c r="M508" s="67">
        <f t="shared" si="159"/>
        <v>228192.35611175996</v>
      </c>
      <c r="N508" s="72"/>
      <c r="O508" s="663">
        <v>0.93490804699999996</v>
      </c>
    </row>
    <row r="509" spans="1:15" ht="20.100000000000001" customHeight="1">
      <c r="A509" s="685">
        <v>8.1230000000001894</v>
      </c>
      <c r="B509" s="227" t="s">
        <v>2458</v>
      </c>
      <c r="C509" s="642" t="s">
        <v>2459</v>
      </c>
      <c r="D509" s="679"/>
      <c r="E509" s="680">
        <v>11</v>
      </c>
      <c r="F509" s="30" t="s">
        <v>286</v>
      </c>
      <c r="G509" s="675">
        <v>1939</v>
      </c>
      <c r="H509" s="30">
        <f t="shared" si="156"/>
        <v>1812.7867031329999</v>
      </c>
      <c r="I509" s="67">
        <f t="shared" si="158"/>
        <v>19940.653734462998</v>
      </c>
      <c r="J509" s="677">
        <v>115</v>
      </c>
      <c r="K509" s="25">
        <f t="shared" si="154"/>
        <v>107.514425405</v>
      </c>
      <c r="L509" s="25">
        <f t="shared" si="157"/>
        <v>1182.6586794549999</v>
      </c>
      <c r="M509" s="67">
        <f t="shared" si="159"/>
        <v>21123.312413917996</v>
      </c>
      <c r="N509" s="72"/>
      <c r="O509" s="663">
        <v>0.93490804699999996</v>
      </c>
    </row>
    <row r="510" spans="1:15" ht="20.100000000000001" customHeight="1">
      <c r="A510" s="685">
        <v>8.1240000000001995</v>
      </c>
      <c r="B510" s="227" t="s">
        <v>2460</v>
      </c>
      <c r="C510" s="642" t="s">
        <v>2461</v>
      </c>
      <c r="D510" s="679"/>
      <c r="E510" s="680">
        <v>17</v>
      </c>
      <c r="F510" s="30" t="s">
        <v>286</v>
      </c>
      <c r="G510" s="675">
        <v>1463</v>
      </c>
      <c r="H510" s="30">
        <f t="shared" si="156"/>
        <v>1367.7704727609998</v>
      </c>
      <c r="I510" s="67">
        <f t="shared" si="158"/>
        <v>23252.098036936997</v>
      </c>
      <c r="J510" s="677">
        <v>115</v>
      </c>
      <c r="K510" s="25">
        <f t="shared" ref="K510:K511" si="160">J510*O510</f>
        <v>107.514425405</v>
      </c>
      <c r="L510" s="25">
        <f t="shared" si="157"/>
        <v>1827.7452318850001</v>
      </c>
      <c r="M510" s="67">
        <f t="shared" si="159"/>
        <v>25079.843268821998</v>
      </c>
      <c r="N510" s="72"/>
      <c r="O510" s="663">
        <v>0.93490804699999996</v>
      </c>
    </row>
    <row r="511" spans="1:15" ht="20.100000000000001" customHeight="1">
      <c r="A511" s="685">
        <v>8.1250000000002096</v>
      </c>
      <c r="B511" s="227" t="s">
        <v>2346</v>
      </c>
      <c r="C511" s="642" t="s">
        <v>2347</v>
      </c>
      <c r="D511" s="679"/>
      <c r="E511" s="680">
        <v>18</v>
      </c>
      <c r="F511" s="30" t="s">
        <v>349</v>
      </c>
      <c r="G511" s="675">
        <f>1280*0.9</f>
        <v>1152</v>
      </c>
      <c r="H511" s="30">
        <f t="shared" si="156"/>
        <v>1077.014070144</v>
      </c>
      <c r="I511" s="67">
        <f t="shared" si="158"/>
        <v>19386.253262591999</v>
      </c>
      <c r="J511" s="677">
        <v>115</v>
      </c>
      <c r="K511" s="25">
        <f t="shared" si="160"/>
        <v>107.514425405</v>
      </c>
      <c r="L511" s="25">
        <f t="shared" si="157"/>
        <v>1935.25965729</v>
      </c>
      <c r="M511" s="67">
        <f t="shared" si="159"/>
        <v>21321.512919882</v>
      </c>
      <c r="N511" s="72"/>
      <c r="O511" s="663">
        <v>0.93490804699999996</v>
      </c>
    </row>
    <row r="512" spans="1:15" ht="20.100000000000001" customHeight="1">
      <c r="A512" s="685"/>
      <c r="B512" s="685"/>
      <c r="C512" s="673"/>
      <c r="D512" s="679"/>
      <c r="E512" s="680"/>
      <c r="F512" s="30"/>
      <c r="G512" s="675"/>
      <c r="H512" s="684"/>
      <c r="I512" s="683"/>
      <c r="J512" s="677"/>
      <c r="K512" s="677"/>
      <c r="L512" s="25"/>
      <c r="M512" s="67"/>
      <c r="N512" s="72"/>
      <c r="O512" s="663">
        <v>0.93490804699999996</v>
      </c>
    </row>
    <row r="513" spans="1:15" ht="20.100000000000001" customHeight="1">
      <c r="A513" s="649"/>
      <c r="B513" s="649" t="s">
        <v>2462</v>
      </c>
      <c r="C513" s="673"/>
      <c r="D513" s="679"/>
      <c r="E513" s="680"/>
      <c r="F513" s="30"/>
      <c r="G513" s="675"/>
      <c r="H513" s="684"/>
      <c r="I513" s="683"/>
      <c r="J513" s="677"/>
      <c r="K513" s="677"/>
      <c r="L513" s="25"/>
      <c r="M513" s="67"/>
      <c r="N513" s="72"/>
      <c r="O513" s="663">
        <v>0.93490804699999996</v>
      </c>
    </row>
    <row r="514" spans="1:15" ht="23.25">
      <c r="A514" s="685">
        <v>8.1259999999999994</v>
      </c>
      <c r="B514" s="227" t="s">
        <v>2463</v>
      </c>
      <c r="C514" s="1349" t="s">
        <v>2464</v>
      </c>
      <c r="D514" s="1350"/>
      <c r="E514" s="680">
        <v>88</v>
      </c>
      <c r="F514" s="30" t="s">
        <v>349</v>
      </c>
      <c r="G514" s="675">
        <v>4904</v>
      </c>
      <c r="H514" s="30">
        <f t="shared" ref="H514:H568" si="161">G514*O514</f>
        <v>4584.7890624880001</v>
      </c>
      <c r="I514" s="67">
        <f>E514*H514</f>
        <v>403461.437498944</v>
      </c>
      <c r="J514" s="677">
        <v>115</v>
      </c>
      <c r="K514" s="25">
        <f t="shared" ref="K514:K577" si="162">J514*O514</f>
        <v>107.514425405</v>
      </c>
      <c r="L514" s="25">
        <f t="shared" si="157"/>
        <v>9461.2694356399988</v>
      </c>
      <c r="M514" s="67">
        <f t="shared" ref="M514:M568" si="163">I514+L514</f>
        <v>412922.70693458401</v>
      </c>
      <c r="N514" s="72"/>
      <c r="O514" s="663">
        <v>0.93490804699999996</v>
      </c>
    </row>
    <row r="515" spans="1:15" ht="23.25">
      <c r="A515" s="685">
        <v>8.1270000000000007</v>
      </c>
      <c r="B515" s="227" t="s">
        <v>2465</v>
      </c>
      <c r="C515" s="1349" t="s">
        <v>2466</v>
      </c>
      <c r="D515" s="1350"/>
      <c r="E515" s="680">
        <v>15</v>
      </c>
      <c r="F515" s="30" t="s">
        <v>349</v>
      </c>
      <c r="G515" s="675">
        <v>4904</v>
      </c>
      <c r="H515" s="30">
        <f t="shared" si="161"/>
        <v>4584.7890624880001</v>
      </c>
      <c r="I515" s="67">
        <f t="shared" ref="I515:I579" si="164">E515*H515</f>
        <v>68771.835937320007</v>
      </c>
      <c r="J515" s="677">
        <v>115</v>
      </c>
      <c r="K515" s="25">
        <f t="shared" si="162"/>
        <v>107.514425405</v>
      </c>
      <c r="L515" s="25">
        <f t="shared" si="157"/>
        <v>1612.7163810749998</v>
      </c>
      <c r="M515" s="67">
        <f t="shared" si="163"/>
        <v>70384.552318395014</v>
      </c>
      <c r="N515" s="72"/>
      <c r="O515" s="663">
        <v>0.93490804699999996</v>
      </c>
    </row>
    <row r="516" spans="1:15" ht="23.25">
      <c r="A516" s="685">
        <v>8.1280000000000001</v>
      </c>
      <c r="B516" s="227" t="s">
        <v>2467</v>
      </c>
      <c r="C516" s="1349" t="s">
        <v>2466</v>
      </c>
      <c r="D516" s="1350"/>
      <c r="E516" s="680">
        <v>12</v>
      </c>
      <c r="F516" s="30" t="s">
        <v>349</v>
      </c>
      <c r="G516" s="675">
        <v>4904</v>
      </c>
      <c r="H516" s="30">
        <f t="shared" si="161"/>
        <v>4584.7890624880001</v>
      </c>
      <c r="I516" s="67">
        <f t="shared" si="164"/>
        <v>55017.468749856002</v>
      </c>
      <c r="J516" s="677">
        <v>115</v>
      </c>
      <c r="K516" s="25">
        <f t="shared" si="162"/>
        <v>107.514425405</v>
      </c>
      <c r="L516" s="25">
        <f t="shared" si="157"/>
        <v>1290.17310486</v>
      </c>
      <c r="M516" s="67">
        <f t="shared" si="163"/>
        <v>56307.641854715999</v>
      </c>
      <c r="N516" s="72"/>
      <c r="O516" s="663">
        <v>0.93490804699999996</v>
      </c>
    </row>
    <row r="517" spans="1:15" ht="23.25">
      <c r="A517" s="685">
        <v>8.1289999999999996</v>
      </c>
      <c r="B517" s="227" t="s">
        <v>2468</v>
      </c>
      <c r="C517" s="1349" t="s">
        <v>2469</v>
      </c>
      <c r="D517" s="1350"/>
      <c r="E517" s="680">
        <v>67</v>
      </c>
      <c r="F517" s="30" t="s">
        <v>349</v>
      </c>
      <c r="G517" s="675">
        <f>5100*0.75</f>
        <v>3825</v>
      </c>
      <c r="H517" s="30">
        <f t="shared" si="161"/>
        <v>3576.023279775</v>
      </c>
      <c r="I517" s="67">
        <f t="shared" si="164"/>
        <v>239593.55974492501</v>
      </c>
      <c r="J517" s="677">
        <v>115</v>
      </c>
      <c r="K517" s="25">
        <f t="shared" si="162"/>
        <v>107.514425405</v>
      </c>
      <c r="L517" s="25">
        <f t="shared" si="157"/>
        <v>7203.4665021350002</v>
      </c>
      <c r="M517" s="67">
        <f t="shared" si="163"/>
        <v>246797.02624706001</v>
      </c>
      <c r="N517" s="72"/>
      <c r="O517" s="663">
        <v>0.93490804699999996</v>
      </c>
    </row>
    <row r="518" spans="1:15" ht="23.25">
      <c r="A518" s="685">
        <v>8.1300000000000008</v>
      </c>
      <c r="B518" s="227" t="s">
        <v>2470</v>
      </c>
      <c r="C518" s="1349" t="s">
        <v>2471</v>
      </c>
      <c r="D518" s="1350"/>
      <c r="E518" s="680">
        <v>2</v>
      </c>
      <c r="F518" s="30" t="s">
        <v>349</v>
      </c>
      <c r="G518" s="675">
        <f>5300*0.75</f>
        <v>3975</v>
      </c>
      <c r="H518" s="30">
        <f t="shared" si="161"/>
        <v>3716.2594868249998</v>
      </c>
      <c r="I518" s="67">
        <f t="shared" si="164"/>
        <v>7432.5189736499997</v>
      </c>
      <c r="J518" s="677">
        <v>115</v>
      </c>
      <c r="K518" s="25">
        <f t="shared" si="162"/>
        <v>107.514425405</v>
      </c>
      <c r="L518" s="25">
        <f t="shared" si="157"/>
        <v>215.02885080999999</v>
      </c>
      <c r="M518" s="67">
        <f t="shared" si="163"/>
        <v>7647.5478244599999</v>
      </c>
      <c r="N518" s="72"/>
      <c r="O518" s="663">
        <v>0.93490804699999996</v>
      </c>
    </row>
    <row r="519" spans="1:15" ht="23.25">
      <c r="A519" s="685">
        <v>8.1310000000000109</v>
      </c>
      <c r="B519" s="227" t="s">
        <v>2472</v>
      </c>
      <c r="C519" s="1349" t="s">
        <v>2473</v>
      </c>
      <c r="D519" s="1350"/>
      <c r="E519" s="680">
        <v>14</v>
      </c>
      <c r="F519" s="30" t="s">
        <v>349</v>
      </c>
      <c r="G519" s="675">
        <f>5000*0.75</f>
        <v>3750</v>
      </c>
      <c r="H519" s="30">
        <f t="shared" si="161"/>
        <v>3505.9051762499998</v>
      </c>
      <c r="I519" s="67">
        <f t="shared" si="164"/>
        <v>49082.6724675</v>
      </c>
      <c r="J519" s="677">
        <v>115</v>
      </c>
      <c r="K519" s="25">
        <f t="shared" si="162"/>
        <v>107.514425405</v>
      </c>
      <c r="L519" s="25">
        <f t="shared" si="157"/>
        <v>1505.20195567</v>
      </c>
      <c r="M519" s="67">
        <f t="shared" si="163"/>
        <v>50587.874423170004</v>
      </c>
      <c r="N519" s="72"/>
      <c r="O519" s="663">
        <v>0.93490804699999996</v>
      </c>
    </row>
    <row r="520" spans="1:15" ht="69.75">
      <c r="A520" s="685">
        <v>8.1320000000000103</v>
      </c>
      <c r="B520" s="227" t="s">
        <v>2474</v>
      </c>
      <c r="C520" s="642" t="s">
        <v>2475</v>
      </c>
      <c r="D520" s="679"/>
      <c r="E520" s="680">
        <v>2</v>
      </c>
      <c r="F520" s="30" t="s">
        <v>349</v>
      </c>
      <c r="G520" s="675">
        <f>5300*0.75</f>
        <v>3975</v>
      </c>
      <c r="H520" s="30">
        <f t="shared" si="161"/>
        <v>3716.2594868249998</v>
      </c>
      <c r="I520" s="67">
        <f t="shared" si="164"/>
        <v>7432.5189736499997</v>
      </c>
      <c r="J520" s="677">
        <v>115</v>
      </c>
      <c r="K520" s="25">
        <f t="shared" si="162"/>
        <v>107.514425405</v>
      </c>
      <c r="L520" s="25">
        <f t="shared" si="157"/>
        <v>215.02885080999999</v>
      </c>
      <c r="M520" s="67">
        <f t="shared" si="163"/>
        <v>7647.5478244599999</v>
      </c>
      <c r="N520" s="26"/>
      <c r="O520" s="663">
        <v>0.93490804699999996</v>
      </c>
    </row>
    <row r="521" spans="1:15" ht="69.75">
      <c r="A521" s="685">
        <v>8.1330000000000098</v>
      </c>
      <c r="B521" s="227" t="s">
        <v>2476</v>
      </c>
      <c r="C521" s="642" t="s">
        <v>2477</v>
      </c>
      <c r="D521" s="679"/>
      <c r="E521" s="680">
        <v>15</v>
      </c>
      <c r="F521" s="30" t="s">
        <v>349</v>
      </c>
      <c r="G521" s="675">
        <f>5300*0.75</f>
        <v>3975</v>
      </c>
      <c r="H521" s="30">
        <f t="shared" si="161"/>
        <v>3716.2594868249998</v>
      </c>
      <c r="I521" s="67">
        <f t="shared" si="164"/>
        <v>55743.892302374996</v>
      </c>
      <c r="J521" s="677">
        <v>115</v>
      </c>
      <c r="K521" s="25">
        <f t="shared" si="162"/>
        <v>107.514425405</v>
      </c>
      <c r="L521" s="25">
        <f t="shared" si="157"/>
        <v>1612.7163810749998</v>
      </c>
      <c r="M521" s="67">
        <f t="shared" si="163"/>
        <v>57356.608683449995</v>
      </c>
      <c r="N521" s="26"/>
      <c r="O521" s="663">
        <v>0.93490804699999996</v>
      </c>
    </row>
    <row r="522" spans="1:15" ht="69.75">
      <c r="A522" s="685">
        <v>8.1340000000000092</v>
      </c>
      <c r="B522" s="227" t="s">
        <v>2478</v>
      </c>
      <c r="C522" s="642" t="s">
        <v>2479</v>
      </c>
      <c r="D522" s="679"/>
      <c r="E522" s="680">
        <v>3</v>
      </c>
      <c r="F522" s="30" t="s">
        <v>349</v>
      </c>
      <c r="G522" s="675">
        <f>5300*0.75</f>
        <v>3975</v>
      </c>
      <c r="H522" s="30">
        <f t="shared" si="161"/>
        <v>3716.2594868249998</v>
      </c>
      <c r="I522" s="67">
        <f t="shared" si="164"/>
        <v>11148.778460475</v>
      </c>
      <c r="J522" s="677">
        <v>115</v>
      </c>
      <c r="K522" s="25">
        <f t="shared" si="162"/>
        <v>107.514425405</v>
      </c>
      <c r="L522" s="25">
        <f t="shared" si="157"/>
        <v>322.54327621499999</v>
      </c>
      <c r="M522" s="67">
        <f t="shared" si="163"/>
        <v>11471.321736689999</v>
      </c>
      <c r="N522" s="26"/>
      <c r="O522" s="663">
        <v>0.93490804699999996</v>
      </c>
    </row>
    <row r="523" spans="1:15" ht="93">
      <c r="A523" s="685">
        <v>8.1350000000000104</v>
      </c>
      <c r="B523" s="227" t="s">
        <v>2480</v>
      </c>
      <c r="C523" s="642" t="s">
        <v>2481</v>
      </c>
      <c r="D523" s="679"/>
      <c r="E523" s="680">
        <v>4</v>
      </c>
      <c r="F523" s="30" t="s">
        <v>349</v>
      </c>
      <c r="G523" s="675">
        <v>4650</v>
      </c>
      <c r="H523" s="30">
        <f t="shared" si="161"/>
        <v>4347.3224185499994</v>
      </c>
      <c r="I523" s="67">
        <f t="shared" si="164"/>
        <v>17389.289674199998</v>
      </c>
      <c r="J523" s="677">
        <v>115</v>
      </c>
      <c r="K523" s="25">
        <f t="shared" si="162"/>
        <v>107.514425405</v>
      </c>
      <c r="L523" s="25">
        <f t="shared" si="157"/>
        <v>430.05770161999999</v>
      </c>
      <c r="M523" s="67">
        <f t="shared" si="163"/>
        <v>17819.347375819998</v>
      </c>
      <c r="N523" s="26"/>
      <c r="O523" s="663">
        <v>0.93490804699999996</v>
      </c>
    </row>
    <row r="524" spans="1:15" ht="69.75">
      <c r="A524" s="685">
        <v>8.1360000000000099</v>
      </c>
      <c r="B524" s="227" t="s">
        <v>2482</v>
      </c>
      <c r="C524" s="642" t="s">
        <v>2483</v>
      </c>
      <c r="D524" s="679"/>
      <c r="E524" s="680">
        <v>6</v>
      </c>
      <c r="F524" s="30" t="s">
        <v>349</v>
      </c>
      <c r="G524" s="675">
        <v>3975</v>
      </c>
      <c r="H524" s="30">
        <f t="shared" si="161"/>
        <v>3716.2594868249998</v>
      </c>
      <c r="I524" s="67">
        <f t="shared" si="164"/>
        <v>22297.556920949999</v>
      </c>
      <c r="J524" s="677">
        <v>115</v>
      </c>
      <c r="K524" s="25">
        <f t="shared" si="162"/>
        <v>107.514425405</v>
      </c>
      <c r="L524" s="25">
        <f t="shared" si="157"/>
        <v>645.08655242999998</v>
      </c>
      <c r="M524" s="67">
        <f t="shared" si="163"/>
        <v>22942.643473379998</v>
      </c>
      <c r="N524" s="72"/>
      <c r="O524" s="663">
        <v>0.93490804699999996</v>
      </c>
    </row>
    <row r="525" spans="1:15" ht="69.75">
      <c r="A525" s="685">
        <v>8.1370000000000005</v>
      </c>
      <c r="B525" s="227" t="s">
        <v>2484</v>
      </c>
      <c r="C525" s="642" t="s">
        <v>2485</v>
      </c>
      <c r="D525" s="679"/>
      <c r="E525" s="680">
        <v>2</v>
      </c>
      <c r="F525" s="30" t="s">
        <v>349</v>
      </c>
      <c r="G525" s="675">
        <f>6000*0.75</f>
        <v>4500</v>
      </c>
      <c r="H525" s="30">
        <f t="shared" si="161"/>
        <v>4207.0862115</v>
      </c>
      <c r="I525" s="67">
        <f t="shared" si="164"/>
        <v>8414.172423</v>
      </c>
      <c r="J525" s="677">
        <v>115</v>
      </c>
      <c r="K525" s="25">
        <f t="shared" si="162"/>
        <v>107.514425405</v>
      </c>
      <c r="L525" s="25">
        <f t="shared" si="157"/>
        <v>215.02885080999999</v>
      </c>
      <c r="M525" s="67">
        <f t="shared" si="163"/>
        <v>8629.2012738100002</v>
      </c>
      <c r="N525" s="72"/>
      <c r="O525" s="663">
        <v>0.93490804699999996</v>
      </c>
    </row>
    <row r="526" spans="1:15" ht="69.75">
      <c r="A526" s="685">
        <v>8.1379999999999999</v>
      </c>
      <c r="B526" s="227" t="s">
        <v>2486</v>
      </c>
      <c r="C526" s="642" t="s">
        <v>2487</v>
      </c>
      <c r="D526" s="679"/>
      <c r="E526" s="680">
        <v>8</v>
      </c>
      <c r="F526" s="30" t="s">
        <v>349</v>
      </c>
      <c r="G526" s="675">
        <v>4500</v>
      </c>
      <c r="H526" s="30">
        <f t="shared" si="161"/>
        <v>4207.0862115</v>
      </c>
      <c r="I526" s="67">
        <f t="shared" si="164"/>
        <v>33656.689692</v>
      </c>
      <c r="J526" s="677">
        <v>115</v>
      </c>
      <c r="K526" s="25">
        <f t="shared" si="162"/>
        <v>107.514425405</v>
      </c>
      <c r="L526" s="25">
        <f t="shared" si="157"/>
        <v>860.11540323999998</v>
      </c>
      <c r="M526" s="67">
        <f t="shared" si="163"/>
        <v>34516.805095240001</v>
      </c>
      <c r="N526" s="72"/>
      <c r="O526" s="663">
        <v>0.93490804699999996</v>
      </c>
    </row>
    <row r="527" spans="1:15" ht="69.75">
      <c r="A527" s="685">
        <v>8.1389999999999993</v>
      </c>
      <c r="B527" s="227" t="s">
        <v>2488</v>
      </c>
      <c r="C527" s="642" t="s">
        <v>2489</v>
      </c>
      <c r="D527" s="679"/>
      <c r="E527" s="680">
        <v>2</v>
      </c>
      <c r="F527" s="30" t="s">
        <v>349</v>
      </c>
      <c r="G527" s="675">
        <f>5700*0.75</f>
        <v>4275</v>
      </c>
      <c r="H527" s="30">
        <f t="shared" si="161"/>
        <v>3996.731900925</v>
      </c>
      <c r="I527" s="67">
        <f t="shared" si="164"/>
        <v>7993.46380185</v>
      </c>
      <c r="J527" s="677">
        <v>115</v>
      </c>
      <c r="K527" s="25">
        <f t="shared" si="162"/>
        <v>107.514425405</v>
      </c>
      <c r="L527" s="25">
        <f t="shared" si="157"/>
        <v>215.02885080999999</v>
      </c>
      <c r="M527" s="67">
        <f t="shared" si="163"/>
        <v>8208.4926526599993</v>
      </c>
      <c r="N527" s="72"/>
      <c r="O527" s="663">
        <v>0.93490804699999996</v>
      </c>
    </row>
    <row r="528" spans="1:15" ht="69.75">
      <c r="A528" s="685">
        <v>8.14</v>
      </c>
      <c r="B528" s="227" t="s">
        <v>2490</v>
      </c>
      <c r="C528" s="642" t="s">
        <v>2491</v>
      </c>
      <c r="D528" s="679"/>
      <c r="E528" s="680">
        <v>6</v>
      </c>
      <c r="F528" s="30" t="s">
        <v>349</v>
      </c>
      <c r="G528" s="675">
        <v>4275</v>
      </c>
      <c r="H528" s="30">
        <f t="shared" si="161"/>
        <v>3996.731900925</v>
      </c>
      <c r="I528" s="67">
        <f t="shared" si="164"/>
        <v>23980.391405549999</v>
      </c>
      <c r="J528" s="677">
        <v>115</v>
      </c>
      <c r="K528" s="25">
        <f t="shared" si="162"/>
        <v>107.514425405</v>
      </c>
      <c r="L528" s="25">
        <f t="shared" si="157"/>
        <v>645.08655242999998</v>
      </c>
      <c r="M528" s="67">
        <f t="shared" si="163"/>
        <v>24625.477957979998</v>
      </c>
      <c r="N528" s="72"/>
      <c r="O528" s="663">
        <v>0.93490804699999996</v>
      </c>
    </row>
    <row r="529" spans="1:15" ht="69.75">
      <c r="A529" s="685">
        <v>8.141</v>
      </c>
      <c r="B529" s="227" t="s">
        <v>2492</v>
      </c>
      <c r="C529" s="642" t="s">
        <v>2493</v>
      </c>
      <c r="D529" s="679"/>
      <c r="E529" s="680">
        <v>14</v>
      </c>
      <c r="F529" s="30" t="s">
        <v>349</v>
      </c>
      <c r="G529" s="675">
        <v>1100</v>
      </c>
      <c r="H529" s="30">
        <f t="shared" si="161"/>
        <v>1028.3988517</v>
      </c>
      <c r="I529" s="67">
        <f t="shared" si="164"/>
        <v>14397.583923800001</v>
      </c>
      <c r="J529" s="677">
        <v>115</v>
      </c>
      <c r="K529" s="25">
        <f t="shared" si="162"/>
        <v>107.514425405</v>
      </c>
      <c r="L529" s="25">
        <f t="shared" si="157"/>
        <v>1505.20195567</v>
      </c>
      <c r="M529" s="67">
        <f t="shared" si="163"/>
        <v>15902.785879470001</v>
      </c>
      <c r="N529" s="72"/>
      <c r="O529" s="663">
        <v>0.93490804699999996</v>
      </c>
    </row>
    <row r="530" spans="1:15" ht="69.75">
      <c r="A530" s="685">
        <v>8.1419999999999995</v>
      </c>
      <c r="B530" s="227" t="s">
        <v>2494</v>
      </c>
      <c r="C530" s="642" t="s">
        <v>2495</v>
      </c>
      <c r="D530" s="679"/>
      <c r="E530" s="680">
        <v>16</v>
      </c>
      <c r="F530" s="30" t="s">
        <v>349</v>
      </c>
      <c r="G530" s="675">
        <v>1100</v>
      </c>
      <c r="H530" s="30">
        <f t="shared" si="161"/>
        <v>1028.3988517</v>
      </c>
      <c r="I530" s="67">
        <f t="shared" si="164"/>
        <v>16454.3816272</v>
      </c>
      <c r="J530" s="677">
        <v>115</v>
      </c>
      <c r="K530" s="25">
        <f t="shared" si="162"/>
        <v>107.514425405</v>
      </c>
      <c r="L530" s="25">
        <f t="shared" si="157"/>
        <v>1720.23080648</v>
      </c>
      <c r="M530" s="67">
        <f t="shared" si="163"/>
        <v>18174.612433679999</v>
      </c>
      <c r="N530" s="26"/>
      <c r="O530" s="663">
        <v>0.93490804699999996</v>
      </c>
    </row>
    <row r="531" spans="1:15" ht="69.75">
      <c r="A531" s="685">
        <v>8.1430000000000007</v>
      </c>
      <c r="B531" s="227" t="s">
        <v>2496</v>
      </c>
      <c r="C531" s="642" t="s">
        <v>2497</v>
      </c>
      <c r="D531" s="679"/>
      <c r="E531" s="680">
        <v>4</v>
      </c>
      <c r="F531" s="30" t="s">
        <v>349</v>
      </c>
      <c r="G531" s="675">
        <v>1100</v>
      </c>
      <c r="H531" s="30">
        <f t="shared" si="161"/>
        <v>1028.3988517</v>
      </c>
      <c r="I531" s="67">
        <f t="shared" si="164"/>
        <v>4113.5954068000001</v>
      </c>
      <c r="J531" s="677">
        <v>115</v>
      </c>
      <c r="K531" s="25">
        <f t="shared" si="162"/>
        <v>107.514425405</v>
      </c>
      <c r="L531" s="25">
        <f t="shared" si="157"/>
        <v>430.05770161999999</v>
      </c>
      <c r="M531" s="67">
        <f t="shared" si="163"/>
        <v>4543.6531084199996</v>
      </c>
      <c r="N531" s="26"/>
      <c r="O531" s="663">
        <v>0.93490804699999996</v>
      </c>
    </row>
    <row r="532" spans="1:15" ht="69.75">
      <c r="A532" s="685">
        <v>8.1440000000000001</v>
      </c>
      <c r="B532" s="227" t="s">
        <v>2498</v>
      </c>
      <c r="C532" s="686" t="s">
        <v>2499</v>
      </c>
      <c r="D532" s="49"/>
      <c r="E532" s="104">
        <v>2</v>
      </c>
      <c r="F532" s="30" t="s">
        <v>349</v>
      </c>
      <c r="G532" s="675">
        <v>6420</v>
      </c>
      <c r="H532" s="30">
        <f t="shared" si="161"/>
        <v>6002.1096617399999</v>
      </c>
      <c r="I532" s="67">
        <f t="shared" si="164"/>
        <v>12004.21932348</v>
      </c>
      <c r="J532" s="677">
        <v>115</v>
      </c>
      <c r="K532" s="25">
        <f t="shared" si="162"/>
        <v>107.514425405</v>
      </c>
      <c r="L532" s="25">
        <f t="shared" si="157"/>
        <v>215.02885080999999</v>
      </c>
      <c r="M532" s="67">
        <f t="shared" si="163"/>
        <v>12219.24817429</v>
      </c>
      <c r="N532" s="26"/>
      <c r="O532" s="663">
        <v>0.93490804699999996</v>
      </c>
    </row>
    <row r="533" spans="1:15" ht="46.5">
      <c r="A533" s="685">
        <v>8.1449999999999996</v>
      </c>
      <c r="B533" s="27" t="s">
        <v>2346</v>
      </c>
      <c r="C533" s="687" t="s">
        <v>2500</v>
      </c>
      <c r="D533" s="24"/>
      <c r="E533" s="104">
        <v>10</v>
      </c>
      <c r="F533" s="30" t="s">
        <v>349</v>
      </c>
      <c r="G533" s="67">
        <f>1080*0.9</f>
        <v>972</v>
      </c>
      <c r="H533" s="30">
        <f t="shared" si="161"/>
        <v>908.73062168399997</v>
      </c>
      <c r="I533" s="67">
        <f t="shared" si="164"/>
        <v>9087.3062168399993</v>
      </c>
      <c r="J533" s="677">
        <v>115</v>
      </c>
      <c r="K533" s="25">
        <f t="shared" si="162"/>
        <v>107.514425405</v>
      </c>
      <c r="L533" s="25">
        <f t="shared" si="157"/>
        <v>1075.14425405</v>
      </c>
      <c r="M533" s="67">
        <f t="shared" si="163"/>
        <v>10162.450470889999</v>
      </c>
      <c r="N533" s="26"/>
      <c r="O533" s="663">
        <v>0.93490804699999996</v>
      </c>
    </row>
    <row r="534" spans="1:15" ht="69.75">
      <c r="A534" s="685">
        <v>8.1460000000000008</v>
      </c>
      <c r="B534" s="227" t="s">
        <v>2501</v>
      </c>
      <c r="C534" s="642" t="s">
        <v>2502</v>
      </c>
      <c r="D534" s="679"/>
      <c r="E534" s="680">
        <v>75</v>
      </c>
      <c r="F534" s="26" t="s">
        <v>286</v>
      </c>
      <c r="G534" s="675">
        <v>1576</v>
      </c>
      <c r="H534" s="30">
        <f t="shared" si="161"/>
        <v>1473.4150820719999</v>
      </c>
      <c r="I534" s="67">
        <f t="shared" si="164"/>
        <v>110506.1311554</v>
      </c>
      <c r="J534" s="677">
        <v>115</v>
      </c>
      <c r="K534" s="25">
        <f t="shared" si="162"/>
        <v>107.514425405</v>
      </c>
      <c r="L534" s="25">
        <f t="shared" si="157"/>
        <v>8063.5819053750001</v>
      </c>
      <c r="M534" s="67">
        <f t="shared" si="163"/>
        <v>118569.713060775</v>
      </c>
      <c r="N534" s="26"/>
      <c r="O534" s="663">
        <v>0.93490804699999996</v>
      </c>
    </row>
    <row r="535" spans="1:15" ht="69.75">
      <c r="A535" s="685">
        <v>8.1469999999999896</v>
      </c>
      <c r="B535" s="227" t="s">
        <v>2503</v>
      </c>
      <c r="C535" s="642" t="s">
        <v>2504</v>
      </c>
      <c r="D535" s="679"/>
      <c r="E535" s="680">
        <v>144.80000000000001</v>
      </c>
      <c r="F535" s="26" t="s">
        <v>286</v>
      </c>
      <c r="G535" s="675">
        <v>1659</v>
      </c>
      <c r="H535" s="30">
        <f t="shared" si="161"/>
        <v>1551.012449973</v>
      </c>
      <c r="I535" s="67">
        <f t="shared" si="164"/>
        <v>224586.6027560904</v>
      </c>
      <c r="J535" s="677">
        <v>115</v>
      </c>
      <c r="K535" s="25">
        <f t="shared" si="162"/>
        <v>107.514425405</v>
      </c>
      <c r="L535" s="25">
        <f t="shared" ref="L535:L598" si="165">E535*K535</f>
        <v>15568.088798644001</v>
      </c>
      <c r="M535" s="67">
        <f t="shared" si="163"/>
        <v>240154.6915547344</v>
      </c>
      <c r="N535" s="26"/>
      <c r="O535" s="663">
        <v>0.93490804699999996</v>
      </c>
    </row>
    <row r="536" spans="1:15" ht="23.25">
      <c r="A536" s="685">
        <v>8.1479999999999908</v>
      </c>
      <c r="B536" s="227" t="s">
        <v>2505</v>
      </c>
      <c r="C536" s="1349" t="s">
        <v>2506</v>
      </c>
      <c r="D536" s="1350"/>
      <c r="E536" s="680">
        <v>26.3</v>
      </c>
      <c r="F536" s="26" t="s">
        <v>286</v>
      </c>
      <c r="G536" s="675">
        <v>1662</v>
      </c>
      <c r="H536" s="30">
        <f t="shared" si="161"/>
        <v>1553.817174114</v>
      </c>
      <c r="I536" s="67">
        <f t="shared" si="164"/>
        <v>40865.391679198197</v>
      </c>
      <c r="J536" s="677">
        <v>115</v>
      </c>
      <c r="K536" s="25">
        <f t="shared" si="162"/>
        <v>107.514425405</v>
      </c>
      <c r="L536" s="25">
        <f t="shared" si="165"/>
        <v>2827.6293881514998</v>
      </c>
      <c r="M536" s="67">
        <f t="shared" si="163"/>
        <v>43693.021067349699</v>
      </c>
      <c r="N536" s="26"/>
      <c r="O536" s="663">
        <v>0.93490804699999996</v>
      </c>
    </row>
    <row r="537" spans="1:15" ht="23.25">
      <c r="A537" s="685">
        <v>8.1489999999999903</v>
      </c>
      <c r="B537" s="227" t="s">
        <v>2507</v>
      </c>
      <c r="C537" s="1349" t="s">
        <v>2508</v>
      </c>
      <c r="D537" s="1350"/>
      <c r="E537" s="680">
        <v>105.9</v>
      </c>
      <c r="F537" s="26" t="s">
        <v>286</v>
      </c>
      <c r="G537" s="675">
        <v>1225</v>
      </c>
      <c r="H537" s="30">
        <f t="shared" si="161"/>
        <v>1145.2623575749999</v>
      </c>
      <c r="I537" s="67">
        <f t="shared" si="164"/>
        <v>121283.28366719249</v>
      </c>
      <c r="J537" s="677">
        <v>115</v>
      </c>
      <c r="K537" s="25">
        <f t="shared" si="162"/>
        <v>107.514425405</v>
      </c>
      <c r="L537" s="25">
        <f t="shared" si="165"/>
        <v>11385.7776503895</v>
      </c>
      <c r="M537" s="67">
        <f t="shared" si="163"/>
        <v>132669.06131758197</v>
      </c>
      <c r="N537" s="26"/>
      <c r="O537" s="663">
        <v>0.93490804699999996</v>
      </c>
    </row>
    <row r="538" spans="1:15" ht="73.5" customHeight="1">
      <c r="A538" s="685">
        <v>8.1499999999999897</v>
      </c>
      <c r="B538" s="227" t="s">
        <v>2509</v>
      </c>
      <c r="C538" s="1349" t="s">
        <v>2510</v>
      </c>
      <c r="D538" s="1350"/>
      <c r="E538" s="680">
        <v>140</v>
      </c>
      <c r="F538" s="26" t="s">
        <v>286</v>
      </c>
      <c r="G538" s="675">
        <v>1191</v>
      </c>
      <c r="H538" s="30">
        <f t="shared" si="161"/>
        <v>1113.4754839770001</v>
      </c>
      <c r="I538" s="67">
        <f t="shared" si="164"/>
        <v>155886.56775678002</v>
      </c>
      <c r="J538" s="677">
        <v>115</v>
      </c>
      <c r="K538" s="25">
        <f t="shared" si="162"/>
        <v>107.514425405</v>
      </c>
      <c r="L538" s="25">
        <f t="shared" si="165"/>
        <v>15052.019556699999</v>
      </c>
      <c r="M538" s="67">
        <f t="shared" si="163"/>
        <v>170938.58731348001</v>
      </c>
      <c r="N538" s="26"/>
      <c r="O538" s="663">
        <v>0.93490804699999996</v>
      </c>
    </row>
    <row r="539" spans="1:15" ht="73.5" customHeight="1">
      <c r="A539" s="685">
        <v>8.1509999999999891</v>
      </c>
      <c r="B539" s="227" t="s">
        <v>2511</v>
      </c>
      <c r="C539" s="1349" t="s">
        <v>2512</v>
      </c>
      <c r="D539" s="1350"/>
      <c r="E539" s="680">
        <v>11</v>
      </c>
      <c r="F539" s="26" t="s">
        <v>286</v>
      </c>
      <c r="G539" s="675">
        <v>1289</v>
      </c>
      <c r="H539" s="30">
        <f t="shared" si="161"/>
        <v>1205.0964725829999</v>
      </c>
      <c r="I539" s="67">
        <f t="shared" si="164"/>
        <v>13256.061198412999</v>
      </c>
      <c r="J539" s="677">
        <v>115</v>
      </c>
      <c r="K539" s="25">
        <f t="shared" si="162"/>
        <v>107.514425405</v>
      </c>
      <c r="L539" s="25">
        <f t="shared" si="165"/>
        <v>1182.6586794549999</v>
      </c>
      <c r="M539" s="67">
        <f t="shared" si="163"/>
        <v>14438.719877867999</v>
      </c>
      <c r="N539" s="26"/>
      <c r="O539" s="663">
        <v>0.93490804699999996</v>
      </c>
    </row>
    <row r="540" spans="1:15" ht="69.75">
      <c r="A540" s="685">
        <v>8.1519999999999904</v>
      </c>
      <c r="B540" s="227" t="s">
        <v>2513</v>
      </c>
      <c r="C540" s="642" t="s">
        <v>2514</v>
      </c>
      <c r="D540" s="679"/>
      <c r="E540" s="680">
        <v>81</v>
      </c>
      <c r="F540" s="26" t="s">
        <v>286</v>
      </c>
      <c r="G540" s="675">
        <v>1756</v>
      </c>
      <c r="H540" s="30">
        <f t="shared" si="161"/>
        <v>1641.6985305319999</v>
      </c>
      <c r="I540" s="67">
        <f t="shared" si="164"/>
        <v>132977.580973092</v>
      </c>
      <c r="J540" s="677">
        <v>115</v>
      </c>
      <c r="K540" s="25">
        <f t="shared" si="162"/>
        <v>107.514425405</v>
      </c>
      <c r="L540" s="25">
        <f t="shared" si="165"/>
        <v>8708.668457804999</v>
      </c>
      <c r="M540" s="67">
        <f t="shared" si="163"/>
        <v>141686.24943089701</v>
      </c>
      <c r="N540" s="26"/>
      <c r="O540" s="663">
        <v>0.93490804699999996</v>
      </c>
    </row>
    <row r="541" spans="1:15" ht="23.25">
      <c r="A541" s="685">
        <v>8.1529999999999898</v>
      </c>
      <c r="B541" s="227" t="s">
        <v>2515</v>
      </c>
      <c r="C541" s="1349" t="s">
        <v>2516</v>
      </c>
      <c r="D541" s="1350"/>
      <c r="E541" s="680">
        <v>23</v>
      </c>
      <c r="F541" s="26" t="s">
        <v>286</v>
      </c>
      <c r="G541" s="675">
        <v>1382</v>
      </c>
      <c r="H541" s="30">
        <f t="shared" si="161"/>
        <v>1292.042920954</v>
      </c>
      <c r="I541" s="67">
        <f t="shared" si="164"/>
        <v>29716.987181942</v>
      </c>
      <c r="J541" s="677">
        <v>115</v>
      </c>
      <c r="K541" s="25">
        <f t="shared" si="162"/>
        <v>107.514425405</v>
      </c>
      <c r="L541" s="25">
        <f t="shared" si="165"/>
        <v>2472.8317843149998</v>
      </c>
      <c r="M541" s="67">
        <f t="shared" si="163"/>
        <v>32189.818966257</v>
      </c>
      <c r="N541" s="26"/>
      <c r="O541" s="663">
        <v>0.93490804699999996</v>
      </c>
    </row>
    <row r="542" spans="1:15" ht="46.5">
      <c r="A542" s="685">
        <v>8.1539999999999893</v>
      </c>
      <c r="B542" s="227" t="s">
        <v>2517</v>
      </c>
      <c r="C542" s="642" t="s">
        <v>2518</v>
      </c>
      <c r="D542" s="679"/>
      <c r="E542" s="680">
        <v>5</v>
      </c>
      <c r="F542" s="30" t="s">
        <v>349</v>
      </c>
      <c r="G542" s="675">
        <v>4065</v>
      </c>
      <c r="H542" s="30">
        <f t="shared" si="161"/>
        <v>3800.4012110549997</v>
      </c>
      <c r="I542" s="67">
        <f t="shared" si="164"/>
        <v>19002.006055275</v>
      </c>
      <c r="J542" s="677">
        <v>115</v>
      </c>
      <c r="K542" s="25">
        <f t="shared" si="162"/>
        <v>107.514425405</v>
      </c>
      <c r="L542" s="25">
        <f t="shared" si="165"/>
        <v>537.57212702499999</v>
      </c>
      <c r="M542" s="67">
        <f t="shared" si="163"/>
        <v>19539.5781823</v>
      </c>
      <c r="N542" s="26"/>
      <c r="O542" s="663">
        <v>0.93490804699999996</v>
      </c>
    </row>
    <row r="543" spans="1:15" ht="46.5">
      <c r="A543" s="685">
        <v>8.1549999999999905</v>
      </c>
      <c r="B543" s="227" t="s">
        <v>2519</v>
      </c>
      <c r="C543" s="642" t="s">
        <v>2520</v>
      </c>
      <c r="D543" s="679"/>
      <c r="E543" s="680">
        <v>1</v>
      </c>
      <c r="F543" s="30" t="s">
        <v>349</v>
      </c>
      <c r="G543" s="675">
        <v>7373</v>
      </c>
      <c r="H543" s="30">
        <f t="shared" si="161"/>
        <v>6893.0770305309998</v>
      </c>
      <c r="I543" s="67">
        <f t="shared" si="164"/>
        <v>6893.0770305309998</v>
      </c>
      <c r="J543" s="677">
        <v>115</v>
      </c>
      <c r="K543" s="25">
        <f t="shared" si="162"/>
        <v>107.514425405</v>
      </c>
      <c r="L543" s="25">
        <f t="shared" si="165"/>
        <v>107.514425405</v>
      </c>
      <c r="M543" s="67">
        <f t="shared" si="163"/>
        <v>7000.5914559359999</v>
      </c>
      <c r="N543" s="26"/>
      <c r="O543" s="663">
        <v>0.93490804699999996</v>
      </c>
    </row>
    <row r="544" spans="1:15" ht="69.75">
      <c r="A544" s="685">
        <v>8.1559999999999899</v>
      </c>
      <c r="B544" s="227" t="s">
        <v>2521</v>
      </c>
      <c r="C544" s="642" t="s">
        <v>2522</v>
      </c>
      <c r="D544" s="679"/>
      <c r="E544" s="680">
        <v>6</v>
      </c>
      <c r="F544" s="30" t="s">
        <v>349</v>
      </c>
      <c r="G544" s="675">
        <f>6000*0.75</f>
        <v>4500</v>
      </c>
      <c r="H544" s="30">
        <f t="shared" si="161"/>
        <v>4207.0862115</v>
      </c>
      <c r="I544" s="67">
        <f t="shared" si="164"/>
        <v>25242.517269</v>
      </c>
      <c r="J544" s="677">
        <v>115</v>
      </c>
      <c r="K544" s="25">
        <f t="shared" si="162"/>
        <v>107.514425405</v>
      </c>
      <c r="L544" s="25">
        <f t="shared" si="165"/>
        <v>645.08655242999998</v>
      </c>
      <c r="M544" s="67">
        <f t="shared" si="163"/>
        <v>25887.603821429999</v>
      </c>
      <c r="N544" s="72"/>
      <c r="O544" s="663">
        <v>0.93490804699999996</v>
      </c>
    </row>
    <row r="545" spans="1:15" ht="69.75">
      <c r="A545" s="685">
        <v>8.1569999999999894</v>
      </c>
      <c r="B545" s="227" t="s">
        <v>2523</v>
      </c>
      <c r="C545" s="642" t="s">
        <v>2524</v>
      </c>
      <c r="D545" s="679"/>
      <c r="E545" s="680">
        <v>13</v>
      </c>
      <c r="F545" s="30" t="s">
        <v>349</v>
      </c>
      <c r="G545" s="675">
        <v>4500</v>
      </c>
      <c r="H545" s="30">
        <f t="shared" si="161"/>
        <v>4207.0862115</v>
      </c>
      <c r="I545" s="67">
        <f t="shared" si="164"/>
        <v>54692.120749499998</v>
      </c>
      <c r="J545" s="677">
        <v>115</v>
      </c>
      <c r="K545" s="25">
        <f t="shared" si="162"/>
        <v>107.514425405</v>
      </c>
      <c r="L545" s="25">
        <f t="shared" si="165"/>
        <v>1397.6875302650001</v>
      </c>
      <c r="M545" s="67">
        <f t="shared" si="163"/>
        <v>56089.808279764999</v>
      </c>
      <c r="N545" s="72"/>
      <c r="O545" s="663">
        <v>0.93490804699999996</v>
      </c>
    </row>
    <row r="546" spans="1:15" ht="69.75">
      <c r="A546" s="685">
        <v>8.1579999999999906</v>
      </c>
      <c r="B546" s="227" t="s">
        <v>2525</v>
      </c>
      <c r="C546" s="642" t="s">
        <v>2526</v>
      </c>
      <c r="D546" s="679"/>
      <c r="E546" s="680">
        <v>7</v>
      </c>
      <c r="F546" s="30" t="s">
        <v>349</v>
      </c>
      <c r="G546" s="675">
        <f>5200*0.75</f>
        <v>3900</v>
      </c>
      <c r="H546" s="30">
        <f t="shared" si="161"/>
        <v>3646.1413832999997</v>
      </c>
      <c r="I546" s="67">
        <f t="shared" si="164"/>
        <v>25522.989683099997</v>
      </c>
      <c r="J546" s="677">
        <v>115</v>
      </c>
      <c r="K546" s="25">
        <f t="shared" si="162"/>
        <v>107.514425405</v>
      </c>
      <c r="L546" s="25">
        <f t="shared" si="165"/>
        <v>752.60097783499998</v>
      </c>
      <c r="M546" s="67">
        <f t="shared" si="163"/>
        <v>26275.590660934999</v>
      </c>
      <c r="N546" s="72"/>
      <c r="O546" s="663">
        <v>0.93490804699999996</v>
      </c>
    </row>
    <row r="547" spans="1:15" ht="69.75">
      <c r="A547" s="685">
        <v>8.15899999999999</v>
      </c>
      <c r="B547" s="227" t="s">
        <v>2527</v>
      </c>
      <c r="C547" s="642" t="s">
        <v>2528</v>
      </c>
      <c r="D547" s="679"/>
      <c r="E547" s="680">
        <v>3</v>
      </c>
      <c r="F547" s="30" t="s">
        <v>349</v>
      </c>
      <c r="G547" s="675">
        <v>4200</v>
      </c>
      <c r="H547" s="30">
        <f t="shared" si="161"/>
        <v>3926.6137973999998</v>
      </c>
      <c r="I547" s="67">
        <f t="shared" si="164"/>
        <v>11779.8413922</v>
      </c>
      <c r="J547" s="677">
        <v>115</v>
      </c>
      <c r="K547" s="25">
        <f t="shared" si="162"/>
        <v>107.514425405</v>
      </c>
      <c r="L547" s="25">
        <f t="shared" si="165"/>
        <v>322.54327621499999</v>
      </c>
      <c r="M547" s="67">
        <f t="shared" si="163"/>
        <v>12102.384668414999</v>
      </c>
      <c r="N547" s="72"/>
      <c r="O547" s="663">
        <v>0.93490804699999996</v>
      </c>
    </row>
    <row r="548" spans="1:15" ht="69.75">
      <c r="A548" s="685">
        <v>8.1599999999999895</v>
      </c>
      <c r="B548" s="227" t="s">
        <v>2529</v>
      </c>
      <c r="C548" s="642" t="s">
        <v>2530</v>
      </c>
      <c r="D548" s="679"/>
      <c r="E548" s="680">
        <v>3</v>
      </c>
      <c r="F548" s="30" t="s">
        <v>349</v>
      </c>
      <c r="G548" s="675">
        <v>4200</v>
      </c>
      <c r="H548" s="30">
        <f t="shared" si="161"/>
        <v>3926.6137973999998</v>
      </c>
      <c r="I548" s="67">
        <f t="shared" si="164"/>
        <v>11779.8413922</v>
      </c>
      <c r="J548" s="677">
        <v>115</v>
      </c>
      <c r="K548" s="25">
        <f t="shared" si="162"/>
        <v>107.514425405</v>
      </c>
      <c r="L548" s="25">
        <f t="shared" si="165"/>
        <v>322.54327621499999</v>
      </c>
      <c r="M548" s="67">
        <f t="shared" si="163"/>
        <v>12102.384668414999</v>
      </c>
      <c r="N548" s="72"/>
      <c r="O548" s="663">
        <v>0.93490804699999996</v>
      </c>
    </row>
    <row r="549" spans="1:15" ht="69.75">
      <c r="A549" s="685">
        <v>8.1609999999999907</v>
      </c>
      <c r="B549" s="227" t="s">
        <v>2531</v>
      </c>
      <c r="C549" s="642" t="s">
        <v>2532</v>
      </c>
      <c r="D549" s="679"/>
      <c r="E549" s="680">
        <v>1</v>
      </c>
      <c r="F549" s="30" t="s">
        <v>349</v>
      </c>
      <c r="G549" s="675">
        <v>4200</v>
      </c>
      <c r="H549" s="30">
        <f t="shared" si="161"/>
        <v>3926.6137973999998</v>
      </c>
      <c r="I549" s="67">
        <f t="shared" si="164"/>
        <v>3926.6137973999998</v>
      </c>
      <c r="J549" s="677">
        <v>115</v>
      </c>
      <c r="K549" s="25">
        <f t="shared" si="162"/>
        <v>107.514425405</v>
      </c>
      <c r="L549" s="25">
        <f t="shared" si="165"/>
        <v>107.514425405</v>
      </c>
      <c r="M549" s="67">
        <f t="shared" si="163"/>
        <v>4034.128222805</v>
      </c>
      <c r="N549" s="72"/>
      <c r="O549" s="663">
        <v>0.93490804699999996</v>
      </c>
    </row>
    <row r="550" spans="1:15" ht="69.75">
      <c r="A550" s="685">
        <v>8.1619999999999902</v>
      </c>
      <c r="B550" s="227" t="s">
        <v>2533</v>
      </c>
      <c r="C550" s="642" t="s">
        <v>2534</v>
      </c>
      <c r="D550" s="679"/>
      <c r="E550" s="680">
        <v>1</v>
      </c>
      <c r="F550" s="30" t="s">
        <v>349</v>
      </c>
      <c r="G550" s="675">
        <v>4200</v>
      </c>
      <c r="H550" s="30">
        <f t="shared" si="161"/>
        <v>3926.6137973999998</v>
      </c>
      <c r="I550" s="67">
        <f t="shared" si="164"/>
        <v>3926.6137973999998</v>
      </c>
      <c r="J550" s="677">
        <v>115</v>
      </c>
      <c r="K550" s="25">
        <f t="shared" si="162"/>
        <v>107.514425405</v>
      </c>
      <c r="L550" s="25">
        <f t="shared" si="165"/>
        <v>107.514425405</v>
      </c>
      <c r="M550" s="67">
        <f t="shared" si="163"/>
        <v>4034.128222805</v>
      </c>
      <c r="N550" s="26"/>
      <c r="O550" s="663">
        <v>0.93490804699999996</v>
      </c>
    </row>
    <row r="551" spans="1:15" ht="69.75">
      <c r="A551" s="685">
        <v>8.1629999999999896</v>
      </c>
      <c r="B551" s="227" t="s">
        <v>2535</v>
      </c>
      <c r="C551" s="642" t="s">
        <v>2532</v>
      </c>
      <c r="D551" s="679"/>
      <c r="E551" s="680">
        <v>15</v>
      </c>
      <c r="F551" s="30" t="s">
        <v>349</v>
      </c>
      <c r="G551" s="675">
        <v>4200</v>
      </c>
      <c r="H551" s="30">
        <f t="shared" si="161"/>
        <v>3926.6137973999998</v>
      </c>
      <c r="I551" s="67">
        <f t="shared" si="164"/>
        <v>58899.206960999996</v>
      </c>
      <c r="J551" s="677">
        <v>115</v>
      </c>
      <c r="K551" s="25">
        <f t="shared" si="162"/>
        <v>107.514425405</v>
      </c>
      <c r="L551" s="25">
        <f t="shared" si="165"/>
        <v>1612.7163810749998</v>
      </c>
      <c r="M551" s="67">
        <f t="shared" si="163"/>
        <v>60511.923342074995</v>
      </c>
      <c r="N551" s="26"/>
      <c r="O551" s="663">
        <v>0.93490804699999996</v>
      </c>
    </row>
    <row r="552" spans="1:15" ht="69.75">
      <c r="A552" s="685">
        <v>8.1639999999999908</v>
      </c>
      <c r="B552" s="227" t="s">
        <v>2536</v>
      </c>
      <c r="C552" s="642" t="s">
        <v>2537</v>
      </c>
      <c r="D552" s="679"/>
      <c r="E552" s="680">
        <v>4</v>
      </c>
      <c r="F552" s="30" t="s">
        <v>349</v>
      </c>
      <c r="G552" s="675">
        <v>3825</v>
      </c>
      <c r="H552" s="30">
        <f t="shared" si="161"/>
        <v>3576.023279775</v>
      </c>
      <c r="I552" s="67">
        <f t="shared" si="164"/>
        <v>14304.0931191</v>
      </c>
      <c r="J552" s="677">
        <v>115</v>
      </c>
      <c r="K552" s="25">
        <f t="shared" si="162"/>
        <v>107.514425405</v>
      </c>
      <c r="L552" s="25">
        <f t="shared" si="165"/>
        <v>430.05770161999999</v>
      </c>
      <c r="M552" s="67">
        <f t="shared" si="163"/>
        <v>14734.15082072</v>
      </c>
      <c r="N552" s="26"/>
      <c r="O552" s="663">
        <v>0.93490804699999996</v>
      </c>
    </row>
    <row r="553" spans="1:15" ht="69" customHeight="1">
      <c r="A553" s="685">
        <v>8.1649999999999796</v>
      </c>
      <c r="B553" s="227" t="s">
        <v>2538</v>
      </c>
      <c r="C553" s="642" t="s">
        <v>2539</v>
      </c>
      <c r="D553" s="679"/>
      <c r="E553" s="680">
        <v>10</v>
      </c>
      <c r="F553" s="30" t="s">
        <v>349</v>
      </c>
      <c r="G553" s="675">
        <v>5175</v>
      </c>
      <c r="H553" s="30">
        <f t="shared" si="161"/>
        <v>4838.1491432249995</v>
      </c>
      <c r="I553" s="67">
        <f t="shared" si="164"/>
        <v>48381.491432249997</v>
      </c>
      <c r="J553" s="677">
        <v>115</v>
      </c>
      <c r="K553" s="25">
        <f t="shared" si="162"/>
        <v>107.514425405</v>
      </c>
      <c r="L553" s="25">
        <f t="shared" si="165"/>
        <v>1075.14425405</v>
      </c>
      <c r="M553" s="67">
        <f t="shared" si="163"/>
        <v>49456.635686299996</v>
      </c>
      <c r="N553" s="26"/>
      <c r="O553" s="663">
        <v>0.93490804699999996</v>
      </c>
    </row>
    <row r="554" spans="1:15" ht="69.75">
      <c r="A554" s="685">
        <v>8.1659999999999808</v>
      </c>
      <c r="B554" s="227" t="s">
        <v>2540</v>
      </c>
      <c r="C554" s="642" t="s">
        <v>2541</v>
      </c>
      <c r="D554" s="679"/>
      <c r="E554" s="680">
        <v>16</v>
      </c>
      <c r="F554" s="30" t="s">
        <v>349</v>
      </c>
      <c r="G554" s="675">
        <v>4275</v>
      </c>
      <c r="H554" s="30">
        <f t="shared" si="161"/>
        <v>3996.731900925</v>
      </c>
      <c r="I554" s="67">
        <f t="shared" si="164"/>
        <v>63947.7104148</v>
      </c>
      <c r="J554" s="677">
        <v>115</v>
      </c>
      <c r="K554" s="25">
        <f t="shared" si="162"/>
        <v>107.514425405</v>
      </c>
      <c r="L554" s="25">
        <f t="shared" si="165"/>
        <v>1720.23080648</v>
      </c>
      <c r="M554" s="67">
        <f t="shared" si="163"/>
        <v>65667.941221279994</v>
      </c>
      <c r="N554" s="72"/>
      <c r="O554" s="663">
        <v>0.93490804699999996</v>
      </c>
    </row>
    <row r="555" spans="1:15" ht="69.75">
      <c r="A555" s="685">
        <v>8.1669999999999803</v>
      </c>
      <c r="B555" s="227" t="s">
        <v>2542</v>
      </c>
      <c r="C555" s="642" t="s">
        <v>2543</v>
      </c>
      <c r="D555" s="679"/>
      <c r="E555" s="680">
        <v>5</v>
      </c>
      <c r="F555" s="30" t="s">
        <v>349</v>
      </c>
      <c r="G555" s="675">
        <v>2300</v>
      </c>
      <c r="H555" s="30">
        <f t="shared" si="161"/>
        <v>2150.2885080999999</v>
      </c>
      <c r="I555" s="67">
        <f t="shared" si="164"/>
        <v>10751.4425405</v>
      </c>
      <c r="J555" s="677">
        <v>115</v>
      </c>
      <c r="K555" s="25">
        <f t="shared" si="162"/>
        <v>107.514425405</v>
      </c>
      <c r="L555" s="25">
        <f t="shared" si="165"/>
        <v>537.57212702499999</v>
      </c>
      <c r="M555" s="67">
        <f t="shared" si="163"/>
        <v>11289.014667525</v>
      </c>
      <c r="N555" s="72"/>
      <c r="O555" s="663">
        <v>0.93490804699999996</v>
      </c>
    </row>
    <row r="556" spans="1:15" ht="69.75">
      <c r="A556" s="685">
        <v>8.1679999999999797</v>
      </c>
      <c r="B556" s="227" t="s">
        <v>2544</v>
      </c>
      <c r="C556" s="642" t="s">
        <v>2545</v>
      </c>
      <c r="D556" s="679"/>
      <c r="E556" s="680">
        <v>9</v>
      </c>
      <c r="F556" s="30" t="s">
        <v>349</v>
      </c>
      <c r="G556" s="675">
        <v>1100</v>
      </c>
      <c r="H556" s="30">
        <f t="shared" si="161"/>
        <v>1028.3988517</v>
      </c>
      <c r="I556" s="67">
        <f t="shared" si="164"/>
        <v>9255.5896653</v>
      </c>
      <c r="J556" s="677">
        <v>115</v>
      </c>
      <c r="K556" s="25">
        <f t="shared" si="162"/>
        <v>107.514425405</v>
      </c>
      <c r="L556" s="25">
        <f t="shared" si="165"/>
        <v>967.62982864499998</v>
      </c>
      <c r="M556" s="67">
        <f t="shared" si="163"/>
        <v>10223.219493945</v>
      </c>
      <c r="N556" s="72"/>
      <c r="O556" s="663">
        <v>0.93490804699999996</v>
      </c>
    </row>
    <row r="557" spans="1:15" ht="69.75">
      <c r="A557" s="685">
        <v>8.1689999999999792</v>
      </c>
      <c r="B557" s="227" t="s">
        <v>2546</v>
      </c>
      <c r="C557" s="642" t="s">
        <v>2547</v>
      </c>
      <c r="D557" s="679"/>
      <c r="E557" s="680">
        <v>10</v>
      </c>
      <c r="F557" s="30" t="s">
        <v>349</v>
      </c>
      <c r="G557" s="675">
        <v>1100</v>
      </c>
      <c r="H557" s="30">
        <f t="shared" si="161"/>
        <v>1028.3988517</v>
      </c>
      <c r="I557" s="67">
        <f t="shared" si="164"/>
        <v>10283.988517</v>
      </c>
      <c r="J557" s="677">
        <v>115</v>
      </c>
      <c r="K557" s="25">
        <f t="shared" si="162"/>
        <v>107.514425405</v>
      </c>
      <c r="L557" s="25">
        <f t="shared" si="165"/>
        <v>1075.14425405</v>
      </c>
      <c r="M557" s="67">
        <f t="shared" si="163"/>
        <v>11359.132771049999</v>
      </c>
      <c r="N557" s="72"/>
      <c r="O557" s="663">
        <v>0.93490804699999996</v>
      </c>
    </row>
    <row r="558" spans="1:15" ht="69.75">
      <c r="A558" s="685">
        <v>8.1699999999999804</v>
      </c>
      <c r="B558" s="227" t="s">
        <v>2548</v>
      </c>
      <c r="C558" s="642" t="s">
        <v>2549</v>
      </c>
      <c r="D558" s="679"/>
      <c r="E558" s="680">
        <v>0</v>
      </c>
      <c r="F558" s="30" t="s">
        <v>349</v>
      </c>
      <c r="G558" s="675">
        <v>1100</v>
      </c>
      <c r="H558" s="30">
        <f t="shared" si="161"/>
        <v>1028.3988517</v>
      </c>
      <c r="I558" s="67">
        <f t="shared" si="164"/>
        <v>0</v>
      </c>
      <c r="J558" s="677">
        <v>115</v>
      </c>
      <c r="K558" s="25">
        <f t="shared" si="162"/>
        <v>107.514425405</v>
      </c>
      <c r="L558" s="25">
        <f t="shared" si="165"/>
        <v>0</v>
      </c>
      <c r="M558" s="67">
        <f t="shared" si="163"/>
        <v>0</v>
      </c>
      <c r="N558" s="72"/>
      <c r="O558" s="663">
        <v>0.93490804699999996</v>
      </c>
    </row>
    <row r="559" spans="1:15" ht="46.5">
      <c r="A559" s="685">
        <v>8.1709999999999798</v>
      </c>
      <c r="B559" s="227" t="s">
        <v>2550</v>
      </c>
      <c r="C559" s="642" t="s">
        <v>2551</v>
      </c>
      <c r="D559" s="679"/>
      <c r="E559" s="680">
        <v>70</v>
      </c>
      <c r="F559" s="30" t="s">
        <v>349</v>
      </c>
      <c r="G559" s="675">
        <v>350</v>
      </c>
      <c r="H559" s="30">
        <f t="shared" si="161"/>
        <v>327.21781644999999</v>
      </c>
      <c r="I559" s="67">
        <f t="shared" si="164"/>
        <v>22905.2471515</v>
      </c>
      <c r="J559" s="677">
        <v>115</v>
      </c>
      <c r="K559" s="25">
        <f t="shared" si="162"/>
        <v>107.514425405</v>
      </c>
      <c r="L559" s="25">
        <f t="shared" si="165"/>
        <v>7526.0097783499996</v>
      </c>
      <c r="M559" s="67">
        <f t="shared" si="163"/>
        <v>30431.256929849998</v>
      </c>
      <c r="N559" s="72"/>
      <c r="O559" s="663">
        <v>0.93490804699999996</v>
      </c>
    </row>
    <row r="560" spans="1:15" ht="46.5">
      <c r="A560" s="685">
        <v>8.1719999999999793</v>
      </c>
      <c r="B560" s="227" t="s">
        <v>2346</v>
      </c>
      <c r="C560" s="686" t="s">
        <v>2500</v>
      </c>
      <c r="D560" s="49"/>
      <c r="E560" s="104">
        <v>23</v>
      </c>
      <c r="F560" s="30" t="s">
        <v>349</v>
      </c>
      <c r="G560" s="67">
        <f>1080*0.9</f>
        <v>972</v>
      </c>
      <c r="H560" s="30">
        <f t="shared" si="161"/>
        <v>908.73062168399997</v>
      </c>
      <c r="I560" s="67">
        <f t="shared" si="164"/>
        <v>20900.804298732</v>
      </c>
      <c r="J560" s="677">
        <v>115</v>
      </c>
      <c r="K560" s="25">
        <f t="shared" si="162"/>
        <v>107.514425405</v>
      </c>
      <c r="L560" s="25">
        <f t="shared" si="165"/>
        <v>2472.8317843149998</v>
      </c>
      <c r="M560" s="67">
        <f t="shared" si="163"/>
        <v>23373.636083047</v>
      </c>
      <c r="N560" s="26"/>
      <c r="O560" s="663">
        <v>0.93490804699999996</v>
      </c>
    </row>
    <row r="561" spans="1:15" ht="69.75">
      <c r="A561" s="685">
        <v>8.1729999999999805</v>
      </c>
      <c r="B561" s="27" t="s">
        <v>2552</v>
      </c>
      <c r="C561" s="687" t="s">
        <v>2504</v>
      </c>
      <c r="D561" s="24"/>
      <c r="E561" s="104">
        <v>80.7</v>
      </c>
      <c r="F561" s="26" t="s">
        <v>286</v>
      </c>
      <c r="G561" s="67">
        <v>1645</v>
      </c>
      <c r="H561" s="30">
        <f t="shared" si="161"/>
        <v>1537.9237373149999</v>
      </c>
      <c r="I561" s="67">
        <f t="shared" si="164"/>
        <v>124110.44560132051</v>
      </c>
      <c r="J561" s="677">
        <v>115</v>
      </c>
      <c r="K561" s="25">
        <f t="shared" si="162"/>
        <v>107.514425405</v>
      </c>
      <c r="L561" s="25">
        <f t="shared" si="165"/>
        <v>8676.4141301835007</v>
      </c>
      <c r="M561" s="67">
        <f t="shared" si="163"/>
        <v>132786.859731504</v>
      </c>
      <c r="N561" s="26"/>
      <c r="O561" s="663">
        <v>0.93490804699999996</v>
      </c>
    </row>
    <row r="562" spans="1:15" ht="23.25">
      <c r="A562" s="685">
        <v>8.1739999999999799</v>
      </c>
      <c r="B562" s="27" t="s">
        <v>2553</v>
      </c>
      <c r="C562" s="1351" t="s">
        <v>2554</v>
      </c>
      <c r="D562" s="1352"/>
      <c r="E562" s="104">
        <v>14</v>
      </c>
      <c r="F562" s="26" t="s">
        <v>286</v>
      </c>
      <c r="G562" s="67">
        <v>2175</v>
      </c>
      <c r="H562" s="30">
        <f t="shared" si="161"/>
        <v>2033.4250022249998</v>
      </c>
      <c r="I562" s="67">
        <f t="shared" si="164"/>
        <v>28467.950031149998</v>
      </c>
      <c r="J562" s="677">
        <v>115</v>
      </c>
      <c r="K562" s="25">
        <f t="shared" si="162"/>
        <v>107.514425405</v>
      </c>
      <c r="L562" s="25">
        <f t="shared" si="165"/>
        <v>1505.20195567</v>
      </c>
      <c r="M562" s="67">
        <f t="shared" si="163"/>
        <v>29973.151986819998</v>
      </c>
      <c r="N562" s="26"/>
      <c r="O562" s="663">
        <v>0.93490804699999996</v>
      </c>
    </row>
    <row r="563" spans="1:15" ht="46.5">
      <c r="A563" s="685">
        <v>8.1749999999999794</v>
      </c>
      <c r="B563" s="27" t="s">
        <v>2555</v>
      </c>
      <c r="C563" s="687" t="s">
        <v>2556</v>
      </c>
      <c r="D563" s="24"/>
      <c r="E563" s="104">
        <v>32.5</v>
      </c>
      <c r="F563" s="26" t="s">
        <v>286</v>
      </c>
      <c r="G563" s="67">
        <v>6876.48</v>
      </c>
      <c r="H563" s="30">
        <f t="shared" si="161"/>
        <v>6428.8764870345594</v>
      </c>
      <c r="I563" s="67">
        <f t="shared" si="164"/>
        <v>208938.48582862318</v>
      </c>
      <c r="J563" s="677">
        <v>115</v>
      </c>
      <c r="K563" s="25">
        <f t="shared" si="162"/>
        <v>107.514425405</v>
      </c>
      <c r="L563" s="25">
        <f t="shared" si="165"/>
        <v>3494.2188256625</v>
      </c>
      <c r="M563" s="67">
        <f t="shared" si="163"/>
        <v>212432.70465428568</v>
      </c>
      <c r="N563" s="26"/>
      <c r="O563" s="663">
        <v>0.93490804699999996</v>
      </c>
    </row>
    <row r="564" spans="1:15" ht="69.75">
      <c r="A564" s="685">
        <v>8.1759999999999806</v>
      </c>
      <c r="B564" s="27" t="s">
        <v>2557</v>
      </c>
      <c r="C564" s="687" t="s">
        <v>2558</v>
      </c>
      <c r="D564" s="24"/>
      <c r="E564" s="104">
        <v>58</v>
      </c>
      <c r="F564" s="26" t="s">
        <v>286</v>
      </c>
      <c r="G564" s="67">
        <v>1744</v>
      </c>
      <c r="H564" s="30">
        <f t="shared" si="161"/>
        <v>1630.4796339679999</v>
      </c>
      <c r="I564" s="67">
        <f t="shared" si="164"/>
        <v>94567.818770143989</v>
      </c>
      <c r="J564" s="677">
        <v>115</v>
      </c>
      <c r="K564" s="25">
        <f t="shared" si="162"/>
        <v>107.514425405</v>
      </c>
      <c r="L564" s="25">
        <f t="shared" si="165"/>
        <v>6235.8366734900001</v>
      </c>
      <c r="M564" s="67">
        <f t="shared" si="163"/>
        <v>100803.65544363399</v>
      </c>
      <c r="N564" s="26"/>
      <c r="O564" s="663">
        <v>0.93490804699999996</v>
      </c>
    </row>
    <row r="565" spans="1:15" ht="23.25">
      <c r="A565" s="685">
        <v>8.1769999999999801</v>
      </c>
      <c r="B565" s="27" t="s">
        <v>2559</v>
      </c>
      <c r="C565" s="1351" t="s">
        <v>2516</v>
      </c>
      <c r="D565" s="1352"/>
      <c r="E565" s="104">
        <v>28</v>
      </c>
      <c r="F565" s="26" t="s">
        <v>286</v>
      </c>
      <c r="G565" s="67">
        <v>1318</v>
      </c>
      <c r="H565" s="30">
        <f t="shared" si="161"/>
        <v>1232.208805946</v>
      </c>
      <c r="I565" s="67">
        <f t="shared" si="164"/>
        <v>34501.846566487999</v>
      </c>
      <c r="J565" s="677">
        <v>115</v>
      </c>
      <c r="K565" s="25">
        <f t="shared" si="162"/>
        <v>107.514425405</v>
      </c>
      <c r="L565" s="25">
        <f t="shared" si="165"/>
        <v>3010.4039113399999</v>
      </c>
      <c r="M565" s="67">
        <f t="shared" si="163"/>
        <v>37512.250477827998</v>
      </c>
      <c r="N565" s="26"/>
      <c r="O565" s="663">
        <v>0.93490804699999996</v>
      </c>
    </row>
    <row r="566" spans="1:15" ht="46.5">
      <c r="A566" s="685">
        <v>8.1779999999999795</v>
      </c>
      <c r="B566" s="27" t="s">
        <v>2560</v>
      </c>
      <c r="C566" s="687" t="s">
        <v>2561</v>
      </c>
      <c r="D566" s="24"/>
      <c r="E566" s="104">
        <v>94</v>
      </c>
      <c r="F566" s="30" t="s">
        <v>349</v>
      </c>
      <c r="G566" s="67">
        <f>8800*0.75</f>
        <v>6600</v>
      </c>
      <c r="H566" s="30">
        <f t="shared" si="161"/>
        <v>6170.3931101999997</v>
      </c>
      <c r="I566" s="67">
        <f t="shared" si="164"/>
        <v>580016.95235879999</v>
      </c>
      <c r="J566" s="677">
        <v>115</v>
      </c>
      <c r="K566" s="25">
        <f t="shared" si="162"/>
        <v>107.514425405</v>
      </c>
      <c r="L566" s="25">
        <f t="shared" si="165"/>
        <v>10106.35598807</v>
      </c>
      <c r="M566" s="67">
        <f t="shared" si="163"/>
        <v>590123.30834687001</v>
      </c>
      <c r="N566" s="26"/>
      <c r="O566" s="663">
        <v>0.93490804699999996</v>
      </c>
    </row>
    <row r="567" spans="1:15" ht="46.5">
      <c r="A567" s="685">
        <v>8.1789999999999807</v>
      </c>
      <c r="B567" s="27" t="s">
        <v>2562</v>
      </c>
      <c r="C567" s="687" t="s">
        <v>2563</v>
      </c>
      <c r="D567" s="24"/>
      <c r="E567" s="104">
        <v>90</v>
      </c>
      <c r="F567" s="30" t="s">
        <v>349</v>
      </c>
      <c r="G567" s="67">
        <v>7350</v>
      </c>
      <c r="H567" s="30">
        <f t="shared" si="161"/>
        <v>6871.5741454499994</v>
      </c>
      <c r="I567" s="67">
        <f t="shared" si="164"/>
        <v>618441.67309049994</v>
      </c>
      <c r="J567" s="677">
        <v>115</v>
      </c>
      <c r="K567" s="25">
        <f t="shared" si="162"/>
        <v>107.514425405</v>
      </c>
      <c r="L567" s="25">
        <f t="shared" si="165"/>
        <v>9676.2982864499991</v>
      </c>
      <c r="M567" s="67">
        <f t="shared" si="163"/>
        <v>628117.97137694992</v>
      </c>
      <c r="N567" s="26"/>
      <c r="O567" s="663">
        <v>0.93490804699999996</v>
      </c>
    </row>
    <row r="568" spans="1:15" ht="46.5">
      <c r="A568" s="685">
        <v>8.1799999999999802</v>
      </c>
      <c r="B568" s="27" t="s">
        <v>2564</v>
      </c>
      <c r="C568" s="687" t="s">
        <v>2565</v>
      </c>
      <c r="D568" s="24"/>
      <c r="E568" s="104">
        <v>0</v>
      </c>
      <c r="F568" s="26" t="s">
        <v>286</v>
      </c>
      <c r="G568" s="67">
        <f>75400*0.75</f>
        <v>56550</v>
      </c>
      <c r="H568" s="30">
        <f t="shared" si="161"/>
        <v>52869.05005785</v>
      </c>
      <c r="I568" s="67">
        <f t="shared" si="164"/>
        <v>0</v>
      </c>
      <c r="J568" s="677">
        <v>115</v>
      </c>
      <c r="K568" s="25">
        <f t="shared" si="162"/>
        <v>107.514425405</v>
      </c>
      <c r="L568" s="25">
        <f t="shared" si="165"/>
        <v>0</v>
      </c>
      <c r="M568" s="67">
        <f t="shared" si="163"/>
        <v>0</v>
      </c>
      <c r="N568" s="26"/>
      <c r="O568" s="663">
        <v>0.93490804699999996</v>
      </c>
    </row>
    <row r="569" spans="1:15" ht="20.100000000000001" customHeight="1">
      <c r="A569" s="685"/>
      <c r="B569" s="685"/>
      <c r="C569" s="355"/>
      <c r="D569" s="24"/>
      <c r="E569" s="104"/>
      <c r="F569" s="26"/>
      <c r="G569" s="67"/>
      <c r="H569" s="683"/>
      <c r="I569" s="67"/>
      <c r="J569" s="677"/>
      <c r="K569" s="25"/>
      <c r="L569" s="25"/>
      <c r="M569" s="67"/>
      <c r="N569" s="26"/>
      <c r="O569" s="663">
        <v>0.93490804699999996</v>
      </c>
    </row>
    <row r="570" spans="1:15" ht="20.100000000000001" customHeight="1">
      <c r="A570" s="649"/>
      <c r="B570" s="649" t="s">
        <v>2566</v>
      </c>
      <c r="C570" s="673"/>
      <c r="D570" s="679"/>
      <c r="E570" s="680"/>
      <c r="F570" s="30"/>
      <c r="G570" s="675"/>
      <c r="H570" s="684"/>
      <c r="I570" s="67"/>
      <c r="J570" s="677"/>
      <c r="K570" s="25"/>
      <c r="L570" s="25"/>
      <c r="M570" s="67"/>
      <c r="N570" s="72"/>
      <c r="O570" s="663">
        <v>0.93490804699999996</v>
      </c>
    </row>
    <row r="571" spans="1:15" ht="46.5">
      <c r="A571" s="685">
        <v>8.1809999999999992</v>
      </c>
      <c r="B571" s="227" t="s">
        <v>2555</v>
      </c>
      <c r="C571" s="642" t="s">
        <v>2567</v>
      </c>
      <c r="D571" s="679"/>
      <c r="E571" s="680">
        <v>0</v>
      </c>
      <c r="F571" s="30" t="s">
        <v>349</v>
      </c>
      <c r="G571" s="675">
        <v>1850</v>
      </c>
      <c r="H571" s="30">
        <f t="shared" ref="H571:H633" si="166">G571*O571</f>
        <v>1729.5798869499999</v>
      </c>
      <c r="I571" s="67">
        <f t="shared" si="164"/>
        <v>0</v>
      </c>
      <c r="J571" s="677">
        <v>115</v>
      </c>
      <c r="K571" s="25">
        <f t="shared" si="162"/>
        <v>107.514425405</v>
      </c>
      <c r="L571" s="25">
        <f t="shared" si="165"/>
        <v>0</v>
      </c>
      <c r="M571" s="67">
        <f t="shared" ref="M571:M609" si="167">I571+L571</f>
        <v>0</v>
      </c>
      <c r="N571" s="72"/>
      <c r="O571" s="663">
        <v>0.93490804699999996</v>
      </c>
    </row>
    <row r="572" spans="1:15" ht="46.5">
      <c r="A572" s="685">
        <v>8.1820000000000004</v>
      </c>
      <c r="B572" s="227" t="s">
        <v>2557</v>
      </c>
      <c r="C572" s="642" t="s">
        <v>2568</v>
      </c>
      <c r="D572" s="679"/>
      <c r="E572" s="680">
        <v>0</v>
      </c>
      <c r="F572" s="30" t="s">
        <v>349</v>
      </c>
      <c r="G572" s="675">
        <v>1850</v>
      </c>
      <c r="H572" s="30">
        <f t="shared" si="166"/>
        <v>1729.5798869499999</v>
      </c>
      <c r="I572" s="67">
        <f t="shared" si="164"/>
        <v>0</v>
      </c>
      <c r="J572" s="677">
        <v>115</v>
      </c>
      <c r="K572" s="25">
        <f t="shared" si="162"/>
        <v>107.514425405</v>
      </c>
      <c r="L572" s="25">
        <f t="shared" si="165"/>
        <v>0</v>
      </c>
      <c r="M572" s="67">
        <f t="shared" si="167"/>
        <v>0</v>
      </c>
      <c r="N572" s="72"/>
      <c r="O572" s="663">
        <v>0.93490804699999996</v>
      </c>
    </row>
    <row r="573" spans="1:15" ht="46.5">
      <c r="A573" s="685">
        <v>8.1829999999999998</v>
      </c>
      <c r="B573" s="227" t="s">
        <v>2559</v>
      </c>
      <c r="C573" s="642" t="s">
        <v>2569</v>
      </c>
      <c r="D573" s="679"/>
      <c r="E573" s="680">
        <v>0</v>
      </c>
      <c r="F573" s="30" t="s">
        <v>349</v>
      </c>
      <c r="G573" s="675">
        <v>1850</v>
      </c>
      <c r="H573" s="30">
        <f t="shared" si="166"/>
        <v>1729.5798869499999</v>
      </c>
      <c r="I573" s="67">
        <f t="shared" si="164"/>
        <v>0</v>
      </c>
      <c r="J573" s="677">
        <v>115</v>
      </c>
      <c r="K573" s="25">
        <f t="shared" si="162"/>
        <v>107.514425405</v>
      </c>
      <c r="L573" s="25">
        <f t="shared" si="165"/>
        <v>0</v>
      </c>
      <c r="M573" s="67">
        <f t="shared" si="167"/>
        <v>0</v>
      </c>
      <c r="N573" s="72"/>
      <c r="O573" s="663">
        <v>0.93490804699999996</v>
      </c>
    </row>
    <row r="574" spans="1:15" ht="23.25">
      <c r="A574" s="685">
        <v>8.1839999999999993</v>
      </c>
      <c r="B574" s="227" t="s">
        <v>2570</v>
      </c>
      <c r="C574" s="1349" t="s">
        <v>2571</v>
      </c>
      <c r="D574" s="1350"/>
      <c r="E574" s="680">
        <v>32</v>
      </c>
      <c r="F574" s="30" t="s">
        <v>349</v>
      </c>
      <c r="G574" s="675">
        <v>2475</v>
      </c>
      <c r="H574" s="30">
        <f t="shared" si="166"/>
        <v>2313.897416325</v>
      </c>
      <c r="I574" s="67">
        <f t="shared" si="164"/>
        <v>74044.7173224</v>
      </c>
      <c r="J574" s="677">
        <v>115</v>
      </c>
      <c r="K574" s="25">
        <f t="shared" si="162"/>
        <v>107.514425405</v>
      </c>
      <c r="L574" s="25">
        <f t="shared" si="165"/>
        <v>3440.4616129599999</v>
      </c>
      <c r="M574" s="67">
        <f t="shared" si="167"/>
        <v>77485.178935360003</v>
      </c>
      <c r="N574" s="72"/>
      <c r="O574" s="663">
        <v>0.93490804699999996</v>
      </c>
    </row>
    <row r="575" spans="1:15" ht="23.25">
      <c r="A575" s="685">
        <v>8.1850000000000005</v>
      </c>
      <c r="B575" s="227" t="s">
        <v>2572</v>
      </c>
      <c r="C575" s="1349" t="s">
        <v>2573</v>
      </c>
      <c r="D575" s="1350"/>
      <c r="E575" s="680">
        <v>19</v>
      </c>
      <c r="F575" s="30" t="s">
        <v>349</v>
      </c>
      <c r="G575" s="675">
        <v>3000</v>
      </c>
      <c r="H575" s="30">
        <f t="shared" si="166"/>
        <v>2804.7241409999997</v>
      </c>
      <c r="I575" s="67">
        <f t="shared" si="164"/>
        <v>53289.758678999991</v>
      </c>
      <c r="J575" s="677">
        <v>115</v>
      </c>
      <c r="K575" s="25">
        <f t="shared" si="162"/>
        <v>107.514425405</v>
      </c>
      <c r="L575" s="25">
        <f t="shared" si="165"/>
        <v>2042.7740826949998</v>
      </c>
      <c r="M575" s="67">
        <f t="shared" si="167"/>
        <v>55332.532761694994</v>
      </c>
      <c r="N575" s="72"/>
      <c r="O575" s="663">
        <v>0.93490804699999996</v>
      </c>
    </row>
    <row r="576" spans="1:15" ht="23.25">
      <c r="A576" s="685">
        <v>8.1860000000000106</v>
      </c>
      <c r="B576" s="227" t="s">
        <v>2574</v>
      </c>
      <c r="C576" s="1349" t="s">
        <v>2571</v>
      </c>
      <c r="D576" s="1350"/>
      <c r="E576" s="680">
        <v>11</v>
      </c>
      <c r="F576" s="30" t="s">
        <v>349</v>
      </c>
      <c r="G576" s="675">
        <v>2475</v>
      </c>
      <c r="H576" s="30">
        <f t="shared" si="166"/>
        <v>2313.897416325</v>
      </c>
      <c r="I576" s="67">
        <f t="shared" si="164"/>
        <v>25452.871579574999</v>
      </c>
      <c r="J576" s="677">
        <v>115</v>
      </c>
      <c r="K576" s="25">
        <f t="shared" si="162"/>
        <v>107.514425405</v>
      </c>
      <c r="L576" s="25">
        <f t="shared" si="165"/>
        <v>1182.6586794549999</v>
      </c>
      <c r="M576" s="67">
        <f t="shared" si="167"/>
        <v>26635.530259029998</v>
      </c>
      <c r="N576" s="72"/>
      <c r="O576" s="663">
        <v>0.93490804699999996</v>
      </c>
    </row>
    <row r="577" spans="1:15" ht="23.25">
      <c r="A577" s="685">
        <v>8.18700000000001</v>
      </c>
      <c r="B577" s="227" t="s">
        <v>2575</v>
      </c>
      <c r="C577" s="1349" t="s">
        <v>2576</v>
      </c>
      <c r="D577" s="1350"/>
      <c r="E577" s="680">
        <v>12</v>
      </c>
      <c r="F577" s="30" t="s">
        <v>349</v>
      </c>
      <c r="G577" s="675">
        <v>1100</v>
      </c>
      <c r="H577" s="30">
        <f t="shared" si="166"/>
        <v>1028.3988517</v>
      </c>
      <c r="I577" s="67">
        <f t="shared" si="164"/>
        <v>12340.786220400001</v>
      </c>
      <c r="J577" s="677">
        <v>115</v>
      </c>
      <c r="K577" s="25">
        <f t="shared" si="162"/>
        <v>107.514425405</v>
      </c>
      <c r="L577" s="25">
        <f t="shared" si="165"/>
        <v>1290.17310486</v>
      </c>
      <c r="M577" s="67">
        <f t="shared" si="167"/>
        <v>13630.959325260001</v>
      </c>
      <c r="N577" s="26"/>
      <c r="O577" s="663">
        <v>0.93490804699999996</v>
      </c>
    </row>
    <row r="578" spans="1:15" ht="23.25">
      <c r="A578" s="685">
        <v>8.1880000000000095</v>
      </c>
      <c r="B578" s="227" t="s">
        <v>2577</v>
      </c>
      <c r="C578" s="1349" t="s">
        <v>2578</v>
      </c>
      <c r="D578" s="1350"/>
      <c r="E578" s="680">
        <v>18</v>
      </c>
      <c r="F578" s="30" t="s">
        <v>349</v>
      </c>
      <c r="G578" s="675">
        <v>4275</v>
      </c>
      <c r="H578" s="30">
        <f t="shared" si="166"/>
        <v>3996.731900925</v>
      </c>
      <c r="I578" s="67">
        <f t="shared" si="164"/>
        <v>71941.174216650004</v>
      </c>
      <c r="J578" s="677">
        <v>115</v>
      </c>
      <c r="K578" s="25">
        <f t="shared" ref="K578:K608" si="168">J578*O578</f>
        <v>107.514425405</v>
      </c>
      <c r="L578" s="25">
        <f t="shared" si="165"/>
        <v>1935.25965729</v>
      </c>
      <c r="M578" s="67">
        <f t="shared" si="167"/>
        <v>73876.433873939997</v>
      </c>
      <c r="N578" s="26"/>
      <c r="O578" s="663">
        <v>0.93490804699999996</v>
      </c>
    </row>
    <row r="579" spans="1:15" ht="46.5">
      <c r="A579" s="685">
        <v>8.1890000000000107</v>
      </c>
      <c r="B579" s="227" t="s">
        <v>2579</v>
      </c>
      <c r="C579" s="642" t="s">
        <v>2580</v>
      </c>
      <c r="D579" s="679"/>
      <c r="E579" s="680">
        <v>56</v>
      </c>
      <c r="F579" s="30" t="s">
        <v>349</v>
      </c>
      <c r="G579" s="675">
        <v>3000</v>
      </c>
      <c r="H579" s="30">
        <f t="shared" si="166"/>
        <v>2804.7241409999997</v>
      </c>
      <c r="I579" s="67">
        <f t="shared" si="164"/>
        <v>157064.55189599999</v>
      </c>
      <c r="J579" s="677">
        <v>115</v>
      </c>
      <c r="K579" s="25">
        <f t="shared" si="168"/>
        <v>107.514425405</v>
      </c>
      <c r="L579" s="25">
        <f t="shared" si="165"/>
        <v>6020.8078226799998</v>
      </c>
      <c r="M579" s="67">
        <f t="shared" si="167"/>
        <v>163085.35971868</v>
      </c>
      <c r="N579" s="26"/>
      <c r="O579" s="663">
        <v>0.93490804699999996</v>
      </c>
    </row>
    <row r="580" spans="1:15" ht="69.75">
      <c r="A580" s="685">
        <v>8.1900000000000102</v>
      </c>
      <c r="B580" s="227" t="s">
        <v>2581</v>
      </c>
      <c r="C580" s="642" t="s">
        <v>2582</v>
      </c>
      <c r="D580" s="679"/>
      <c r="E580" s="680">
        <v>3</v>
      </c>
      <c r="F580" s="30" t="s">
        <v>349</v>
      </c>
      <c r="G580" s="675">
        <f>4200*0.75</f>
        <v>3150</v>
      </c>
      <c r="H580" s="30">
        <f t="shared" si="166"/>
        <v>2944.96034805</v>
      </c>
      <c r="I580" s="67">
        <f t="shared" ref="I580:I609" si="169">E580*H580</f>
        <v>8834.8810441499991</v>
      </c>
      <c r="J580" s="677">
        <v>115</v>
      </c>
      <c r="K580" s="25">
        <f t="shared" si="168"/>
        <v>107.514425405</v>
      </c>
      <c r="L580" s="25">
        <f t="shared" si="165"/>
        <v>322.54327621499999</v>
      </c>
      <c r="M580" s="67">
        <f t="shared" si="167"/>
        <v>9157.4243203649985</v>
      </c>
      <c r="N580" s="26"/>
      <c r="O580" s="663">
        <v>0.93490804699999996</v>
      </c>
    </row>
    <row r="581" spans="1:15" ht="46.5">
      <c r="A581" s="685">
        <v>8.1910000000000096</v>
      </c>
      <c r="B581" s="227" t="s">
        <v>2583</v>
      </c>
      <c r="C581" s="642" t="s">
        <v>2584</v>
      </c>
      <c r="D581" s="679"/>
      <c r="E581" s="680">
        <v>348</v>
      </c>
      <c r="F581" s="30" t="s">
        <v>349</v>
      </c>
      <c r="G581" s="675">
        <v>5550</v>
      </c>
      <c r="H581" s="30">
        <f t="shared" si="166"/>
        <v>5188.7396608499994</v>
      </c>
      <c r="I581" s="67">
        <f t="shared" si="169"/>
        <v>1805681.4019757998</v>
      </c>
      <c r="J581" s="677">
        <v>115</v>
      </c>
      <c r="K581" s="25">
        <f t="shared" si="168"/>
        <v>107.514425405</v>
      </c>
      <c r="L581" s="25">
        <f t="shared" si="165"/>
        <v>37415.020040939999</v>
      </c>
      <c r="M581" s="67">
        <f t="shared" si="167"/>
        <v>1843096.4220167398</v>
      </c>
      <c r="N581" s="26"/>
      <c r="O581" s="663">
        <v>0.93490804699999996</v>
      </c>
    </row>
    <row r="582" spans="1:15" ht="46.5">
      <c r="A582" s="685">
        <v>8.1920000000000108</v>
      </c>
      <c r="B582" s="227" t="s">
        <v>2346</v>
      </c>
      <c r="C582" s="642" t="s">
        <v>2585</v>
      </c>
      <c r="D582" s="679"/>
      <c r="E582" s="680">
        <v>99</v>
      </c>
      <c r="F582" s="30" t="s">
        <v>349</v>
      </c>
      <c r="G582" s="675">
        <f>1080*0.9</f>
        <v>972</v>
      </c>
      <c r="H582" s="30">
        <f t="shared" si="166"/>
        <v>908.73062168399997</v>
      </c>
      <c r="I582" s="67">
        <f t="shared" si="169"/>
        <v>89964.331546715999</v>
      </c>
      <c r="J582" s="677">
        <v>115</v>
      </c>
      <c r="K582" s="25">
        <f t="shared" si="168"/>
        <v>107.514425405</v>
      </c>
      <c r="L582" s="25">
        <f t="shared" si="165"/>
        <v>10643.928115094999</v>
      </c>
      <c r="M582" s="67">
        <f t="shared" si="167"/>
        <v>100608.259661811</v>
      </c>
      <c r="N582" s="26"/>
      <c r="O582" s="663">
        <v>0.93490804699999996</v>
      </c>
    </row>
    <row r="583" spans="1:15" ht="46.5">
      <c r="A583" s="685">
        <v>8.1930000000000103</v>
      </c>
      <c r="B583" s="227" t="s">
        <v>2586</v>
      </c>
      <c r="C583" s="642" t="s">
        <v>2587</v>
      </c>
      <c r="D583" s="679"/>
      <c r="E583" s="680">
        <v>6</v>
      </c>
      <c r="F583" s="30" t="s">
        <v>349</v>
      </c>
      <c r="G583" s="675">
        <f>650*0.9</f>
        <v>585</v>
      </c>
      <c r="H583" s="30">
        <f t="shared" si="166"/>
        <v>546.92120749499998</v>
      </c>
      <c r="I583" s="67">
        <f t="shared" si="169"/>
        <v>3281.5272449699996</v>
      </c>
      <c r="J583" s="677">
        <v>115</v>
      </c>
      <c r="K583" s="25">
        <f t="shared" si="168"/>
        <v>107.514425405</v>
      </c>
      <c r="L583" s="25">
        <f t="shared" si="165"/>
        <v>645.08655242999998</v>
      </c>
      <c r="M583" s="67">
        <f t="shared" si="167"/>
        <v>3926.6137973999994</v>
      </c>
      <c r="N583" s="26"/>
      <c r="O583" s="663">
        <v>0.93490804699999996</v>
      </c>
    </row>
    <row r="584" spans="1:15" ht="46.5">
      <c r="A584" s="685">
        <v>8.1940000000000204</v>
      </c>
      <c r="B584" s="227" t="s">
        <v>2588</v>
      </c>
      <c r="C584" s="642" t="s">
        <v>2589</v>
      </c>
      <c r="D584" s="679"/>
      <c r="E584" s="680">
        <v>186</v>
      </c>
      <c r="F584" s="26" t="s">
        <v>286</v>
      </c>
      <c r="G584" s="675">
        <v>1465</v>
      </c>
      <c r="H584" s="30">
        <f t="shared" si="166"/>
        <v>1369.6402888549999</v>
      </c>
      <c r="I584" s="67">
        <f t="shared" si="169"/>
        <v>254753.09372702998</v>
      </c>
      <c r="J584" s="677">
        <v>115</v>
      </c>
      <c r="K584" s="25">
        <f t="shared" si="168"/>
        <v>107.514425405</v>
      </c>
      <c r="L584" s="25">
        <f t="shared" si="165"/>
        <v>19997.683125330001</v>
      </c>
      <c r="M584" s="67">
        <f t="shared" si="167"/>
        <v>274750.77685236</v>
      </c>
      <c r="N584" s="26"/>
      <c r="O584" s="663">
        <v>0.93490804699999996</v>
      </c>
    </row>
    <row r="585" spans="1:15" ht="69.75">
      <c r="A585" s="685">
        <v>8.1950000000000198</v>
      </c>
      <c r="B585" s="227" t="s">
        <v>2590</v>
      </c>
      <c r="C585" s="642" t="s">
        <v>2591</v>
      </c>
      <c r="D585" s="679"/>
      <c r="E585" s="680">
        <v>218</v>
      </c>
      <c r="F585" s="26" t="s">
        <v>286</v>
      </c>
      <c r="G585" s="675">
        <v>890</v>
      </c>
      <c r="H585" s="30">
        <f t="shared" si="166"/>
        <v>832.06816183000001</v>
      </c>
      <c r="I585" s="67">
        <f t="shared" si="169"/>
        <v>181390.85927894001</v>
      </c>
      <c r="J585" s="677">
        <v>115</v>
      </c>
      <c r="K585" s="25">
        <f t="shared" si="168"/>
        <v>107.514425405</v>
      </c>
      <c r="L585" s="25">
        <f t="shared" si="165"/>
        <v>23438.144738290001</v>
      </c>
      <c r="M585" s="67">
        <f t="shared" si="167"/>
        <v>204829.00401723001</v>
      </c>
      <c r="N585" s="26"/>
      <c r="O585" s="663">
        <v>0.93490804699999996</v>
      </c>
    </row>
    <row r="586" spans="1:15" ht="63" customHeight="1">
      <c r="A586" s="685">
        <v>8.1960000000000193</v>
      </c>
      <c r="B586" s="227" t="s">
        <v>2592</v>
      </c>
      <c r="C586" s="1349" t="s">
        <v>2593</v>
      </c>
      <c r="D586" s="1350"/>
      <c r="E586" s="680">
        <v>380</v>
      </c>
      <c r="F586" s="26" t="s">
        <v>286</v>
      </c>
      <c r="G586" s="675">
        <v>1523</v>
      </c>
      <c r="H586" s="30">
        <f t="shared" si="166"/>
        <v>1423.864955581</v>
      </c>
      <c r="I586" s="67">
        <f t="shared" si="169"/>
        <v>541068.68312078004</v>
      </c>
      <c r="J586" s="677">
        <v>115</v>
      </c>
      <c r="K586" s="25">
        <f t="shared" si="168"/>
        <v>107.514425405</v>
      </c>
      <c r="L586" s="25">
        <f t="shared" si="165"/>
        <v>40855.481653900002</v>
      </c>
      <c r="M586" s="67">
        <f t="shared" si="167"/>
        <v>581924.16477468004</v>
      </c>
      <c r="N586" s="26"/>
      <c r="O586" s="663">
        <v>0.93490804699999996</v>
      </c>
    </row>
    <row r="587" spans="1:15" ht="69.75">
      <c r="A587" s="685">
        <v>8.1970000000000205</v>
      </c>
      <c r="B587" s="227" t="s">
        <v>2594</v>
      </c>
      <c r="C587" s="642" t="s">
        <v>2595</v>
      </c>
      <c r="D587" s="679"/>
      <c r="E587" s="680">
        <v>339</v>
      </c>
      <c r="F587" s="26" t="s">
        <v>286</v>
      </c>
      <c r="G587" s="675">
        <v>1827</v>
      </c>
      <c r="H587" s="30">
        <f t="shared" si="166"/>
        <v>1708.077001869</v>
      </c>
      <c r="I587" s="67">
        <f t="shared" si="169"/>
        <v>579038.10363359097</v>
      </c>
      <c r="J587" s="677">
        <v>115</v>
      </c>
      <c r="K587" s="25">
        <f t="shared" si="168"/>
        <v>107.514425405</v>
      </c>
      <c r="L587" s="25">
        <f t="shared" si="165"/>
        <v>36447.390212295002</v>
      </c>
      <c r="M587" s="67">
        <f t="shared" si="167"/>
        <v>615485.49384588597</v>
      </c>
      <c r="N587" s="26"/>
      <c r="O587" s="663">
        <v>0.93490804699999996</v>
      </c>
    </row>
    <row r="588" spans="1:15" ht="69.75">
      <c r="A588" s="685">
        <v>8.1980000000000199</v>
      </c>
      <c r="B588" s="227" t="s">
        <v>2596</v>
      </c>
      <c r="C588" s="642" t="s">
        <v>2597</v>
      </c>
      <c r="D588" s="679"/>
      <c r="E588" s="680">
        <v>191</v>
      </c>
      <c r="F588" s="26" t="s">
        <v>286</v>
      </c>
      <c r="G588" s="675">
        <v>5167</v>
      </c>
      <c r="H588" s="30">
        <f t="shared" si="166"/>
        <v>4830.6698788490003</v>
      </c>
      <c r="I588" s="67">
        <f t="shared" si="169"/>
        <v>922657.94686015905</v>
      </c>
      <c r="J588" s="677">
        <v>115</v>
      </c>
      <c r="K588" s="25">
        <f t="shared" si="168"/>
        <v>107.514425405</v>
      </c>
      <c r="L588" s="25">
        <f t="shared" si="165"/>
        <v>20535.255252355</v>
      </c>
      <c r="M588" s="67">
        <f t="shared" si="167"/>
        <v>943193.20211251406</v>
      </c>
      <c r="N588" s="26"/>
      <c r="O588" s="663">
        <v>0.93490804699999996</v>
      </c>
    </row>
    <row r="589" spans="1:15" ht="69.75">
      <c r="A589" s="685">
        <v>8.1990000000000194</v>
      </c>
      <c r="B589" s="227" t="s">
        <v>2598</v>
      </c>
      <c r="C589" s="642" t="s">
        <v>2597</v>
      </c>
      <c r="D589" s="679"/>
      <c r="E589" s="680">
        <v>3</v>
      </c>
      <c r="F589" s="26" t="s">
        <v>286</v>
      </c>
      <c r="G589" s="675">
        <v>2500</v>
      </c>
      <c r="H589" s="30">
        <f t="shared" si="166"/>
        <v>2337.2701174999997</v>
      </c>
      <c r="I589" s="67">
        <f t="shared" si="169"/>
        <v>7011.8103524999988</v>
      </c>
      <c r="J589" s="677">
        <v>115</v>
      </c>
      <c r="K589" s="25">
        <f t="shared" si="168"/>
        <v>107.514425405</v>
      </c>
      <c r="L589" s="25">
        <f t="shared" si="165"/>
        <v>322.54327621499999</v>
      </c>
      <c r="M589" s="67">
        <f t="shared" si="167"/>
        <v>7334.3536287149991</v>
      </c>
      <c r="N589" s="26"/>
      <c r="O589" s="663">
        <v>0.93490804699999996</v>
      </c>
    </row>
    <row r="590" spans="1:15" ht="46.5">
      <c r="A590" s="685">
        <v>8.2000000000000206</v>
      </c>
      <c r="B590" s="227" t="s">
        <v>2599</v>
      </c>
      <c r="C590" s="642" t="s">
        <v>2600</v>
      </c>
      <c r="D590" s="679"/>
      <c r="E590" s="680">
        <v>489</v>
      </c>
      <c r="F590" s="26" t="s">
        <v>286</v>
      </c>
      <c r="G590" s="675">
        <v>981</v>
      </c>
      <c r="H590" s="30">
        <f t="shared" si="166"/>
        <v>917.14479410699994</v>
      </c>
      <c r="I590" s="67">
        <f t="shared" si="169"/>
        <v>448483.80431832297</v>
      </c>
      <c r="J590" s="677">
        <v>115</v>
      </c>
      <c r="K590" s="25">
        <f t="shared" si="168"/>
        <v>107.514425405</v>
      </c>
      <c r="L590" s="25">
        <f t="shared" si="165"/>
        <v>52574.554023044999</v>
      </c>
      <c r="M590" s="67">
        <f t="shared" si="167"/>
        <v>501058.35834136797</v>
      </c>
      <c r="N590" s="26"/>
      <c r="O590" s="663">
        <v>0.93490804699999996</v>
      </c>
    </row>
    <row r="591" spans="1:15" ht="46.5">
      <c r="A591" s="685">
        <v>8.2010000000000201</v>
      </c>
      <c r="B591" s="227" t="s">
        <v>2601</v>
      </c>
      <c r="C591" s="642" t="s">
        <v>2602</v>
      </c>
      <c r="D591" s="679"/>
      <c r="E591" s="680">
        <v>13</v>
      </c>
      <c r="F591" s="26" t="s">
        <v>349</v>
      </c>
      <c r="G591" s="675">
        <f>9010*0.9</f>
        <v>8109</v>
      </c>
      <c r="H591" s="30">
        <f t="shared" si="166"/>
        <v>7581.1693531229994</v>
      </c>
      <c r="I591" s="67">
        <f t="shared" si="169"/>
        <v>98555.201590598997</v>
      </c>
      <c r="J591" s="677">
        <v>115</v>
      </c>
      <c r="K591" s="25">
        <f t="shared" si="168"/>
        <v>107.514425405</v>
      </c>
      <c r="L591" s="25">
        <f t="shared" si="165"/>
        <v>1397.6875302650001</v>
      </c>
      <c r="M591" s="67">
        <f t="shared" si="167"/>
        <v>99952.889120863998</v>
      </c>
      <c r="N591" s="26"/>
      <c r="O591" s="663">
        <v>0.93490804699999996</v>
      </c>
    </row>
    <row r="592" spans="1:15" ht="46.5">
      <c r="A592" s="685">
        <v>8.2020000000000195</v>
      </c>
      <c r="B592" s="227" t="s">
        <v>2603</v>
      </c>
      <c r="C592" s="642" t="s">
        <v>2604</v>
      </c>
      <c r="D592" s="679"/>
      <c r="E592" s="680">
        <v>4</v>
      </c>
      <c r="F592" s="30" t="s">
        <v>349</v>
      </c>
      <c r="G592" s="675">
        <f>9010*0.9</f>
        <v>8109</v>
      </c>
      <c r="H592" s="30">
        <f t="shared" si="166"/>
        <v>7581.1693531229994</v>
      </c>
      <c r="I592" s="67">
        <f t="shared" si="169"/>
        <v>30324.677412491998</v>
      </c>
      <c r="J592" s="677">
        <v>115</v>
      </c>
      <c r="K592" s="25">
        <f t="shared" si="168"/>
        <v>107.514425405</v>
      </c>
      <c r="L592" s="25">
        <f t="shared" si="165"/>
        <v>430.05770161999999</v>
      </c>
      <c r="M592" s="67">
        <f t="shared" si="167"/>
        <v>30754.735114111998</v>
      </c>
      <c r="N592" s="26"/>
      <c r="O592" s="663">
        <v>0.93490804699999996</v>
      </c>
    </row>
    <row r="593" spans="1:15" ht="46.5">
      <c r="A593" s="685">
        <v>8.2030000000000296</v>
      </c>
      <c r="B593" s="227" t="s">
        <v>2605</v>
      </c>
      <c r="C593" s="642" t="s">
        <v>2606</v>
      </c>
      <c r="D593" s="679"/>
      <c r="E593" s="680">
        <v>3</v>
      </c>
      <c r="F593" s="30" t="s">
        <v>349</v>
      </c>
      <c r="G593" s="675">
        <f>13515*0.9</f>
        <v>12163.5</v>
      </c>
      <c r="H593" s="30">
        <f t="shared" si="166"/>
        <v>11371.7540296845</v>
      </c>
      <c r="I593" s="67">
        <f t="shared" si="169"/>
        <v>34115.262089053504</v>
      </c>
      <c r="J593" s="677">
        <v>115</v>
      </c>
      <c r="K593" s="25">
        <f t="shared" si="168"/>
        <v>107.514425405</v>
      </c>
      <c r="L593" s="25">
        <f t="shared" si="165"/>
        <v>322.54327621499999</v>
      </c>
      <c r="M593" s="67">
        <f t="shared" si="167"/>
        <v>34437.805365268505</v>
      </c>
      <c r="N593" s="26"/>
      <c r="O593" s="663">
        <v>0.93490804699999996</v>
      </c>
    </row>
    <row r="594" spans="1:15" ht="46.5">
      <c r="A594" s="685">
        <v>8.2040000000000308</v>
      </c>
      <c r="B594" s="227" t="s">
        <v>2607</v>
      </c>
      <c r="C594" s="642" t="s">
        <v>2608</v>
      </c>
      <c r="D594" s="679"/>
      <c r="E594" s="680">
        <v>7</v>
      </c>
      <c r="F594" s="30" t="s">
        <v>349</v>
      </c>
      <c r="G594" s="675">
        <f>6760*0.9</f>
        <v>6084</v>
      </c>
      <c r="H594" s="30">
        <f t="shared" si="166"/>
        <v>5687.9805579479998</v>
      </c>
      <c r="I594" s="67">
        <f t="shared" si="169"/>
        <v>39815.863905635997</v>
      </c>
      <c r="J594" s="677">
        <v>115</v>
      </c>
      <c r="K594" s="25">
        <f t="shared" si="168"/>
        <v>107.514425405</v>
      </c>
      <c r="L594" s="25">
        <f t="shared" si="165"/>
        <v>752.60097783499998</v>
      </c>
      <c r="M594" s="67">
        <f t="shared" si="167"/>
        <v>40568.464883470995</v>
      </c>
      <c r="N594" s="26"/>
      <c r="O594" s="663">
        <v>0.93490804699999996</v>
      </c>
    </row>
    <row r="595" spans="1:15" ht="46.5">
      <c r="A595" s="685">
        <v>8.2050000000000303</v>
      </c>
      <c r="B595" s="227" t="s">
        <v>2609</v>
      </c>
      <c r="C595" s="642" t="s">
        <v>2610</v>
      </c>
      <c r="D595" s="679"/>
      <c r="E595" s="680">
        <v>5</v>
      </c>
      <c r="F595" s="30" t="s">
        <v>349</v>
      </c>
      <c r="G595" s="675">
        <f>5740*0.9</f>
        <v>5166</v>
      </c>
      <c r="H595" s="30">
        <f t="shared" si="166"/>
        <v>4829.7349708020001</v>
      </c>
      <c r="I595" s="67">
        <f t="shared" si="169"/>
        <v>24148.674854010002</v>
      </c>
      <c r="J595" s="677">
        <v>135</v>
      </c>
      <c r="K595" s="25">
        <f t="shared" si="168"/>
        <v>126.21258634499999</v>
      </c>
      <c r="L595" s="25">
        <f t="shared" si="165"/>
        <v>631.062931725</v>
      </c>
      <c r="M595" s="67">
        <f t="shared" si="167"/>
        <v>24779.737785735</v>
      </c>
      <c r="N595" s="26"/>
      <c r="O595" s="663">
        <v>0.93490804699999996</v>
      </c>
    </row>
    <row r="596" spans="1:15" ht="46.5">
      <c r="A596" s="685">
        <v>8.2060000000000297</v>
      </c>
      <c r="B596" s="227" t="s">
        <v>2611</v>
      </c>
      <c r="C596" s="642" t="s">
        <v>2612</v>
      </c>
      <c r="D596" s="679"/>
      <c r="E596" s="680">
        <v>1</v>
      </c>
      <c r="F596" s="30" t="s">
        <v>349</v>
      </c>
      <c r="G596" s="675">
        <f>(3825+1650)*0.9</f>
        <v>4927.5</v>
      </c>
      <c r="H596" s="30">
        <f t="shared" si="166"/>
        <v>4606.7594015924997</v>
      </c>
      <c r="I596" s="67">
        <f t="shared" si="169"/>
        <v>4606.7594015924997</v>
      </c>
      <c r="J596" s="677">
        <v>135</v>
      </c>
      <c r="K596" s="25">
        <f t="shared" si="168"/>
        <v>126.21258634499999</v>
      </c>
      <c r="L596" s="25">
        <f t="shared" si="165"/>
        <v>126.21258634499999</v>
      </c>
      <c r="M596" s="67">
        <f t="shared" si="167"/>
        <v>4732.9719879374998</v>
      </c>
      <c r="N596" s="26"/>
      <c r="O596" s="663">
        <v>0.93490804699999996</v>
      </c>
    </row>
    <row r="597" spans="1:15" ht="46.5">
      <c r="A597" s="685">
        <v>8.2070000000000292</v>
      </c>
      <c r="B597" s="227" t="s">
        <v>2613</v>
      </c>
      <c r="C597" s="642" t="s">
        <v>2614</v>
      </c>
      <c r="D597" s="679"/>
      <c r="E597" s="680">
        <v>1</v>
      </c>
      <c r="F597" s="30" t="s">
        <v>349</v>
      </c>
      <c r="G597" s="675">
        <f>(1920+1650)*0.9</f>
        <v>3213</v>
      </c>
      <c r="H597" s="30">
        <f t="shared" si="166"/>
        <v>3003.8595550109999</v>
      </c>
      <c r="I597" s="67">
        <f t="shared" si="169"/>
        <v>3003.8595550109999</v>
      </c>
      <c r="J597" s="677">
        <v>135</v>
      </c>
      <c r="K597" s="25">
        <f t="shared" si="168"/>
        <v>126.21258634499999</v>
      </c>
      <c r="L597" s="25">
        <f t="shared" si="165"/>
        <v>126.21258634499999</v>
      </c>
      <c r="M597" s="67">
        <f t="shared" si="167"/>
        <v>3130.072141356</v>
      </c>
      <c r="N597" s="26"/>
      <c r="O597" s="663">
        <v>0.93490804699999996</v>
      </c>
    </row>
    <row r="598" spans="1:15" ht="46.5">
      <c r="A598" s="685">
        <v>8.2080000000000304</v>
      </c>
      <c r="B598" s="227" t="s">
        <v>2615</v>
      </c>
      <c r="C598" s="642" t="s">
        <v>2616</v>
      </c>
      <c r="D598" s="679"/>
      <c r="E598" s="680">
        <v>8</v>
      </c>
      <c r="F598" s="30" t="s">
        <v>349</v>
      </c>
      <c r="G598" s="675">
        <v>3652</v>
      </c>
      <c r="H598" s="30">
        <f t="shared" si="166"/>
        <v>3414.2841876439998</v>
      </c>
      <c r="I598" s="67">
        <f t="shared" si="169"/>
        <v>27314.273501151998</v>
      </c>
      <c r="J598" s="677">
        <v>115</v>
      </c>
      <c r="K598" s="25">
        <f t="shared" si="168"/>
        <v>107.514425405</v>
      </c>
      <c r="L598" s="25">
        <f t="shared" si="165"/>
        <v>860.11540323999998</v>
      </c>
      <c r="M598" s="67">
        <f t="shared" si="167"/>
        <v>28174.388904391999</v>
      </c>
      <c r="N598" s="26"/>
      <c r="O598" s="663">
        <v>0.93490804699999996</v>
      </c>
    </row>
    <row r="599" spans="1:15" ht="46.5">
      <c r="A599" s="685">
        <v>8.2090000000000298</v>
      </c>
      <c r="B599" s="227" t="s">
        <v>2617</v>
      </c>
      <c r="C599" s="642" t="s">
        <v>2618</v>
      </c>
      <c r="D599" s="679"/>
      <c r="E599" s="680">
        <v>32</v>
      </c>
      <c r="F599" s="30" t="s">
        <v>349</v>
      </c>
      <c r="G599" s="675">
        <v>8100</v>
      </c>
      <c r="H599" s="30">
        <f t="shared" si="166"/>
        <v>7572.7551807</v>
      </c>
      <c r="I599" s="67">
        <f t="shared" si="169"/>
        <v>242328.1657824</v>
      </c>
      <c r="J599" s="677">
        <v>115</v>
      </c>
      <c r="K599" s="25">
        <f t="shared" si="168"/>
        <v>107.514425405</v>
      </c>
      <c r="L599" s="25">
        <f t="shared" ref="L599:L644" si="170">E599*K599</f>
        <v>3440.4616129599999</v>
      </c>
      <c r="M599" s="67">
        <f t="shared" si="167"/>
        <v>245768.62739536</v>
      </c>
      <c r="N599" s="26"/>
      <c r="O599" s="663">
        <v>0.93490804699999996</v>
      </c>
    </row>
    <row r="600" spans="1:15" ht="23.25">
      <c r="A600" s="685">
        <v>8.2100000000000293</v>
      </c>
      <c r="B600" s="227" t="s">
        <v>2619</v>
      </c>
      <c r="C600" s="642" t="s">
        <v>2620</v>
      </c>
      <c r="D600" s="679"/>
      <c r="E600" s="680">
        <v>9.6</v>
      </c>
      <c r="F600" s="30" t="s">
        <v>286</v>
      </c>
      <c r="G600" s="675">
        <f>14554/9.6</f>
        <v>1516.0416666666667</v>
      </c>
      <c r="H600" s="30">
        <f t="shared" si="166"/>
        <v>1417.3595537539584</v>
      </c>
      <c r="I600" s="67">
        <f t="shared" si="169"/>
        <v>13606.651716038001</v>
      </c>
      <c r="J600" s="677">
        <v>115</v>
      </c>
      <c r="K600" s="25">
        <f t="shared" si="168"/>
        <v>107.514425405</v>
      </c>
      <c r="L600" s="25">
        <f t="shared" si="170"/>
        <v>1032.1384838879999</v>
      </c>
      <c r="M600" s="67">
        <f t="shared" si="167"/>
        <v>14638.790199926001</v>
      </c>
      <c r="N600" s="26"/>
      <c r="O600" s="663">
        <v>0.93490804699999996</v>
      </c>
    </row>
    <row r="601" spans="1:15" ht="46.5">
      <c r="A601" s="685">
        <v>8.2110000000000394</v>
      </c>
      <c r="B601" s="227" t="s">
        <v>2621</v>
      </c>
      <c r="C601" s="642" t="s">
        <v>2622</v>
      </c>
      <c r="D601" s="679"/>
      <c r="E601" s="680">
        <v>36</v>
      </c>
      <c r="F601" s="30" t="s">
        <v>286</v>
      </c>
      <c r="G601" s="675">
        <v>5433.33</v>
      </c>
      <c r="H601" s="30">
        <f t="shared" si="166"/>
        <v>5079.6639390065102</v>
      </c>
      <c r="I601" s="67">
        <f t="shared" si="169"/>
        <v>182867.90180423437</v>
      </c>
      <c r="J601" s="677">
        <v>115</v>
      </c>
      <c r="K601" s="25">
        <f t="shared" si="168"/>
        <v>107.514425405</v>
      </c>
      <c r="L601" s="25">
        <f t="shared" si="170"/>
        <v>3870.5193145799999</v>
      </c>
      <c r="M601" s="67">
        <f t="shared" si="167"/>
        <v>186738.42111881435</v>
      </c>
      <c r="N601" s="26"/>
      <c r="O601" s="663">
        <v>0.93490804699999996</v>
      </c>
    </row>
    <row r="602" spans="1:15" ht="46.5">
      <c r="A602" s="685">
        <v>8.2120000000000406</v>
      </c>
      <c r="B602" s="227" t="s">
        <v>2623</v>
      </c>
      <c r="C602" s="642" t="s">
        <v>2624</v>
      </c>
      <c r="D602" s="679"/>
      <c r="E602" s="680">
        <v>10</v>
      </c>
      <c r="F602" s="30" t="s">
        <v>349</v>
      </c>
      <c r="G602" s="675">
        <v>7000</v>
      </c>
      <c r="H602" s="30">
        <f t="shared" si="166"/>
        <v>6544.3563290000002</v>
      </c>
      <c r="I602" s="67">
        <f t="shared" si="169"/>
        <v>65443.563290000006</v>
      </c>
      <c r="J602" s="677">
        <v>115</v>
      </c>
      <c r="K602" s="25">
        <f t="shared" si="168"/>
        <v>107.514425405</v>
      </c>
      <c r="L602" s="25">
        <f t="shared" si="170"/>
        <v>1075.14425405</v>
      </c>
      <c r="M602" s="67">
        <f t="shared" si="167"/>
        <v>66518.707544050005</v>
      </c>
      <c r="N602" s="26"/>
      <c r="O602" s="663">
        <v>0.93490804699999996</v>
      </c>
    </row>
    <row r="603" spans="1:15" ht="46.5">
      <c r="A603" s="685">
        <v>8.21300000000004</v>
      </c>
      <c r="B603" s="227" t="s">
        <v>2625</v>
      </c>
      <c r="C603" s="642" t="s">
        <v>2626</v>
      </c>
      <c r="D603" s="679"/>
      <c r="E603" s="680">
        <v>2</v>
      </c>
      <c r="F603" s="30" t="s">
        <v>349</v>
      </c>
      <c r="G603" s="675">
        <v>9500</v>
      </c>
      <c r="H603" s="30">
        <f t="shared" si="166"/>
        <v>8881.6264465000004</v>
      </c>
      <c r="I603" s="67">
        <f t="shared" si="169"/>
        <v>17763.252893000001</v>
      </c>
      <c r="J603" s="677">
        <v>115</v>
      </c>
      <c r="K603" s="25">
        <f t="shared" si="168"/>
        <v>107.514425405</v>
      </c>
      <c r="L603" s="25">
        <f t="shared" si="170"/>
        <v>215.02885080999999</v>
      </c>
      <c r="M603" s="67">
        <f t="shared" si="167"/>
        <v>17978.281743809999</v>
      </c>
      <c r="N603" s="26"/>
      <c r="O603" s="663">
        <v>0.93490804699999996</v>
      </c>
    </row>
    <row r="604" spans="1:15" ht="46.5">
      <c r="A604" s="685">
        <v>8.2140000000000395</v>
      </c>
      <c r="B604" s="227" t="s">
        <v>2627</v>
      </c>
      <c r="C604" s="642" t="s">
        <v>2628</v>
      </c>
      <c r="D604" s="679"/>
      <c r="E604" s="680">
        <v>4</v>
      </c>
      <c r="F604" s="30" t="s">
        <v>349</v>
      </c>
      <c r="G604" s="675">
        <v>12000</v>
      </c>
      <c r="H604" s="30">
        <f t="shared" si="166"/>
        <v>11218.896563999999</v>
      </c>
      <c r="I604" s="67">
        <f t="shared" si="169"/>
        <v>44875.586255999995</v>
      </c>
      <c r="J604" s="677">
        <v>115</v>
      </c>
      <c r="K604" s="25">
        <f t="shared" si="168"/>
        <v>107.514425405</v>
      </c>
      <c r="L604" s="25">
        <f t="shared" si="170"/>
        <v>430.05770161999999</v>
      </c>
      <c r="M604" s="67">
        <f t="shared" si="167"/>
        <v>45305.643957619992</v>
      </c>
      <c r="N604" s="26"/>
      <c r="O604" s="663">
        <v>0.93490804699999996</v>
      </c>
    </row>
    <row r="605" spans="1:15" ht="46.5">
      <c r="A605" s="685">
        <v>8.2150000000000407</v>
      </c>
      <c r="B605" s="227" t="s">
        <v>2629</v>
      </c>
      <c r="C605" s="642" t="s">
        <v>2630</v>
      </c>
      <c r="D605" s="679"/>
      <c r="E605" s="680">
        <v>34</v>
      </c>
      <c r="F605" s="30" t="s">
        <v>349</v>
      </c>
      <c r="G605" s="675">
        <v>12035</v>
      </c>
      <c r="H605" s="30">
        <f t="shared" si="166"/>
        <v>11251.618345645</v>
      </c>
      <c r="I605" s="67">
        <f t="shared" si="169"/>
        <v>382555.02375192998</v>
      </c>
      <c r="J605" s="677">
        <v>115</v>
      </c>
      <c r="K605" s="25">
        <f t="shared" si="168"/>
        <v>107.514425405</v>
      </c>
      <c r="L605" s="25">
        <f t="shared" si="170"/>
        <v>3655.4904637700001</v>
      </c>
      <c r="M605" s="67">
        <f t="shared" si="167"/>
        <v>386210.51421569998</v>
      </c>
      <c r="N605" s="26"/>
      <c r="O605" s="663">
        <v>0.93490804699999996</v>
      </c>
    </row>
    <row r="606" spans="1:15" ht="46.5">
      <c r="A606" s="685">
        <v>8.2160000000000402</v>
      </c>
      <c r="B606" s="227" t="s">
        <v>2631</v>
      </c>
      <c r="C606" s="642" t="s">
        <v>2632</v>
      </c>
      <c r="D606" s="679"/>
      <c r="E606" s="680">
        <v>6</v>
      </c>
      <c r="F606" s="30" t="s">
        <v>349</v>
      </c>
      <c r="G606" s="675">
        <f>(4070+2405+610)*0.65</f>
        <v>4605.25</v>
      </c>
      <c r="H606" s="30">
        <f t="shared" si="166"/>
        <v>4305.4852834467501</v>
      </c>
      <c r="I606" s="67">
        <f t="shared" si="169"/>
        <v>25832.911700680503</v>
      </c>
      <c r="J606" s="677">
        <v>115</v>
      </c>
      <c r="K606" s="25">
        <f t="shared" si="168"/>
        <v>107.514425405</v>
      </c>
      <c r="L606" s="25">
        <f t="shared" si="170"/>
        <v>645.08655242999998</v>
      </c>
      <c r="M606" s="67">
        <f t="shared" si="167"/>
        <v>26477.998253110502</v>
      </c>
      <c r="N606" s="26"/>
      <c r="O606" s="663">
        <v>0.93490804699999996</v>
      </c>
    </row>
    <row r="607" spans="1:15" ht="46.5">
      <c r="A607" s="685">
        <v>8.2170000000000396</v>
      </c>
      <c r="B607" s="227" t="s">
        <v>2633</v>
      </c>
      <c r="C607" s="642" t="s">
        <v>2634</v>
      </c>
      <c r="D607" s="679"/>
      <c r="E607" s="680">
        <v>1</v>
      </c>
      <c r="F607" s="30" t="s">
        <v>349</v>
      </c>
      <c r="G607" s="675">
        <f>(7875+2115+1185)*0.65</f>
        <v>7263.75</v>
      </c>
      <c r="H607" s="30">
        <f t="shared" si="166"/>
        <v>6790.93832639625</v>
      </c>
      <c r="I607" s="67">
        <f t="shared" si="169"/>
        <v>6790.93832639625</v>
      </c>
      <c r="J607" s="677">
        <v>115</v>
      </c>
      <c r="K607" s="25">
        <f t="shared" si="168"/>
        <v>107.514425405</v>
      </c>
      <c r="L607" s="25">
        <f t="shared" si="170"/>
        <v>107.514425405</v>
      </c>
      <c r="M607" s="67">
        <f t="shared" si="167"/>
        <v>6898.4527518012501</v>
      </c>
      <c r="N607" s="26"/>
      <c r="O607" s="663">
        <v>0.93490804699999996</v>
      </c>
    </row>
    <row r="608" spans="1:15" ht="46.5">
      <c r="A608" s="685">
        <v>8.2180000000000408</v>
      </c>
      <c r="B608" s="227" t="s">
        <v>2635</v>
      </c>
      <c r="C608" s="642" t="s">
        <v>2636</v>
      </c>
      <c r="D608" s="679"/>
      <c r="E608" s="680">
        <v>11</v>
      </c>
      <c r="F608" s="30" t="s">
        <v>349</v>
      </c>
      <c r="G608" s="675">
        <v>3750</v>
      </c>
      <c r="H608" s="30">
        <f t="shared" si="166"/>
        <v>3505.9051762499998</v>
      </c>
      <c r="I608" s="67">
        <f t="shared" si="169"/>
        <v>38564.956938750001</v>
      </c>
      <c r="J608" s="677">
        <v>115</v>
      </c>
      <c r="K608" s="25">
        <f t="shared" si="168"/>
        <v>107.514425405</v>
      </c>
      <c r="L608" s="25">
        <f t="shared" si="170"/>
        <v>1182.6586794549999</v>
      </c>
      <c r="M608" s="67">
        <f t="shared" si="167"/>
        <v>39747.615618205004</v>
      </c>
      <c r="N608" s="26"/>
      <c r="O608" s="663">
        <v>0.93490804699999996</v>
      </c>
    </row>
    <row r="609" spans="1:15" ht="20.100000000000001" customHeight="1">
      <c r="A609" s="685">
        <v>8.2190000000000492</v>
      </c>
      <c r="B609" s="227" t="s">
        <v>2219</v>
      </c>
      <c r="C609" s="673"/>
      <c r="D609" s="679"/>
      <c r="E609" s="680">
        <v>1</v>
      </c>
      <c r="F609" s="30" t="s">
        <v>2193</v>
      </c>
      <c r="G609" s="688">
        <f>SUM(I382:I608)*0.02</f>
        <v>480038.27641720197</v>
      </c>
      <c r="H609" s="384">
        <f>G609</f>
        <v>480038.27641720197</v>
      </c>
      <c r="I609" s="67">
        <f t="shared" si="169"/>
        <v>480038.27641720197</v>
      </c>
      <c r="J609" s="689">
        <f>G609*0.3</f>
        <v>144011.48292516058</v>
      </c>
      <c r="K609" s="25">
        <f>J609</f>
        <v>144011.48292516058</v>
      </c>
      <c r="L609" s="25">
        <f t="shared" si="170"/>
        <v>144011.48292516058</v>
      </c>
      <c r="M609" s="67">
        <f t="shared" si="167"/>
        <v>624049.75934236252</v>
      </c>
      <c r="N609" s="26"/>
      <c r="O609" s="663">
        <v>0.93490804699999996</v>
      </c>
    </row>
    <row r="610" spans="1:15" ht="20.100000000000001" customHeight="1">
      <c r="A610" s="265"/>
      <c r="B610" s="1275" t="s">
        <v>2637</v>
      </c>
      <c r="C610" s="1276"/>
      <c r="D610" s="1277"/>
      <c r="E610" s="646"/>
      <c r="F610" s="102"/>
      <c r="G610" s="34"/>
      <c r="H610" s="30"/>
      <c r="I610" s="34">
        <f>SUM(I382:I609)</f>
        <v>24481952.097277302</v>
      </c>
      <c r="J610" s="34"/>
      <c r="K610" s="34"/>
      <c r="L610" s="34">
        <f>SUM(L382:L609)</f>
        <v>1153765.1829714256</v>
      </c>
      <c r="M610" s="34">
        <f>SUM(M382:M609)</f>
        <v>25635717.280248743</v>
      </c>
      <c r="N610" s="35"/>
      <c r="O610" s="663">
        <v>0.93490804699999996</v>
      </c>
    </row>
    <row r="611" spans="1:15" ht="20.100000000000001" hidden="1" customHeight="1">
      <c r="A611" s="265"/>
      <c r="B611" s="256"/>
      <c r="C611" s="647"/>
      <c r="D611" s="258"/>
      <c r="E611" s="646"/>
      <c r="F611" s="102"/>
      <c r="G611" s="34"/>
      <c r="H611" s="30"/>
      <c r="I611" s="34"/>
      <c r="J611" s="34"/>
      <c r="K611" s="34"/>
      <c r="L611" s="25">
        <f t="shared" si="170"/>
        <v>0</v>
      </c>
      <c r="M611" s="34"/>
      <c r="N611" s="35"/>
      <c r="O611" s="663">
        <v>0.93490804699999996</v>
      </c>
    </row>
    <row r="612" spans="1:15" ht="20.100000000000001" customHeight="1">
      <c r="A612" s="648">
        <v>9</v>
      </c>
      <c r="B612" s="1182" t="s">
        <v>1980</v>
      </c>
      <c r="C612" s="650"/>
      <c r="D612" s="412"/>
      <c r="E612" s="646"/>
      <c r="F612" s="102"/>
      <c r="G612" s="34"/>
      <c r="H612" s="30"/>
      <c r="I612" s="34"/>
      <c r="J612" s="102"/>
      <c r="K612" s="102"/>
      <c r="L612" s="25">
        <f t="shared" si="170"/>
        <v>0</v>
      </c>
      <c r="M612" s="102"/>
      <c r="N612" s="35"/>
      <c r="O612" s="663">
        <v>0.93490804699999996</v>
      </c>
    </row>
    <row r="613" spans="1:15" ht="20.100000000000001" customHeight="1">
      <c r="A613" s="651">
        <v>9.1</v>
      </c>
      <c r="B613" s="652" t="s">
        <v>2638</v>
      </c>
      <c r="C613" s="657"/>
      <c r="D613" s="412"/>
      <c r="E613" s="533">
        <v>14</v>
      </c>
      <c r="F613" s="30" t="s">
        <v>349</v>
      </c>
      <c r="G613" s="30">
        <v>15000</v>
      </c>
      <c r="H613" s="30">
        <f t="shared" si="166"/>
        <v>14023.620704999999</v>
      </c>
      <c r="I613" s="30">
        <f>E613*H613</f>
        <v>196330.68987</v>
      </c>
      <c r="J613" s="25">
        <v>500</v>
      </c>
      <c r="K613" s="25">
        <f t="shared" ref="K613:K618" si="171">J613*O613</f>
        <v>467.45402350000001</v>
      </c>
      <c r="L613" s="25">
        <f t="shared" si="170"/>
        <v>6544.3563290000002</v>
      </c>
      <c r="M613" s="25">
        <f t="shared" ref="M613:M619" si="172">I613+L613</f>
        <v>202875.046199</v>
      </c>
      <c r="N613" s="26"/>
      <c r="O613" s="663">
        <v>0.93490804699999996</v>
      </c>
    </row>
    <row r="614" spans="1:15" ht="18.95" customHeight="1">
      <c r="A614" s="651">
        <v>9.1999999999999993</v>
      </c>
      <c r="B614" s="658" t="s">
        <v>2639</v>
      </c>
      <c r="C614" s="661"/>
      <c r="D614" s="660"/>
      <c r="E614" s="533">
        <v>140</v>
      </c>
      <c r="F614" s="30" t="s">
        <v>349</v>
      </c>
      <c r="G614" s="30">
        <v>590</v>
      </c>
      <c r="H614" s="30">
        <f t="shared" si="166"/>
        <v>551.59574772999997</v>
      </c>
      <c r="I614" s="30">
        <f t="shared" ref="I614:I619" si="173">E614*H614</f>
        <v>77223.404682199995</v>
      </c>
      <c r="J614" s="25">
        <v>115</v>
      </c>
      <c r="K614" s="25">
        <f t="shared" si="171"/>
        <v>107.514425405</v>
      </c>
      <c r="L614" s="25">
        <f t="shared" si="170"/>
        <v>15052.019556699999</v>
      </c>
      <c r="M614" s="25">
        <f t="shared" si="172"/>
        <v>92275.424238899999</v>
      </c>
      <c r="N614" s="26"/>
      <c r="O614" s="663">
        <v>0.93490804699999996</v>
      </c>
    </row>
    <row r="615" spans="1:15" ht="18.95" customHeight="1">
      <c r="A615" s="651">
        <v>9.3000000000000007</v>
      </c>
      <c r="B615" s="652" t="s">
        <v>2640</v>
      </c>
      <c r="C615" s="657"/>
      <c r="D615" s="660"/>
      <c r="E615" s="533">
        <v>92</v>
      </c>
      <c r="F615" s="30" t="s">
        <v>349</v>
      </c>
      <c r="G615" s="30">
        <v>1280</v>
      </c>
      <c r="H615" s="30">
        <f t="shared" si="166"/>
        <v>1196.6823001600001</v>
      </c>
      <c r="I615" s="30">
        <f t="shared" si="173"/>
        <v>110094.77161472001</v>
      </c>
      <c r="J615" s="25">
        <v>115</v>
      </c>
      <c r="K615" s="25">
        <f t="shared" si="171"/>
        <v>107.514425405</v>
      </c>
      <c r="L615" s="25">
        <f t="shared" si="170"/>
        <v>9891.3271372599993</v>
      </c>
      <c r="M615" s="25">
        <f t="shared" si="172"/>
        <v>119986.09875198001</v>
      </c>
      <c r="N615" s="26"/>
      <c r="O615" s="663">
        <v>0.93490804699999996</v>
      </c>
    </row>
    <row r="616" spans="1:15" ht="18.95" customHeight="1">
      <c r="A616" s="651">
        <v>9.4</v>
      </c>
      <c r="B616" s="665" t="s">
        <v>2641</v>
      </c>
      <c r="C616" s="666"/>
      <c r="D616" s="660"/>
      <c r="E616" s="533">
        <v>75</v>
      </c>
      <c r="F616" s="30" t="s">
        <v>349</v>
      </c>
      <c r="G616" s="30">
        <v>1200</v>
      </c>
      <c r="H616" s="30">
        <f t="shared" si="166"/>
        <v>1121.8896563999999</v>
      </c>
      <c r="I616" s="30">
        <f t="shared" si="173"/>
        <v>84141.724229999993</v>
      </c>
      <c r="J616" s="25">
        <v>115</v>
      </c>
      <c r="K616" s="25">
        <f t="shared" si="171"/>
        <v>107.514425405</v>
      </c>
      <c r="L616" s="25">
        <f t="shared" si="170"/>
        <v>8063.5819053750001</v>
      </c>
      <c r="M616" s="25">
        <f t="shared" si="172"/>
        <v>92205.306135374994</v>
      </c>
      <c r="N616" s="26"/>
      <c r="O616" s="663">
        <v>0.93490804699999996</v>
      </c>
    </row>
    <row r="617" spans="1:15" ht="18.95" customHeight="1">
      <c r="A617" s="651">
        <v>9.5</v>
      </c>
      <c r="B617" s="665" t="s">
        <v>2642</v>
      </c>
      <c r="C617" s="666"/>
      <c r="D617" s="660"/>
      <c r="E617" s="533"/>
      <c r="F617" s="30" t="s">
        <v>349</v>
      </c>
      <c r="G617" s="30">
        <v>0</v>
      </c>
      <c r="H617" s="30">
        <f t="shared" si="166"/>
        <v>0</v>
      </c>
      <c r="I617" s="30">
        <f t="shared" si="173"/>
        <v>0</v>
      </c>
      <c r="J617" s="25">
        <v>115</v>
      </c>
      <c r="K617" s="25">
        <f t="shared" si="171"/>
        <v>107.514425405</v>
      </c>
      <c r="L617" s="25">
        <f t="shared" si="170"/>
        <v>0</v>
      </c>
      <c r="M617" s="25">
        <f t="shared" si="172"/>
        <v>0</v>
      </c>
      <c r="N617" s="26"/>
      <c r="O617" s="663">
        <v>0.93490804699999996</v>
      </c>
    </row>
    <row r="618" spans="1:15" ht="18.95" customHeight="1">
      <c r="A618" s="651">
        <v>9.6</v>
      </c>
      <c r="B618" s="665" t="s">
        <v>2643</v>
      </c>
      <c r="C618" s="666"/>
      <c r="D618" s="660"/>
      <c r="E618" s="533"/>
      <c r="F618" s="30" t="s">
        <v>349</v>
      </c>
      <c r="G618" s="30">
        <v>0</v>
      </c>
      <c r="H618" s="30">
        <f t="shared" si="166"/>
        <v>0</v>
      </c>
      <c r="I618" s="30">
        <f t="shared" si="173"/>
        <v>0</v>
      </c>
      <c r="J618" s="25">
        <v>115</v>
      </c>
      <c r="K618" s="25">
        <f t="shared" si="171"/>
        <v>107.514425405</v>
      </c>
      <c r="L618" s="25">
        <f t="shared" si="170"/>
        <v>0</v>
      </c>
      <c r="M618" s="25">
        <f t="shared" si="172"/>
        <v>0</v>
      </c>
      <c r="N618" s="26"/>
      <c r="O618" s="663">
        <v>0.93490804699999996</v>
      </c>
    </row>
    <row r="619" spans="1:15" ht="18.95" customHeight="1">
      <c r="A619" s="667">
        <v>9.6999999999999993</v>
      </c>
      <c r="B619" s="665" t="s">
        <v>2192</v>
      </c>
      <c r="C619" s="666"/>
      <c r="D619" s="660"/>
      <c r="E619" s="533">
        <v>1</v>
      </c>
      <c r="F619" s="30" t="s">
        <v>2193</v>
      </c>
      <c r="G619" s="670">
        <f>SUM(I613:I618)*0.02</f>
        <v>9355.8118079384003</v>
      </c>
      <c r="H619" s="384">
        <f>G619</f>
        <v>9355.8118079384003</v>
      </c>
      <c r="I619" s="30">
        <f t="shared" si="173"/>
        <v>9355.8118079384003</v>
      </c>
      <c r="J619" s="676">
        <f>G619*0.3</f>
        <v>2806.74354238152</v>
      </c>
      <c r="K619" s="25">
        <f>J619</f>
        <v>2806.74354238152</v>
      </c>
      <c r="L619" s="25">
        <f t="shared" si="170"/>
        <v>2806.74354238152</v>
      </c>
      <c r="M619" s="25">
        <f t="shared" si="172"/>
        <v>12162.555350319921</v>
      </c>
      <c r="N619" s="26"/>
      <c r="O619" s="663">
        <v>0.93490804699999996</v>
      </c>
    </row>
    <row r="620" spans="1:15" ht="18.95" customHeight="1">
      <c r="A620" s="265"/>
      <c r="B620" s="1275" t="s">
        <v>2644</v>
      </c>
      <c r="C620" s="1276"/>
      <c r="D620" s="1277"/>
      <c r="E620" s="646"/>
      <c r="F620" s="102"/>
      <c r="G620" s="34"/>
      <c r="H620" s="30"/>
      <c r="I620" s="34">
        <f>SUM(I613:I619)</f>
        <v>477146.40220485837</v>
      </c>
      <c r="J620" s="34"/>
      <c r="K620" s="34"/>
      <c r="L620" s="34">
        <f>SUM(L613:L619)</f>
        <v>42358.028470716519</v>
      </c>
      <c r="M620" s="34">
        <f>SUM(M613:M619)</f>
        <v>519504.43067557493</v>
      </c>
      <c r="N620" s="35"/>
      <c r="O620" s="663">
        <v>0.93490804699999996</v>
      </c>
    </row>
    <row r="621" spans="1:15" ht="18.95" customHeight="1">
      <c r="A621" s="648">
        <v>10</v>
      </c>
      <c r="B621" s="1182" t="s">
        <v>1981</v>
      </c>
      <c r="C621" s="650"/>
      <c r="D621" s="412"/>
      <c r="E621" s="646"/>
      <c r="F621" s="102"/>
      <c r="G621" s="34"/>
      <c r="H621" s="30"/>
      <c r="I621" s="34"/>
      <c r="J621" s="102"/>
      <c r="K621" s="102"/>
      <c r="L621" s="25"/>
      <c r="M621" s="102"/>
      <c r="N621" s="35"/>
      <c r="O621" s="663">
        <v>0.93490804699999996</v>
      </c>
    </row>
    <row r="622" spans="1:15" ht="18.95" customHeight="1">
      <c r="A622" s="651">
        <v>10.1</v>
      </c>
      <c r="B622" s="652" t="s">
        <v>2645</v>
      </c>
      <c r="C622" s="657"/>
      <c r="D622" s="412"/>
      <c r="E622" s="533"/>
      <c r="F622" s="30"/>
      <c r="G622" s="30"/>
      <c r="H622" s="30"/>
      <c r="I622" s="30"/>
      <c r="J622" s="25"/>
      <c r="K622" s="25"/>
      <c r="L622" s="25"/>
      <c r="M622" s="25"/>
      <c r="N622" s="26"/>
      <c r="O622" s="663">
        <v>0.93490804699999996</v>
      </c>
    </row>
    <row r="623" spans="1:15" ht="18.95" customHeight="1">
      <c r="A623" s="651"/>
      <c r="B623" s="652" t="s">
        <v>2646</v>
      </c>
      <c r="C623" s="657"/>
      <c r="D623" s="660"/>
      <c r="E623" s="533">
        <v>1450</v>
      </c>
      <c r="F623" s="30" t="s">
        <v>349</v>
      </c>
      <c r="G623" s="30">
        <v>52</v>
      </c>
      <c r="H623" s="30">
        <f t="shared" si="166"/>
        <v>48.615218444</v>
      </c>
      <c r="I623" s="30">
        <f>E623*H623</f>
        <v>70492.066743799995</v>
      </c>
      <c r="J623" s="25">
        <v>80</v>
      </c>
      <c r="K623" s="25">
        <f t="shared" ref="K623:K638" si="174">J623*O623</f>
        <v>74.792643760000004</v>
      </c>
      <c r="L623" s="25">
        <f t="shared" si="170"/>
        <v>108449.33345200001</v>
      </c>
      <c r="M623" s="25">
        <f>I623+L623</f>
        <v>178941.4001958</v>
      </c>
      <c r="N623" s="26"/>
      <c r="O623" s="663">
        <v>0.93490804699999996</v>
      </c>
    </row>
    <row r="624" spans="1:15" ht="18.95" customHeight="1">
      <c r="A624" s="651"/>
      <c r="B624" s="652" t="s">
        <v>2647</v>
      </c>
      <c r="C624" s="657"/>
      <c r="D624" s="660"/>
      <c r="E624" s="533">
        <v>80</v>
      </c>
      <c r="F624" s="30" t="s">
        <v>349</v>
      </c>
      <c r="G624" s="30">
        <v>155</v>
      </c>
      <c r="H624" s="30">
        <f t="shared" si="166"/>
        <v>144.91074728499999</v>
      </c>
      <c r="I624" s="30">
        <f t="shared" ref="I624:I639" si="175">E624*H624</f>
        <v>11592.859782799998</v>
      </c>
      <c r="J624" s="25">
        <v>80</v>
      </c>
      <c r="K624" s="25">
        <f t="shared" si="174"/>
        <v>74.792643760000004</v>
      </c>
      <c r="L624" s="25">
        <f t="shared" si="170"/>
        <v>5983.4115008000008</v>
      </c>
      <c r="M624" s="25">
        <f>I624+L624</f>
        <v>17576.271283599999</v>
      </c>
      <c r="N624" s="26"/>
      <c r="O624" s="663">
        <v>0.93490804699999996</v>
      </c>
    </row>
    <row r="625" spans="1:15" ht="18.95" customHeight="1">
      <c r="A625" s="651"/>
      <c r="B625" s="652" t="s">
        <v>2648</v>
      </c>
      <c r="C625" s="657"/>
      <c r="D625" s="660"/>
      <c r="E625" s="533">
        <v>30</v>
      </c>
      <c r="F625" s="30" t="s">
        <v>349</v>
      </c>
      <c r="G625" s="30">
        <v>155</v>
      </c>
      <c r="H625" s="30">
        <f t="shared" si="166"/>
        <v>144.91074728499999</v>
      </c>
      <c r="I625" s="30">
        <f t="shared" si="175"/>
        <v>4347.3224185499994</v>
      </c>
      <c r="J625" s="25">
        <v>80</v>
      </c>
      <c r="K625" s="25">
        <f t="shared" si="174"/>
        <v>74.792643760000004</v>
      </c>
      <c r="L625" s="25">
        <f t="shared" si="170"/>
        <v>2243.7793128000003</v>
      </c>
      <c r="M625" s="25">
        <f>I625+L625</f>
        <v>6591.1017313499997</v>
      </c>
      <c r="N625" s="26"/>
      <c r="O625" s="663">
        <v>0.93490804699999996</v>
      </c>
    </row>
    <row r="626" spans="1:15" ht="18.95" customHeight="1">
      <c r="A626" s="573"/>
      <c r="B626" s="665" t="s">
        <v>2649</v>
      </c>
      <c r="C626" s="666"/>
      <c r="D626" s="660"/>
      <c r="E626" s="533">
        <v>910</v>
      </c>
      <c r="F626" s="30" t="s">
        <v>349</v>
      </c>
      <c r="G626" s="30">
        <v>155</v>
      </c>
      <c r="H626" s="30">
        <f t="shared" si="166"/>
        <v>144.91074728499999</v>
      </c>
      <c r="I626" s="30">
        <f t="shared" si="175"/>
        <v>131868.78002934999</v>
      </c>
      <c r="J626" s="25">
        <v>90</v>
      </c>
      <c r="K626" s="25">
        <f t="shared" si="174"/>
        <v>84.141724229999994</v>
      </c>
      <c r="L626" s="25">
        <f t="shared" si="170"/>
        <v>76568.969049299994</v>
      </c>
      <c r="M626" s="25">
        <f>I626+L626</f>
        <v>208437.74907864997</v>
      </c>
      <c r="N626" s="26"/>
      <c r="O626" s="663">
        <v>0.93490804699999996</v>
      </c>
    </row>
    <row r="627" spans="1:15" ht="18.95" customHeight="1">
      <c r="A627" s="573"/>
      <c r="B627" s="665" t="s">
        <v>2650</v>
      </c>
      <c r="C627" s="666"/>
      <c r="D627" s="660"/>
      <c r="E627" s="533">
        <v>15</v>
      </c>
      <c r="F627" s="30" t="s">
        <v>349</v>
      </c>
      <c r="G627" s="30">
        <v>300</v>
      </c>
      <c r="H627" s="30">
        <f t="shared" si="166"/>
        <v>280.47241409999998</v>
      </c>
      <c r="I627" s="30">
        <f t="shared" si="175"/>
        <v>4207.0862115</v>
      </c>
      <c r="J627" s="25">
        <v>115</v>
      </c>
      <c r="K627" s="25">
        <f t="shared" si="174"/>
        <v>107.514425405</v>
      </c>
      <c r="L627" s="25">
        <f t="shared" si="170"/>
        <v>1612.7163810749998</v>
      </c>
      <c r="M627" s="25">
        <f>I627+L627</f>
        <v>5819.8025925749998</v>
      </c>
      <c r="N627" s="26"/>
      <c r="O627" s="663">
        <v>0.93490804699999996</v>
      </c>
    </row>
    <row r="628" spans="1:15" ht="18.95" customHeight="1">
      <c r="A628" s="651">
        <v>10.199999999999999</v>
      </c>
      <c r="B628" s="652" t="s">
        <v>2651</v>
      </c>
      <c r="C628" s="657"/>
      <c r="D628" s="412"/>
      <c r="E628" s="533"/>
      <c r="F628" s="30"/>
      <c r="G628" s="30"/>
      <c r="H628" s="30"/>
      <c r="I628" s="30"/>
      <c r="J628" s="25"/>
      <c r="K628" s="25"/>
      <c r="L628" s="25"/>
      <c r="M628" s="25"/>
      <c r="N628" s="26"/>
      <c r="O628" s="663">
        <v>0.93490804699999996</v>
      </c>
    </row>
    <row r="629" spans="1:15" ht="18.95" customHeight="1">
      <c r="A629" s="573"/>
      <c r="B629" s="665" t="s">
        <v>2652</v>
      </c>
      <c r="C629" s="666"/>
      <c r="D629" s="660"/>
      <c r="E629" s="533">
        <v>75</v>
      </c>
      <c r="F629" s="30" t="s">
        <v>349</v>
      </c>
      <c r="G629" s="30">
        <v>1550</v>
      </c>
      <c r="H629" s="30">
        <f t="shared" si="166"/>
        <v>1449.10747285</v>
      </c>
      <c r="I629" s="30">
        <f t="shared" si="175"/>
        <v>108683.06046375001</v>
      </c>
      <c r="J629" s="25">
        <v>265</v>
      </c>
      <c r="K629" s="25">
        <f t="shared" si="174"/>
        <v>247.75063245499999</v>
      </c>
      <c r="L629" s="25">
        <f t="shared" si="170"/>
        <v>18581.297434124997</v>
      </c>
      <c r="M629" s="25">
        <f>I629+L629</f>
        <v>127264.357897875</v>
      </c>
      <c r="N629" s="26"/>
      <c r="O629" s="663">
        <v>0.93490804699999996</v>
      </c>
    </row>
    <row r="630" spans="1:15" ht="18.95" customHeight="1">
      <c r="A630" s="573"/>
      <c r="B630" s="665" t="s">
        <v>2653</v>
      </c>
      <c r="C630" s="666"/>
      <c r="D630" s="660"/>
      <c r="E630" s="533">
        <v>0</v>
      </c>
      <c r="F630" s="30" t="s">
        <v>349</v>
      </c>
      <c r="G630" s="30">
        <v>3870</v>
      </c>
      <c r="H630" s="30">
        <f t="shared" si="166"/>
        <v>3618.0941418899997</v>
      </c>
      <c r="I630" s="30">
        <f t="shared" si="175"/>
        <v>0</v>
      </c>
      <c r="J630" s="25">
        <v>200</v>
      </c>
      <c r="K630" s="25">
        <f t="shared" si="174"/>
        <v>186.9816094</v>
      </c>
      <c r="L630" s="25">
        <f t="shared" si="170"/>
        <v>0</v>
      </c>
      <c r="M630" s="25">
        <f>I630+L630</f>
        <v>0</v>
      </c>
      <c r="N630" s="26"/>
      <c r="O630" s="663">
        <v>0.93490804699999996</v>
      </c>
    </row>
    <row r="631" spans="1:15" ht="18.95" customHeight="1">
      <c r="A631" s="573"/>
      <c r="B631" s="665" t="s">
        <v>2654</v>
      </c>
      <c r="C631" s="666"/>
      <c r="D631" s="660"/>
      <c r="E631" s="533">
        <v>0</v>
      </c>
      <c r="F631" s="30" t="s">
        <v>349</v>
      </c>
      <c r="G631" s="30">
        <v>4100</v>
      </c>
      <c r="H631" s="30">
        <f t="shared" si="166"/>
        <v>3833.1229926999999</v>
      </c>
      <c r="I631" s="30">
        <f t="shared" si="175"/>
        <v>0</v>
      </c>
      <c r="J631" s="25">
        <v>200</v>
      </c>
      <c r="K631" s="25">
        <f t="shared" si="174"/>
        <v>186.9816094</v>
      </c>
      <c r="L631" s="25">
        <f t="shared" si="170"/>
        <v>0</v>
      </c>
      <c r="M631" s="25">
        <f>I631+L631</f>
        <v>0</v>
      </c>
      <c r="N631" s="26"/>
      <c r="O631" s="663">
        <v>0.93490804699999996</v>
      </c>
    </row>
    <row r="632" spans="1:15" ht="18.95" customHeight="1">
      <c r="A632" s="667">
        <v>10.3</v>
      </c>
      <c r="B632" s="665" t="s">
        <v>2655</v>
      </c>
      <c r="C632" s="666"/>
      <c r="D632" s="660"/>
      <c r="E632" s="533"/>
      <c r="F632" s="30"/>
      <c r="G632" s="30"/>
      <c r="H632" s="30"/>
      <c r="I632" s="30"/>
      <c r="J632" s="25"/>
      <c r="K632" s="25"/>
      <c r="L632" s="25"/>
      <c r="M632" s="25"/>
      <c r="N632" s="26"/>
      <c r="O632" s="663">
        <v>0.93490804699999996</v>
      </c>
    </row>
    <row r="633" spans="1:15" ht="18.95" customHeight="1">
      <c r="A633" s="573"/>
      <c r="B633" s="665" t="s">
        <v>2656</v>
      </c>
      <c r="C633" s="666"/>
      <c r="D633" s="660"/>
      <c r="E633" s="533">
        <v>14</v>
      </c>
      <c r="F633" s="30" t="s">
        <v>349</v>
      </c>
      <c r="G633" s="30">
        <v>915</v>
      </c>
      <c r="H633" s="30">
        <f t="shared" si="166"/>
        <v>855.44086300499998</v>
      </c>
      <c r="I633" s="30">
        <f t="shared" si="175"/>
        <v>11976.172082069999</v>
      </c>
      <c r="J633" s="25">
        <v>150</v>
      </c>
      <c r="K633" s="25">
        <f t="shared" si="174"/>
        <v>140.23620704999999</v>
      </c>
      <c r="L633" s="25">
        <f t="shared" si="170"/>
        <v>1963.3068986999999</v>
      </c>
      <c r="M633" s="25">
        <f>I633+L633</f>
        <v>13939.47898077</v>
      </c>
      <c r="N633" s="26"/>
      <c r="O633" s="663">
        <v>0.93490804699999996</v>
      </c>
    </row>
    <row r="634" spans="1:15" ht="18.95" customHeight="1">
      <c r="A634" s="667">
        <v>10.4</v>
      </c>
      <c r="B634" s="665" t="s">
        <v>2657</v>
      </c>
      <c r="C634" s="666"/>
      <c r="D634" s="660"/>
      <c r="E634" s="533"/>
      <c r="F634" s="30"/>
      <c r="G634" s="30"/>
      <c r="H634" s="30"/>
      <c r="I634" s="30"/>
      <c r="J634" s="25"/>
      <c r="K634" s="25"/>
      <c r="L634" s="25"/>
      <c r="M634" s="25"/>
      <c r="N634" s="26"/>
      <c r="O634" s="663">
        <v>0.93490804699999996</v>
      </c>
    </row>
    <row r="635" spans="1:15" ht="18.95" customHeight="1">
      <c r="A635" s="573"/>
      <c r="B635" s="665" t="s">
        <v>2658</v>
      </c>
      <c r="C635" s="666"/>
      <c r="D635" s="660"/>
      <c r="E635" s="533">
        <v>5</v>
      </c>
      <c r="F635" s="30" t="s">
        <v>349</v>
      </c>
      <c r="G635" s="30">
        <v>2000</v>
      </c>
      <c r="H635" s="30">
        <f t="shared" ref="H635:H638" si="176">G635*O635</f>
        <v>1869.816094</v>
      </c>
      <c r="I635" s="30">
        <f t="shared" si="175"/>
        <v>9349.0804700000008</v>
      </c>
      <c r="J635" s="25">
        <v>250</v>
      </c>
      <c r="K635" s="25">
        <f t="shared" si="174"/>
        <v>233.72701175</v>
      </c>
      <c r="L635" s="25">
        <f t="shared" si="170"/>
        <v>1168.6350587500001</v>
      </c>
      <c r="M635" s="25">
        <f>I635+L635</f>
        <v>10517.715528750001</v>
      </c>
      <c r="N635" s="26"/>
      <c r="O635" s="663">
        <v>0.93490804699999996</v>
      </c>
    </row>
    <row r="636" spans="1:15" ht="18.95" customHeight="1">
      <c r="A636" s="573"/>
      <c r="B636" s="665" t="s">
        <v>2659</v>
      </c>
      <c r="C636" s="666"/>
      <c r="D636" s="660"/>
      <c r="E636" s="533">
        <v>5</v>
      </c>
      <c r="F636" s="30" t="s">
        <v>349</v>
      </c>
      <c r="G636" s="30">
        <v>2300</v>
      </c>
      <c r="H636" s="30">
        <f t="shared" si="176"/>
        <v>2150.2885080999999</v>
      </c>
      <c r="I636" s="30">
        <f t="shared" si="175"/>
        <v>10751.4425405</v>
      </c>
      <c r="J636" s="25">
        <v>250</v>
      </c>
      <c r="K636" s="25">
        <f t="shared" si="174"/>
        <v>233.72701175</v>
      </c>
      <c r="L636" s="25">
        <f t="shared" si="170"/>
        <v>1168.6350587500001</v>
      </c>
      <c r="M636" s="25">
        <f>I636+L636</f>
        <v>11920.07759925</v>
      </c>
      <c r="N636" s="26"/>
      <c r="O636" s="663">
        <v>0.93490804699999996</v>
      </c>
    </row>
    <row r="637" spans="1:15" ht="18.95" customHeight="1">
      <c r="A637" s="573"/>
      <c r="B637" s="665" t="s">
        <v>2660</v>
      </c>
      <c r="C637" s="666"/>
      <c r="D637" s="660"/>
      <c r="E637" s="533">
        <v>8</v>
      </c>
      <c r="F637" s="30" t="s">
        <v>349</v>
      </c>
      <c r="G637" s="30">
        <v>2780</v>
      </c>
      <c r="H637" s="30">
        <f t="shared" si="176"/>
        <v>2599.0443706599999</v>
      </c>
      <c r="I637" s="30">
        <f t="shared" si="175"/>
        <v>20792.354965279999</v>
      </c>
      <c r="J637" s="25">
        <v>250</v>
      </c>
      <c r="K637" s="25">
        <f t="shared" si="174"/>
        <v>233.72701175</v>
      </c>
      <c r="L637" s="25">
        <f t="shared" si="170"/>
        <v>1869.816094</v>
      </c>
      <c r="M637" s="25">
        <f>I637+L637</f>
        <v>22662.171059280001</v>
      </c>
      <c r="N637" s="26"/>
      <c r="O637" s="663">
        <v>0.93490804699999996</v>
      </c>
    </row>
    <row r="638" spans="1:15" ht="18.95" customHeight="1">
      <c r="A638" s="573"/>
      <c r="B638" s="665" t="s">
        <v>2661</v>
      </c>
      <c r="C638" s="666"/>
      <c r="D638" s="660"/>
      <c r="E638" s="533">
        <v>30</v>
      </c>
      <c r="F638" s="30" t="s">
        <v>349</v>
      </c>
      <c r="G638" s="30">
        <v>5560</v>
      </c>
      <c r="H638" s="30">
        <f t="shared" si="176"/>
        <v>5198.0887413199998</v>
      </c>
      <c r="I638" s="30">
        <f t="shared" si="175"/>
        <v>155942.6622396</v>
      </c>
      <c r="J638" s="25">
        <v>250</v>
      </c>
      <c r="K638" s="25">
        <f t="shared" si="174"/>
        <v>233.72701175</v>
      </c>
      <c r="L638" s="25">
        <f t="shared" si="170"/>
        <v>7011.8103524999997</v>
      </c>
      <c r="M638" s="25">
        <f>I638+L638</f>
        <v>162954.47259210001</v>
      </c>
      <c r="N638" s="26"/>
      <c r="O638" s="663">
        <v>0.93490804699999996</v>
      </c>
    </row>
    <row r="639" spans="1:15" ht="18.95" customHeight="1">
      <c r="A639" s="667">
        <v>10.5</v>
      </c>
      <c r="B639" s="665" t="s">
        <v>2662</v>
      </c>
      <c r="C639" s="666"/>
      <c r="D639" s="660"/>
      <c r="E639" s="533">
        <v>1</v>
      </c>
      <c r="F639" s="30" t="s">
        <v>2193</v>
      </c>
      <c r="G639" s="670">
        <f>SUM(I623:I638)*0.02</f>
        <v>10800.057758944</v>
      </c>
      <c r="H639" s="384">
        <f>G639</f>
        <v>10800.057758944</v>
      </c>
      <c r="I639" s="30">
        <f t="shared" si="175"/>
        <v>10800.057758944</v>
      </c>
      <c r="J639" s="676">
        <f>G639*0.3</f>
        <v>3240.0173276831997</v>
      </c>
      <c r="K639" s="25">
        <f>J639</f>
        <v>3240.0173276831997</v>
      </c>
      <c r="L639" s="25">
        <f t="shared" si="170"/>
        <v>3240.0173276831997</v>
      </c>
      <c r="M639" s="25">
        <f>I639+L639</f>
        <v>14040.075086627199</v>
      </c>
      <c r="N639" s="26"/>
      <c r="O639" s="663">
        <v>0.93490804699999996</v>
      </c>
    </row>
    <row r="640" spans="1:15" ht="18.95" customHeight="1">
      <c r="A640" s="265"/>
      <c r="B640" s="1275" t="s">
        <v>2663</v>
      </c>
      <c r="C640" s="1276"/>
      <c r="D640" s="1277"/>
      <c r="E640" s="646"/>
      <c r="F640" s="102"/>
      <c r="G640" s="34"/>
      <c r="H640" s="34"/>
      <c r="I640" s="34">
        <f>SUM(I622:I639)</f>
        <v>550802.94570614398</v>
      </c>
      <c r="J640" s="34"/>
      <c r="K640" s="34"/>
      <c r="L640" s="34">
        <f>SUM(L622:L639)</f>
        <v>229861.72792048322</v>
      </c>
      <c r="M640" s="34">
        <f>SUM(M622:M639)</f>
        <v>780664.67362662719</v>
      </c>
      <c r="N640" s="35"/>
      <c r="O640" s="663">
        <v>0.93490804699999996</v>
      </c>
    </row>
    <row r="641" spans="1:17" ht="18.95" customHeight="1">
      <c r="A641" s="648">
        <v>11</v>
      </c>
      <c r="B641" s="1182" t="s">
        <v>1982</v>
      </c>
      <c r="C641" s="650"/>
      <c r="D641" s="412"/>
      <c r="E641" s="646"/>
      <c r="F641" s="102"/>
      <c r="G641" s="34"/>
      <c r="H641" s="34"/>
      <c r="I641" s="34"/>
      <c r="J641" s="102"/>
      <c r="K641" s="102"/>
      <c r="L641" s="25"/>
      <c r="M641" s="102"/>
      <c r="N641" s="35"/>
      <c r="O641" s="663">
        <v>0.93490804699999996</v>
      </c>
    </row>
    <row r="642" spans="1:17" ht="18.95" customHeight="1">
      <c r="A642" s="651">
        <v>11.1</v>
      </c>
      <c r="B642" s="658" t="s">
        <v>2664</v>
      </c>
      <c r="C642" s="661"/>
      <c r="D642" s="412"/>
      <c r="E642" s="533">
        <v>23</v>
      </c>
      <c r="F642" s="30" t="s">
        <v>349</v>
      </c>
      <c r="G642" s="30">
        <v>1480</v>
      </c>
      <c r="H642" s="30">
        <f t="shared" ref="H642" si="177">G642*O642</f>
        <v>1383.6639095599999</v>
      </c>
      <c r="I642" s="30">
        <f t="shared" ref="I642" si="178">E642*H642</f>
        <v>31824.269919879996</v>
      </c>
      <c r="J642" s="25">
        <v>200</v>
      </c>
      <c r="K642" s="25">
        <f t="shared" ref="K642" si="179">J642*O642</f>
        <v>186.9816094</v>
      </c>
      <c r="L642" s="25">
        <f t="shared" si="170"/>
        <v>4300.5770161999999</v>
      </c>
      <c r="M642" s="25">
        <f>I642+L642</f>
        <v>36124.846936079994</v>
      </c>
      <c r="N642" s="26"/>
      <c r="O642" s="663">
        <v>0.93490804699999996</v>
      </c>
    </row>
    <row r="643" spans="1:17" ht="18.95" customHeight="1">
      <c r="A643" s="651">
        <v>11.2</v>
      </c>
      <c r="B643" s="658" t="s">
        <v>2665</v>
      </c>
      <c r="C643" s="661"/>
      <c r="D643" s="660"/>
      <c r="E643" s="533"/>
      <c r="F643" s="30"/>
      <c r="G643" s="30"/>
      <c r="H643" s="30"/>
      <c r="I643" s="30"/>
      <c r="J643" s="25"/>
      <c r="K643" s="25"/>
      <c r="L643" s="25"/>
      <c r="M643" s="25"/>
      <c r="N643" s="26"/>
      <c r="O643" s="663">
        <v>0.93490804699999996</v>
      </c>
    </row>
    <row r="644" spans="1:17" ht="18.95" customHeight="1">
      <c r="A644" s="573"/>
      <c r="B644" s="573" t="s">
        <v>273</v>
      </c>
      <c r="C644" s="659" t="s">
        <v>2666</v>
      </c>
      <c r="D644" s="660"/>
      <c r="E644" s="533">
        <v>20</v>
      </c>
      <c r="F644" s="1181" t="s">
        <v>286</v>
      </c>
      <c r="G644" s="30">
        <f>ROUND(45188/100,2)</f>
        <v>451.88</v>
      </c>
      <c r="H644" s="30">
        <f t="shared" ref="H644" si="180">G644*O644</f>
        <v>422.46624827835996</v>
      </c>
      <c r="I644" s="30">
        <f t="shared" ref="I644" si="181">E644*H644</f>
        <v>8449.3249655671989</v>
      </c>
      <c r="J644" s="25">
        <v>47</v>
      </c>
      <c r="K644" s="25">
        <f t="shared" ref="K644" si="182">J644*O644</f>
        <v>43.940678208999998</v>
      </c>
      <c r="L644" s="25">
        <f t="shared" si="170"/>
        <v>878.81356417999996</v>
      </c>
      <c r="M644" s="25">
        <f>I644+L644</f>
        <v>9328.1385297471988</v>
      </c>
      <c r="N644" s="26"/>
      <c r="O644" s="663">
        <v>0.93490804699999996</v>
      </c>
      <c r="P644" s="157" t="s">
        <v>2165</v>
      </c>
      <c r="Q644" s="157"/>
    </row>
    <row r="645" spans="1:17" ht="18.95" customHeight="1">
      <c r="A645" s="667">
        <v>11.3</v>
      </c>
      <c r="B645" s="690" t="s">
        <v>2667</v>
      </c>
      <c r="C645" s="659"/>
      <c r="D645" s="660"/>
      <c r="E645" s="533"/>
      <c r="F645" s="30"/>
      <c r="G645" s="25"/>
      <c r="H645" s="25"/>
      <c r="I645" s="25"/>
      <c r="J645" s="25"/>
      <c r="K645" s="25"/>
      <c r="L645" s="30"/>
      <c r="M645" s="25"/>
      <c r="N645" s="26"/>
      <c r="O645" s="663">
        <v>0.93490804699999996</v>
      </c>
      <c r="Q645" s="157"/>
    </row>
    <row r="646" spans="1:17" ht="18.95" customHeight="1">
      <c r="A646" s="573"/>
      <c r="B646" s="573" t="s">
        <v>273</v>
      </c>
      <c r="C646" s="659" t="s">
        <v>2668</v>
      </c>
      <c r="D646" s="660"/>
      <c r="E646" s="533">
        <v>1035</v>
      </c>
      <c r="F646" s="1181" t="s">
        <v>286</v>
      </c>
      <c r="G646" s="30">
        <v>267.8</v>
      </c>
      <c r="H646" s="30">
        <f t="shared" ref="H646:H652" si="183">G646*O646</f>
        <v>250.3683749866</v>
      </c>
      <c r="I646" s="30">
        <f t="shared" ref="I646:I652" si="184">E646*H646</f>
        <v>259131.26811113101</v>
      </c>
      <c r="J646" s="25">
        <v>45</v>
      </c>
      <c r="K646" s="25">
        <f t="shared" ref="K646:K652" si="185">J646*O646</f>
        <v>42.070862114999997</v>
      </c>
      <c r="L646" s="25">
        <f t="shared" ref="L646:L708" si="186">E646*K646</f>
        <v>43543.342289025</v>
      </c>
      <c r="M646" s="25">
        <f t="shared" ref="M646:M652" si="187">I646+L646</f>
        <v>302674.610400156</v>
      </c>
      <c r="N646" s="26"/>
      <c r="O646" s="663">
        <v>0.93490804699999996</v>
      </c>
      <c r="Q646" s="157"/>
    </row>
    <row r="647" spans="1:17" ht="18.95" customHeight="1">
      <c r="A647" s="573"/>
      <c r="B647" s="573" t="s">
        <v>273</v>
      </c>
      <c r="C647" s="659" t="s">
        <v>2669</v>
      </c>
      <c r="D647" s="660"/>
      <c r="E647" s="533">
        <v>350</v>
      </c>
      <c r="F647" s="1181" t="s">
        <v>286</v>
      </c>
      <c r="G647" s="30">
        <v>468</v>
      </c>
      <c r="H647" s="30">
        <f t="shared" si="183"/>
        <v>437.53696599599999</v>
      </c>
      <c r="I647" s="30">
        <f t="shared" si="184"/>
        <v>153137.93809859999</v>
      </c>
      <c r="J647" s="25">
        <v>60</v>
      </c>
      <c r="K647" s="25">
        <f t="shared" si="185"/>
        <v>56.094482819999996</v>
      </c>
      <c r="L647" s="25">
        <f t="shared" si="186"/>
        <v>19633.068986999999</v>
      </c>
      <c r="M647" s="25">
        <f t="shared" si="187"/>
        <v>172771.00708559999</v>
      </c>
      <c r="N647" s="26"/>
      <c r="O647" s="663">
        <v>0.93490804699999996</v>
      </c>
      <c r="Q647" s="157"/>
    </row>
    <row r="648" spans="1:17" ht="18.95" customHeight="1">
      <c r="A648" s="667">
        <v>11.4</v>
      </c>
      <c r="B648" s="690" t="s">
        <v>2670</v>
      </c>
      <c r="C648" s="659"/>
      <c r="D648" s="660"/>
      <c r="E648" s="533">
        <v>540</v>
      </c>
      <c r="F648" s="1181" t="s">
        <v>286</v>
      </c>
      <c r="G648" s="30">
        <v>630</v>
      </c>
      <c r="H648" s="30">
        <f t="shared" si="183"/>
        <v>588.99206960999993</v>
      </c>
      <c r="I648" s="30">
        <f t="shared" si="184"/>
        <v>318055.71758939995</v>
      </c>
      <c r="J648" s="25">
        <v>60</v>
      </c>
      <c r="K648" s="25">
        <f t="shared" si="185"/>
        <v>56.094482819999996</v>
      </c>
      <c r="L648" s="25">
        <f t="shared" si="186"/>
        <v>30291.020722799996</v>
      </c>
      <c r="M648" s="25">
        <f t="shared" si="187"/>
        <v>348346.73831219994</v>
      </c>
      <c r="N648" s="26"/>
      <c r="O648" s="663">
        <v>0.93490804699999996</v>
      </c>
      <c r="Q648" s="157"/>
    </row>
    <row r="649" spans="1:17" ht="18.95" customHeight="1">
      <c r="A649" s="667">
        <v>11.5</v>
      </c>
      <c r="B649" s="665" t="s">
        <v>2671</v>
      </c>
      <c r="C649" s="666"/>
      <c r="D649" s="660"/>
      <c r="E649" s="533">
        <v>1</v>
      </c>
      <c r="F649" s="30" t="s">
        <v>349</v>
      </c>
      <c r="G649" s="30">
        <v>2760</v>
      </c>
      <c r="H649" s="30">
        <f t="shared" si="183"/>
        <v>2580.3462097199999</v>
      </c>
      <c r="I649" s="30">
        <f t="shared" si="184"/>
        <v>2580.3462097199999</v>
      </c>
      <c r="J649" s="25">
        <v>100</v>
      </c>
      <c r="K649" s="25">
        <f t="shared" si="185"/>
        <v>93.490804699999998</v>
      </c>
      <c r="L649" s="25">
        <f t="shared" si="186"/>
        <v>93.490804699999998</v>
      </c>
      <c r="M649" s="25">
        <f t="shared" si="187"/>
        <v>2673.8370144199998</v>
      </c>
      <c r="N649" s="26"/>
      <c r="O649" s="663">
        <v>0.93490804699999996</v>
      </c>
      <c r="Q649" s="157"/>
    </row>
    <row r="650" spans="1:17" ht="18.95" customHeight="1">
      <c r="A650" s="667">
        <v>11.6</v>
      </c>
      <c r="B650" s="665" t="s">
        <v>2672</v>
      </c>
      <c r="C650" s="666"/>
      <c r="D650" s="660"/>
      <c r="E650" s="533">
        <v>10</v>
      </c>
      <c r="F650" s="30" t="s">
        <v>349</v>
      </c>
      <c r="G650" s="30">
        <v>2380</v>
      </c>
      <c r="H650" s="30">
        <f t="shared" si="183"/>
        <v>2225.0811518599999</v>
      </c>
      <c r="I650" s="30">
        <f t="shared" si="184"/>
        <v>22250.8115186</v>
      </c>
      <c r="J650" s="25">
        <v>100</v>
      </c>
      <c r="K650" s="25">
        <f t="shared" si="185"/>
        <v>93.490804699999998</v>
      </c>
      <c r="L650" s="25">
        <f t="shared" si="186"/>
        <v>934.90804700000001</v>
      </c>
      <c r="M650" s="25">
        <f t="shared" si="187"/>
        <v>23185.7195656</v>
      </c>
      <c r="N650" s="26"/>
      <c r="O650" s="663">
        <v>0.93490804699999996</v>
      </c>
      <c r="Q650" s="157"/>
    </row>
    <row r="651" spans="1:17" ht="18.95" customHeight="1">
      <c r="A651" s="667">
        <v>11.7</v>
      </c>
      <c r="B651" s="665" t="s">
        <v>2673</v>
      </c>
      <c r="C651" s="666"/>
      <c r="D651" s="660"/>
      <c r="E651" s="533">
        <v>23</v>
      </c>
      <c r="F651" s="30" t="s">
        <v>349</v>
      </c>
      <c r="G651" s="30">
        <v>1504</v>
      </c>
      <c r="H651" s="30">
        <f t="shared" si="183"/>
        <v>1406.1017026879999</v>
      </c>
      <c r="I651" s="30">
        <f t="shared" si="184"/>
        <v>32340.339161823998</v>
      </c>
      <c r="J651" s="25">
        <v>100</v>
      </c>
      <c r="K651" s="25">
        <f t="shared" si="185"/>
        <v>93.490804699999998</v>
      </c>
      <c r="L651" s="25">
        <f t="shared" si="186"/>
        <v>2150.2885080999999</v>
      </c>
      <c r="M651" s="25">
        <f t="shared" si="187"/>
        <v>34490.627669923997</v>
      </c>
      <c r="N651" s="26"/>
      <c r="O651" s="663">
        <v>0.93490804699999996</v>
      </c>
      <c r="Q651" s="157"/>
    </row>
    <row r="652" spans="1:17" ht="18.95" customHeight="1">
      <c r="A652" s="667">
        <v>11.8</v>
      </c>
      <c r="B652" s="665" t="s">
        <v>2674</v>
      </c>
      <c r="C652" s="666"/>
      <c r="D652" s="660"/>
      <c r="E652" s="533">
        <v>65</v>
      </c>
      <c r="F652" s="30" t="s">
        <v>349</v>
      </c>
      <c r="G652" s="30">
        <v>1840</v>
      </c>
      <c r="H652" s="30">
        <f t="shared" si="183"/>
        <v>1720.23080648</v>
      </c>
      <c r="I652" s="30">
        <f t="shared" si="184"/>
        <v>111815.0024212</v>
      </c>
      <c r="J652" s="25">
        <v>300</v>
      </c>
      <c r="K652" s="25">
        <f t="shared" si="185"/>
        <v>280.47241409999998</v>
      </c>
      <c r="L652" s="25">
        <f t="shared" si="186"/>
        <v>18230.706916499999</v>
      </c>
      <c r="M652" s="25">
        <f t="shared" si="187"/>
        <v>130045.7093377</v>
      </c>
      <c r="N652" s="26"/>
      <c r="O652" s="663">
        <v>0.93490804699999996</v>
      </c>
      <c r="Q652" s="157"/>
    </row>
    <row r="653" spans="1:17" ht="18.95" customHeight="1">
      <c r="A653" s="667">
        <v>11.9</v>
      </c>
      <c r="B653" s="665" t="s">
        <v>2675</v>
      </c>
      <c r="C653" s="666"/>
      <c r="D653" s="660"/>
      <c r="E653" s="533"/>
      <c r="F653" s="30"/>
      <c r="G653" s="30"/>
      <c r="H653" s="30"/>
      <c r="I653" s="30"/>
      <c r="J653" s="25"/>
      <c r="K653" s="25"/>
      <c r="L653" s="25"/>
      <c r="M653" s="25"/>
      <c r="N653" s="26"/>
      <c r="O653" s="663">
        <v>0.93490804699999996</v>
      </c>
      <c r="Q653" s="157"/>
    </row>
    <row r="654" spans="1:17" ht="18.95" customHeight="1">
      <c r="A654" s="573" t="s">
        <v>2676</v>
      </c>
      <c r="B654" s="665" t="s">
        <v>2199</v>
      </c>
      <c r="C654" s="666"/>
      <c r="D654" s="660"/>
      <c r="E654" s="533"/>
      <c r="F654" s="30"/>
      <c r="G654" s="25"/>
      <c r="H654" s="25"/>
      <c r="I654" s="25"/>
      <c r="J654" s="25"/>
      <c r="K654" s="25"/>
      <c r="L654" s="25"/>
      <c r="M654" s="25"/>
      <c r="N654" s="26"/>
      <c r="O654" s="663">
        <v>0.93490804699999996</v>
      </c>
      <c r="Q654" s="157"/>
    </row>
    <row r="655" spans="1:17" ht="18.95" customHeight="1">
      <c r="A655" s="573"/>
      <c r="B655" s="573" t="s">
        <v>273</v>
      </c>
      <c r="C655" s="666" t="s">
        <v>2677</v>
      </c>
      <c r="D655" s="660"/>
      <c r="E655" s="533">
        <v>20</v>
      </c>
      <c r="F655" s="30" t="s">
        <v>286</v>
      </c>
      <c r="G655" s="30">
        <f>ROUND(354.2/3,2)</f>
        <v>118.07</v>
      </c>
      <c r="H655" s="30">
        <f t="shared" ref="H655" si="188">G655*O655</f>
        <v>110.38459310928999</v>
      </c>
      <c r="I655" s="30">
        <f t="shared" ref="I655" si="189">E655*H655</f>
        <v>2207.6918621857999</v>
      </c>
      <c r="J655" s="25">
        <v>32</v>
      </c>
      <c r="K655" s="25">
        <f t="shared" ref="K655" si="190">J655*O655</f>
        <v>29.917057503999999</v>
      </c>
      <c r="L655" s="25">
        <f t="shared" si="186"/>
        <v>598.34115008000003</v>
      </c>
      <c r="M655" s="25">
        <f>I655+L655</f>
        <v>2806.0330122657997</v>
      </c>
      <c r="N655" s="26"/>
      <c r="O655" s="663">
        <v>0.93490804699999996</v>
      </c>
      <c r="P655" s="157" t="s">
        <v>2165</v>
      </c>
      <c r="Q655" s="157"/>
    </row>
    <row r="656" spans="1:17" ht="18.95" customHeight="1">
      <c r="A656" s="573" t="s">
        <v>2678</v>
      </c>
      <c r="B656" s="665" t="s">
        <v>2679</v>
      </c>
      <c r="C656" s="666" t="s">
        <v>2679</v>
      </c>
      <c r="D656" s="660"/>
      <c r="E656" s="533"/>
      <c r="F656" s="30"/>
      <c r="G656" s="25"/>
      <c r="H656" s="25"/>
      <c r="I656" s="25"/>
      <c r="J656" s="25"/>
      <c r="K656" s="25"/>
      <c r="L656" s="25"/>
      <c r="M656" s="25"/>
      <c r="N656" s="26"/>
      <c r="O656" s="663">
        <v>0.93490804699999996</v>
      </c>
      <c r="Q656" s="157"/>
    </row>
    <row r="657" spans="1:17" ht="18.95" customHeight="1">
      <c r="A657" s="573"/>
      <c r="B657" s="573" t="s">
        <v>273</v>
      </c>
      <c r="C657" s="666" t="s">
        <v>2677</v>
      </c>
      <c r="D657" s="660"/>
      <c r="E657" s="533">
        <v>516</v>
      </c>
      <c r="F657" s="30" t="s">
        <v>286</v>
      </c>
      <c r="G657" s="30">
        <v>27</v>
      </c>
      <c r="H657" s="30">
        <f t="shared" ref="H657:H658" si="191">G657*O657</f>
        <v>25.242517269</v>
      </c>
      <c r="I657" s="30">
        <f t="shared" ref="I657:I658" si="192">E657*H657</f>
        <v>13025.138910804</v>
      </c>
      <c r="J657" s="25">
        <v>25</v>
      </c>
      <c r="K657" s="25">
        <f t="shared" ref="K657:K658" si="193">J657*O657</f>
        <v>23.372701175</v>
      </c>
      <c r="L657" s="25">
        <f t="shared" si="186"/>
        <v>12060.313806300001</v>
      </c>
      <c r="M657" s="25">
        <f>I657+L657</f>
        <v>25085.452717104003</v>
      </c>
      <c r="N657" s="26"/>
      <c r="O657" s="663">
        <v>0.93490804699999996</v>
      </c>
      <c r="Q657" s="157"/>
    </row>
    <row r="658" spans="1:17" ht="18.95" customHeight="1">
      <c r="A658" s="667">
        <v>11.9</v>
      </c>
      <c r="B658" s="665" t="s">
        <v>2680</v>
      </c>
      <c r="C658" s="666" t="s">
        <v>2680</v>
      </c>
      <c r="D658" s="660"/>
      <c r="E658" s="533">
        <v>1</v>
      </c>
      <c r="F658" s="30" t="s">
        <v>2193</v>
      </c>
      <c r="G658" s="30">
        <v>100000</v>
      </c>
      <c r="H658" s="30">
        <f t="shared" si="191"/>
        <v>93490.804699999993</v>
      </c>
      <c r="I658" s="30">
        <f t="shared" si="192"/>
        <v>93490.804699999993</v>
      </c>
      <c r="J658" s="25">
        <v>20000</v>
      </c>
      <c r="K658" s="25">
        <f t="shared" si="193"/>
        <v>18698.160939999998</v>
      </c>
      <c r="L658" s="25">
        <f t="shared" si="186"/>
        <v>18698.160939999998</v>
      </c>
      <c r="M658" s="25">
        <f>I658+L658</f>
        <v>112188.96563999999</v>
      </c>
      <c r="N658" s="26"/>
      <c r="O658" s="663">
        <v>0.93490804699999996</v>
      </c>
    </row>
    <row r="659" spans="1:17" ht="18.95" customHeight="1">
      <c r="A659" s="265"/>
      <c r="B659" s="1275" t="s">
        <v>2681</v>
      </c>
      <c r="C659" s="1276"/>
      <c r="D659" s="1277"/>
      <c r="E659" s="646"/>
      <c r="F659" s="102"/>
      <c r="G659" s="34"/>
      <c r="H659" s="34"/>
      <c r="I659" s="34">
        <f>SUM(I642:I658)</f>
        <v>1048308.6534689119</v>
      </c>
      <c r="J659" s="34"/>
      <c r="K659" s="34"/>
      <c r="L659" s="34">
        <f>SUM(L642:L658)</f>
        <v>151413.03275188501</v>
      </c>
      <c r="M659" s="34">
        <f>SUM(M642:M658)</f>
        <v>1199721.686220797</v>
      </c>
      <c r="N659" s="35"/>
      <c r="O659" s="663">
        <v>0.93490804699999996</v>
      </c>
    </row>
    <row r="660" spans="1:17" ht="18.95" customHeight="1">
      <c r="A660" s="265"/>
      <c r="B660" s="256"/>
      <c r="C660" s="647"/>
      <c r="D660" s="258"/>
      <c r="E660" s="646"/>
      <c r="F660" s="102"/>
      <c r="G660" s="34"/>
      <c r="H660" s="34"/>
      <c r="I660" s="34"/>
      <c r="J660" s="34"/>
      <c r="K660" s="34"/>
      <c r="L660" s="25"/>
      <c r="M660" s="34"/>
      <c r="N660" s="35"/>
      <c r="O660" s="663">
        <v>0.93490804699999996</v>
      </c>
    </row>
    <row r="661" spans="1:17" ht="18.95" customHeight="1">
      <c r="A661" s="648">
        <v>12</v>
      </c>
      <c r="B661" s="1182" t="s">
        <v>1983</v>
      </c>
      <c r="C661" s="650"/>
      <c r="D661" s="412"/>
      <c r="E661" s="646"/>
      <c r="F661" s="102"/>
      <c r="G661" s="34"/>
      <c r="H661" s="34"/>
      <c r="I661" s="34"/>
      <c r="J661" s="102"/>
      <c r="K661" s="102"/>
      <c r="L661" s="25"/>
      <c r="M661" s="102"/>
      <c r="N661" s="35"/>
      <c r="O661" s="663">
        <v>0.93490804699999996</v>
      </c>
    </row>
    <row r="662" spans="1:17" ht="18.95" customHeight="1">
      <c r="A662" s="651">
        <v>12.1</v>
      </c>
      <c r="B662" s="652" t="s">
        <v>2682</v>
      </c>
      <c r="C662" s="657"/>
      <c r="D662" s="412"/>
      <c r="E662" s="533">
        <v>30</v>
      </c>
      <c r="F662" s="30" t="s">
        <v>2683</v>
      </c>
      <c r="G662" s="30">
        <v>15000</v>
      </c>
      <c r="H662" s="30">
        <f t="shared" ref="H662" si="194">G662*O662</f>
        <v>14023.620704999999</v>
      </c>
      <c r="I662" s="30">
        <f t="shared" ref="I662" si="195">E662*H662</f>
        <v>420708.62114999996</v>
      </c>
      <c r="J662" s="25">
        <v>2000</v>
      </c>
      <c r="K662" s="25">
        <f t="shared" ref="K662" si="196">J662*O662</f>
        <v>1869.816094</v>
      </c>
      <c r="L662" s="25">
        <f t="shared" si="186"/>
        <v>56094.482819999997</v>
      </c>
      <c r="M662" s="25">
        <f>I662+L662</f>
        <v>476803.10396999994</v>
      </c>
      <c r="N662" s="26"/>
      <c r="O662" s="663">
        <v>0.93490804699999996</v>
      </c>
    </row>
    <row r="663" spans="1:17" ht="18.95" customHeight="1">
      <c r="A663" s="265"/>
      <c r="B663" s="1275" t="s">
        <v>2684</v>
      </c>
      <c r="C663" s="1276"/>
      <c r="D663" s="1277"/>
      <c r="E663" s="646"/>
      <c r="F663" s="102"/>
      <c r="G663" s="34"/>
      <c r="H663" s="34"/>
      <c r="I663" s="34">
        <f>SUM(I662:I662)</f>
        <v>420708.62114999996</v>
      </c>
      <c r="J663" s="34"/>
      <c r="K663" s="34"/>
      <c r="L663" s="34">
        <f>SUM(L662:L662)</f>
        <v>56094.482819999997</v>
      </c>
      <c r="M663" s="34">
        <f>SUM(M662:M662)</f>
        <v>476803.10396999994</v>
      </c>
      <c r="N663" s="35"/>
      <c r="O663" s="663">
        <v>0.93490804699999996</v>
      </c>
    </row>
    <row r="664" spans="1:17" ht="18.95" customHeight="1">
      <c r="A664" s="265"/>
      <c r="B664" s="256"/>
      <c r="C664" s="647"/>
      <c r="D664" s="258"/>
      <c r="E664" s="646"/>
      <c r="F664" s="102"/>
      <c r="G664" s="34"/>
      <c r="H664" s="34"/>
      <c r="I664" s="34"/>
      <c r="J664" s="34"/>
      <c r="K664" s="34"/>
      <c r="L664" s="25"/>
      <c r="M664" s="34"/>
      <c r="N664" s="35"/>
      <c r="O664" s="663">
        <v>0.93490804699999996</v>
      </c>
    </row>
    <row r="665" spans="1:17" ht="18.95" customHeight="1">
      <c r="A665" s="648">
        <v>13</v>
      </c>
      <c r="B665" s="1182" t="s">
        <v>1984</v>
      </c>
      <c r="C665" s="650"/>
      <c r="D665" s="691"/>
      <c r="E665" s="102"/>
      <c r="F665" s="102"/>
      <c r="G665" s="34"/>
      <c r="H665" s="34"/>
      <c r="I665" s="34"/>
      <c r="J665" s="102"/>
      <c r="K665" s="102"/>
      <c r="L665" s="25"/>
      <c r="M665" s="102"/>
      <c r="N665" s="35"/>
      <c r="O665" s="663">
        <v>0.93490804699999996</v>
      </c>
    </row>
    <row r="666" spans="1:17" ht="18.95" customHeight="1">
      <c r="A666" s="651">
        <v>13.1</v>
      </c>
      <c r="B666" s="658" t="s">
        <v>2685</v>
      </c>
      <c r="C666" s="661"/>
      <c r="D666" s="691"/>
      <c r="E666" s="30"/>
      <c r="F666" s="30"/>
      <c r="G666" s="30"/>
      <c r="H666" s="30"/>
      <c r="I666" s="30"/>
      <c r="J666" s="25"/>
      <c r="K666" s="25"/>
      <c r="L666" s="25"/>
      <c r="M666" s="25"/>
      <c r="N666" s="26"/>
      <c r="O666" s="663">
        <v>0.93490804699999996</v>
      </c>
    </row>
    <row r="667" spans="1:17" ht="18.95" customHeight="1">
      <c r="A667" s="573"/>
      <c r="B667" s="573" t="s">
        <v>273</v>
      </c>
      <c r="C667" s="659" t="s">
        <v>2686</v>
      </c>
      <c r="D667" s="692"/>
      <c r="E667" s="30">
        <v>1</v>
      </c>
      <c r="F667" s="30" t="s">
        <v>349</v>
      </c>
      <c r="G667" s="30">
        <v>44000</v>
      </c>
      <c r="H667" s="30">
        <f t="shared" ref="H667:H676" si="197">G667*O667</f>
        <v>41135.954067999999</v>
      </c>
      <c r="I667" s="30">
        <f t="shared" ref="I667:I676" si="198">E667*H667</f>
        <v>41135.954067999999</v>
      </c>
      <c r="J667" s="25">
        <v>1000</v>
      </c>
      <c r="K667" s="25">
        <f t="shared" ref="K667:K676" si="199">J667*O667</f>
        <v>934.90804700000001</v>
      </c>
      <c r="L667" s="25">
        <f t="shared" si="186"/>
        <v>934.90804700000001</v>
      </c>
      <c r="M667" s="25">
        <f t="shared" ref="M667:M676" si="200">I667+L667</f>
        <v>42070.862114999996</v>
      </c>
      <c r="N667" s="26"/>
      <c r="O667" s="663">
        <v>0.93490804699999996</v>
      </c>
    </row>
    <row r="668" spans="1:17" ht="18.95" customHeight="1">
      <c r="A668" s="573"/>
      <c r="B668" s="573" t="s">
        <v>273</v>
      </c>
      <c r="C668" s="659" t="s">
        <v>2687</v>
      </c>
      <c r="D668" s="692"/>
      <c r="E668" s="30">
        <v>1</v>
      </c>
      <c r="F668" s="30" t="s">
        <v>349</v>
      </c>
      <c r="G668" s="30">
        <v>30098</v>
      </c>
      <c r="H668" s="30">
        <f t="shared" si="197"/>
        <v>28138.862398605997</v>
      </c>
      <c r="I668" s="30">
        <f t="shared" si="198"/>
        <v>28138.862398605997</v>
      </c>
      <c r="J668" s="25">
        <v>1000</v>
      </c>
      <c r="K668" s="25">
        <f t="shared" si="199"/>
        <v>934.90804700000001</v>
      </c>
      <c r="L668" s="25">
        <f t="shared" si="186"/>
        <v>934.90804700000001</v>
      </c>
      <c r="M668" s="25">
        <f t="shared" si="200"/>
        <v>29073.770445605998</v>
      </c>
      <c r="N668" s="26"/>
      <c r="O668" s="663">
        <v>0.93490804699999996</v>
      </c>
    </row>
    <row r="669" spans="1:17" ht="18.95" customHeight="1">
      <c r="A669" s="573"/>
      <c r="B669" s="573" t="s">
        <v>273</v>
      </c>
      <c r="C669" s="659" t="s">
        <v>2688</v>
      </c>
      <c r="D669" s="692"/>
      <c r="E669" s="30">
        <v>1</v>
      </c>
      <c r="F669" s="30" t="s">
        <v>349</v>
      </c>
      <c r="G669" s="30">
        <f>65975*0.4</f>
        <v>26390</v>
      </c>
      <c r="H669" s="30">
        <f t="shared" si="197"/>
        <v>24672.223360329997</v>
      </c>
      <c r="I669" s="30">
        <f t="shared" si="198"/>
        <v>24672.223360329997</v>
      </c>
      <c r="J669" s="25">
        <v>0</v>
      </c>
      <c r="K669" s="25">
        <f t="shared" si="199"/>
        <v>0</v>
      </c>
      <c r="L669" s="25">
        <f t="shared" si="186"/>
        <v>0</v>
      </c>
      <c r="M669" s="25">
        <f t="shared" si="200"/>
        <v>24672.223360329997</v>
      </c>
      <c r="N669" s="26"/>
      <c r="O669" s="663">
        <v>0.93490804699999996</v>
      </c>
    </row>
    <row r="670" spans="1:17" ht="18.95" customHeight="1">
      <c r="A670" s="573"/>
      <c r="B670" s="573" t="s">
        <v>273</v>
      </c>
      <c r="C670" s="659" t="s">
        <v>2689</v>
      </c>
      <c r="D670" s="692"/>
      <c r="E670" s="30">
        <v>1</v>
      </c>
      <c r="F670" s="30" t="s">
        <v>349</v>
      </c>
      <c r="G670" s="30">
        <v>3000</v>
      </c>
      <c r="H670" s="30">
        <f t="shared" si="197"/>
        <v>2804.7241409999997</v>
      </c>
      <c r="I670" s="30">
        <f t="shared" si="198"/>
        <v>2804.7241409999997</v>
      </c>
      <c r="J670" s="25">
        <v>1000</v>
      </c>
      <c r="K670" s="25">
        <f t="shared" si="199"/>
        <v>934.90804700000001</v>
      </c>
      <c r="L670" s="25">
        <f t="shared" si="186"/>
        <v>934.90804700000001</v>
      </c>
      <c r="M670" s="25">
        <f t="shared" si="200"/>
        <v>3739.6321879999996</v>
      </c>
      <c r="N670" s="26"/>
      <c r="O670" s="663">
        <v>0.93490804699999996</v>
      </c>
    </row>
    <row r="671" spans="1:17" ht="18.95" customHeight="1">
      <c r="A671" s="573"/>
      <c r="B671" s="573" t="s">
        <v>273</v>
      </c>
      <c r="C671" s="659" t="s">
        <v>2690</v>
      </c>
      <c r="D671" s="692"/>
      <c r="E671" s="30">
        <v>1</v>
      </c>
      <c r="F671" s="30" t="s">
        <v>349</v>
      </c>
      <c r="G671" s="30">
        <f>26900*0.4</f>
        <v>10760</v>
      </c>
      <c r="H671" s="30">
        <f t="shared" si="197"/>
        <v>10059.61058572</v>
      </c>
      <c r="I671" s="30">
        <f t="shared" si="198"/>
        <v>10059.61058572</v>
      </c>
      <c r="J671" s="25">
        <v>1000</v>
      </c>
      <c r="K671" s="25">
        <f t="shared" si="199"/>
        <v>934.90804700000001</v>
      </c>
      <c r="L671" s="25">
        <f t="shared" si="186"/>
        <v>934.90804700000001</v>
      </c>
      <c r="M671" s="25">
        <f t="shared" si="200"/>
        <v>10994.518632720001</v>
      </c>
      <c r="N671" s="26"/>
      <c r="O671" s="663">
        <v>0.93490804699999996</v>
      </c>
    </row>
    <row r="672" spans="1:17" ht="18.95" customHeight="1">
      <c r="A672" s="573"/>
      <c r="B672" s="573" t="s">
        <v>273</v>
      </c>
      <c r="C672" s="659" t="s">
        <v>2691</v>
      </c>
      <c r="D672" s="692"/>
      <c r="E672" s="30">
        <v>1</v>
      </c>
      <c r="F672" s="30" t="s">
        <v>349</v>
      </c>
      <c r="G672" s="30">
        <v>6400</v>
      </c>
      <c r="H672" s="30">
        <f t="shared" si="197"/>
        <v>5983.4115007999999</v>
      </c>
      <c r="I672" s="30">
        <f t="shared" si="198"/>
        <v>5983.4115007999999</v>
      </c>
      <c r="J672" s="25">
        <v>500</v>
      </c>
      <c r="K672" s="25">
        <f t="shared" si="199"/>
        <v>467.45402350000001</v>
      </c>
      <c r="L672" s="25">
        <f t="shared" si="186"/>
        <v>467.45402350000001</v>
      </c>
      <c r="M672" s="25">
        <f t="shared" si="200"/>
        <v>6450.8655243000003</v>
      </c>
      <c r="N672" s="26"/>
      <c r="O672" s="663">
        <v>0.93490804699999996</v>
      </c>
    </row>
    <row r="673" spans="1:15" ht="18.95" customHeight="1">
      <c r="A673" s="573"/>
      <c r="B673" s="573" t="s">
        <v>273</v>
      </c>
      <c r="C673" s="659" t="s">
        <v>2692</v>
      </c>
      <c r="D673" s="692"/>
      <c r="E673" s="30">
        <v>0</v>
      </c>
      <c r="F673" s="30" t="s">
        <v>349</v>
      </c>
      <c r="G673" s="30">
        <v>44000</v>
      </c>
      <c r="H673" s="30">
        <f t="shared" si="197"/>
        <v>41135.954067999999</v>
      </c>
      <c r="I673" s="30">
        <f t="shared" si="198"/>
        <v>0</v>
      </c>
      <c r="J673" s="25">
        <v>1000</v>
      </c>
      <c r="K673" s="25">
        <f t="shared" si="199"/>
        <v>934.90804700000001</v>
      </c>
      <c r="L673" s="25">
        <f t="shared" si="186"/>
        <v>0</v>
      </c>
      <c r="M673" s="25">
        <f t="shared" si="200"/>
        <v>0</v>
      </c>
      <c r="N673" s="26"/>
      <c r="O673" s="663">
        <v>0.93490804699999996</v>
      </c>
    </row>
    <row r="674" spans="1:15" ht="18.95" customHeight="1">
      <c r="A674" s="573"/>
      <c r="B674" s="573" t="s">
        <v>273</v>
      </c>
      <c r="C674" s="659" t="s">
        <v>2693</v>
      </c>
      <c r="D674" s="692"/>
      <c r="E674" s="30">
        <v>1</v>
      </c>
      <c r="F674" s="30" t="s">
        <v>349</v>
      </c>
      <c r="G674" s="30">
        <v>51500</v>
      </c>
      <c r="H674" s="30">
        <f t="shared" si="197"/>
        <v>48147.764420499996</v>
      </c>
      <c r="I674" s="30">
        <f t="shared" si="198"/>
        <v>48147.764420499996</v>
      </c>
      <c r="J674" s="25">
        <v>0</v>
      </c>
      <c r="K674" s="25">
        <f t="shared" si="199"/>
        <v>0</v>
      </c>
      <c r="L674" s="25">
        <f t="shared" si="186"/>
        <v>0</v>
      </c>
      <c r="M674" s="25">
        <f t="shared" si="200"/>
        <v>48147.764420499996</v>
      </c>
      <c r="N674" s="26"/>
      <c r="O674" s="663">
        <v>0.93490804699999996</v>
      </c>
    </row>
    <row r="675" spans="1:15" ht="18.95" customHeight="1">
      <c r="A675" s="573"/>
      <c r="B675" s="573" t="s">
        <v>273</v>
      </c>
      <c r="C675" s="659" t="s">
        <v>2694</v>
      </c>
      <c r="D675" s="692"/>
      <c r="E675" s="30">
        <v>1</v>
      </c>
      <c r="F675" s="30" t="s">
        <v>349</v>
      </c>
      <c r="G675" s="30">
        <v>5000</v>
      </c>
      <c r="H675" s="30">
        <f t="shared" si="197"/>
        <v>4674.5402349999995</v>
      </c>
      <c r="I675" s="30">
        <f t="shared" si="198"/>
        <v>4674.5402349999995</v>
      </c>
      <c r="J675" s="25">
        <v>1000</v>
      </c>
      <c r="K675" s="25">
        <f t="shared" si="199"/>
        <v>934.90804700000001</v>
      </c>
      <c r="L675" s="25">
        <f t="shared" si="186"/>
        <v>934.90804700000001</v>
      </c>
      <c r="M675" s="25">
        <f t="shared" si="200"/>
        <v>5609.4482819999994</v>
      </c>
      <c r="N675" s="26"/>
      <c r="O675" s="663">
        <v>0.93490804699999996</v>
      </c>
    </row>
    <row r="676" spans="1:15" ht="18.95" customHeight="1">
      <c r="A676" s="573"/>
      <c r="B676" s="573" t="s">
        <v>273</v>
      </c>
      <c r="C676" s="659" t="s">
        <v>2695</v>
      </c>
      <c r="D676" s="692"/>
      <c r="E676" s="30">
        <v>1</v>
      </c>
      <c r="F676" s="30" t="s">
        <v>349</v>
      </c>
      <c r="G676" s="30">
        <v>5182</v>
      </c>
      <c r="H676" s="30">
        <f t="shared" si="197"/>
        <v>4844.6934995539996</v>
      </c>
      <c r="I676" s="30">
        <f t="shared" si="198"/>
        <v>4844.6934995539996</v>
      </c>
      <c r="J676" s="25">
        <v>1000</v>
      </c>
      <c r="K676" s="25">
        <f t="shared" si="199"/>
        <v>934.90804700000001</v>
      </c>
      <c r="L676" s="25">
        <f t="shared" si="186"/>
        <v>934.90804700000001</v>
      </c>
      <c r="M676" s="25">
        <f t="shared" si="200"/>
        <v>5779.6015465539995</v>
      </c>
      <c r="N676" s="26"/>
      <c r="O676" s="663">
        <v>0.93490804699999996</v>
      </c>
    </row>
    <row r="677" spans="1:15" ht="18.95" customHeight="1">
      <c r="A677" s="667">
        <v>13.2</v>
      </c>
      <c r="B677" s="665" t="s">
        <v>2696</v>
      </c>
      <c r="C677" s="666"/>
      <c r="D677" s="692"/>
      <c r="E677" s="30"/>
      <c r="F677" s="30"/>
      <c r="G677" s="25"/>
      <c r="H677" s="25"/>
      <c r="I677" s="25"/>
      <c r="J677" s="25"/>
      <c r="K677" s="25"/>
      <c r="L677" s="25"/>
      <c r="M677" s="25"/>
      <c r="N677" s="26"/>
      <c r="O677" s="663">
        <v>0.93490804699999996</v>
      </c>
    </row>
    <row r="678" spans="1:15" ht="18.95" customHeight="1">
      <c r="A678" s="573" t="s">
        <v>2697</v>
      </c>
      <c r="B678" s="665" t="s">
        <v>2698</v>
      </c>
      <c r="C678" s="666"/>
      <c r="D678" s="692"/>
      <c r="E678" s="533"/>
      <c r="F678" s="30"/>
      <c r="G678" s="25"/>
      <c r="H678" s="25"/>
      <c r="I678" s="25"/>
      <c r="J678" s="25"/>
      <c r="K678" s="25"/>
      <c r="L678" s="25"/>
      <c r="M678" s="25"/>
      <c r="N678" s="26"/>
      <c r="O678" s="663">
        <v>0.93490804699999996</v>
      </c>
    </row>
    <row r="679" spans="1:15" ht="18.95" customHeight="1">
      <c r="A679" s="573"/>
      <c r="B679" s="665" t="s">
        <v>2699</v>
      </c>
      <c r="C679" s="666"/>
      <c r="D679" s="660"/>
      <c r="E679" s="533"/>
      <c r="F679" s="30"/>
      <c r="G679" s="25"/>
      <c r="H679" s="25"/>
      <c r="I679" s="25"/>
      <c r="J679" s="25"/>
      <c r="K679" s="25"/>
      <c r="L679" s="25"/>
      <c r="M679" s="25"/>
      <c r="N679" s="26"/>
      <c r="O679" s="663">
        <v>0.93490804699999996</v>
      </c>
    </row>
    <row r="680" spans="1:15" ht="18.95" customHeight="1">
      <c r="A680" s="573"/>
      <c r="B680" s="573" t="s">
        <v>273</v>
      </c>
      <c r="C680" s="666" t="s">
        <v>2700</v>
      </c>
      <c r="D680" s="660"/>
      <c r="E680" s="533">
        <v>2</v>
      </c>
      <c r="F680" s="30" t="s">
        <v>349</v>
      </c>
      <c r="G680" s="30">
        <v>13400</v>
      </c>
      <c r="H680" s="30">
        <f t="shared" ref="H680:H742" si="201">G680*O680</f>
        <v>12527.767829799999</v>
      </c>
      <c r="I680" s="30">
        <f t="shared" ref="I680:I742" si="202">E680*H680</f>
        <v>25055.535659599998</v>
      </c>
      <c r="J680" s="25">
        <v>500</v>
      </c>
      <c r="K680" s="25">
        <f t="shared" ref="K680:K682" si="203">J680*O680</f>
        <v>467.45402350000001</v>
      </c>
      <c r="L680" s="25">
        <f t="shared" si="186"/>
        <v>934.90804700000001</v>
      </c>
      <c r="M680" s="25">
        <f>I680+L680</f>
        <v>25990.443706599999</v>
      </c>
      <c r="N680" s="26"/>
      <c r="O680" s="663">
        <v>0.93490804699999996</v>
      </c>
    </row>
    <row r="681" spans="1:15" ht="18.95" customHeight="1">
      <c r="A681" s="573"/>
      <c r="B681" s="573" t="s">
        <v>273</v>
      </c>
      <c r="C681" s="666" t="s">
        <v>2691</v>
      </c>
      <c r="D681" s="660"/>
      <c r="E681" s="533">
        <v>1</v>
      </c>
      <c r="F681" s="30" t="s">
        <v>349</v>
      </c>
      <c r="G681" s="30">
        <v>6400</v>
      </c>
      <c r="H681" s="30">
        <f t="shared" si="201"/>
        <v>5983.4115007999999</v>
      </c>
      <c r="I681" s="30">
        <f t="shared" si="202"/>
        <v>5983.4115007999999</v>
      </c>
      <c r="J681" s="25">
        <v>500</v>
      </c>
      <c r="K681" s="25">
        <f t="shared" si="203"/>
        <v>467.45402350000001</v>
      </c>
      <c r="L681" s="25">
        <f t="shared" si="186"/>
        <v>467.45402350000001</v>
      </c>
      <c r="M681" s="25">
        <f>I681+L681</f>
        <v>6450.8655243000003</v>
      </c>
      <c r="N681" s="288"/>
      <c r="O681" s="663">
        <v>0.93490804699999996</v>
      </c>
    </row>
    <row r="682" spans="1:15" ht="18.95" customHeight="1">
      <c r="A682" s="573"/>
      <c r="B682" s="573" t="s">
        <v>273</v>
      </c>
      <c r="C682" s="666" t="s">
        <v>2694</v>
      </c>
      <c r="D682" s="660"/>
      <c r="E682" s="533">
        <v>1</v>
      </c>
      <c r="F682" s="30" t="s">
        <v>349</v>
      </c>
      <c r="G682" s="30">
        <v>5000</v>
      </c>
      <c r="H682" s="30">
        <f t="shared" si="201"/>
        <v>4674.5402349999995</v>
      </c>
      <c r="I682" s="30">
        <f t="shared" si="202"/>
        <v>4674.5402349999995</v>
      </c>
      <c r="J682" s="25">
        <v>1000</v>
      </c>
      <c r="K682" s="25">
        <f t="shared" si="203"/>
        <v>934.90804700000001</v>
      </c>
      <c r="L682" s="25">
        <f t="shared" si="186"/>
        <v>934.90804700000001</v>
      </c>
      <c r="M682" s="25">
        <f>I682+L682</f>
        <v>5609.4482819999994</v>
      </c>
      <c r="N682" s="288"/>
      <c r="O682" s="663">
        <v>0.93490804699999996</v>
      </c>
    </row>
    <row r="683" spans="1:15" ht="18.95" customHeight="1">
      <c r="A683" s="573"/>
      <c r="B683" s="665" t="s">
        <v>2701</v>
      </c>
      <c r="C683" s="666"/>
      <c r="D683" s="660"/>
      <c r="E683" s="533"/>
      <c r="F683" s="30"/>
      <c r="G683" s="25"/>
      <c r="H683" s="30"/>
      <c r="I683" s="30" t="s">
        <v>151</v>
      </c>
      <c r="J683" s="25"/>
      <c r="K683" s="25"/>
      <c r="L683" s="25"/>
      <c r="M683" s="25"/>
      <c r="N683" s="26"/>
      <c r="O683" s="663">
        <v>0.93490804699999996</v>
      </c>
    </row>
    <row r="684" spans="1:15" ht="18.95" customHeight="1">
      <c r="A684" s="573"/>
      <c r="B684" s="573" t="s">
        <v>273</v>
      </c>
      <c r="C684" s="666" t="s">
        <v>2700</v>
      </c>
      <c r="D684" s="660"/>
      <c r="E684" s="533">
        <v>2</v>
      </c>
      <c r="F684" s="30" t="s">
        <v>349</v>
      </c>
      <c r="G684" s="30">
        <v>13400</v>
      </c>
      <c r="H684" s="30">
        <f t="shared" si="201"/>
        <v>12527.767829799999</v>
      </c>
      <c r="I684" s="30">
        <f t="shared" si="202"/>
        <v>25055.535659599998</v>
      </c>
      <c r="J684" s="25">
        <v>500</v>
      </c>
      <c r="K684" s="25">
        <f t="shared" ref="K684:K699" si="204">J684*O684</f>
        <v>467.45402350000001</v>
      </c>
      <c r="L684" s="25">
        <f t="shared" si="186"/>
        <v>934.90804700000001</v>
      </c>
      <c r="M684" s="25">
        <f t="shared" ref="M684:M688" si="205">I684+L684</f>
        <v>25990.443706599999</v>
      </c>
      <c r="N684" s="26"/>
      <c r="O684" s="663">
        <v>0.93490804699999996</v>
      </c>
    </row>
    <row r="685" spans="1:15" ht="18.95" customHeight="1">
      <c r="A685" s="573"/>
      <c r="B685" s="573" t="s">
        <v>273</v>
      </c>
      <c r="C685" s="666" t="s">
        <v>2702</v>
      </c>
      <c r="D685" s="660"/>
      <c r="E685" s="533">
        <v>1</v>
      </c>
      <c r="F685" s="30" t="s">
        <v>349</v>
      </c>
      <c r="G685" s="30">
        <v>22000</v>
      </c>
      <c r="H685" s="30">
        <f t="shared" si="201"/>
        <v>20567.977034</v>
      </c>
      <c r="I685" s="30">
        <f t="shared" si="202"/>
        <v>20567.977034</v>
      </c>
      <c r="J685" s="25">
        <v>500</v>
      </c>
      <c r="K685" s="25">
        <f t="shared" si="204"/>
        <v>467.45402350000001</v>
      </c>
      <c r="L685" s="25">
        <f t="shared" si="186"/>
        <v>467.45402350000001</v>
      </c>
      <c r="M685" s="25">
        <f t="shared" si="205"/>
        <v>21035.431057499998</v>
      </c>
      <c r="N685" s="26"/>
      <c r="O685" s="663">
        <v>0.93490804699999996</v>
      </c>
    </row>
    <row r="686" spans="1:15" ht="18.95" customHeight="1">
      <c r="A686" s="573"/>
      <c r="B686" s="573" t="s">
        <v>273</v>
      </c>
      <c r="C686" s="666" t="s">
        <v>2703</v>
      </c>
      <c r="D686" s="660"/>
      <c r="E686" s="533">
        <v>1</v>
      </c>
      <c r="F686" s="30" t="s">
        <v>349</v>
      </c>
      <c r="G686" s="30">
        <v>18000</v>
      </c>
      <c r="H686" s="30">
        <f t="shared" si="201"/>
        <v>16828.344846</v>
      </c>
      <c r="I686" s="30">
        <f t="shared" si="202"/>
        <v>16828.344846</v>
      </c>
      <c r="J686" s="25">
        <v>500</v>
      </c>
      <c r="K686" s="25">
        <f t="shared" si="204"/>
        <v>467.45402350000001</v>
      </c>
      <c r="L686" s="25">
        <f t="shared" si="186"/>
        <v>467.45402350000001</v>
      </c>
      <c r="M686" s="25">
        <f t="shared" si="205"/>
        <v>17295.798869499999</v>
      </c>
      <c r="N686" s="26"/>
      <c r="O686" s="663">
        <v>0.93490804699999996</v>
      </c>
    </row>
    <row r="687" spans="1:15" ht="18.95" customHeight="1">
      <c r="A687" s="573"/>
      <c r="B687" s="573" t="s">
        <v>273</v>
      </c>
      <c r="C687" s="666" t="s">
        <v>2691</v>
      </c>
      <c r="D687" s="660"/>
      <c r="E687" s="533">
        <v>1</v>
      </c>
      <c r="F687" s="30" t="s">
        <v>349</v>
      </c>
      <c r="G687" s="30">
        <v>6400</v>
      </c>
      <c r="H687" s="30">
        <f t="shared" si="201"/>
        <v>5983.4115007999999</v>
      </c>
      <c r="I687" s="30">
        <f t="shared" si="202"/>
        <v>5983.4115007999999</v>
      </c>
      <c r="J687" s="25">
        <v>500</v>
      </c>
      <c r="K687" s="25">
        <f t="shared" si="204"/>
        <v>467.45402350000001</v>
      </c>
      <c r="L687" s="25">
        <f t="shared" si="186"/>
        <v>467.45402350000001</v>
      </c>
      <c r="M687" s="25">
        <f t="shared" si="205"/>
        <v>6450.8655243000003</v>
      </c>
      <c r="N687" s="26"/>
      <c r="O687" s="663">
        <v>0.93490804699999996</v>
      </c>
    </row>
    <row r="688" spans="1:15" ht="18.95" customHeight="1">
      <c r="A688" s="573"/>
      <c r="B688" s="573" t="s">
        <v>273</v>
      </c>
      <c r="C688" s="666" t="s">
        <v>2694</v>
      </c>
      <c r="D688" s="660"/>
      <c r="E688" s="533">
        <v>1</v>
      </c>
      <c r="F688" s="30" t="s">
        <v>349</v>
      </c>
      <c r="G688" s="30">
        <v>6000</v>
      </c>
      <c r="H688" s="30">
        <f t="shared" si="201"/>
        <v>5609.4482819999994</v>
      </c>
      <c r="I688" s="30">
        <f t="shared" si="202"/>
        <v>5609.4482819999994</v>
      </c>
      <c r="J688" s="25">
        <v>1000</v>
      </c>
      <c r="K688" s="25">
        <f t="shared" si="204"/>
        <v>934.90804700000001</v>
      </c>
      <c r="L688" s="25">
        <f t="shared" si="186"/>
        <v>934.90804700000001</v>
      </c>
      <c r="M688" s="25">
        <f t="shared" si="205"/>
        <v>6544.3563289999993</v>
      </c>
      <c r="N688" s="288"/>
      <c r="O688" s="663">
        <v>0.93490804699999996</v>
      </c>
    </row>
    <row r="689" spans="1:15" ht="18.95" customHeight="1">
      <c r="A689" s="573" t="s">
        <v>2704</v>
      </c>
      <c r="B689" s="665" t="s">
        <v>2705</v>
      </c>
      <c r="C689" s="666"/>
      <c r="D689" s="660"/>
      <c r="E689" s="533"/>
      <c r="F689" s="30"/>
      <c r="G689" s="25"/>
      <c r="H689" s="30"/>
      <c r="I689" s="30"/>
      <c r="J689" s="25"/>
      <c r="K689" s="25"/>
      <c r="L689" s="25">
        <f t="shared" si="186"/>
        <v>0</v>
      </c>
      <c r="M689" s="25"/>
      <c r="N689" s="26"/>
      <c r="O689" s="663">
        <v>0.93490804699999996</v>
      </c>
    </row>
    <row r="690" spans="1:15" ht="18.95" customHeight="1">
      <c r="A690" s="573"/>
      <c r="B690" s="573" t="s">
        <v>273</v>
      </c>
      <c r="C690" s="666" t="s">
        <v>2700</v>
      </c>
      <c r="D690" s="660"/>
      <c r="E690" s="533">
        <v>3</v>
      </c>
      <c r="F690" s="30" t="s">
        <v>349</v>
      </c>
      <c r="G690" s="30">
        <v>13400</v>
      </c>
      <c r="H690" s="30">
        <f t="shared" si="201"/>
        <v>12527.767829799999</v>
      </c>
      <c r="I690" s="30">
        <f t="shared" si="202"/>
        <v>37583.303489400001</v>
      </c>
      <c r="J690" s="25">
        <v>500</v>
      </c>
      <c r="K690" s="25">
        <f t="shared" si="204"/>
        <v>467.45402350000001</v>
      </c>
      <c r="L690" s="25">
        <f t="shared" si="186"/>
        <v>1402.3620705000001</v>
      </c>
      <c r="M690" s="25">
        <f>I690+L690</f>
        <v>38985.665559900001</v>
      </c>
      <c r="N690" s="26"/>
      <c r="O690" s="663">
        <v>0.93490804699999996</v>
      </c>
    </row>
    <row r="691" spans="1:15" ht="18.95" customHeight="1">
      <c r="A691" s="573"/>
      <c r="B691" s="573" t="s">
        <v>273</v>
      </c>
      <c r="C691" s="666" t="s">
        <v>2706</v>
      </c>
      <c r="D691" s="660"/>
      <c r="E691" s="533">
        <v>1</v>
      </c>
      <c r="F691" s="30" t="s">
        <v>349</v>
      </c>
      <c r="G691" s="30">
        <v>9200</v>
      </c>
      <c r="H691" s="30">
        <f t="shared" si="201"/>
        <v>8601.1540323999998</v>
      </c>
      <c r="I691" s="30">
        <f t="shared" si="202"/>
        <v>8601.1540323999998</v>
      </c>
      <c r="J691" s="25">
        <v>500</v>
      </c>
      <c r="K691" s="25">
        <f t="shared" si="204"/>
        <v>467.45402350000001</v>
      </c>
      <c r="L691" s="25">
        <f t="shared" si="186"/>
        <v>467.45402350000001</v>
      </c>
      <c r="M691" s="25">
        <f>I691+L691</f>
        <v>9068.6080559000002</v>
      </c>
      <c r="N691" s="26"/>
      <c r="O691" s="663">
        <v>0.93490804699999996</v>
      </c>
    </row>
    <row r="692" spans="1:15" ht="18.95" customHeight="1">
      <c r="A692" s="573"/>
      <c r="B692" s="573" t="s">
        <v>273</v>
      </c>
      <c r="C692" s="666" t="s">
        <v>2691</v>
      </c>
      <c r="D692" s="660"/>
      <c r="E692" s="533">
        <v>1</v>
      </c>
      <c r="F692" s="30" t="s">
        <v>349</v>
      </c>
      <c r="G692" s="30">
        <v>6400</v>
      </c>
      <c r="H692" s="30">
        <f t="shared" si="201"/>
        <v>5983.4115007999999</v>
      </c>
      <c r="I692" s="30">
        <f t="shared" si="202"/>
        <v>5983.4115007999999</v>
      </c>
      <c r="J692" s="25">
        <v>500</v>
      </c>
      <c r="K692" s="25">
        <f t="shared" si="204"/>
        <v>467.45402350000001</v>
      </c>
      <c r="L692" s="25">
        <f t="shared" si="186"/>
        <v>467.45402350000001</v>
      </c>
      <c r="M692" s="25">
        <f>I692+L692</f>
        <v>6450.8655243000003</v>
      </c>
      <c r="N692" s="288"/>
      <c r="O692" s="663">
        <v>0.93490804699999996</v>
      </c>
    </row>
    <row r="693" spans="1:15" ht="18.95" customHeight="1">
      <c r="A693" s="573"/>
      <c r="B693" s="573" t="s">
        <v>273</v>
      </c>
      <c r="C693" s="666" t="s">
        <v>2694</v>
      </c>
      <c r="D693" s="660"/>
      <c r="E693" s="533">
        <v>1</v>
      </c>
      <c r="F693" s="30" t="s">
        <v>349</v>
      </c>
      <c r="G693" s="30">
        <v>6000</v>
      </c>
      <c r="H693" s="30">
        <f t="shared" si="201"/>
        <v>5609.4482819999994</v>
      </c>
      <c r="I693" s="30">
        <f t="shared" si="202"/>
        <v>5609.4482819999994</v>
      </c>
      <c r="J693" s="25">
        <v>1000</v>
      </c>
      <c r="K693" s="25">
        <f t="shared" si="204"/>
        <v>934.90804700000001</v>
      </c>
      <c r="L693" s="25">
        <f t="shared" si="186"/>
        <v>934.90804700000001</v>
      </c>
      <c r="M693" s="25">
        <f>I693+L693</f>
        <v>6544.3563289999993</v>
      </c>
      <c r="N693" s="288"/>
      <c r="O693" s="663">
        <v>0.93490804699999996</v>
      </c>
    </row>
    <row r="694" spans="1:15" ht="18.95" customHeight="1">
      <c r="A694" s="573" t="s">
        <v>2707</v>
      </c>
      <c r="B694" s="665" t="s">
        <v>2708</v>
      </c>
      <c r="C694" s="666"/>
      <c r="D694" s="660"/>
      <c r="E694" s="533"/>
      <c r="F694" s="30"/>
      <c r="G694" s="25"/>
      <c r="H694" s="30"/>
      <c r="I694" s="30"/>
      <c r="J694" s="25"/>
      <c r="K694" s="25"/>
      <c r="L694" s="25">
        <f t="shared" si="186"/>
        <v>0</v>
      </c>
      <c r="M694" s="25"/>
      <c r="N694" s="26"/>
      <c r="O694" s="663">
        <v>0.93490804699999996</v>
      </c>
    </row>
    <row r="695" spans="1:15" ht="18.95" customHeight="1">
      <c r="A695" s="573"/>
      <c r="B695" s="573" t="s">
        <v>273</v>
      </c>
      <c r="C695" s="666" t="s">
        <v>2709</v>
      </c>
      <c r="D695" s="660"/>
      <c r="E695" s="533">
        <v>3</v>
      </c>
      <c r="F695" s="30" t="s">
        <v>349</v>
      </c>
      <c r="G695" s="30">
        <v>13400</v>
      </c>
      <c r="H695" s="30">
        <f t="shared" si="201"/>
        <v>12527.767829799999</v>
      </c>
      <c r="I695" s="30">
        <f t="shared" si="202"/>
        <v>37583.303489400001</v>
      </c>
      <c r="J695" s="25">
        <v>500</v>
      </c>
      <c r="K695" s="25">
        <f t="shared" si="204"/>
        <v>467.45402350000001</v>
      </c>
      <c r="L695" s="25">
        <f t="shared" si="186"/>
        <v>1402.3620705000001</v>
      </c>
      <c r="M695" s="25">
        <f>I695+L695</f>
        <v>38985.665559900001</v>
      </c>
      <c r="N695" s="26"/>
      <c r="O695" s="663">
        <v>0.93490804699999996</v>
      </c>
    </row>
    <row r="696" spans="1:15" ht="18.95" customHeight="1">
      <c r="A696" s="573"/>
      <c r="B696" s="573" t="s">
        <v>273</v>
      </c>
      <c r="C696" s="666" t="s">
        <v>2702</v>
      </c>
      <c r="D696" s="660"/>
      <c r="E696" s="533">
        <v>1</v>
      </c>
      <c r="F696" s="30" t="s">
        <v>349</v>
      </c>
      <c r="G696" s="30">
        <v>22000</v>
      </c>
      <c r="H696" s="30">
        <f t="shared" si="201"/>
        <v>20567.977034</v>
      </c>
      <c r="I696" s="30">
        <f t="shared" si="202"/>
        <v>20567.977034</v>
      </c>
      <c r="J696" s="25">
        <v>500</v>
      </c>
      <c r="K696" s="25">
        <f t="shared" si="204"/>
        <v>467.45402350000001</v>
      </c>
      <c r="L696" s="25">
        <f t="shared" si="186"/>
        <v>467.45402350000001</v>
      </c>
      <c r="M696" s="25">
        <f>I696+L696</f>
        <v>21035.431057499998</v>
      </c>
      <c r="N696" s="26"/>
      <c r="O696" s="663">
        <v>0.93490804699999996</v>
      </c>
    </row>
    <row r="697" spans="1:15" ht="18.95" customHeight="1">
      <c r="A697" s="573"/>
      <c r="B697" s="573" t="s">
        <v>273</v>
      </c>
      <c r="C697" s="666" t="s">
        <v>2710</v>
      </c>
      <c r="D697" s="660"/>
      <c r="E697" s="533">
        <v>2</v>
      </c>
      <c r="F697" s="30" t="s">
        <v>349</v>
      </c>
      <c r="G697" s="30">
        <v>7000</v>
      </c>
      <c r="H697" s="30">
        <f t="shared" si="201"/>
        <v>6544.3563290000002</v>
      </c>
      <c r="I697" s="30">
        <f t="shared" si="202"/>
        <v>13088.712658</v>
      </c>
      <c r="J697" s="25">
        <v>500</v>
      </c>
      <c r="K697" s="25">
        <f t="shared" si="204"/>
        <v>467.45402350000001</v>
      </c>
      <c r="L697" s="25">
        <f t="shared" si="186"/>
        <v>934.90804700000001</v>
      </c>
      <c r="M697" s="25">
        <f>I697+L697</f>
        <v>14023.620705000001</v>
      </c>
      <c r="N697" s="26"/>
      <c r="O697" s="663">
        <v>0.93490804699999996</v>
      </c>
    </row>
    <row r="698" spans="1:15" ht="18.95" customHeight="1">
      <c r="A698" s="573"/>
      <c r="B698" s="573" t="s">
        <v>273</v>
      </c>
      <c r="C698" s="666" t="s">
        <v>2691</v>
      </c>
      <c r="D698" s="660"/>
      <c r="E698" s="533">
        <v>1</v>
      </c>
      <c r="F698" s="30" t="s">
        <v>349</v>
      </c>
      <c r="G698" s="30">
        <v>6400</v>
      </c>
      <c r="H698" s="30">
        <f t="shared" si="201"/>
        <v>5983.4115007999999</v>
      </c>
      <c r="I698" s="30">
        <f t="shared" si="202"/>
        <v>5983.4115007999999</v>
      </c>
      <c r="J698" s="25">
        <v>500</v>
      </c>
      <c r="K698" s="25">
        <f t="shared" si="204"/>
        <v>467.45402350000001</v>
      </c>
      <c r="L698" s="25">
        <f t="shared" si="186"/>
        <v>467.45402350000001</v>
      </c>
      <c r="M698" s="25">
        <f>I698+L698</f>
        <v>6450.8655243000003</v>
      </c>
      <c r="N698" s="26"/>
      <c r="O698" s="663">
        <v>0.93490804699999996</v>
      </c>
    </row>
    <row r="699" spans="1:15" ht="18.95" customHeight="1">
      <c r="A699" s="573"/>
      <c r="B699" s="573" t="s">
        <v>273</v>
      </c>
      <c r="C699" s="666" t="s">
        <v>2694</v>
      </c>
      <c r="D699" s="660"/>
      <c r="E699" s="533">
        <v>1</v>
      </c>
      <c r="F699" s="30" t="s">
        <v>349</v>
      </c>
      <c r="G699" s="30">
        <v>12650</v>
      </c>
      <c r="H699" s="30">
        <f t="shared" si="201"/>
        <v>11826.586794549999</v>
      </c>
      <c r="I699" s="30">
        <f t="shared" si="202"/>
        <v>11826.586794549999</v>
      </c>
      <c r="J699" s="25">
        <v>1000</v>
      </c>
      <c r="K699" s="25">
        <f t="shared" si="204"/>
        <v>934.90804700000001</v>
      </c>
      <c r="L699" s="25">
        <f t="shared" si="186"/>
        <v>934.90804700000001</v>
      </c>
      <c r="M699" s="25">
        <f>I699+L699</f>
        <v>12761.49484155</v>
      </c>
      <c r="N699" s="26"/>
      <c r="O699" s="663">
        <v>0.93490804699999996</v>
      </c>
    </row>
    <row r="700" spans="1:15" ht="18.95" customHeight="1">
      <c r="A700" s="573" t="s">
        <v>2707</v>
      </c>
      <c r="B700" s="665" t="s">
        <v>2711</v>
      </c>
      <c r="C700" s="666"/>
      <c r="D700" s="660"/>
      <c r="E700" s="533"/>
      <c r="F700" s="30"/>
      <c r="G700" s="25"/>
      <c r="H700" s="30"/>
      <c r="I700" s="30"/>
      <c r="J700" s="25"/>
      <c r="K700" s="25"/>
      <c r="L700" s="25">
        <f t="shared" si="186"/>
        <v>0</v>
      </c>
      <c r="M700" s="25"/>
      <c r="N700" s="26"/>
      <c r="O700" s="663">
        <v>0.93490804699999996</v>
      </c>
    </row>
    <row r="701" spans="1:15" ht="18.95" customHeight="1">
      <c r="A701" s="573"/>
      <c r="B701" s="573" t="s">
        <v>273</v>
      </c>
      <c r="C701" s="666" t="s">
        <v>2709</v>
      </c>
      <c r="D701" s="660"/>
      <c r="E701" s="533">
        <v>2</v>
      </c>
      <c r="F701" s="30" t="s">
        <v>349</v>
      </c>
      <c r="G701" s="30">
        <v>13400</v>
      </c>
      <c r="H701" s="30">
        <f t="shared" si="201"/>
        <v>12527.767829799999</v>
      </c>
      <c r="I701" s="30">
        <f t="shared" si="202"/>
        <v>25055.535659599998</v>
      </c>
      <c r="J701" s="25">
        <v>500</v>
      </c>
      <c r="K701" s="25">
        <f t="shared" ref="K701:K706" si="206">J701*O701</f>
        <v>467.45402350000001</v>
      </c>
      <c r="L701" s="25">
        <f t="shared" si="186"/>
        <v>934.90804700000001</v>
      </c>
      <c r="M701" s="25">
        <f t="shared" ref="M701:M706" si="207">I701+L701</f>
        <v>25990.443706599999</v>
      </c>
      <c r="N701" s="26"/>
      <c r="O701" s="663">
        <v>0.93490804699999996</v>
      </c>
    </row>
    <row r="702" spans="1:15" ht="18.95" customHeight="1">
      <c r="A702" s="573"/>
      <c r="B702" s="573" t="s">
        <v>273</v>
      </c>
      <c r="C702" s="666" t="s">
        <v>2706</v>
      </c>
      <c r="D702" s="660"/>
      <c r="E702" s="533">
        <v>1</v>
      </c>
      <c r="F702" s="30" t="s">
        <v>349</v>
      </c>
      <c r="G702" s="30">
        <v>9200</v>
      </c>
      <c r="H702" s="30">
        <f t="shared" si="201"/>
        <v>8601.1540323999998</v>
      </c>
      <c r="I702" s="30">
        <f t="shared" si="202"/>
        <v>8601.1540323999998</v>
      </c>
      <c r="J702" s="25">
        <v>500</v>
      </c>
      <c r="K702" s="25">
        <f t="shared" si="206"/>
        <v>467.45402350000001</v>
      </c>
      <c r="L702" s="25">
        <f t="shared" si="186"/>
        <v>467.45402350000001</v>
      </c>
      <c r="M702" s="25">
        <f t="shared" si="207"/>
        <v>9068.6080559000002</v>
      </c>
      <c r="N702" s="26"/>
      <c r="O702" s="663">
        <v>0.93490804699999996</v>
      </c>
    </row>
    <row r="703" spans="1:15" ht="18.95" customHeight="1">
      <c r="A703" s="573"/>
      <c r="B703" s="573" t="s">
        <v>273</v>
      </c>
      <c r="C703" s="666" t="s">
        <v>2710</v>
      </c>
      <c r="D703" s="660"/>
      <c r="E703" s="533">
        <v>1</v>
      </c>
      <c r="F703" s="30" t="s">
        <v>349</v>
      </c>
      <c r="G703" s="30">
        <v>7000</v>
      </c>
      <c r="H703" s="30">
        <f t="shared" si="201"/>
        <v>6544.3563290000002</v>
      </c>
      <c r="I703" s="30">
        <f t="shared" si="202"/>
        <v>6544.3563290000002</v>
      </c>
      <c r="J703" s="25">
        <v>500</v>
      </c>
      <c r="K703" s="25">
        <f t="shared" si="206"/>
        <v>467.45402350000001</v>
      </c>
      <c r="L703" s="25">
        <f t="shared" si="186"/>
        <v>467.45402350000001</v>
      </c>
      <c r="M703" s="25">
        <f t="shared" si="207"/>
        <v>7011.8103525000006</v>
      </c>
      <c r="N703" s="26"/>
      <c r="O703" s="663">
        <v>0.93490804699999996</v>
      </c>
    </row>
    <row r="704" spans="1:15" ht="18.95" customHeight="1">
      <c r="A704" s="573"/>
      <c r="B704" s="573" t="s">
        <v>273</v>
      </c>
      <c r="C704" s="666" t="s">
        <v>2712</v>
      </c>
      <c r="D704" s="660"/>
      <c r="E704" s="533">
        <v>1</v>
      </c>
      <c r="F704" s="30" t="s">
        <v>349</v>
      </c>
      <c r="G704" s="30">
        <f>33500*0.4</f>
        <v>13400</v>
      </c>
      <c r="H704" s="30">
        <f t="shared" si="201"/>
        <v>12527.767829799999</v>
      </c>
      <c r="I704" s="30">
        <f t="shared" si="202"/>
        <v>12527.767829799999</v>
      </c>
      <c r="J704" s="25">
        <v>500</v>
      </c>
      <c r="K704" s="25">
        <f t="shared" si="206"/>
        <v>467.45402350000001</v>
      </c>
      <c r="L704" s="25">
        <f t="shared" si="186"/>
        <v>467.45402350000001</v>
      </c>
      <c r="M704" s="25">
        <f t="shared" si="207"/>
        <v>12995.2218533</v>
      </c>
      <c r="N704" s="26"/>
      <c r="O704" s="663">
        <v>0.93490804699999996</v>
      </c>
    </row>
    <row r="705" spans="1:15" ht="18.95" customHeight="1">
      <c r="A705" s="573"/>
      <c r="B705" s="573" t="s">
        <v>273</v>
      </c>
      <c r="C705" s="666" t="s">
        <v>2691</v>
      </c>
      <c r="D705" s="660"/>
      <c r="E705" s="533">
        <v>1</v>
      </c>
      <c r="F705" s="30" t="s">
        <v>349</v>
      </c>
      <c r="G705" s="30">
        <v>6400</v>
      </c>
      <c r="H705" s="30">
        <f t="shared" si="201"/>
        <v>5983.4115007999999</v>
      </c>
      <c r="I705" s="30">
        <f t="shared" si="202"/>
        <v>5983.4115007999999</v>
      </c>
      <c r="J705" s="25">
        <v>500</v>
      </c>
      <c r="K705" s="25">
        <f t="shared" si="206"/>
        <v>467.45402350000001</v>
      </c>
      <c r="L705" s="25">
        <f t="shared" si="186"/>
        <v>467.45402350000001</v>
      </c>
      <c r="M705" s="25">
        <f t="shared" si="207"/>
        <v>6450.8655243000003</v>
      </c>
      <c r="N705" s="288"/>
      <c r="O705" s="663">
        <v>0.93490804699999996</v>
      </c>
    </row>
    <row r="706" spans="1:15" ht="18.95" customHeight="1">
      <c r="A706" s="573"/>
      <c r="B706" s="573" t="s">
        <v>273</v>
      </c>
      <c r="C706" s="666" t="s">
        <v>2694</v>
      </c>
      <c r="D706" s="660"/>
      <c r="E706" s="533">
        <v>1</v>
      </c>
      <c r="F706" s="30" t="s">
        <v>349</v>
      </c>
      <c r="G706" s="30">
        <v>12650</v>
      </c>
      <c r="H706" s="30">
        <f t="shared" si="201"/>
        <v>11826.586794549999</v>
      </c>
      <c r="I706" s="30">
        <f t="shared" si="202"/>
        <v>11826.586794549999</v>
      </c>
      <c r="J706" s="25">
        <v>1000</v>
      </c>
      <c r="K706" s="25">
        <f t="shared" si="206"/>
        <v>934.90804700000001</v>
      </c>
      <c r="L706" s="25">
        <f t="shared" si="186"/>
        <v>934.90804700000001</v>
      </c>
      <c r="M706" s="25">
        <f t="shared" si="207"/>
        <v>12761.49484155</v>
      </c>
      <c r="N706" s="26"/>
      <c r="O706" s="663">
        <v>0.93490804699999996</v>
      </c>
    </row>
    <row r="707" spans="1:15" ht="18.95" customHeight="1">
      <c r="A707" s="573" t="s">
        <v>2713</v>
      </c>
      <c r="B707" s="665" t="s">
        <v>2714</v>
      </c>
      <c r="C707" s="666"/>
      <c r="D707" s="660"/>
      <c r="E707" s="533"/>
      <c r="F707" s="30"/>
      <c r="G707" s="25"/>
      <c r="H707" s="30"/>
      <c r="I707" s="30"/>
      <c r="J707" s="25"/>
      <c r="K707" s="25"/>
      <c r="L707" s="25">
        <f t="shared" si="186"/>
        <v>0</v>
      </c>
      <c r="M707" s="25"/>
      <c r="N707" s="26"/>
      <c r="O707" s="663">
        <v>0.93490804699999996</v>
      </c>
    </row>
    <row r="708" spans="1:15" ht="18.95" customHeight="1">
      <c r="A708" s="573"/>
      <c r="B708" s="573" t="s">
        <v>273</v>
      </c>
      <c r="C708" s="666" t="s">
        <v>2709</v>
      </c>
      <c r="D708" s="660"/>
      <c r="E708" s="533">
        <v>1</v>
      </c>
      <c r="F708" s="30" t="s">
        <v>349</v>
      </c>
      <c r="G708" s="30">
        <v>13400</v>
      </c>
      <c r="H708" s="30">
        <f t="shared" si="201"/>
        <v>12527.767829799999</v>
      </c>
      <c r="I708" s="30">
        <f t="shared" si="202"/>
        <v>12527.767829799999</v>
      </c>
      <c r="J708" s="25">
        <v>500</v>
      </c>
      <c r="K708" s="25">
        <f t="shared" ref="K708:K720" si="208">J708*O708</f>
        <v>467.45402350000001</v>
      </c>
      <c r="L708" s="25">
        <f t="shared" si="186"/>
        <v>467.45402350000001</v>
      </c>
      <c r="M708" s="25">
        <f>I708+L708</f>
        <v>12995.2218533</v>
      </c>
      <c r="N708" s="26"/>
      <c r="O708" s="663">
        <v>0.93490804699999996</v>
      </c>
    </row>
    <row r="709" spans="1:15" ht="18.95" customHeight="1">
      <c r="A709" s="573"/>
      <c r="B709" s="573" t="s">
        <v>273</v>
      </c>
      <c r="C709" s="666" t="s">
        <v>2691</v>
      </c>
      <c r="D709" s="660"/>
      <c r="E709" s="533">
        <v>1</v>
      </c>
      <c r="F709" s="30" t="s">
        <v>349</v>
      </c>
      <c r="G709" s="30">
        <v>6400</v>
      </c>
      <c r="H709" s="30">
        <f t="shared" si="201"/>
        <v>5983.4115007999999</v>
      </c>
      <c r="I709" s="30">
        <f t="shared" si="202"/>
        <v>5983.4115007999999</v>
      </c>
      <c r="J709" s="25">
        <v>500</v>
      </c>
      <c r="K709" s="25">
        <f t="shared" si="208"/>
        <v>467.45402350000001</v>
      </c>
      <c r="L709" s="25">
        <f t="shared" ref="L709:L772" si="209">E709*K709</f>
        <v>467.45402350000001</v>
      </c>
      <c r="M709" s="25">
        <f>I709+L709</f>
        <v>6450.8655243000003</v>
      </c>
      <c r="N709" s="288"/>
      <c r="O709" s="663">
        <v>0.93490804699999996</v>
      </c>
    </row>
    <row r="710" spans="1:15" ht="18.95" customHeight="1">
      <c r="A710" s="573"/>
      <c r="B710" s="573" t="s">
        <v>273</v>
      </c>
      <c r="C710" s="666" t="s">
        <v>2694</v>
      </c>
      <c r="D710" s="660"/>
      <c r="E710" s="533">
        <v>1</v>
      </c>
      <c r="F710" s="30" t="s">
        <v>349</v>
      </c>
      <c r="G710" s="30">
        <v>5000</v>
      </c>
      <c r="H710" s="30">
        <f t="shared" si="201"/>
        <v>4674.5402349999995</v>
      </c>
      <c r="I710" s="30">
        <f t="shared" si="202"/>
        <v>4674.5402349999995</v>
      </c>
      <c r="J710" s="25">
        <v>1000</v>
      </c>
      <c r="K710" s="25">
        <f t="shared" si="208"/>
        <v>934.90804700000001</v>
      </c>
      <c r="L710" s="25">
        <f t="shared" si="209"/>
        <v>934.90804700000001</v>
      </c>
      <c r="M710" s="25">
        <f>I710+L710</f>
        <v>5609.4482819999994</v>
      </c>
      <c r="N710" s="288"/>
      <c r="O710" s="663">
        <v>0.93490804699999996</v>
      </c>
    </row>
    <row r="711" spans="1:15" ht="18.95" customHeight="1">
      <c r="A711" s="573" t="s">
        <v>2715</v>
      </c>
      <c r="B711" s="665" t="s">
        <v>2716</v>
      </c>
      <c r="C711" s="666"/>
      <c r="D711" s="660"/>
      <c r="E711" s="533"/>
      <c r="F711" s="30"/>
      <c r="G711" s="25"/>
      <c r="H711" s="30"/>
      <c r="I711" s="30"/>
      <c r="J711" s="25"/>
      <c r="K711" s="25"/>
      <c r="L711" s="25">
        <f t="shared" si="209"/>
        <v>0</v>
      </c>
      <c r="M711" s="25"/>
      <c r="N711" s="26"/>
      <c r="O711" s="663">
        <v>0.93490804699999996</v>
      </c>
    </row>
    <row r="712" spans="1:15" ht="18.95" customHeight="1">
      <c r="A712" s="573"/>
      <c r="B712" s="573" t="s">
        <v>273</v>
      </c>
      <c r="C712" s="666" t="s">
        <v>2717</v>
      </c>
      <c r="D712" s="660"/>
      <c r="E712" s="533">
        <v>1</v>
      </c>
      <c r="F712" s="30" t="s">
        <v>349</v>
      </c>
      <c r="G712" s="30">
        <f>23000*0.4</f>
        <v>9200</v>
      </c>
      <c r="H712" s="30">
        <f t="shared" si="201"/>
        <v>8601.1540323999998</v>
      </c>
      <c r="I712" s="30">
        <f t="shared" si="202"/>
        <v>8601.1540323999998</v>
      </c>
      <c r="J712" s="25">
        <v>500</v>
      </c>
      <c r="K712" s="25">
        <f t="shared" si="208"/>
        <v>467.45402350000001</v>
      </c>
      <c r="L712" s="25">
        <f t="shared" si="209"/>
        <v>467.45402350000001</v>
      </c>
      <c r="M712" s="25">
        <f>I712+L712</f>
        <v>9068.6080559000002</v>
      </c>
      <c r="N712" s="26"/>
      <c r="O712" s="663">
        <v>0.93490804699999996</v>
      </c>
    </row>
    <row r="713" spans="1:15" ht="18.95" customHeight="1">
      <c r="A713" s="573"/>
      <c r="B713" s="573" t="s">
        <v>273</v>
      </c>
      <c r="C713" s="666" t="s">
        <v>2691</v>
      </c>
      <c r="D713" s="660"/>
      <c r="E713" s="533">
        <v>1</v>
      </c>
      <c r="F713" s="30" t="s">
        <v>349</v>
      </c>
      <c r="G713" s="30">
        <v>6400</v>
      </c>
      <c r="H713" s="30">
        <f t="shared" si="201"/>
        <v>5983.4115007999999</v>
      </c>
      <c r="I713" s="30">
        <f t="shared" si="202"/>
        <v>5983.4115007999999</v>
      </c>
      <c r="J713" s="25">
        <v>500</v>
      </c>
      <c r="K713" s="25">
        <f t="shared" si="208"/>
        <v>467.45402350000001</v>
      </c>
      <c r="L713" s="25">
        <f t="shared" si="209"/>
        <v>467.45402350000001</v>
      </c>
      <c r="M713" s="25">
        <f>I713+L713</f>
        <v>6450.8655243000003</v>
      </c>
      <c r="N713" s="288"/>
      <c r="O713" s="663">
        <v>0.93490804699999996</v>
      </c>
    </row>
    <row r="714" spans="1:15" ht="18.95" customHeight="1">
      <c r="A714" s="573"/>
      <c r="B714" s="573" t="s">
        <v>273</v>
      </c>
      <c r="C714" s="666" t="s">
        <v>2694</v>
      </c>
      <c r="D714" s="660"/>
      <c r="E714" s="533">
        <v>1</v>
      </c>
      <c r="F714" s="30" t="s">
        <v>349</v>
      </c>
      <c r="G714" s="30">
        <v>3000</v>
      </c>
      <c r="H714" s="30">
        <f t="shared" si="201"/>
        <v>2804.7241409999997</v>
      </c>
      <c r="I714" s="30">
        <f t="shared" si="202"/>
        <v>2804.7241409999997</v>
      </c>
      <c r="J714" s="25">
        <v>1000</v>
      </c>
      <c r="K714" s="25">
        <f t="shared" si="208"/>
        <v>934.90804700000001</v>
      </c>
      <c r="L714" s="25">
        <f t="shared" si="209"/>
        <v>934.90804700000001</v>
      </c>
      <c r="M714" s="25">
        <f>I714+L714</f>
        <v>3739.6321879999996</v>
      </c>
      <c r="N714" s="288"/>
      <c r="O714" s="663">
        <v>0.93490804699999996</v>
      </c>
    </row>
    <row r="715" spans="1:15" ht="18.95" customHeight="1">
      <c r="A715" s="573" t="s">
        <v>2718</v>
      </c>
      <c r="B715" s="665" t="s">
        <v>2719</v>
      </c>
      <c r="C715" s="666"/>
      <c r="D715" s="660"/>
      <c r="E715" s="533"/>
      <c r="F715" s="30"/>
      <c r="G715" s="25"/>
      <c r="H715" s="30"/>
      <c r="I715" s="30"/>
      <c r="J715" s="25"/>
      <c r="K715" s="25"/>
      <c r="L715" s="25">
        <f t="shared" si="209"/>
        <v>0</v>
      </c>
      <c r="M715" s="25"/>
      <c r="N715" s="26"/>
      <c r="O715" s="663">
        <v>0.93490804699999996</v>
      </c>
    </row>
    <row r="716" spans="1:15" ht="18.95" customHeight="1">
      <c r="A716" s="573"/>
      <c r="B716" s="573" t="s">
        <v>273</v>
      </c>
      <c r="C716" s="666" t="s">
        <v>2709</v>
      </c>
      <c r="D716" s="660"/>
      <c r="E716" s="533">
        <v>3</v>
      </c>
      <c r="F716" s="30" t="s">
        <v>349</v>
      </c>
      <c r="G716" s="30">
        <v>13400</v>
      </c>
      <c r="H716" s="30">
        <f t="shared" si="201"/>
        <v>12527.767829799999</v>
      </c>
      <c r="I716" s="30">
        <f t="shared" si="202"/>
        <v>37583.303489400001</v>
      </c>
      <c r="J716" s="25">
        <v>500</v>
      </c>
      <c r="K716" s="25">
        <f t="shared" si="208"/>
        <v>467.45402350000001</v>
      </c>
      <c r="L716" s="25">
        <f t="shared" si="209"/>
        <v>1402.3620705000001</v>
      </c>
      <c r="M716" s="25">
        <f>I716+L716</f>
        <v>38985.665559900001</v>
      </c>
      <c r="N716" s="26"/>
      <c r="O716" s="663">
        <v>0.93490804699999996</v>
      </c>
    </row>
    <row r="717" spans="1:15" ht="18.95" customHeight="1">
      <c r="A717" s="573"/>
      <c r="B717" s="573" t="s">
        <v>273</v>
      </c>
      <c r="C717" s="666" t="s">
        <v>2720</v>
      </c>
      <c r="D717" s="660"/>
      <c r="E717" s="533">
        <v>1</v>
      </c>
      <c r="F717" s="30" t="s">
        <v>349</v>
      </c>
      <c r="G717" s="30">
        <v>11800</v>
      </c>
      <c r="H717" s="30">
        <f t="shared" si="201"/>
        <v>11031.914954599999</v>
      </c>
      <c r="I717" s="30">
        <f t="shared" si="202"/>
        <v>11031.914954599999</v>
      </c>
      <c r="J717" s="25">
        <v>500</v>
      </c>
      <c r="K717" s="25">
        <f t="shared" si="208"/>
        <v>467.45402350000001</v>
      </c>
      <c r="L717" s="25">
        <f t="shared" si="209"/>
        <v>467.45402350000001</v>
      </c>
      <c r="M717" s="25">
        <f>I717+L717</f>
        <v>11499.368978099999</v>
      </c>
      <c r="N717" s="26"/>
      <c r="O717" s="663">
        <v>0.93490804699999996</v>
      </c>
    </row>
    <row r="718" spans="1:15" ht="18.95" customHeight="1">
      <c r="A718" s="573"/>
      <c r="B718" s="573" t="s">
        <v>273</v>
      </c>
      <c r="C718" s="666" t="s">
        <v>2710</v>
      </c>
      <c r="D718" s="660"/>
      <c r="E718" s="533">
        <v>4</v>
      </c>
      <c r="F718" s="30" t="s">
        <v>349</v>
      </c>
      <c r="G718" s="30">
        <v>7000</v>
      </c>
      <c r="H718" s="30">
        <f t="shared" si="201"/>
        <v>6544.3563290000002</v>
      </c>
      <c r="I718" s="30">
        <f t="shared" si="202"/>
        <v>26177.425316000001</v>
      </c>
      <c r="J718" s="25">
        <v>500</v>
      </c>
      <c r="K718" s="25">
        <f t="shared" si="208"/>
        <v>467.45402350000001</v>
      </c>
      <c r="L718" s="25">
        <f t="shared" si="209"/>
        <v>1869.816094</v>
      </c>
      <c r="M718" s="25">
        <f>I718+L718</f>
        <v>28047.241410000002</v>
      </c>
      <c r="N718" s="26"/>
      <c r="O718" s="663">
        <v>0.93490804699999996</v>
      </c>
    </row>
    <row r="719" spans="1:15" ht="18.95" customHeight="1">
      <c r="A719" s="573"/>
      <c r="B719" s="573" t="s">
        <v>273</v>
      </c>
      <c r="C719" s="666" t="s">
        <v>2691</v>
      </c>
      <c r="D719" s="660"/>
      <c r="E719" s="533">
        <v>1</v>
      </c>
      <c r="F719" s="30" t="s">
        <v>349</v>
      </c>
      <c r="G719" s="30">
        <v>6400</v>
      </c>
      <c r="H719" s="30">
        <f t="shared" si="201"/>
        <v>5983.4115007999999</v>
      </c>
      <c r="I719" s="30">
        <f t="shared" si="202"/>
        <v>5983.4115007999999</v>
      </c>
      <c r="J719" s="25">
        <v>500</v>
      </c>
      <c r="K719" s="25">
        <f t="shared" si="208"/>
        <v>467.45402350000001</v>
      </c>
      <c r="L719" s="25">
        <f t="shared" si="209"/>
        <v>467.45402350000001</v>
      </c>
      <c r="M719" s="25">
        <f>I719+L719</f>
        <v>6450.8655243000003</v>
      </c>
      <c r="N719" s="288"/>
      <c r="O719" s="663">
        <v>0.93490804699999996</v>
      </c>
    </row>
    <row r="720" spans="1:15" ht="18.95" customHeight="1">
      <c r="A720" s="573"/>
      <c r="B720" s="573" t="s">
        <v>273</v>
      </c>
      <c r="C720" s="666" t="s">
        <v>2694</v>
      </c>
      <c r="D720" s="660"/>
      <c r="E720" s="533">
        <v>1</v>
      </c>
      <c r="F720" s="30" t="s">
        <v>349</v>
      </c>
      <c r="G720" s="30">
        <v>12650</v>
      </c>
      <c r="H720" s="30">
        <f t="shared" si="201"/>
        <v>11826.586794549999</v>
      </c>
      <c r="I720" s="30">
        <f t="shared" si="202"/>
        <v>11826.586794549999</v>
      </c>
      <c r="J720" s="25">
        <v>1000</v>
      </c>
      <c r="K720" s="25">
        <f t="shared" si="208"/>
        <v>934.90804700000001</v>
      </c>
      <c r="L720" s="25">
        <f t="shared" si="209"/>
        <v>934.90804700000001</v>
      </c>
      <c r="M720" s="25">
        <f>I720+L720</f>
        <v>12761.49484155</v>
      </c>
      <c r="N720" s="26"/>
      <c r="O720" s="663">
        <v>0.93490804699999996</v>
      </c>
    </row>
    <row r="721" spans="1:15" ht="18.95" customHeight="1">
      <c r="A721" s="573" t="s">
        <v>2721</v>
      </c>
      <c r="B721" s="665" t="s">
        <v>2722</v>
      </c>
      <c r="C721" s="666"/>
      <c r="D721" s="660"/>
      <c r="E721" s="533"/>
      <c r="F721" s="30"/>
      <c r="G721" s="25"/>
      <c r="H721" s="30"/>
      <c r="I721" s="30"/>
      <c r="J721" s="25"/>
      <c r="K721" s="25"/>
      <c r="L721" s="25">
        <f t="shared" si="209"/>
        <v>0</v>
      </c>
      <c r="M721" s="25"/>
      <c r="N721" s="26"/>
      <c r="O721" s="663">
        <v>0.93490804699999996</v>
      </c>
    </row>
    <row r="722" spans="1:15" ht="18.95" customHeight="1">
      <c r="A722" s="573"/>
      <c r="B722" s="573" t="s">
        <v>273</v>
      </c>
      <c r="C722" s="666" t="s">
        <v>2709</v>
      </c>
      <c r="D722" s="660"/>
      <c r="E722" s="533">
        <v>2</v>
      </c>
      <c r="F722" s="30" t="s">
        <v>349</v>
      </c>
      <c r="G722" s="30">
        <v>13400</v>
      </c>
      <c r="H722" s="30">
        <f t="shared" si="201"/>
        <v>12527.767829799999</v>
      </c>
      <c r="I722" s="30">
        <f t="shared" si="202"/>
        <v>25055.535659599998</v>
      </c>
      <c r="J722" s="25">
        <v>500</v>
      </c>
      <c r="K722" s="25">
        <f t="shared" ref="K722:K725" si="210">J722*O722</f>
        <v>467.45402350000001</v>
      </c>
      <c r="L722" s="25">
        <f t="shared" si="209"/>
        <v>934.90804700000001</v>
      </c>
      <c r="M722" s="25">
        <f>I722+L722</f>
        <v>25990.443706599999</v>
      </c>
      <c r="N722" s="26"/>
      <c r="O722" s="663">
        <v>0.93490804699999996</v>
      </c>
    </row>
    <row r="723" spans="1:15" ht="18.95" customHeight="1">
      <c r="A723" s="573"/>
      <c r="B723" s="573" t="s">
        <v>273</v>
      </c>
      <c r="C723" s="666" t="s">
        <v>2710</v>
      </c>
      <c r="D723" s="660"/>
      <c r="E723" s="533">
        <v>5</v>
      </c>
      <c r="F723" s="30" t="s">
        <v>349</v>
      </c>
      <c r="G723" s="30">
        <v>7000</v>
      </c>
      <c r="H723" s="30">
        <f t="shared" si="201"/>
        <v>6544.3563290000002</v>
      </c>
      <c r="I723" s="30">
        <f t="shared" si="202"/>
        <v>32721.781645000003</v>
      </c>
      <c r="J723" s="25">
        <v>500</v>
      </c>
      <c r="K723" s="25">
        <f t="shared" si="210"/>
        <v>467.45402350000001</v>
      </c>
      <c r="L723" s="25">
        <f t="shared" si="209"/>
        <v>2337.2701175000002</v>
      </c>
      <c r="M723" s="25">
        <f>I723+L723</f>
        <v>35059.051762500007</v>
      </c>
      <c r="N723" s="26"/>
      <c r="O723" s="663">
        <v>0.93490804699999996</v>
      </c>
    </row>
    <row r="724" spans="1:15" ht="18.95" customHeight="1">
      <c r="A724" s="573"/>
      <c r="B724" s="573" t="s">
        <v>273</v>
      </c>
      <c r="C724" s="666" t="s">
        <v>2691</v>
      </c>
      <c r="D724" s="660"/>
      <c r="E724" s="533">
        <v>1</v>
      </c>
      <c r="F724" s="30" t="s">
        <v>349</v>
      </c>
      <c r="G724" s="30">
        <v>6400</v>
      </c>
      <c r="H724" s="30">
        <f t="shared" si="201"/>
        <v>5983.4115007999999</v>
      </c>
      <c r="I724" s="30">
        <f t="shared" si="202"/>
        <v>5983.4115007999999</v>
      </c>
      <c r="J724" s="25">
        <v>500</v>
      </c>
      <c r="K724" s="25">
        <f t="shared" si="210"/>
        <v>467.45402350000001</v>
      </c>
      <c r="L724" s="25">
        <f t="shared" si="209"/>
        <v>467.45402350000001</v>
      </c>
      <c r="M724" s="25">
        <f>I724+L724</f>
        <v>6450.8655243000003</v>
      </c>
      <c r="N724" s="288"/>
      <c r="O724" s="663">
        <v>0.93490804699999996</v>
      </c>
    </row>
    <row r="725" spans="1:15" ht="18.95" customHeight="1">
      <c r="A725" s="573"/>
      <c r="B725" s="573" t="s">
        <v>273</v>
      </c>
      <c r="C725" s="666" t="s">
        <v>2694</v>
      </c>
      <c r="D725" s="660"/>
      <c r="E725" s="533">
        <v>1</v>
      </c>
      <c r="F725" s="30" t="s">
        <v>349</v>
      </c>
      <c r="G725" s="30">
        <v>6000</v>
      </c>
      <c r="H725" s="30">
        <f t="shared" si="201"/>
        <v>5609.4482819999994</v>
      </c>
      <c r="I725" s="30">
        <f t="shared" si="202"/>
        <v>5609.4482819999994</v>
      </c>
      <c r="J725" s="25">
        <v>1000</v>
      </c>
      <c r="K725" s="25">
        <f t="shared" si="210"/>
        <v>934.90804700000001</v>
      </c>
      <c r="L725" s="25">
        <f t="shared" si="209"/>
        <v>934.90804700000001</v>
      </c>
      <c r="M725" s="25">
        <f>I725+L725</f>
        <v>6544.3563289999993</v>
      </c>
      <c r="N725" s="288"/>
      <c r="O725" s="663">
        <v>0.93490804699999996</v>
      </c>
    </row>
    <row r="726" spans="1:15" ht="18.95" customHeight="1">
      <c r="A726" s="573" t="s">
        <v>2723</v>
      </c>
      <c r="B726" s="665" t="s">
        <v>2724</v>
      </c>
      <c r="C726" s="666"/>
      <c r="D726" s="660"/>
      <c r="E726" s="533"/>
      <c r="F726" s="30"/>
      <c r="G726" s="25"/>
      <c r="H726" s="30"/>
      <c r="I726" s="30"/>
      <c r="J726" s="25"/>
      <c r="K726" s="25"/>
      <c r="L726" s="25">
        <f t="shared" si="209"/>
        <v>0</v>
      </c>
      <c r="M726" s="25"/>
      <c r="N726" s="26"/>
      <c r="O726" s="663">
        <v>0.93490804699999996</v>
      </c>
    </row>
    <row r="727" spans="1:15" ht="18.95" customHeight="1">
      <c r="A727" s="573"/>
      <c r="B727" s="573" t="s">
        <v>273</v>
      </c>
      <c r="C727" s="666" t="s">
        <v>2709</v>
      </c>
      <c r="D727" s="660"/>
      <c r="E727" s="533">
        <v>2</v>
      </c>
      <c r="F727" s="30" t="s">
        <v>349</v>
      </c>
      <c r="G727" s="30">
        <v>13400</v>
      </c>
      <c r="H727" s="30">
        <f t="shared" si="201"/>
        <v>12527.767829799999</v>
      </c>
      <c r="I727" s="30">
        <f t="shared" si="202"/>
        <v>25055.535659599998</v>
      </c>
      <c r="J727" s="25">
        <v>500</v>
      </c>
      <c r="K727" s="25">
        <f t="shared" ref="K727:K730" si="211">J727*O727</f>
        <v>467.45402350000001</v>
      </c>
      <c r="L727" s="25">
        <f t="shared" si="209"/>
        <v>934.90804700000001</v>
      </c>
      <c r="M727" s="25">
        <f>I727+L727</f>
        <v>25990.443706599999</v>
      </c>
      <c r="N727" s="26"/>
      <c r="O727" s="663">
        <v>0.93490804699999996</v>
      </c>
    </row>
    <row r="728" spans="1:15" ht="18.95" customHeight="1">
      <c r="A728" s="573"/>
      <c r="B728" s="573" t="s">
        <v>273</v>
      </c>
      <c r="C728" s="666" t="s">
        <v>2712</v>
      </c>
      <c r="D728" s="660"/>
      <c r="E728" s="533">
        <v>11</v>
      </c>
      <c r="F728" s="30" t="s">
        <v>349</v>
      </c>
      <c r="G728" s="30">
        <v>13400</v>
      </c>
      <c r="H728" s="30">
        <f t="shared" si="201"/>
        <v>12527.767829799999</v>
      </c>
      <c r="I728" s="30">
        <f t="shared" si="202"/>
        <v>137805.44612779998</v>
      </c>
      <c r="J728" s="25">
        <v>500</v>
      </c>
      <c r="K728" s="25">
        <f t="shared" si="211"/>
        <v>467.45402350000001</v>
      </c>
      <c r="L728" s="25">
        <f t="shared" si="209"/>
        <v>5141.9942584999999</v>
      </c>
      <c r="M728" s="25">
        <f>I728+L728</f>
        <v>142947.44038629998</v>
      </c>
      <c r="N728" s="26"/>
      <c r="O728" s="663">
        <v>0.93490804699999996</v>
      </c>
    </row>
    <row r="729" spans="1:15" ht="18.95" customHeight="1">
      <c r="A729" s="573"/>
      <c r="B729" s="573" t="s">
        <v>273</v>
      </c>
      <c r="C729" s="666" t="s">
        <v>2691</v>
      </c>
      <c r="D729" s="660"/>
      <c r="E729" s="533">
        <v>1</v>
      </c>
      <c r="F729" s="30" t="s">
        <v>349</v>
      </c>
      <c r="G729" s="30">
        <v>6400</v>
      </c>
      <c r="H729" s="30">
        <f t="shared" si="201"/>
        <v>5983.4115007999999</v>
      </c>
      <c r="I729" s="30">
        <f t="shared" si="202"/>
        <v>5983.4115007999999</v>
      </c>
      <c r="J729" s="25">
        <v>500</v>
      </c>
      <c r="K729" s="25">
        <f t="shared" si="211"/>
        <v>467.45402350000001</v>
      </c>
      <c r="L729" s="25">
        <f t="shared" si="209"/>
        <v>467.45402350000001</v>
      </c>
      <c r="M729" s="25">
        <f>I729+L729</f>
        <v>6450.8655243000003</v>
      </c>
      <c r="N729" s="288"/>
      <c r="O729" s="663">
        <v>0.93490804699999996</v>
      </c>
    </row>
    <row r="730" spans="1:15" ht="18.95" customHeight="1">
      <c r="A730" s="573"/>
      <c r="B730" s="573" t="s">
        <v>273</v>
      </c>
      <c r="C730" s="666" t="s">
        <v>2694</v>
      </c>
      <c r="D730" s="660"/>
      <c r="E730" s="533">
        <v>1</v>
      </c>
      <c r="F730" s="30" t="s">
        <v>349</v>
      </c>
      <c r="G730" s="30">
        <v>12650</v>
      </c>
      <c r="H730" s="30">
        <f t="shared" si="201"/>
        <v>11826.586794549999</v>
      </c>
      <c r="I730" s="30">
        <f t="shared" si="202"/>
        <v>11826.586794549999</v>
      </c>
      <c r="J730" s="25">
        <v>1000</v>
      </c>
      <c r="K730" s="25">
        <f t="shared" si="211"/>
        <v>934.90804700000001</v>
      </c>
      <c r="L730" s="25">
        <f t="shared" si="209"/>
        <v>934.90804700000001</v>
      </c>
      <c r="M730" s="25">
        <f>I730+L730</f>
        <v>12761.49484155</v>
      </c>
      <c r="N730" s="26"/>
      <c r="O730" s="663">
        <v>0.93490804699999996</v>
      </c>
    </row>
    <row r="731" spans="1:15" ht="18.95" customHeight="1">
      <c r="A731" s="573" t="s">
        <v>2725</v>
      </c>
      <c r="B731" s="665" t="s">
        <v>2726</v>
      </c>
      <c r="C731" s="666"/>
      <c r="D731" s="660"/>
      <c r="E731" s="533"/>
      <c r="F731" s="30"/>
      <c r="G731" s="25"/>
      <c r="H731" s="30"/>
      <c r="I731" s="30"/>
      <c r="J731" s="25"/>
      <c r="K731" s="25"/>
      <c r="L731" s="25">
        <f t="shared" si="209"/>
        <v>0</v>
      </c>
      <c r="M731" s="25"/>
      <c r="N731" s="26"/>
      <c r="O731" s="663">
        <v>0.93490804699999996</v>
      </c>
    </row>
    <row r="732" spans="1:15" ht="18.95" customHeight="1">
      <c r="A732" s="573"/>
      <c r="B732" s="573" t="s">
        <v>273</v>
      </c>
      <c r="C732" s="666" t="s">
        <v>2709</v>
      </c>
      <c r="D732" s="660"/>
      <c r="E732" s="533">
        <v>2</v>
      </c>
      <c r="F732" s="30" t="s">
        <v>349</v>
      </c>
      <c r="G732" s="30">
        <v>13400</v>
      </c>
      <c r="H732" s="30">
        <f t="shared" si="201"/>
        <v>12527.767829799999</v>
      </c>
      <c r="I732" s="30">
        <f t="shared" si="202"/>
        <v>25055.535659599998</v>
      </c>
      <c r="J732" s="25">
        <v>500</v>
      </c>
      <c r="K732" s="25">
        <f t="shared" ref="K732:K737" si="212">J732*O732</f>
        <v>467.45402350000001</v>
      </c>
      <c r="L732" s="25">
        <f t="shared" si="209"/>
        <v>934.90804700000001</v>
      </c>
      <c r="M732" s="25">
        <f t="shared" ref="M732:M737" si="213">I732+L732</f>
        <v>25990.443706599999</v>
      </c>
      <c r="N732" s="26"/>
      <c r="O732" s="663">
        <v>0.93490804699999996</v>
      </c>
    </row>
    <row r="733" spans="1:15" ht="18.95" customHeight="1">
      <c r="A733" s="573"/>
      <c r="B733" s="573" t="s">
        <v>273</v>
      </c>
      <c r="C733" s="666" t="s">
        <v>2706</v>
      </c>
      <c r="D733" s="660"/>
      <c r="E733" s="533">
        <v>1</v>
      </c>
      <c r="F733" s="30" t="s">
        <v>349</v>
      </c>
      <c r="G733" s="30">
        <v>9200</v>
      </c>
      <c r="H733" s="30">
        <f t="shared" si="201"/>
        <v>8601.1540323999998</v>
      </c>
      <c r="I733" s="30">
        <f t="shared" si="202"/>
        <v>8601.1540323999998</v>
      </c>
      <c r="J733" s="25">
        <v>500</v>
      </c>
      <c r="K733" s="25">
        <f t="shared" si="212"/>
        <v>467.45402350000001</v>
      </c>
      <c r="L733" s="25">
        <f t="shared" si="209"/>
        <v>467.45402350000001</v>
      </c>
      <c r="M733" s="25">
        <f t="shared" si="213"/>
        <v>9068.6080559000002</v>
      </c>
      <c r="N733" s="26"/>
      <c r="O733" s="663">
        <v>0.93490804699999996</v>
      </c>
    </row>
    <row r="734" spans="1:15" ht="18.95" customHeight="1">
      <c r="A734" s="573"/>
      <c r="B734" s="573" t="s">
        <v>273</v>
      </c>
      <c r="C734" s="666" t="s">
        <v>2710</v>
      </c>
      <c r="D734" s="660"/>
      <c r="E734" s="533">
        <v>3</v>
      </c>
      <c r="F734" s="30" t="s">
        <v>349</v>
      </c>
      <c r="G734" s="30">
        <v>7000</v>
      </c>
      <c r="H734" s="30">
        <f t="shared" si="201"/>
        <v>6544.3563290000002</v>
      </c>
      <c r="I734" s="30">
        <f t="shared" si="202"/>
        <v>19633.068986999999</v>
      </c>
      <c r="J734" s="25">
        <v>500</v>
      </c>
      <c r="K734" s="25">
        <f t="shared" si="212"/>
        <v>467.45402350000001</v>
      </c>
      <c r="L734" s="25">
        <f t="shared" si="209"/>
        <v>1402.3620705000001</v>
      </c>
      <c r="M734" s="25">
        <f t="shared" si="213"/>
        <v>21035.431057499998</v>
      </c>
      <c r="N734" s="26"/>
      <c r="O734" s="663">
        <v>0.93490804699999996</v>
      </c>
    </row>
    <row r="735" spans="1:15" ht="18.95" customHeight="1">
      <c r="A735" s="573"/>
      <c r="B735" s="573" t="s">
        <v>273</v>
      </c>
      <c r="C735" s="666" t="s">
        <v>2712</v>
      </c>
      <c r="D735" s="660"/>
      <c r="E735" s="533">
        <v>4</v>
      </c>
      <c r="F735" s="30" t="s">
        <v>349</v>
      </c>
      <c r="G735" s="30">
        <f>33500*0.4</f>
        <v>13400</v>
      </c>
      <c r="H735" s="30">
        <f t="shared" si="201"/>
        <v>12527.767829799999</v>
      </c>
      <c r="I735" s="30">
        <f t="shared" si="202"/>
        <v>50111.071319199997</v>
      </c>
      <c r="J735" s="25">
        <v>500</v>
      </c>
      <c r="K735" s="25">
        <f t="shared" si="212"/>
        <v>467.45402350000001</v>
      </c>
      <c r="L735" s="25">
        <f t="shared" si="209"/>
        <v>1869.816094</v>
      </c>
      <c r="M735" s="25">
        <f t="shared" si="213"/>
        <v>51980.887413199998</v>
      </c>
      <c r="N735" s="26"/>
      <c r="O735" s="663">
        <v>0.93490804699999996</v>
      </c>
    </row>
    <row r="736" spans="1:15" ht="18.95" customHeight="1">
      <c r="A736" s="573"/>
      <c r="B736" s="573" t="s">
        <v>273</v>
      </c>
      <c r="C736" s="666" t="s">
        <v>2691</v>
      </c>
      <c r="D736" s="660"/>
      <c r="E736" s="533">
        <v>1</v>
      </c>
      <c r="F736" s="30" t="s">
        <v>349</v>
      </c>
      <c r="G736" s="30">
        <v>6400</v>
      </c>
      <c r="H736" s="30">
        <f t="shared" si="201"/>
        <v>5983.4115007999999</v>
      </c>
      <c r="I736" s="30">
        <f t="shared" si="202"/>
        <v>5983.4115007999999</v>
      </c>
      <c r="J736" s="25">
        <v>500</v>
      </c>
      <c r="K736" s="25">
        <f t="shared" si="212"/>
        <v>467.45402350000001</v>
      </c>
      <c r="L736" s="25">
        <f t="shared" si="209"/>
        <v>467.45402350000001</v>
      </c>
      <c r="M736" s="25">
        <f t="shared" si="213"/>
        <v>6450.8655243000003</v>
      </c>
      <c r="N736" s="26"/>
      <c r="O736" s="663">
        <v>0.93490804699999996</v>
      </c>
    </row>
    <row r="737" spans="1:15" ht="18.95" customHeight="1">
      <c r="A737" s="573"/>
      <c r="B737" s="573" t="s">
        <v>273</v>
      </c>
      <c r="C737" s="666" t="s">
        <v>2694</v>
      </c>
      <c r="D737" s="660"/>
      <c r="E737" s="533">
        <v>1</v>
      </c>
      <c r="F737" s="30" t="s">
        <v>349</v>
      </c>
      <c r="G737" s="30">
        <v>12650</v>
      </c>
      <c r="H737" s="30">
        <f t="shared" si="201"/>
        <v>11826.586794549999</v>
      </c>
      <c r="I737" s="30">
        <f t="shared" si="202"/>
        <v>11826.586794549999</v>
      </c>
      <c r="J737" s="25">
        <v>1000</v>
      </c>
      <c r="K737" s="25">
        <f t="shared" si="212"/>
        <v>934.90804700000001</v>
      </c>
      <c r="L737" s="25">
        <f t="shared" si="209"/>
        <v>934.90804700000001</v>
      </c>
      <c r="M737" s="25">
        <f t="shared" si="213"/>
        <v>12761.49484155</v>
      </c>
      <c r="N737" s="26"/>
      <c r="O737" s="663">
        <v>0.93490804699999996</v>
      </c>
    </row>
    <row r="738" spans="1:15" ht="18.95" customHeight="1">
      <c r="A738" s="573" t="s">
        <v>2727</v>
      </c>
      <c r="B738" s="665" t="s">
        <v>2728</v>
      </c>
      <c r="C738" s="666"/>
      <c r="D738" s="660"/>
      <c r="E738" s="533"/>
      <c r="F738" s="30"/>
      <c r="G738" s="25"/>
      <c r="H738" s="30"/>
      <c r="I738" s="30"/>
      <c r="J738" s="25"/>
      <c r="K738" s="25"/>
      <c r="L738" s="25">
        <f t="shared" si="209"/>
        <v>0</v>
      </c>
      <c r="M738" s="25"/>
      <c r="N738" s="26"/>
      <c r="O738" s="663">
        <v>0.93490804699999996</v>
      </c>
    </row>
    <row r="739" spans="1:15" ht="18.95" customHeight="1">
      <c r="A739" s="573"/>
      <c r="B739" s="573" t="s">
        <v>273</v>
      </c>
      <c r="C739" s="666" t="s">
        <v>2709</v>
      </c>
      <c r="D739" s="660"/>
      <c r="E739" s="533">
        <v>2</v>
      </c>
      <c r="F739" s="30" t="s">
        <v>349</v>
      </c>
      <c r="G739" s="30">
        <v>13400</v>
      </c>
      <c r="H739" s="30">
        <f t="shared" si="201"/>
        <v>12527.767829799999</v>
      </c>
      <c r="I739" s="30">
        <f t="shared" si="202"/>
        <v>25055.535659599998</v>
      </c>
      <c r="J739" s="25">
        <v>500</v>
      </c>
      <c r="K739" s="25">
        <f t="shared" ref="K739:K742" si="214">J739*O739</f>
        <v>467.45402350000001</v>
      </c>
      <c r="L739" s="25">
        <f t="shared" si="209"/>
        <v>934.90804700000001</v>
      </c>
      <c r="M739" s="25">
        <f>I739+L739</f>
        <v>25990.443706599999</v>
      </c>
      <c r="N739" s="26"/>
      <c r="O739" s="663">
        <v>0.93490804699999996</v>
      </c>
    </row>
    <row r="740" spans="1:15" ht="18.95" customHeight="1">
      <c r="A740" s="573"/>
      <c r="B740" s="573" t="s">
        <v>273</v>
      </c>
      <c r="C740" s="666" t="s">
        <v>2710</v>
      </c>
      <c r="D740" s="660"/>
      <c r="E740" s="533">
        <v>1</v>
      </c>
      <c r="F740" s="30" t="s">
        <v>349</v>
      </c>
      <c r="G740" s="30">
        <v>7000</v>
      </c>
      <c r="H740" s="30">
        <f t="shared" si="201"/>
        <v>6544.3563290000002</v>
      </c>
      <c r="I740" s="30">
        <f t="shared" si="202"/>
        <v>6544.3563290000002</v>
      </c>
      <c r="J740" s="25">
        <v>500</v>
      </c>
      <c r="K740" s="25">
        <f t="shared" si="214"/>
        <v>467.45402350000001</v>
      </c>
      <c r="L740" s="25">
        <f t="shared" si="209"/>
        <v>467.45402350000001</v>
      </c>
      <c r="M740" s="25">
        <f>I740+L740</f>
        <v>7011.8103525000006</v>
      </c>
      <c r="N740" s="26"/>
      <c r="O740" s="663">
        <v>0.93490804699999996</v>
      </c>
    </row>
    <row r="741" spans="1:15" ht="18.95" customHeight="1">
      <c r="A741" s="573"/>
      <c r="B741" s="573" t="s">
        <v>273</v>
      </c>
      <c r="C741" s="666" t="s">
        <v>2691</v>
      </c>
      <c r="D741" s="660"/>
      <c r="E741" s="533">
        <v>1</v>
      </c>
      <c r="F741" s="30" t="s">
        <v>349</v>
      </c>
      <c r="G741" s="30">
        <v>6400</v>
      </c>
      <c r="H741" s="30">
        <f t="shared" si="201"/>
        <v>5983.4115007999999</v>
      </c>
      <c r="I741" s="30">
        <f t="shared" si="202"/>
        <v>5983.4115007999999</v>
      </c>
      <c r="J741" s="25">
        <v>500</v>
      </c>
      <c r="K741" s="25">
        <f t="shared" si="214"/>
        <v>467.45402350000001</v>
      </c>
      <c r="L741" s="25">
        <f t="shared" si="209"/>
        <v>467.45402350000001</v>
      </c>
      <c r="M741" s="25">
        <f>I741+L741</f>
        <v>6450.8655243000003</v>
      </c>
      <c r="N741" s="288"/>
      <c r="O741" s="663">
        <v>0.93490804699999996</v>
      </c>
    </row>
    <row r="742" spans="1:15" ht="18.95" customHeight="1">
      <c r="A742" s="573"/>
      <c r="B742" s="573" t="s">
        <v>273</v>
      </c>
      <c r="C742" s="666" t="s">
        <v>2694</v>
      </c>
      <c r="D742" s="660"/>
      <c r="E742" s="533">
        <v>1</v>
      </c>
      <c r="F742" s="30" t="s">
        <v>349</v>
      </c>
      <c r="G742" s="30">
        <v>6000</v>
      </c>
      <c r="H742" s="30">
        <f t="shared" si="201"/>
        <v>5609.4482819999994</v>
      </c>
      <c r="I742" s="30">
        <f t="shared" si="202"/>
        <v>5609.4482819999994</v>
      </c>
      <c r="J742" s="25">
        <v>1000</v>
      </c>
      <c r="K742" s="25">
        <f t="shared" si="214"/>
        <v>934.90804700000001</v>
      </c>
      <c r="L742" s="25">
        <f t="shared" si="209"/>
        <v>934.90804700000001</v>
      </c>
      <c r="M742" s="25">
        <f>I742+L742</f>
        <v>6544.3563289999993</v>
      </c>
      <c r="N742" s="288"/>
      <c r="O742" s="663">
        <v>0.93490804699999996</v>
      </c>
    </row>
    <row r="743" spans="1:15" ht="18.95" customHeight="1">
      <c r="A743" s="573" t="s">
        <v>2729</v>
      </c>
      <c r="B743" s="665" t="s">
        <v>2730</v>
      </c>
      <c r="C743" s="666"/>
      <c r="D743" s="660"/>
      <c r="E743" s="533"/>
      <c r="F743" s="30"/>
      <c r="G743" s="25"/>
      <c r="H743" s="30"/>
      <c r="I743" s="30"/>
      <c r="J743" s="25"/>
      <c r="K743" s="25"/>
      <c r="L743" s="25">
        <f t="shared" si="209"/>
        <v>0</v>
      </c>
      <c r="M743" s="25"/>
      <c r="N743" s="26"/>
      <c r="O743" s="663">
        <v>0.93490804699999996</v>
      </c>
    </row>
    <row r="744" spans="1:15" ht="18.95" customHeight="1">
      <c r="A744" s="573"/>
      <c r="B744" s="573" t="s">
        <v>273</v>
      </c>
      <c r="C744" s="666" t="s">
        <v>2709</v>
      </c>
      <c r="D744" s="660"/>
      <c r="E744" s="533">
        <v>5</v>
      </c>
      <c r="F744" s="30" t="s">
        <v>349</v>
      </c>
      <c r="G744" s="30">
        <v>13400</v>
      </c>
      <c r="H744" s="30">
        <f t="shared" ref="H744:H766" si="215">G744*O744</f>
        <v>12527.767829799999</v>
      </c>
      <c r="I744" s="30">
        <f t="shared" ref="I744:I766" si="216">E744*H744</f>
        <v>62638.839148999992</v>
      </c>
      <c r="J744" s="25">
        <v>500</v>
      </c>
      <c r="K744" s="25">
        <f t="shared" ref="K744:K748" si="217">J744*O744</f>
        <v>467.45402350000001</v>
      </c>
      <c r="L744" s="25">
        <f t="shared" si="209"/>
        <v>2337.2701175000002</v>
      </c>
      <c r="M744" s="25">
        <f t="shared" ref="M744:M748" si="218">I744+L744</f>
        <v>64976.109266499989</v>
      </c>
      <c r="N744" s="26"/>
      <c r="O744" s="663">
        <v>0.93490804699999996</v>
      </c>
    </row>
    <row r="745" spans="1:15" ht="18.95" customHeight="1">
      <c r="A745" s="573"/>
      <c r="B745" s="573" t="s">
        <v>273</v>
      </c>
      <c r="C745" s="666" t="s">
        <v>2720</v>
      </c>
      <c r="D745" s="660"/>
      <c r="E745" s="533">
        <v>1</v>
      </c>
      <c r="F745" s="30" t="s">
        <v>349</v>
      </c>
      <c r="G745" s="30">
        <v>11800</v>
      </c>
      <c r="H745" s="30">
        <f t="shared" si="215"/>
        <v>11031.914954599999</v>
      </c>
      <c r="I745" s="30">
        <f t="shared" si="216"/>
        <v>11031.914954599999</v>
      </c>
      <c r="J745" s="25">
        <v>500</v>
      </c>
      <c r="K745" s="25">
        <f t="shared" si="217"/>
        <v>467.45402350000001</v>
      </c>
      <c r="L745" s="25">
        <f t="shared" si="209"/>
        <v>467.45402350000001</v>
      </c>
      <c r="M745" s="25">
        <f t="shared" si="218"/>
        <v>11499.368978099999</v>
      </c>
      <c r="N745" s="26"/>
      <c r="O745" s="663">
        <v>0.93490804699999996</v>
      </c>
    </row>
    <row r="746" spans="1:15" ht="18.95" customHeight="1">
      <c r="A746" s="573"/>
      <c r="B746" s="573" t="s">
        <v>273</v>
      </c>
      <c r="C746" s="666" t="s">
        <v>2710</v>
      </c>
      <c r="D746" s="660"/>
      <c r="E746" s="533">
        <v>7</v>
      </c>
      <c r="F746" s="30" t="s">
        <v>349</v>
      </c>
      <c r="G746" s="30">
        <v>7000</v>
      </c>
      <c r="H746" s="30">
        <f t="shared" si="215"/>
        <v>6544.3563290000002</v>
      </c>
      <c r="I746" s="30">
        <f t="shared" si="216"/>
        <v>45810.494302999999</v>
      </c>
      <c r="J746" s="25">
        <v>500</v>
      </c>
      <c r="K746" s="25">
        <f t="shared" si="217"/>
        <v>467.45402350000001</v>
      </c>
      <c r="L746" s="25">
        <f t="shared" si="209"/>
        <v>3272.1781645000001</v>
      </c>
      <c r="M746" s="25">
        <f t="shared" si="218"/>
        <v>49082.6724675</v>
      </c>
      <c r="N746" s="26"/>
      <c r="O746" s="663">
        <v>0.93490804699999996</v>
      </c>
    </row>
    <row r="747" spans="1:15" ht="18.95" customHeight="1">
      <c r="A747" s="573"/>
      <c r="B747" s="573" t="s">
        <v>273</v>
      </c>
      <c r="C747" s="666" t="s">
        <v>2691</v>
      </c>
      <c r="D747" s="660"/>
      <c r="E747" s="533">
        <v>1</v>
      </c>
      <c r="F747" s="30" t="s">
        <v>349</v>
      </c>
      <c r="G747" s="30">
        <v>6400</v>
      </c>
      <c r="H747" s="30">
        <f t="shared" si="215"/>
        <v>5983.4115007999999</v>
      </c>
      <c r="I747" s="30">
        <f t="shared" si="216"/>
        <v>5983.4115007999999</v>
      </c>
      <c r="J747" s="25">
        <v>500</v>
      </c>
      <c r="K747" s="25">
        <f t="shared" si="217"/>
        <v>467.45402350000001</v>
      </c>
      <c r="L747" s="25">
        <f t="shared" si="209"/>
        <v>467.45402350000001</v>
      </c>
      <c r="M747" s="25">
        <f t="shared" si="218"/>
        <v>6450.8655243000003</v>
      </c>
      <c r="N747" s="288"/>
      <c r="O747" s="663">
        <v>0.93490804699999996</v>
      </c>
    </row>
    <row r="748" spans="1:15" ht="18.95" customHeight="1">
      <c r="A748" s="573"/>
      <c r="B748" s="573" t="s">
        <v>273</v>
      </c>
      <c r="C748" s="666" t="s">
        <v>2694</v>
      </c>
      <c r="D748" s="660"/>
      <c r="E748" s="533">
        <v>1</v>
      </c>
      <c r="F748" s="30" t="s">
        <v>349</v>
      </c>
      <c r="G748" s="30">
        <v>12650</v>
      </c>
      <c r="H748" s="30">
        <f t="shared" si="215"/>
        <v>11826.586794549999</v>
      </c>
      <c r="I748" s="30">
        <f t="shared" si="216"/>
        <v>11826.586794549999</v>
      </c>
      <c r="J748" s="25">
        <v>1000</v>
      </c>
      <c r="K748" s="25">
        <f t="shared" si="217"/>
        <v>934.90804700000001</v>
      </c>
      <c r="L748" s="25">
        <f t="shared" si="209"/>
        <v>934.90804700000001</v>
      </c>
      <c r="M748" s="25">
        <f t="shared" si="218"/>
        <v>12761.49484155</v>
      </c>
      <c r="N748" s="26"/>
      <c r="O748" s="663">
        <v>0.93490804699999996</v>
      </c>
    </row>
    <row r="749" spans="1:15" ht="18.95" customHeight="1">
      <c r="A749" s="573" t="s">
        <v>2731</v>
      </c>
      <c r="B749" s="665" t="s">
        <v>2732</v>
      </c>
      <c r="C749" s="666"/>
      <c r="D749" s="660"/>
      <c r="E749" s="533"/>
      <c r="F749" s="30"/>
      <c r="G749" s="25"/>
      <c r="H749" s="30"/>
      <c r="I749" s="30"/>
      <c r="J749" s="25"/>
      <c r="K749" s="25"/>
      <c r="L749" s="25">
        <f t="shared" si="209"/>
        <v>0</v>
      </c>
      <c r="M749" s="25"/>
      <c r="N749" s="26"/>
      <c r="O749" s="663">
        <v>0.93490804699999996</v>
      </c>
    </row>
    <row r="750" spans="1:15" ht="18.95" customHeight="1">
      <c r="A750" s="573"/>
      <c r="B750" s="573" t="s">
        <v>273</v>
      </c>
      <c r="C750" s="666" t="s">
        <v>2709</v>
      </c>
      <c r="D750" s="660"/>
      <c r="E750" s="533">
        <v>2</v>
      </c>
      <c r="F750" s="30" t="s">
        <v>349</v>
      </c>
      <c r="G750" s="30">
        <v>13400</v>
      </c>
      <c r="H750" s="30">
        <f t="shared" si="215"/>
        <v>12527.767829799999</v>
      </c>
      <c r="I750" s="30">
        <f t="shared" si="216"/>
        <v>25055.535659599998</v>
      </c>
      <c r="J750" s="25">
        <v>500</v>
      </c>
      <c r="K750" s="25">
        <f t="shared" ref="K750:K766" si="219">J750*O750</f>
        <v>467.45402350000001</v>
      </c>
      <c r="L750" s="25">
        <f t="shared" si="209"/>
        <v>934.90804700000001</v>
      </c>
      <c r="M750" s="25">
        <f>I750+L750</f>
        <v>25990.443706599999</v>
      </c>
      <c r="N750" s="26"/>
      <c r="O750" s="663">
        <v>0.93490804699999996</v>
      </c>
    </row>
    <row r="751" spans="1:15" ht="18.95" customHeight="1">
      <c r="A751" s="573"/>
      <c r="B751" s="573" t="s">
        <v>273</v>
      </c>
      <c r="C751" s="666" t="s">
        <v>2706</v>
      </c>
      <c r="D751" s="660"/>
      <c r="E751" s="533">
        <v>1</v>
      </c>
      <c r="F751" s="30" t="s">
        <v>349</v>
      </c>
      <c r="G751" s="30">
        <v>9200</v>
      </c>
      <c r="H751" s="30">
        <f t="shared" si="215"/>
        <v>8601.1540323999998</v>
      </c>
      <c r="I751" s="30">
        <f t="shared" si="216"/>
        <v>8601.1540323999998</v>
      </c>
      <c r="J751" s="25">
        <v>500</v>
      </c>
      <c r="K751" s="25">
        <f t="shared" si="219"/>
        <v>467.45402350000001</v>
      </c>
      <c r="L751" s="25">
        <f t="shared" si="209"/>
        <v>467.45402350000001</v>
      </c>
      <c r="M751" s="25">
        <f>I751+L751</f>
        <v>9068.6080559000002</v>
      </c>
      <c r="N751" s="26"/>
      <c r="O751" s="663">
        <v>0.93490804699999996</v>
      </c>
    </row>
    <row r="752" spans="1:15" ht="18.95" customHeight="1">
      <c r="A752" s="573"/>
      <c r="B752" s="573" t="s">
        <v>273</v>
      </c>
      <c r="C752" s="666" t="s">
        <v>2710</v>
      </c>
      <c r="D752" s="660"/>
      <c r="E752" s="533">
        <v>5</v>
      </c>
      <c r="F752" s="30" t="s">
        <v>349</v>
      </c>
      <c r="G752" s="30">
        <v>7000</v>
      </c>
      <c r="H752" s="30">
        <f t="shared" si="215"/>
        <v>6544.3563290000002</v>
      </c>
      <c r="I752" s="30">
        <f t="shared" si="216"/>
        <v>32721.781645000003</v>
      </c>
      <c r="J752" s="25">
        <v>500</v>
      </c>
      <c r="K752" s="25">
        <f t="shared" si="219"/>
        <v>467.45402350000001</v>
      </c>
      <c r="L752" s="25">
        <f t="shared" si="209"/>
        <v>2337.2701175000002</v>
      </c>
      <c r="M752" s="25">
        <f>I752+L752</f>
        <v>35059.051762500007</v>
      </c>
      <c r="N752" s="26"/>
      <c r="O752" s="663">
        <v>0.93490804699999996</v>
      </c>
    </row>
    <row r="753" spans="1:17" ht="18.95" customHeight="1">
      <c r="A753" s="573"/>
      <c r="B753" s="573" t="s">
        <v>273</v>
      </c>
      <c r="C753" s="666" t="s">
        <v>2691</v>
      </c>
      <c r="D753" s="660"/>
      <c r="E753" s="533">
        <v>1</v>
      </c>
      <c r="F753" s="30" t="s">
        <v>349</v>
      </c>
      <c r="G753" s="30">
        <v>6400</v>
      </c>
      <c r="H753" s="30">
        <f t="shared" si="215"/>
        <v>5983.4115007999999</v>
      </c>
      <c r="I753" s="30">
        <f t="shared" si="216"/>
        <v>5983.4115007999999</v>
      </c>
      <c r="J753" s="25">
        <v>500</v>
      </c>
      <c r="K753" s="25">
        <f t="shared" si="219"/>
        <v>467.45402350000001</v>
      </c>
      <c r="L753" s="25">
        <f t="shared" si="209"/>
        <v>467.45402350000001</v>
      </c>
      <c r="M753" s="25">
        <f>I753+L753</f>
        <v>6450.8655243000003</v>
      </c>
      <c r="N753" s="288"/>
      <c r="O753" s="663">
        <v>0.93490804699999996</v>
      </c>
    </row>
    <row r="754" spans="1:17" ht="18.95" customHeight="1">
      <c r="A754" s="573"/>
      <c r="B754" s="573" t="s">
        <v>273</v>
      </c>
      <c r="C754" s="666" t="s">
        <v>2694</v>
      </c>
      <c r="D754" s="660"/>
      <c r="E754" s="533">
        <v>1</v>
      </c>
      <c r="F754" s="30" t="s">
        <v>349</v>
      </c>
      <c r="G754" s="30">
        <v>12650</v>
      </c>
      <c r="H754" s="30">
        <f t="shared" si="215"/>
        <v>11826.586794549999</v>
      </c>
      <c r="I754" s="30">
        <f t="shared" si="216"/>
        <v>11826.586794549999</v>
      </c>
      <c r="J754" s="25">
        <v>1000</v>
      </c>
      <c r="K754" s="25">
        <f t="shared" si="219"/>
        <v>934.90804700000001</v>
      </c>
      <c r="L754" s="25">
        <f t="shared" si="209"/>
        <v>934.90804700000001</v>
      </c>
      <c r="M754" s="25">
        <f>I754+L754</f>
        <v>12761.49484155</v>
      </c>
      <c r="N754" s="26"/>
      <c r="O754" s="663">
        <v>0.93490804699999996</v>
      </c>
    </row>
    <row r="755" spans="1:17" ht="18.95" customHeight="1">
      <c r="A755" s="667">
        <v>13.3</v>
      </c>
      <c r="B755" s="665" t="s">
        <v>2733</v>
      </c>
      <c r="C755" s="666"/>
      <c r="D755" s="660"/>
      <c r="E755" s="533"/>
      <c r="F755" s="30"/>
      <c r="G755" s="25"/>
      <c r="H755" s="30"/>
      <c r="I755" s="30"/>
      <c r="J755" s="25"/>
      <c r="K755" s="25"/>
      <c r="L755" s="25">
        <f t="shared" si="209"/>
        <v>0</v>
      </c>
      <c r="M755" s="25"/>
      <c r="N755" s="26"/>
      <c r="O755" s="663">
        <v>0.93490804699999996</v>
      </c>
    </row>
    <row r="756" spans="1:17" ht="18.95" customHeight="1">
      <c r="A756" s="573"/>
      <c r="B756" s="573" t="s">
        <v>273</v>
      </c>
      <c r="C756" s="666" t="s">
        <v>2734</v>
      </c>
      <c r="D756" s="660"/>
      <c r="E756" s="533">
        <v>42</v>
      </c>
      <c r="F756" s="30" t="s">
        <v>349</v>
      </c>
      <c r="G756" s="30">
        <f>10500*0.4</f>
        <v>4200</v>
      </c>
      <c r="H756" s="30">
        <f t="shared" si="215"/>
        <v>3926.6137973999998</v>
      </c>
      <c r="I756" s="30">
        <f t="shared" si="216"/>
        <v>164917.77949079999</v>
      </c>
      <c r="J756" s="25">
        <v>200</v>
      </c>
      <c r="K756" s="25">
        <f t="shared" si="219"/>
        <v>186.9816094</v>
      </c>
      <c r="L756" s="25">
        <f t="shared" si="209"/>
        <v>7853.2275947999997</v>
      </c>
      <c r="M756" s="25">
        <f>I756+L756</f>
        <v>172771.00708559999</v>
      </c>
      <c r="N756" s="26"/>
      <c r="O756" s="663">
        <v>0.93490804699999996</v>
      </c>
    </row>
    <row r="757" spans="1:17" ht="18.95" customHeight="1">
      <c r="A757" s="573"/>
      <c r="B757" s="573" t="s">
        <v>273</v>
      </c>
      <c r="C757" s="666" t="s">
        <v>2735</v>
      </c>
      <c r="D757" s="660"/>
      <c r="E757" s="533">
        <v>9</v>
      </c>
      <c r="F757" s="30" t="s">
        <v>349</v>
      </c>
      <c r="G757" s="30">
        <v>5200</v>
      </c>
      <c r="H757" s="30">
        <f t="shared" si="215"/>
        <v>4861.5218444000002</v>
      </c>
      <c r="I757" s="30">
        <f t="shared" si="216"/>
        <v>43753.6965996</v>
      </c>
      <c r="J757" s="25">
        <v>200</v>
      </c>
      <c r="K757" s="25">
        <f t="shared" si="219"/>
        <v>186.9816094</v>
      </c>
      <c r="L757" s="25">
        <f t="shared" si="209"/>
        <v>1682.8344846</v>
      </c>
      <c r="M757" s="25">
        <f>I757+L757</f>
        <v>45436.531084200004</v>
      </c>
      <c r="N757" s="26"/>
      <c r="O757" s="663">
        <v>0.93490804699999996</v>
      </c>
    </row>
    <row r="758" spans="1:17" ht="18.95" customHeight="1">
      <c r="A758" s="573"/>
      <c r="B758" s="573" t="s">
        <v>273</v>
      </c>
      <c r="C758" s="666" t="s">
        <v>2736</v>
      </c>
      <c r="D758" s="660"/>
      <c r="E758" s="533">
        <v>40</v>
      </c>
      <c r="F758" s="30" t="s">
        <v>349</v>
      </c>
      <c r="G758" s="30">
        <v>5600</v>
      </c>
      <c r="H758" s="30">
        <f t="shared" si="215"/>
        <v>5235.4850631999998</v>
      </c>
      <c r="I758" s="30">
        <f t="shared" si="216"/>
        <v>209419.40252800001</v>
      </c>
      <c r="J758" s="25">
        <v>200</v>
      </c>
      <c r="K758" s="25">
        <f t="shared" si="219"/>
        <v>186.9816094</v>
      </c>
      <c r="L758" s="25">
        <f t="shared" si="209"/>
        <v>7479.2643760000001</v>
      </c>
      <c r="M758" s="25">
        <f>I758+L758</f>
        <v>216898.66690400001</v>
      </c>
      <c r="N758" s="26"/>
      <c r="O758" s="663">
        <v>0.93490804699999996</v>
      </c>
    </row>
    <row r="759" spans="1:17" ht="18.95" customHeight="1">
      <c r="A759" s="667">
        <v>13.4</v>
      </c>
      <c r="B759" s="665" t="s">
        <v>2737</v>
      </c>
      <c r="C759" s="666"/>
      <c r="D759" s="660"/>
      <c r="E759" s="533"/>
      <c r="F759" s="30"/>
      <c r="G759" s="25"/>
      <c r="H759" s="30"/>
      <c r="I759" s="30"/>
      <c r="J759" s="25"/>
      <c r="K759" s="25" t="s">
        <v>151</v>
      </c>
      <c r="L759" s="25" t="s">
        <v>151</v>
      </c>
      <c r="M759" s="25"/>
      <c r="N759" s="26"/>
      <c r="O759" s="663">
        <v>0.93490804699999996</v>
      </c>
    </row>
    <row r="760" spans="1:17" ht="18.95" customHeight="1">
      <c r="A760" s="573"/>
      <c r="B760" s="573" t="s">
        <v>273</v>
      </c>
      <c r="C760" s="666" t="s">
        <v>2738</v>
      </c>
      <c r="D760" s="660"/>
      <c r="E760" s="533">
        <v>10</v>
      </c>
      <c r="F760" s="30" t="s">
        <v>349</v>
      </c>
      <c r="G760" s="30">
        <v>8500</v>
      </c>
      <c r="H760" s="30">
        <f t="shared" si="215"/>
        <v>7946.7183994999996</v>
      </c>
      <c r="I760" s="30">
        <f t="shared" si="216"/>
        <v>79467.183994999999</v>
      </c>
      <c r="J760" s="25">
        <v>200</v>
      </c>
      <c r="K760" s="25">
        <f t="shared" si="219"/>
        <v>186.9816094</v>
      </c>
      <c r="L760" s="25">
        <f t="shared" si="209"/>
        <v>1869.816094</v>
      </c>
      <c r="M760" s="25">
        <f>I760+L760</f>
        <v>81337.000088999994</v>
      </c>
      <c r="N760" s="26"/>
      <c r="O760" s="663">
        <v>0.93490804699999996</v>
      </c>
    </row>
    <row r="761" spans="1:17" ht="18.95" customHeight="1">
      <c r="A761" s="573"/>
      <c r="B761" s="573" t="s">
        <v>273</v>
      </c>
      <c r="C761" s="666" t="s">
        <v>2739</v>
      </c>
      <c r="D761" s="660"/>
      <c r="E761" s="533">
        <v>12</v>
      </c>
      <c r="F761" s="30" t="s">
        <v>349</v>
      </c>
      <c r="G761" s="30">
        <f>6400*0.4</f>
        <v>2560</v>
      </c>
      <c r="H761" s="30">
        <f t="shared" si="215"/>
        <v>2393.3646003200001</v>
      </c>
      <c r="I761" s="30">
        <f t="shared" si="216"/>
        <v>28720.375203840002</v>
      </c>
      <c r="J761" s="25">
        <v>200</v>
      </c>
      <c r="K761" s="25">
        <f t="shared" si="219"/>
        <v>186.9816094</v>
      </c>
      <c r="L761" s="25">
        <f t="shared" si="209"/>
        <v>2243.7793127999998</v>
      </c>
      <c r="M761" s="25">
        <f>I761+L761</f>
        <v>30964.154516640003</v>
      </c>
      <c r="N761" s="26"/>
      <c r="O761" s="663">
        <v>0.93490804699999996</v>
      </c>
    </row>
    <row r="762" spans="1:17" ht="18.95" customHeight="1">
      <c r="A762" s="667">
        <v>13.5</v>
      </c>
      <c r="B762" s="665" t="s">
        <v>2740</v>
      </c>
      <c r="C762" s="666"/>
      <c r="D762" s="660"/>
      <c r="E762" s="533"/>
      <c r="F762" s="30"/>
      <c r="G762" s="25"/>
      <c r="H762" s="30"/>
      <c r="I762" s="30"/>
      <c r="J762" s="25"/>
      <c r="K762" s="25" t="s">
        <v>151</v>
      </c>
      <c r="L762" s="25" t="s">
        <v>151</v>
      </c>
      <c r="M762" s="25"/>
      <c r="N762" s="26"/>
      <c r="O762" s="663">
        <v>0.93490804699999996</v>
      </c>
    </row>
    <row r="763" spans="1:17" ht="18.95" customHeight="1">
      <c r="A763" s="573"/>
      <c r="B763" s="573" t="s">
        <v>273</v>
      </c>
      <c r="C763" s="666" t="s">
        <v>2741</v>
      </c>
      <c r="D763" s="660"/>
      <c r="E763" s="533">
        <v>510</v>
      </c>
      <c r="F763" s="30" t="s">
        <v>286</v>
      </c>
      <c r="G763" s="30">
        <v>16</v>
      </c>
      <c r="H763" s="30">
        <f t="shared" si="215"/>
        <v>14.958528751999999</v>
      </c>
      <c r="I763" s="30">
        <f t="shared" si="216"/>
        <v>7628.8496635199999</v>
      </c>
      <c r="J763" s="25">
        <v>10</v>
      </c>
      <c r="K763" s="25">
        <f t="shared" si="219"/>
        <v>9.3490804700000005</v>
      </c>
      <c r="L763" s="25">
        <f t="shared" si="209"/>
        <v>4768.0310397000003</v>
      </c>
      <c r="M763" s="25">
        <f>I763+L763</f>
        <v>12396.88070322</v>
      </c>
      <c r="N763" s="26"/>
      <c r="O763" s="663">
        <v>0.93490804699999996</v>
      </c>
    </row>
    <row r="764" spans="1:17" ht="18.95" customHeight="1">
      <c r="A764" s="667">
        <v>13.6</v>
      </c>
      <c r="B764" s="652" t="s">
        <v>2195</v>
      </c>
      <c r="C764" s="657"/>
      <c r="D764" s="412"/>
      <c r="E764" s="533"/>
      <c r="F764" s="30"/>
      <c r="G764" s="30"/>
      <c r="H764" s="30"/>
      <c r="I764" s="30"/>
      <c r="J764" s="25"/>
      <c r="K764" s="25" t="s">
        <v>151</v>
      </c>
      <c r="L764" s="25" t="s">
        <v>151</v>
      </c>
      <c r="M764" s="25"/>
      <c r="N764" s="26"/>
      <c r="O764" s="663">
        <v>0.93490804699999996</v>
      </c>
    </row>
    <row r="765" spans="1:17" ht="18.95" customHeight="1">
      <c r="A765" s="573"/>
      <c r="B765" s="573" t="s">
        <v>273</v>
      </c>
      <c r="C765" s="661" t="s">
        <v>2196</v>
      </c>
      <c r="D765" s="660"/>
      <c r="E765" s="533">
        <v>480</v>
      </c>
      <c r="F765" s="30" t="s">
        <v>286</v>
      </c>
      <c r="G765" s="30">
        <f>ROUND(93.1/3,2)</f>
        <v>31.03</v>
      </c>
      <c r="H765" s="30">
        <f t="shared" si="215"/>
        <v>29.010196698409999</v>
      </c>
      <c r="I765" s="30">
        <f t="shared" si="216"/>
        <v>13924.894415236799</v>
      </c>
      <c r="J765" s="25">
        <v>22</v>
      </c>
      <c r="K765" s="25">
        <f t="shared" si="219"/>
        <v>20.567977033999998</v>
      </c>
      <c r="L765" s="25">
        <f t="shared" si="209"/>
        <v>9872.6289763199984</v>
      </c>
      <c r="M765" s="25">
        <f>I765+L765</f>
        <v>23797.523391556795</v>
      </c>
      <c r="N765" s="26"/>
      <c r="O765" s="663">
        <v>0.93490804699999996</v>
      </c>
      <c r="P765" s="157" t="s">
        <v>2165</v>
      </c>
      <c r="Q765" s="157"/>
    </row>
    <row r="766" spans="1:17" ht="18.95" customHeight="1">
      <c r="A766" s="667">
        <v>13.7</v>
      </c>
      <c r="B766" s="665" t="s">
        <v>2742</v>
      </c>
      <c r="C766" s="666"/>
      <c r="D766" s="660"/>
      <c r="E766" s="533">
        <v>1</v>
      </c>
      <c r="F766" s="30" t="s">
        <v>2193</v>
      </c>
      <c r="G766" s="30">
        <v>50000</v>
      </c>
      <c r="H766" s="30">
        <f t="shared" si="215"/>
        <v>46745.402349999997</v>
      </c>
      <c r="I766" s="30">
        <f t="shared" si="216"/>
        <v>46745.402349999997</v>
      </c>
      <c r="J766" s="25">
        <v>10000</v>
      </c>
      <c r="K766" s="25">
        <f t="shared" si="219"/>
        <v>9349.080469999999</v>
      </c>
      <c r="L766" s="25">
        <f t="shared" si="209"/>
        <v>9349.080469999999</v>
      </c>
      <c r="M766" s="25">
        <f>I766+L766</f>
        <v>56094.482819999997</v>
      </c>
      <c r="N766" s="26"/>
      <c r="O766" s="663">
        <v>0.93490804699999996</v>
      </c>
    </row>
    <row r="767" spans="1:17" ht="18.95" customHeight="1">
      <c r="A767" s="667"/>
      <c r="B767" s="665"/>
      <c r="C767" s="666"/>
      <c r="D767" s="660"/>
      <c r="E767" s="533"/>
      <c r="F767" s="30"/>
      <c r="G767" s="30"/>
      <c r="H767" s="30"/>
      <c r="I767" s="30"/>
      <c r="J767" s="25"/>
      <c r="K767" s="25"/>
      <c r="L767" s="25">
        <f t="shared" si="209"/>
        <v>0</v>
      </c>
      <c r="M767" s="25"/>
      <c r="N767" s="26"/>
      <c r="O767" s="663">
        <v>0.93490804699999996</v>
      </c>
    </row>
    <row r="768" spans="1:17" ht="18.95" customHeight="1">
      <c r="A768" s="265"/>
      <c r="B768" s="1275" t="s">
        <v>2743</v>
      </c>
      <c r="C768" s="1276"/>
      <c r="D768" s="1277"/>
      <c r="E768" s="646"/>
      <c r="F768" s="102"/>
      <c r="G768" s="34"/>
      <c r="H768" s="34"/>
      <c r="I768" s="34">
        <f>SUM(I666:I766)</f>
        <v>1861265.7989653572</v>
      </c>
      <c r="J768" s="34"/>
      <c r="K768" s="34"/>
      <c r="L768" s="34">
        <f>SUM(L666:L766)</f>
        <v>110562.22563821998</v>
      </c>
      <c r="M768" s="34">
        <f>SUM(M666:M766)</f>
        <v>1971828.0246035764</v>
      </c>
      <c r="N768" s="26"/>
      <c r="O768" s="663">
        <v>0.93490804699999996</v>
      </c>
    </row>
    <row r="769" spans="1:15" ht="18.95" customHeight="1">
      <c r="A769" s="648">
        <v>14</v>
      </c>
      <c r="B769" s="1182" t="s">
        <v>1985</v>
      </c>
      <c r="C769" s="650"/>
      <c r="D769" s="412"/>
      <c r="E769" s="646"/>
      <c r="F769" s="102"/>
      <c r="G769" s="34"/>
      <c r="H769" s="34"/>
      <c r="I769" s="34"/>
      <c r="J769" s="102"/>
      <c r="K769" s="102"/>
      <c r="L769" s="25">
        <f t="shared" si="209"/>
        <v>0</v>
      </c>
      <c r="M769" s="102"/>
      <c r="N769" s="35"/>
      <c r="O769" s="663">
        <v>0.93490804699999996</v>
      </c>
    </row>
    <row r="770" spans="1:15" ht="18.95" customHeight="1">
      <c r="A770" s="651">
        <v>14.1</v>
      </c>
      <c r="B770" s="1353" t="s">
        <v>2744</v>
      </c>
      <c r="C770" s="1354"/>
      <c r="D770" s="1355"/>
      <c r="E770" s="646"/>
      <c r="F770" s="102"/>
      <c r="G770" s="34"/>
      <c r="H770" s="34"/>
      <c r="I770" s="34"/>
      <c r="J770" s="102"/>
      <c r="K770" s="102"/>
      <c r="L770" s="25">
        <f t="shared" si="209"/>
        <v>0</v>
      </c>
      <c r="M770" s="102"/>
      <c r="N770" s="35"/>
      <c r="O770" s="663">
        <v>0.93490804699999996</v>
      </c>
    </row>
    <row r="771" spans="1:15" ht="18.95" customHeight="1">
      <c r="A771" s="651" t="s">
        <v>2745</v>
      </c>
      <c r="B771" s="652" t="s">
        <v>2746</v>
      </c>
      <c r="C771" s="657"/>
      <c r="D771" s="412"/>
      <c r="E771" s="533">
        <v>1</v>
      </c>
      <c r="F771" s="30" t="s">
        <v>349</v>
      </c>
      <c r="G771" s="30">
        <v>307135</v>
      </c>
      <c r="H771" s="30">
        <f t="shared" ref="H771:H788" si="220">G771*O771</f>
        <v>287142.983015345</v>
      </c>
      <c r="I771" s="30">
        <f t="shared" ref="I771:I833" si="221">E771*H771</f>
        <v>287142.983015345</v>
      </c>
      <c r="J771" s="25">
        <v>10000</v>
      </c>
      <c r="K771" s="25">
        <f t="shared" ref="K771:K832" si="222">J771*O771</f>
        <v>9349.080469999999</v>
      </c>
      <c r="L771" s="25">
        <f t="shared" si="209"/>
        <v>9349.080469999999</v>
      </c>
      <c r="M771" s="25">
        <f t="shared" ref="M771:M789" si="223">I771+L771</f>
        <v>296492.06348534499</v>
      </c>
      <c r="N771" s="26"/>
      <c r="O771" s="663">
        <v>0.93490804699999996</v>
      </c>
    </row>
    <row r="772" spans="1:15" ht="18.95" customHeight="1">
      <c r="A772" s="573"/>
      <c r="B772" s="573" t="s">
        <v>273</v>
      </c>
      <c r="C772" s="659" t="s">
        <v>2747</v>
      </c>
      <c r="D772" s="660"/>
      <c r="E772" s="533">
        <v>0</v>
      </c>
      <c r="F772" s="30" t="s">
        <v>349</v>
      </c>
      <c r="G772" s="30">
        <v>80000</v>
      </c>
      <c r="H772" s="30">
        <f t="shared" si="220"/>
        <v>74792.643759999992</v>
      </c>
      <c r="I772" s="30">
        <f t="shared" si="221"/>
        <v>0</v>
      </c>
      <c r="J772" s="25">
        <v>500</v>
      </c>
      <c r="K772" s="25">
        <f t="shared" si="222"/>
        <v>467.45402350000001</v>
      </c>
      <c r="L772" s="25">
        <f t="shared" si="209"/>
        <v>0</v>
      </c>
      <c r="M772" s="25">
        <f t="shared" si="223"/>
        <v>0</v>
      </c>
      <c r="N772" s="26"/>
      <c r="O772" s="663">
        <v>0.93490804699999996</v>
      </c>
    </row>
    <row r="773" spans="1:15" ht="18.95" customHeight="1">
      <c r="A773" s="573"/>
      <c r="B773" s="573" t="s">
        <v>273</v>
      </c>
      <c r="C773" s="666" t="s">
        <v>2748</v>
      </c>
      <c r="D773" s="660"/>
      <c r="E773" s="533">
        <v>1</v>
      </c>
      <c r="F773" s="30" t="s">
        <v>349</v>
      </c>
      <c r="G773" s="30">
        <v>245670</v>
      </c>
      <c r="H773" s="30">
        <f t="shared" si="220"/>
        <v>229678.85990648999</v>
      </c>
      <c r="I773" s="30">
        <f t="shared" si="221"/>
        <v>229678.85990648999</v>
      </c>
      <c r="J773" s="25">
        <v>500</v>
      </c>
      <c r="K773" s="25">
        <f t="shared" si="222"/>
        <v>467.45402350000001</v>
      </c>
      <c r="L773" s="25">
        <f t="shared" ref="L773:L836" si="224">E773*K773</f>
        <v>467.45402350000001</v>
      </c>
      <c r="M773" s="25">
        <f t="shared" si="223"/>
        <v>230146.31392998999</v>
      </c>
      <c r="N773" s="26"/>
      <c r="O773" s="663">
        <v>0.93490804699999996</v>
      </c>
    </row>
    <row r="774" spans="1:15" ht="18.95" customHeight="1">
      <c r="A774" s="573"/>
      <c r="B774" s="573" t="s">
        <v>273</v>
      </c>
      <c r="C774" s="666" t="s">
        <v>2749</v>
      </c>
      <c r="D774" s="660"/>
      <c r="E774" s="533">
        <v>1</v>
      </c>
      <c r="F774" s="30" t="s">
        <v>349</v>
      </c>
      <c r="G774" s="30">
        <v>30305</v>
      </c>
      <c r="H774" s="30">
        <f t="shared" si="220"/>
        <v>28332.388364334998</v>
      </c>
      <c r="I774" s="30">
        <f t="shared" si="221"/>
        <v>28332.388364334998</v>
      </c>
      <c r="J774" s="25">
        <v>500</v>
      </c>
      <c r="K774" s="25">
        <f t="shared" si="222"/>
        <v>467.45402350000001</v>
      </c>
      <c r="L774" s="25">
        <f t="shared" si="224"/>
        <v>467.45402350000001</v>
      </c>
      <c r="M774" s="25">
        <f t="shared" si="223"/>
        <v>28799.842387834997</v>
      </c>
      <c r="N774" s="26"/>
      <c r="O774" s="663">
        <v>0.93490804699999996</v>
      </c>
    </row>
    <row r="775" spans="1:15" ht="18.95" customHeight="1">
      <c r="A775" s="573"/>
      <c r="B775" s="573" t="s">
        <v>273</v>
      </c>
      <c r="C775" s="666" t="s">
        <v>2750</v>
      </c>
      <c r="D775" s="660"/>
      <c r="E775" s="533">
        <v>1</v>
      </c>
      <c r="F775" s="30" t="s">
        <v>349</v>
      </c>
      <c r="G775" s="30">
        <v>67640</v>
      </c>
      <c r="H775" s="30">
        <f t="shared" si="220"/>
        <v>63237.180299079999</v>
      </c>
      <c r="I775" s="30">
        <f t="shared" si="221"/>
        <v>63237.180299079999</v>
      </c>
      <c r="J775" s="25">
        <v>500</v>
      </c>
      <c r="K775" s="25">
        <f t="shared" si="222"/>
        <v>467.45402350000001</v>
      </c>
      <c r="L775" s="25">
        <f t="shared" si="224"/>
        <v>467.45402350000001</v>
      </c>
      <c r="M775" s="25">
        <f t="shared" si="223"/>
        <v>63704.634322580001</v>
      </c>
      <c r="N775" s="26"/>
      <c r="O775" s="663">
        <v>0.93490804699999996</v>
      </c>
    </row>
    <row r="776" spans="1:15" ht="18.95" customHeight="1">
      <c r="A776" s="573"/>
      <c r="B776" s="573" t="s">
        <v>273</v>
      </c>
      <c r="C776" s="666" t="s">
        <v>2751</v>
      </c>
      <c r="D776" s="660"/>
      <c r="E776" s="533">
        <v>2</v>
      </c>
      <c r="F776" s="30" t="s">
        <v>349</v>
      </c>
      <c r="G776" s="30">
        <v>17100</v>
      </c>
      <c r="H776" s="30">
        <f t="shared" si="220"/>
        <v>15986.9276037</v>
      </c>
      <c r="I776" s="30">
        <f t="shared" si="221"/>
        <v>31973.8552074</v>
      </c>
      <c r="J776" s="25">
        <v>500</v>
      </c>
      <c r="K776" s="25">
        <f t="shared" si="222"/>
        <v>467.45402350000001</v>
      </c>
      <c r="L776" s="25">
        <f t="shared" si="224"/>
        <v>934.90804700000001</v>
      </c>
      <c r="M776" s="25">
        <f t="shared" si="223"/>
        <v>32908.763254400001</v>
      </c>
      <c r="N776" s="26"/>
      <c r="O776" s="663">
        <v>0.93490804699999996</v>
      </c>
    </row>
    <row r="777" spans="1:15" ht="18.95" customHeight="1">
      <c r="A777" s="573"/>
      <c r="B777" s="573" t="s">
        <v>273</v>
      </c>
      <c r="C777" s="666" t="s">
        <v>2752</v>
      </c>
      <c r="D777" s="660"/>
      <c r="E777" s="533">
        <v>1</v>
      </c>
      <c r="F777" s="30" t="s">
        <v>349</v>
      </c>
      <c r="G777" s="30">
        <v>14250</v>
      </c>
      <c r="H777" s="30">
        <f t="shared" si="220"/>
        <v>13322.43966975</v>
      </c>
      <c r="I777" s="30">
        <f t="shared" si="221"/>
        <v>13322.43966975</v>
      </c>
      <c r="J777" s="25">
        <v>500</v>
      </c>
      <c r="K777" s="25">
        <f t="shared" si="222"/>
        <v>467.45402350000001</v>
      </c>
      <c r="L777" s="25">
        <f t="shared" si="224"/>
        <v>467.45402350000001</v>
      </c>
      <c r="M777" s="25">
        <f t="shared" si="223"/>
        <v>13789.89369325</v>
      </c>
      <c r="N777" s="26"/>
      <c r="O777" s="663">
        <v>0.93490804699999996</v>
      </c>
    </row>
    <row r="778" spans="1:15" ht="18.95" customHeight="1">
      <c r="A778" s="573"/>
      <c r="B778" s="573" t="s">
        <v>273</v>
      </c>
      <c r="C778" s="666" t="s">
        <v>2753</v>
      </c>
      <c r="D778" s="660"/>
      <c r="E778" s="533">
        <v>1</v>
      </c>
      <c r="F778" s="30" t="s">
        <v>349</v>
      </c>
      <c r="G778" s="30">
        <v>28500</v>
      </c>
      <c r="H778" s="30">
        <f t="shared" si="220"/>
        <v>26644.879339499999</v>
      </c>
      <c r="I778" s="30">
        <f t="shared" si="221"/>
        <v>26644.879339499999</v>
      </c>
      <c r="J778" s="25">
        <v>500</v>
      </c>
      <c r="K778" s="25">
        <f t="shared" si="222"/>
        <v>467.45402350000001</v>
      </c>
      <c r="L778" s="25">
        <f t="shared" si="224"/>
        <v>467.45402350000001</v>
      </c>
      <c r="M778" s="25">
        <f t="shared" si="223"/>
        <v>27112.333362999998</v>
      </c>
      <c r="N778" s="26"/>
      <c r="O778" s="663">
        <v>0.93490804699999996</v>
      </c>
    </row>
    <row r="779" spans="1:15" ht="18.95" customHeight="1">
      <c r="A779" s="573"/>
      <c r="B779" s="573" t="s">
        <v>273</v>
      </c>
      <c r="C779" s="666" t="s">
        <v>2754</v>
      </c>
      <c r="D779" s="660"/>
      <c r="E779" s="533">
        <v>1</v>
      </c>
      <c r="F779" s="30" t="s">
        <v>349</v>
      </c>
      <c r="G779" s="30">
        <v>23750</v>
      </c>
      <c r="H779" s="30">
        <f t="shared" si="220"/>
        <v>22204.06611625</v>
      </c>
      <c r="I779" s="30">
        <f t="shared" si="221"/>
        <v>22204.06611625</v>
      </c>
      <c r="J779" s="25">
        <v>500</v>
      </c>
      <c r="K779" s="25">
        <f t="shared" si="222"/>
        <v>467.45402350000001</v>
      </c>
      <c r="L779" s="25">
        <f t="shared" si="224"/>
        <v>467.45402350000001</v>
      </c>
      <c r="M779" s="25">
        <f t="shared" si="223"/>
        <v>22671.520139749999</v>
      </c>
      <c r="N779" s="26"/>
      <c r="O779" s="663">
        <v>0.93490804699999996</v>
      </c>
    </row>
    <row r="780" spans="1:15" ht="18.95" customHeight="1">
      <c r="A780" s="573"/>
      <c r="B780" s="573" t="s">
        <v>273</v>
      </c>
      <c r="C780" s="666" t="s">
        <v>2755</v>
      </c>
      <c r="D780" s="660"/>
      <c r="E780" s="533">
        <v>1</v>
      </c>
      <c r="F780" s="30" t="s">
        <v>349</v>
      </c>
      <c r="G780" s="30">
        <v>54150</v>
      </c>
      <c r="H780" s="30">
        <f t="shared" si="220"/>
        <v>50625.270745049995</v>
      </c>
      <c r="I780" s="30">
        <f t="shared" si="221"/>
        <v>50625.270745049995</v>
      </c>
      <c r="J780" s="25">
        <v>500</v>
      </c>
      <c r="K780" s="25">
        <f t="shared" si="222"/>
        <v>467.45402350000001</v>
      </c>
      <c r="L780" s="25">
        <f t="shared" si="224"/>
        <v>467.45402350000001</v>
      </c>
      <c r="M780" s="25">
        <f t="shared" si="223"/>
        <v>51092.724768549997</v>
      </c>
      <c r="N780" s="26"/>
      <c r="O780" s="663">
        <v>0.93490804699999996</v>
      </c>
    </row>
    <row r="781" spans="1:15" ht="18.95" customHeight="1">
      <c r="A781" s="573"/>
      <c r="B781" s="573" t="s">
        <v>273</v>
      </c>
      <c r="C781" s="666" t="s">
        <v>2756</v>
      </c>
      <c r="D781" s="660"/>
      <c r="E781" s="533">
        <v>2</v>
      </c>
      <c r="F781" s="30" t="s">
        <v>349</v>
      </c>
      <c r="G781" s="30">
        <v>245670</v>
      </c>
      <c r="H781" s="30">
        <f t="shared" si="220"/>
        <v>229678.85990648999</v>
      </c>
      <c r="I781" s="30">
        <f t="shared" si="221"/>
        <v>459357.71981297998</v>
      </c>
      <c r="J781" s="25">
        <v>500</v>
      </c>
      <c r="K781" s="25">
        <f t="shared" si="222"/>
        <v>467.45402350000001</v>
      </c>
      <c r="L781" s="25">
        <f t="shared" si="224"/>
        <v>934.90804700000001</v>
      </c>
      <c r="M781" s="25">
        <f t="shared" si="223"/>
        <v>460292.62785997998</v>
      </c>
      <c r="N781" s="26"/>
      <c r="O781" s="663">
        <v>0.93490804699999996</v>
      </c>
    </row>
    <row r="782" spans="1:15" ht="18.95" customHeight="1">
      <c r="A782" s="573"/>
      <c r="B782" s="573" t="s">
        <v>273</v>
      </c>
      <c r="C782" s="666" t="s">
        <v>2757</v>
      </c>
      <c r="D782" s="660"/>
      <c r="E782" s="533">
        <v>2</v>
      </c>
      <c r="F782" s="30" t="s">
        <v>349</v>
      </c>
      <c r="G782" s="30">
        <v>11875</v>
      </c>
      <c r="H782" s="30">
        <f t="shared" si="220"/>
        <v>11102.033058125</v>
      </c>
      <c r="I782" s="30">
        <f t="shared" si="221"/>
        <v>22204.06611625</v>
      </c>
      <c r="J782" s="25">
        <v>500</v>
      </c>
      <c r="K782" s="25">
        <f t="shared" si="222"/>
        <v>467.45402350000001</v>
      </c>
      <c r="L782" s="25">
        <f t="shared" si="224"/>
        <v>934.90804700000001</v>
      </c>
      <c r="M782" s="25">
        <f t="shared" si="223"/>
        <v>23138.974163250001</v>
      </c>
      <c r="N782" s="26"/>
      <c r="O782" s="663">
        <v>0.93490804699999996</v>
      </c>
    </row>
    <row r="783" spans="1:15" ht="18.600000000000001" customHeight="1">
      <c r="A783" s="573"/>
      <c r="B783" s="573" t="s">
        <v>273</v>
      </c>
      <c r="C783" s="666" t="s">
        <v>2758</v>
      </c>
      <c r="D783" s="660"/>
      <c r="E783" s="533">
        <v>2</v>
      </c>
      <c r="F783" s="30" t="s">
        <v>349</v>
      </c>
      <c r="G783" s="30">
        <v>11400</v>
      </c>
      <c r="H783" s="30">
        <f t="shared" si="220"/>
        <v>10657.951735799999</v>
      </c>
      <c r="I783" s="30">
        <f t="shared" si="221"/>
        <v>21315.903471599999</v>
      </c>
      <c r="J783" s="25">
        <v>500</v>
      </c>
      <c r="K783" s="25">
        <f t="shared" si="222"/>
        <v>467.45402350000001</v>
      </c>
      <c r="L783" s="25">
        <f t="shared" si="224"/>
        <v>934.90804700000001</v>
      </c>
      <c r="M783" s="25">
        <f t="shared" si="223"/>
        <v>22250.8115186</v>
      </c>
      <c r="N783" s="26"/>
      <c r="O783" s="663">
        <v>0.93490804699999996</v>
      </c>
    </row>
    <row r="784" spans="1:15" ht="18.95" customHeight="1">
      <c r="A784" s="573"/>
      <c r="B784" s="573" t="s">
        <v>273</v>
      </c>
      <c r="C784" s="666" t="s">
        <v>2759</v>
      </c>
      <c r="D784" s="660"/>
      <c r="E784" s="533">
        <v>2</v>
      </c>
      <c r="F784" s="30" t="s">
        <v>349</v>
      </c>
      <c r="G784" s="30">
        <v>47500</v>
      </c>
      <c r="H784" s="30">
        <f t="shared" si="220"/>
        <v>44408.1322325</v>
      </c>
      <c r="I784" s="30">
        <f t="shared" si="221"/>
        <v>88816.264465</v>
      </c>
      <c r="J784" s="25">
        <v>500</v>
      </c>
      <c r="K784" s="25">
        <f t="shared" si="222"/>
        <v>467.45402350000001</v>
      </c>
      <c r="L784" s="25">
        <f t="shared" si="224"/>
        <v>934.90804700000001</v>
      </c>
      <c r="M784" s="25">
        <f t="shared" si="223"/>
        <v>89751.172512000005</v>
      </c>
      <c r="N784" s="26"/>
      <c r="O784" s="663">
        <v>0.93490804699999996</v>
      </c>
    </row>
    <row r="785" spans="1:17" ht="18.95" customHeight="1">
      <c r="A785" s="573"/>
      <c r="B785" s="573" t="s">
        <v>273</v>
      </c>
      <c r="C785" s="666" t="s">
        <v>2760</v>
      </c>
      <c r="D785" s="660"/>
      <c r="E785" s="533">
        <v>3</v>
      </c>
      <c r="F785" s="30" t="s">
        <v>349</v>
      </c>
      <c r="G785" s="30">
        <v>40375</v>
      </c>
      <c r="H785" s="30">
        <f t="shared" si="220"/>
        <v>37746.912397624998</v>
      </c>
      <c r="I785" s="30">
        <f t="shared" si="221"/>
        <v>113240.73719287499</v>
      </c>
      <c r="J785" s="25">
        <v>500</v>
      </c>
      <c r="K785" s="25">
        <f t="shared" si="222"/>
        <v>467.45402350000001</v>
      </c>
      <c r="L785" s="25">
        <f t="shared" si="224"/>
        <v>1402.3620705000001</v>
      </c>
      <c r="M785" s="25">
        <f t="shared" si="223"/>
        <v>114643.099263375</v>
      </c>
      <c r="N785" s="26"/>
      <c r="O785" s="663">
        <v>0.93490804699999996</v>
      </c>
    </row>
    <row r="786" spans="1:17" ht="18.95" customHeight="1">
      <c r="A786" s="573"/>
      <c r="B786" s="573" t="s">
        <v>273</v>
      </c>
      <c r="C786" s="666" t="s">
        <v>2761</v>
      </c>
      <c r="D786" s="660"/>
      <c r="E786" s="533">
        <v>77</v>
      </c>
      <c r="F786" s="30" t="s">
        <v>349</v>
      </c>
      <c r="G786" s="30">
        <v>1140</v>
      </c>
      <c r="H786" s="30">
        <f t="shared" si="220"/>
        <v>1065.79517358</v>
      </c>
      <c r="I786" s="30">
        <f t="shared" si="221"/>
        <v>82066.228365660005</v>
      </c>
      <c r="J786" s="25">
        <v>200</v>
      </c>
      <c r="K786" s="25">
        <f t="shared" si="222"/>
        <v>186.9816094</v>
      </c>
      <c r="L786" s="25">
        <f t="shared" si="224"/>
        <v>14397.583923799999</v>
      </c>
      <c r="M786" s="25">
        <f t="shared" si="223"/>
        <v>96463.812289460009</v>
      </c>
      <c r="N786" s="26"/>
      <c r="O786" s="663">
        <v>0.93490804699999996</v>
      </c>
    </row>
    <row r="787" spans="1:17" ht="18.95" customHeight="1">
      <c r="A787" s="573"/>
      <c r="B787" s="573" t="s">
        <v>273</v>
      </c>
      <c r="C787" s="666" t="s">
        <v>2762</v>
      </c>
      <c r="D787" s="660"/>
      <c r="E787" s="533">
        <v>0</v>
      </c>
      <c r="F787" s="30" t="s">
        <v>349</v>
      </c>
      <c r="G787" s="30">
        <v>11732.5</v>
      </c>
      <c r="H787" s="30">
        <f t="shared" si="220"/>
        <v>10968.8086614275</v>
      </c>
      <c r="I787" s="30">
        <f t="shared" si="221"/>
        <v>0</v>
      </c>
      <c r="J787" s="25">
        <v>200</v>
      </c>
      <c r="K787" s="25">
        <f t="shared" si="222"/>
        <v>186.9816094</v>
      </c>
      <c r="L787" s="25">
        <f t="shared" si="224"/>
        <v>0</v>
      </c>
      <c r="M787" s="25">
        <f t="shared" si="223"/>
        <v>0</v>
      </c>
      <c r="N787" s="26"/>
      <c r="O787" s="663">
        <v>0.93490804699999996</v>
      </c>
    </row>
    <row r="788" spans="1:17" ht="18.95" customHeight="1">
      <c r="A788" s="573"/>
      <c r="B788" s="573" t="s">
        <v>273</v>
      </c>
      <c r="C788" s="666" t="s">
        <v>2763</v>
      </c>
      <c r="D788" s="660"/>
      <c r="E788" s="533">
        <v>17</v>
      </c>
      <c r="F788" s="30" t="s">
        <v>349</v>
      </c>
      <c r="G788" s="30">
        <v>5035</v>
      </c>
      <c r="H788" s="30">
        <f t="shared" si="220"/>
        <v>4707.2620166449997</v>
      </c>
      <c r="I788" s="30">
        <f t="shared" si="221"/>
        <v>80023.454282964987</v>
      </c>
      <c r="J788" s="25">
        <v>250</v>
      </c>
      <c r="K788" s="25">
        <f t="shared" si="222"/>
        <v>233.72701175</v>
      </c>
      <c r="L788" s="25">
        <f t="shared" si="224"/>
        <v>3973.3591997500002</v>
      </c>
      <c r="M788" s="25">
        <f t="shared" si="223"/>
        <v>83996.813482714992</v>
      </c>
      <c r="N788" s="26"/>
      <c r="O788" s="663">
        <v>0.93490804699999996</v>
      </c>
    </row>
    <row r="789" spans="1:17" ht="18.95" customHeight="1">
      <c r="A789" s="573"/>
      <c r="B789" s="573" t="s">
        <v>273</v>
      </c>
      <c r="C789" s="666" t="s">
        <v>2764</v>
      </c>
      <c r="D789" s="660"/>
      <c r="E789" s="533">
        <v>1</v>
      </c>
      <c r="F789" s="30" t="s">
        <v>349</v>
      </c>
      <c r="G789" s="30"/>
      <c r="H789" s="30"/>
      <c r="I789" s="30">
        <f t="shared" si="221"/>
        <v>0</v>
      </c>
      <c r="J789" s="25">
        <f>8000+8000+5000</f>
        <v>21000</v>
      </c>
      <c r="K789" s="25">
        <f t="shared" si="222"/>
        <v>19633.068986999999</v>
      </c>
      <c r="L789" s="25">
        <f t="shared" si="224"/>
        <v>19633.068986999999</v>
      </c>
      <c r="M789" s="25">
        <f t="shared" si="223"/>
        <v>19633.068986999999</v>
      </c>
      <c r="N789" s="26"/>
      <c r="O789" s="663">
        <v>0.93490804699999996</v>
      </c>
    </row>
    <row r="790" spans="1:17" ht="18.95" customHeight="1">
      <c r="A790" s="651" t="s">
        <v>2765</v>
      </c>
      <c r="B790" s="665" t="s">
        <v>2740</v>
      </c>
      <c r="C790" s="666"/>
      <c r="D790" s="412"/>
      <c r="E790" s="533"/>
      <c r="F790" s="30"/>
      <c r="G790" s="30"/>
      <c r="H790" s="30"/>
      <c r="I790" s="30"/>
      <c r="J790" s="25"/>
      <c r="K790" s="25"/>
      <c r="L790" s="25"/>
      <c r="M790" s="25"/>
      <c r="N790" s="26"/>
      <c r="O790" s="663">
        <v>0.93490804699999996</v>
      </c>
    </row>
    <row r="791" spans="1:17" ht="18.95" customHeight="1">
      <c r="A791" s="573"/>
      <c r="B791" s="573" t="s">
        <v>273</v>
      </c>
      <c r="C791" s="666" t="s">
        <v>2766</v>
      </c>
      <c r="D791" s="660"/>
      <c r="E791" s="533">
        <v>10</v>
      </c>
      <c r="F791" s="30" t="s">
        <v>286</v>
      </c>
      <c r="G791" s="30">
        <f>ROUND(6470.1/1000,2)</f>
        <v>6.47</v>
      </c>
      <c r="H791" s="30">
        <f t="shared" ref="H791:H793" si="225">G791*O791</f>
        <v>6.0488550640899996</v>
      </c>
      <c r="I791" s="30">
        <f t="shared" si="221"/>
        <v>60.488550640899994</v>
      </c>
      <c r="J791" s="25">
        <v>18</v>
      </c>
      <c r="K791" s="25">
        <f t="shared" si="222"/>
        <v>16.828344846</v>
      </c>
      <c r="L791" s="25">
        <f t="shared" si="224"/>
        <v>168.28344845999999</v>
      </c>
      <c r="M791" s="25">
        <f>I791+L791</f>
        <v>228.77199910089999</v>
      </c>
      <c r="N791" s="26"/>
      <c r="O791" s="663">
        <v>0.93490804699999996</v>
      </c>
      <c r="P791" s="157" t="s">
        <v>2165</v>
      </c>
      <c r="Q791" s="157"/>
    </row>
    <row r="792" spans="1:17" ht="18.95" customHeight="1">
      <c r="A792" s="573"/>
      <c r="B792" s="573" t="s">
        <v>273</v>
      </c>
      <c r="C792" s="666" t="s">
        <v>2767</v>
      </c>
      <c r="D792" s="660"/>
      <c r="E792" s="533">
        <v>1947</v>
      </c>
      <c r="F792" s="30" t="s">
        <v>286</v>
      </c>
      <c r="G792" s="30">
        <v>30</v>
      </c>
      <c r="H792" s="30">
        <f t="shared" si="225"/>
        <v>28.047241409999998</v>
      </c>
      <c r="I792" s="30">
        <f t="shared" si="221"/>
        <v>54607.979025269997</v>
      </c>
      <c r="J792" s="25">
        <v>15</v>
      </c>
      <c r="K792" s="25">
        <f t="shared" si="222"/>
        <v>14.023620704999999</v>
      </c>
      <c r="L792" s="25">
        <f t="shared" si="224"/>
        <v>27303.989512634998</v>
      </c>
      <c r="M792" s="25">
        <f>I792+L792</f>
        <v>81911.968537904992</v>
      </c>
      <c r="N792" s="26"/>
      <c r="O792" s="663">
        <v>0.93490804699999996</v>
      </c>
      <c r="Q792" s="157"/>
    </row>
    <row r="793" spans="1:17" ht="18.95" customHeight="1">
      <c r="A793" s="573"/>
      <c r="B793" s="573" t="s">
        <v>273</v>
      </c>
      <c r="C793" s="666" t="s">
        <v>2741</v>
      </c>
      <c r="D793" s="660"/>
      <c r="E793" s="533">
        <v>5</v>
      </c>
      <c r="F793" s="30" t="s">
        <v>286</v>
      </c>
      <c r="G793" s="30">
        <v>16</v>
      </c>
      <c r="H793" s="30">
        <f t="shared" si="225"/>
        <v>14.958528751999999</v>
      </c>
      <c r="I793" s="30">
        <f t="shared" si="221"/>
        <v>74.792643760000004</v>
      </c>
      <c r="J793" s="25">
        <v>10</v>
      </c>
      <c r="K793" s="25">
        <f t="shared" si="222"/>
        <v>9.3490804700000005</v>
      </c>
      <c r="L793" s="25">
        <f t="shared" si="224"/>
        <v>46.745402350000006</v>
      </c>
      <c r="M793" s="25">
        <f>I793+L793</f>
        <v>121.53804611000001</v>
      </c>
      <c r="N793" s="26"/>
      <c r="O793" s="663">
        <v>0.93490804699999996</v>
      </c>
      <c r="Q793" s="157"/>
    </row>
    <row r="794" spans="1:17" ht="18.75" customHeight="1">
      <c r="A794" s="651" t="s">
        <v>2768</v>
      </c>
      <c r="B794" s="652" t="s">
        <v>2195</v>
      </c>
      <c r="C794" s="657"/>
      <c r="D794" s="412"/>
      <c r="E794" s="533"/>
      <c r="F794" s="30"/>
      <c r="G794" s="30"/>
      <c r="H794" s="30"/>
      <c r="I794" s="30"/>
      <c r="J794" s="25"/>
      <c r="K794" s="25"/>
      <c r="L794" s="25"/>
      <c r="M794" s="25"/>
      <c r="N794" s="26"/>
      <c r="O794" s="663">
        <v>0.93490804699999996</v>
      </c>
      <c r="Q794" s="157"/>
    </row>
    <row r="795" spans="1:17" ht="18.95" customHeight="1">
      <c r="A795" s="573"/>
      <c r="B795" s="573" t="s">
        <v>273</v>
      </c>
      <c r="C795" s="661" t="s">
        <v>2196</v>
      </c>
      <c r="D795" s="660"/>
      <c r="E795" s="533">
        <v>1062</v>
      </c>
      <c r="F795" s="1181" t="s">
        <v>286</v>
      </c>
      <c r="G795" s="30">
        <f>ROUND(93.1/3,2)</f>
        <v>31.03</v>
      </c>
      <c r="H795" s="30">
        <f>G795*O795</f>
        <v>29.010196698409999</v>
      </c>
      <c r="I795" s="30">
        <f t="shared" si="221"/>
        <v>30808.828893711419</v>
      </c>
      <c r="J795" s="25">
        <v>22</v>
      </c>
      <c r="K795" s="25">
        <f t="shared" si="222"/>
        <v>20.567977033999998</v>
      </c>
      <c r="L795" s="25">
        <f t="shared" si="224"/>
        <v>21843.191610107999</v>
      </c>
      <c r="M795" s="25">
        <f>I795+L795</f>
        <v>52652.020503819418</v>
      </c>
      <c r="N795" s="26"/>
      <c r="O795" s="663">
        <v>0.93490804699999996</v>
      </c>
      <c r="P795" s="157" t="s">
        <v>2165</v>
      </c>
      <c r="Q795" s="157"/>
    </row>
    <row r="796" spans="1:17" ht="18.95" customHeight="1">
      <c r="A796" s="667" t="s">
        <v>2769</v>
      </c>
      <c r="B796" s="665" t="s">
        <v>2742</v>
      </c>
      <c r="C796" s="666"/>
      <c r="D796" s="660"/>
      <c r="E796" s="533">
        <v>1</v>
      </c>
      <c r="F796" s="30" t="s">
        <v>2193</v>
      </c>
      <c r="G796" s="670">
        <f>((SUM(I791:I793)*0.1)+(I795*0.2)+SUM(I771:I789)*0.02)</f>
        <v>44039.817728119975</v>
      </c>
      <c r="H796" s="30">
        <f>G796</f>
        <v>44039.817728119975</v>
      </c>
      <c r="I796" s="30">
        <f t="shared" si="221"/>
        <v>44039.817728119975</v>
      </c>
      <c r="J796" s="676">
        <f>G796*0.3</f>
        <v>13211.945318435992</v>
      </c>
      <c r="K796" s="25">
        <f>J796</f>
        <v>13211.945318435992</v>
      </c>
      <c r="L796" s="25">
        <f t="shared" si="224"/>
        <v>13211.945318435992</v>
      </c>
      <c r="M796" s="25">
        <f>I796+L796</f>
        <v>57251.763046555963</v>
      </c>
      <c r="N796" s="26"/>
      <c r="O796" s="663">
        <v>0.93490804699999996</v>
      </c>
      <c r="Q796" s="157"/>
    </row>
    <row r="797" spans="1:17" ht="18.95" customHeight="1">
      <c r="A797" s="667"/>
      <c r="B797" s="665"/>
      <c r="C797" s="666"/>
      <c r="D797" s="660"/>
      <c r="E797" s="533"/>
      <c r="F797" s="30"/>
      <c r="G797" s="30"/>
      <c r="H797" s="30"/>
      <c r="I797" s="30"/>
      <c r="J797" s="25"/>
      <c r="K797" s="25"/>
      <c r="L797" s="25"/>
      <c r="M797" s="25"/>
      <c r="N797" s="26"/>
      <c r="O797" s="663">
        <v>0.93490804699999996</v>
      </c>
      <c r="Q797" s="157"/>
    </row>
    <row r="798" spans="1:17" ht="18.95" customHeight="1">
      <c r="A798" s="265">
        <v>14.2</v>
      </c>
      <c r="B798" s="1353" t="s">
        <v>2770</v>
      </c>
      <c r="C798" s="1354"/>
      <c r="D798" s="1355"/>
      <c r="E798" s="533"/>
      <c r="F798" s="30"/>
      <c r="G798" s="30"/>
      <c r="H798" s="30"/>
      <c r="I798" s="30"/>
      <c r="J798" s="25"/>
      <c r="K798" s="25"/>
      <c r="L798" s="25"/>
      <c r="M798" s="25"/>
      <c r="N798" s="26"/>
      <c r="O798" s="663">
        <v>0.93490804699999996</v>
      </c>
    </row>
    <row r="799" spans="1:17" ht="18.95" customHeight="1">
      <c r="A799" s="651" t="s">
        <v>2771</v>
      </c>
      <c r="B799" s="665" t="s">
        <v>2756</v>
      </c>
      <c r="C799" s="666"/>
      <c r="D799" s="660"/>
      <c r="E799" s="533">
        <v>2</v>
      </c>
      <c r="F799" s="30" t="s">
        <v>349</v>
      </c>
      <c r="G799" s="30">
        <v>245670</v>
      </c>
      <c r="H799" s="30">
        <f>G799*O799</f>
        <v>229678.85990648999</v>
      </c>
      <c r="I799" s="30">
        <f t="shared" si="221"/>
        <v>459357.71981297998</v>
      </c>
      <c r="J799" s="25">
        <v>500</v>
      </c>
      <c r="K799" s="25">
        <f t="shared" si="222"/>
        <v>467.45402350000001</v>
      </c>
      <c r="L799" s="25">
        <f t="shared" si="224"/>
        <v>934.90804700000001</v>
      </c>
      <c r="M799" s="25">
        <f>I799+L799</f>
        <v>460292.62785997998</v>
      </c>
      <c r="N799" s="26"/>
      <c r="O799" s="663">
        <v>0.93490804699999996</v>
      </c>
    </row>
    <row r="800" spans="1:17" ht="18.95" customHeight="1">
      <c r="A800" s="573"/>
      <c r="B800" s="573" t="s">
        <v>273</v>
      </c>
      <c r="C800" s="666" t="s">
        <v>2750</v>
      </c>
      <c r="D800" s="660"/>
      <c r="E800" s="533">
        <v>1</v>
      </c>
      <c r="F800" s="30" t="s">
        <v>349</v>
      </c>
      <c r="G800" s="30">
        <v>67640</v>
      </c>
      <c r="H800" s="30">
        <f t="shared" ref="H800:H849" si="226">G800*O800</f>
        <v>63237.180299079999</v>
      </c>
      <c r="I800" s="30">
        <f t="shared" si="221"/>
        <v>63237.180299079999</v>
      </c>
      <c r="J800" s="25">
        <v>500</v>
      </c>
      <c r="K800" s="25">
        <f t="shared" si="222"/>
        <v>467.45402350000001</v>
      </c>
      <c r="L800" s="25">
        <f t="shared" si="224"/>
        <v>467.45402350000001</v>
      </c>
      <c r="M800" s="25">
        <f t="shared" ref="M800:M808" si="227">I800+L800</f>
        <v>63704.634322580001</v>
      </c>
      <c r="N800" s="26"/>
      <c r="O800" s="663">
        <v>0.93490804699999996</v>
      </c>
    </row>
    <row r="801" spans="1:17" ht="18.95" customHeight="1">
      <c r="A801" s="573"/>
      <c r="B801" s="573" t="s">
        <v>273</v>
      </c>
      <c r="C801" s="666" t="s">
        <v>2755</v>
      </c>
      <c r="D801" s="660"/>
      <c r="E801" s="533">
        <v>1</v>
      </c>
      <c r="F801" s="30" t="s">
        <v>349</v>
      </c>
      <c r="G801" s="30">
        <v>54150</v>
      </c>
      <c r="H801" s="30">
        <f t="shared" si="226"/>
        <v>50625.270745049995</v>
      </c>
      <c r="I801" s="30">
        <f t="shared" si="221"/>
        <v>50625.270745049995</v>
      </c>
      <c r="J801" s="25">
        <v>500</v>
      </c>
      <c r="K801" s="25">
        <f t="shared" si="222"/>
        <v>467.45402350000001</v>
      </c>
      <c r="L801" s="25">
        <f t="shared" si="224"/>
        <v>467.45402350000001</v>
      </c>
      <c r="M801" s="25">
        <f t="shared" si="227"/>
        <v>51092.724768549997</v>
      </c>
      <c r="N801" s="26"/>
      <c r="O801" s="663">
        <v>0.93490804699999996</v>
      </c>
    </row>
    <row r="802" spans="1:17" ht="18.95" customHeight="1">
      <c r="A802" s="573"/>
      <c r="B802" s="573" t="s">
        <v>273</v>
      </c>
      <c r="C802" s="666" t="s">
        <v>2757</v>
      </c>
      <c r="D802" s="660"/>
      <c r="E802" s="533">
        <v>2</v>
      </c>
      <c r="F802" s="30" t="s">
        <v>349</v>
      </c>
      <c r="G802" s="30">
        <v>11875</v>
      </c>
      <c r="H802" s="30">
        <f t="shared" si="226"/>
        <v>11102.033058125</v>
      </c>
      <c r="I802" s="30">
        <f t="shared" si="221"/>
        <v>22204.06611625</v>
      </c>
      <c r="J802" s="25">
        <v>500</v>
      </c>
      <c r="K802" s="25">
        <f t="shared" si="222"/>
        <v>467.45402350000001</v>
      </c>
      <c r="L802" s="25">
        <f t="shared" si="224"/>
        <v>934.90804700000001</v>
      </c>
      <c r="M802" s="25">
        <f t="shared" si="227"/>
        <v>23138.974163250001</v>
      </c>
      <c r="N802" s="26"/>
      <c r="O802" s="663">
        <v>0.93490804699999996</v>
      </c>
    </row>
    <row r="803" spans="1:17" ht="18.95" customHeight="1">
      <c r="A803" s="573"/>
      <c r="B803" s="573" t="s">
        <v>273</v>
      </c>
      <c r="C803" s="666" t="s">
        <v>2758</v>
      </c>
      <c r="D803" s="660"/>
      <c r="E803" s="533">
        <v>2</v>
      </c>
      <c r="F803" s="30" t="s">
        <v>349</v>
      </c>
      <c r="G803" s="30">
        <v>11400</v>
      </c>
      <c r="H803" s="30">
        <f t="shared" si="226"/>
        <v>10657.951735799999</v>
      </c>
      <c r="I803" s="30">
        <f t="shared" si="221"/>
        <v>21315.903471599999</v>
      </c>
      <c r="J803" s="25">
        <v>500</v>
      </c>
      <c r="K803" s="25">
        <f t="shared" si="222"/>
        <v>467.45402350000001</v>
      </c>
      <c r="L803" s="25">
        <f t="shared" si="224"/>
        <v>934.90804700000001</v>
      </c>
      <c r="M803" s="25">
        <f t="shared" si="227"/>
        <v>22250.8115186</v>
      </c>
      <c r="N803" s="26"/>
      <c r="O803" s="663">
        <v>0.93490804699999996</v>
      </c>
    </row>
    <row r="804" spans="1:17" ht="18.95" customHeight="1">
      <c r="A804" s="573"/>
      <c r="B804" s="573" t="s">
        <v>273</v>
      </c>
      <c r="C804" s="666" t="s">
        <v>2759</v>
      </c>
      <c r="D804" s="660"/>
      <c r="E804" s="533">
        <v>2</v>
      </c>
      <c r="F804" s="30" t="s">
        <v>349</v>
      </c>
      <c r="G804" s="30">
        <v>47500</v>
      </c>
      <c r="H804" s="30">
        <f t="shared" si="226"/>
        <v>44408.1322325</v>
      </c>
      <c r="I804" s="30">
        <f t="shared" si="221"/>
        <v>88816.264465</v>
      </c>
      <c r="J804" s="25">
        <v>500</v>
      </c>
      <c r="K804" s="25">
        <f t="shared" si="222"/>
        <v>467.45402350000001</v>
      </c>
      <c r="L804" s="25">
        <f t="shared" si="224"/>
        <v>934.90804700000001</v>
      </c>
      <c r="M804" s="25">
        <f t="shared" si="227"/>
        <v>89751.172512000005</v>
      </c>
      <c r="N804" s="26"/>
      <c r="O804" s="663">
        <v>0.93490804699999996</v>
      </c>
    </row>
    <row r="805" spans="1:17" ht="18.95" customHeight="1">
      <c r="A805" s="573"/>
      <c r="B805" s="573" t="s">
        <v>273</v>
      </c>
      <c r="C805" s="666" t="s">
        <v>2760</v>
      </c>
      <c r="D805" s="660"/>
      <c r="E805" s="533">
        <v>2</v>
      </c>
      <c r="F805" s="30" t="s">
        <v>349</v>
      </c>
      <c r="G805" s="30">
        <v>40375</v>
      </c>
      <c r="H805" s="30">
        <f t="shared" si="226"/>
        <v>37746.912397624998</v>
      </c>
      <c r="I805" s="30">
        <f t="shared" si="221"/>
        <v>75493.824795249995</v>
      </c>
      <c r="J805" s="25">
        <v>500</v>
      </c>
      <c r="K805" s="25">
        <f t="shared" si="222"/>
        <v>467.45402350000001</v>
      </c>
      <c r="L805" s="25">
        <f t="shared" si="224"/>
        <v>934.90804700000001</v>
      </c>
      <c r="M805" s="25">
        <f t="shared" si="227"/>
        <v>76428.73284225</v>
      </c>
      <c r="N805" s="26"/>
      <c r="O805" s="663">
        <v>0.93490804699999996</v>
      </c>
    </row>
    <row r="806" spans="1:17" ht="18.95" customHeight="1">
      <c r="A806" s="573"/>
      <c r="B806" s="573" t="s">
        <v>273</v>
      </c>
      <c r="C806" s="666" t="s">
        <v>2761</v>
      </c>
      <c r="D806" s="660"/>
      <c r="E806" s="533">
        <v>71</v>
      </c>
      <c r="F806" s="30" t="s">
        <v>349</v>
      </c>
      <c r="G806" s="30">
        <v>1140</v>
      </c>
      <c r="H806" s="30">
        <f t="shared" si="226"/>
        <v>1065.79517358</v>
      </c>
      <c r="I806" s="30">
        <f t="shared" si="221"/>
        <v>75671.457324179995</v>
      </c>
      <c r="J806" s="25">
        <v>200</v>
      </c>
      <c r="K806" s="25">
        <f t="shared" si="222"/>
        <v>186.9816094</v>
      </c>
      <c r="L806" s="25">
        <f t="shared" si="224"/>
        <v>13275.6942674</v>
      </c>
      <c r="M806" s="25">
        <f t="shared" si="227"/>
        <v>88947.151591579997</v>
      </c>
      <c r="N806" s="26"/>
      <c r="O806" s="663">
        <v>0.93490804699999996</v>
      </c>
    </row>
    <row r="807" spans="1:17" ht="18.95" customHeight="1">
      <c r="A807" s="573"/>
      <c r="B807" s="573" t="s">
        <v>273</v>
      </c>
      <c r="C807" s="666" t="s">
        <v>2762</v>
      </c>
      <c r="D807" s="660"/>
      <c r="E807" s="533"/>
      <c r="F807" s="30" t="s">
        <v>349</v>
      </c>
      <c r="G807" s="30">
        <v>11732.5</v>
      </c>
      <c r="H807" s="30">
        <f t="shared" si="226"/>
        <v>10968.8086614275</v>
      </c>
      <c r="I807" s="30">
        <f t="shared" si="221"/>
        <v>0</v>
      </c>
      <c r="J807" s="25">
        <v>200</v>
      </c>
      <c r="K807" s="25">
        <f t="shared" si="222"/>
        <v>186.9816094</v>
      </c>
      <c r="L807" s="25">
        <f t="shared" si="224"/>
        <v>0</v>
      </c>
      <c r="M807" s="25">
        <f t="shared" si="227"/>
        <v>0</v>
      </c>
      <c r="N807" s="26"/>
      <c r="O807" s="663">
        <v>0.93490804699999996</v>
      </c>
    </row>
    <row r="808" spans="1:17" ht="18.95" customHeight="1">
      <c r="A808" s="573"/>
      <c r="B808" s="573" t="s">
        <v>273</v>
      </c>
      <c r="C808" s="666" t="s">
        <v>2763</v>
      </c>
      <c r="D808" s="660"/>
      <c r="E808" s="533">
        <v>5</v>
      </c>
      <c r="F808" s="30" t="s">
        <v>349</v>
      </c>
      <c r="G808" s="30">
        <v>5035</v>
      </c>
      <c r="H808" s="30">
        <f t="shared" si="226"/>
        <v>4707.2620166449997</v>
      </c>
      <c r="I808" s="30">
        <f t="shared" si="221"/>
        <v>23536.310083224998</v>
      </c>
      <c r="J808" s="25">
        <v>250</v>
      </c>
      <c r="K808" s="25">
        <f t="shared" si="222"/>
        <v>233.72701175</v>
      </c>
      <c r="L808" s="25">
        <f t="shared" si="224"/>
        <v>1168.6350587500001</v>
      </c>
      <c r="M808" s="25">
        <f t="shared" si="227"/>
        <v>24704.945141974997</v>
      </c>
      <c r="N808" s="26"/>
      <c r="O808" s="663">
        <v>0.93490804699999996</v>
      </c>
    </row>
    <row r="809" spans="1:17" ht="18.95" customHeight="1">
      <c r="A809" s="651" t="s">
        <v>2772</v>
      </c>
      <c r="B809" s="665" t="s">
        <v>2740</v>
      </c>
      <c r="C809" s="666"/>
      <c r="D809" s="412"/>
      <c r="E809" s="533"/>
      <c r="F809" s="30"/>
      <c r="G809" s="30"/>
      <c r="H809" s="30"/>
      <c r="I809" s="30"/>
      <c r="J809" s="25"/>
      <c r="K809" s="25"/>
      <c r="L809" s="25"/>
      <c r="M809" s="25"/>
      <c r="N809" s="26"/>
      <c r="O809" s="663">
        <v>0.93490804699999996</v>
      </c>
    </row>
    <row r="810" spans="1:17" ht="18.95" customHeight="1">
      <c r="A810" s="573"/>
      <c r="B810" s="573" t="s">
        <v>273</v>
      </c>
      <c r="C810" s="666" t="s">
        <v>2766</v>
      </c>
      <c r="D810" s="660"/>
      <c r="E810" s="533"/>
      <c r="F810" s="30" t="s">
        <v>286</v>
      </c>
      <c r="G810" s="30">
        <f>ROUND(6470.1/1000,2)</f>
        <v>6.47</v>
      </c>
      <c r="H810" s="30">
        <f t="shared" si="226"/>
        <v>6.0488550640899996</v>
      </c>
      <c r="I810" s="30">
        <f t="shared" si="221"/>
        <v>0</v>
      </c>
      <c r="J810" s="25">
        <v>18</v>
      </c>
      <c r="K810" s="25">
        <f t="shared" si="222"/>
        <v>16.828344846</v>
      </c>
      <c r="L810" s="25">
        <f t="shared" si="224"/>
        <v>0</v>
      </c>
      <c r="M810" s="25">
        <f>I810+L810</f>
        <v>0</v>
      </c>
      <c r="N810" s="26"/>
      <c r="O810" s="663">
        <v>0.93490804699999996</v>
      </c>
    </row>
    <row r="811" spans="1:17" ht="18.95" customHeight="1">
      <c r="A811" s="573"/>
      <c r="B811" s="573" t="s">
        <v>273</v>
      </c>
      <c r="C811" s="666" t="s">
        <v>2767</v>
      </c>
      <c r="D811" s="660"/>
      <c r="E811" s="533">
        <v>1306</v>
      </c>
      <c r="F811" s="30" t="s">
        <v>286</v>
      </c>
      <c r="G811" s="30">
        <v>30</v>
      </c>
      <c r="H811" s="30">
        <f t="shared" si="226"/>
        <v>28.047241409999998</v>
      </c>
      <c r="I811" s="30">
        <f t="shared" si="221"/>
        <v>36629.697281459994</v>
      </c>
      <c r="J811" s="25">
        <v>15</v>
      </c>
      <c r="K811" s="25">
        <f t="shared" si="222"/>
        <v>14.023620704999999</v>
      </c>
      <c r="L811" s="25">
        <f t="shared" si="224"/>
        <v>18314.848640729997</v>
      </c>
      <c r="M811" s="25">
        <f>I811+L811</f>
        <v>54944.545922189995</v>
      </c>
      <c r="N811" s="26"/>
      <c r="O811" s="663">
        <v>0.93490804699999996</v>
      </c>
    </row>
    <row r="812" spans="1:17" ht="18.95" customHeight="1">
      <c r="A812" s="573"/>
      <c r="B812" s="573" t="s">
        <v>273</v>
      </c>
      <c r="C812" s="666" t="s">
        <v>2741</v>
      </c>
      <c r="D812" s="660"/>
      <c r="E812" s="533">
        <v>160</v>
      </c>
      <c r="F812" s="30" t="s">
        <v>286</v>
      </c>
      <c r="G812" s="30">
        <v>16</v>
      </c>
      <c r="H812" s="30">
        <f t="shared" si="226"/>
        <v>14.958528751999999</v>
      </c>
      <c r="I812" s="30">
        <f t="shared" si="221"/>
        <v>2393.3646003200001</v>
      </c>
      <c r="J812" s="25">
        <v>10</v>
      </c>
      <c r="K812" s="25">
        <f t="shared" si="222"/>
        <v>9.3490804700000005</v>
      </c>
      <c r="L812" s="25">
        <f t="shared" si="224"/>
        <v>1495.8528752000002</v>
      </c>
      <c r="M812" s="25">
        <f>I812+L812</f>
        <v>3889.2174755200003</v>
      </c>
      <c r="N812" s="26"/>
      <c r="O812" s="663">
        <v>0.93490804699999996</v>
      </c>
    </row>
    <row r="813" spans="1:17" ht="18.95" customHeight="1">
      <c r="A813" s="651" t="s">
        <v>2773</v>
      </c>
      <c r="B813" s="652" t="s">
        <v>2195</v>
      </c>
      <c r="C813" s="657"/>
      <c r="D813" s="412"/>
      <c r="E813" s="533"/>
      <c r="F813" s="30"/>
      <c r="G813" s="30"/>
      <c r="H813" s="30"/>
      <c r="I813" s="30">
        <f t="shared" si="221"/>
        <v>0</v>
      </c>
      <c r="J813" s="25"/>
      <c r="K813" s="25">
        <f t="shared" si="222"/>
        <v>0</v>
      </c>
      <c r="L813" s="25">
        <f t="shared" si="224"/>
        <v>0</v>
      </c>
      <c r="M813" s="25"/>
      <c r="N813" s="26"/>
      <c r="O813" s="663">
        <v>0.93490804699999996</v>
      </c>
    </row>
    <row r="814" spans="1:17" ht="18.95" customHeight="1">
      <c r="A814" s="573"/>
      <c r="B814" s="573" t="s">
        <v>273</v>
      </c>
      <c r="C814" s="661" t="s">
        <v>2196</v>
      </c>
      <c r="D814" s="660"/>
      <c r="E814" s="533">
        <v>713</v>
      </c>
      <c r="F814" s="1181" t="s">
        <v>286</v>
      </c>
      <c r="G814" s="30">
        <f>ROUND(93.1/3,2)</f>
        <v>31.03</v>
      </c>
      <c r="H814" s="30">
        <f t="shared" si="226"/>
        <v>29.010196698409999</v>
      </c>
      <c r="I814" s="30">
        <f t="shared" si="221"/>
        <v>20684.270245966331</v>
      </c>
      <c r="J814" s="25">
        <v>22</v>
      </c>
      <c r="K814" s="25">
        <f t="shared" si="222"/>
        <v>20.567977033999998</v>
      </c>
      <c r="L814" s="25">
        <f t="shared" si="224"/>
        <v>14664.967625241999</v>
      </c>
      <c r="M814" s="25">
        <f>I814+L814</f>
        <v>35349.23787120833</v>
      </c>
      <c r="N814" s="26"/>
      <c r="O814" s="663">
        <v>0.93490804699999996</v>
      </c>
      <c r="P814" s="157" t="s">
        <v>2165</v>
      </c>
      <c r="Q814" s="157"/>
    </row>
    <row r="815" spans="1:17" ht="18.95" customHeight="1">
      <c r="A815" s="667" t="s">
        <v>2774</v>
      </c>
      <c r="B815" s="665" t="s">
        <v>2742</v>
      </c>
      <c r="C815" s="666"/>
      <c r="D815" s="660"/>
      <c r="E815" s="533">
        <v>1</v>
      </c>
      <c r="F815" s="30" t="s">
        <v>2193</v>
      </c>
      <c r="G815" s="670">
        <f>((SUM(I810:I812)*0.1)+(I814*0.2)+SUM(I799:I808)*0.02)</f>
        <v>25644.320179623566</v>
      </c>
      <c r="H815" s="30">
        <f>G815</f>
        <v>25644.320179623566</v>
      </c>
      <c r="I815" s="30">
        <f t="shared" si="221"/>
        <v>25644.320179623566</v>
      </c>
      <c r="J815" s="676">
        <f>G815*0.3</f>
        <v>7693.2960538870693</v>
      </c>
      <c r="K815" s="25">
        <f>J815</f>
        <v>7693.2960538870693</v>
      </c>
      <c r="L815" s="25">
        <f t="shared" si="224"/>
        <v>7693.2960538870693</v>
      </c>
      <c r="M815" s="25">
        <f>I815+L815</f>
        <v>33337.616233510635</v>
      </c>
      <c r="N815" s="26"/>
      <c r="O815" s="663">
        <v>0.93490804699999996</v>
      </c>
    </row>
    <row r="816" spans="1:17" ht="18.95" customHeight="1">
      <c r="A816" s="265"/>
      <c r="B816" s="667"/>
      <c r="C816" s="666"/>
      <c r="D816" s="660"/>
      <c r="E816" s="533"/>
      <c r="F816" s="30"/>
      <c r="G816" s="30"/>
      <c r="H816" s="30"/>
      <c r="I816" s="30"/>
      <c r="J816" s="25"/>
      <c r="K816" s="25"/>
      <c r="L816" s="25"/>
      <c r="M816" s="25"/>
      <c r="N816" s="26"/>
      <c r="O816" s="663">
        <v>0.93490804699999996</v>
      </c>
    </row>
    <row r="817" spans="1:17" ht="18.95" customHeight="1">
      <c r="A817" s="265">
        <v>14.3</v>
      </c>
      <c r="B817" s="1353" t="s">
        <v>2775</v>
      </c>
      <c r="C817" s="1354"/>
      <c r="D817" s="1355"/>
      <c r="E817" s="533"/>
      <c r="F817" s="30"/>
      <c r="G817" s="30"/>
      <c r="H817" s="30"/>
      <c r="I817" s="30"/>
      <c r="J817" s="25"/>
      <c r="K817" s="25"/>
      <c r="L817" s="25"/>
      <c r="M817" s="25"/>
      <c r="N817" s="26"/>
      <c r="O817" s="663">
        <v>0.93490804699999996</v>
      </c>
    </row>
    <row r="818" spans="1:17" ht="18.95" customHeight="1">
      <c r="A818" s="651" t="s">
        <v>2776</v>
      </c>
      <c r="B818" s="665" t="s">
        <v>2756</v>
      </c>
      <c r="C818" s="666"/>
      <c r="D818" s="660"/>
      <c r="E818" s="533">
        <v>2</v>
      </c>
      <c r="F818" s="30" t="s">
        <v>349</v>
      </c>
      <c r="G818" s="30">
        <v>245670</v>
      </c>
      <c r="H818" s="30">
        <f t="shared" si="226"/>
        <v>229678.85990648999</v>
      </c>
      <c r="I818" s="30">
        <f t="shared" si="221"/>
        <v>459357.71981297998</v>
      </c>
      <c r="J818" s="25">
        <v>500</v>
      </c>
      <c r="K818" s="25">
        <f t="shared" si="222"/>
        <v>467.45402350000001</v>
      </c>
      <c r="L818" s="25">
        <f t="shared" si="224"/>
        <v>934.90804700000001</v>
      </c>
      <c r="M818" s="25">
        <f>I818+L818</f>
        <v>460292.62785997998</v>
      </c>
      <c r="N818" s="26"/>
      <c r="O818" s="663">
        <v>0.93490804699999996</v>
      </c>
    </row>
    <row r="819" spans="1:17" ht="18.95" customHeight="1">
      <c r="A819" s="573"/>
      <c r="B819" s="573" t="s">
        <v>273</v>
      </c>
      <c r="C819" s="666" t="s">
        <v>2757</v>
      </c>
      <c r="D819" s="660"/>
      <c r="E819" s="533">
        <v>2</v>
      </c>
      <c r="F819" s="30" t="s">
        <v>349</v>
      </c>
      <c r="G819" s="30">
        <v>11875</v>
      </c>
      <c r="H819" s="30">
        <f t="shared" si="226"/>
        <v>11102.033058125</v>
      </c>
      <c r="I819" s="30">
        <f t="shared" si="221"/>
        <v>22204.06611625</v>
      </c>
      <c r="J819" s="25">
        <v>500</v>
      </c>
      <c r="K819" s="25">
        <f t="shared" si="222"/>
        <v>467.45402350000001</v>
      </c>
      <c r="L819" s="25">
        <f t="shared" si="224"/>
        <v>934.90804700000001</v>
      </c>
      <c r="M819" s="25">
        <f t="shared" ref="M819:M825" si="228">I819+L819</f>
        <v>23138.974163250001</v>
      </c>
      <c r="N819" s="26"/>
      <c r="O819" s="663">
        <v>0.93490804699999996</v>
      </c>
    </row>
    <row r="820" spans="1:17" ht="18.95" customHeight="1">
      <c r="A820" s="573"/>
      <c r="B820" s="573" t="s">
        <v>273</v>
      </c>
      <c r="C820" s="666" t="s">
        <v>2758</v>
      </c>
      <c r="D820" s="660"/>
      <c r="E820" s="533">
        <v>2</v>
      </c>
      <c r="F820" s="30" t="s">
        <v>349</v>
      </c>
      <c r="G820" s="30">
        <v>11400</v>
      </c>
      <c r="H820" s="30">
        <f t="shared" si="226"/>
        <v>10657.951735799999</v>
      </c>
      <c r="I820" s="30">
        <f t="shared" si="221"/>
        <v>21315.903471599999</v>
      </c>
      <c r="J820" s="25">
        <v>500</v>
      </c>
      <c r="K820" s="25">
        <f t="shared" si="222"/>
        <v>467.45402350000001</v>
      </c>
      <c r="L820" s="25">
        <f t="shared" si="224"/>
        <v>934.90804700000001</v>
      </c>
      <c r="M820" s="25">
        <f t="shared" si="228"/>
        <v>22250.8115186</v>
      </c>
      <c r="N820" s="26"/>
      <c r="O820" s="663">
        <v>0.93490804699999996</v>
      </c>
    </row>
    <row r="821" spans="1:17" ht="18.95" customHeight="1">
      <c r="A821" s="573"/>
      <c r="B821" s="573" t="s">
        <v>273</v>
      </c>
      <c r="C821" s="666" t="s">
        <v>2759</v>
      </c>
      <c r="D821" s="660"/>
      <c r="E821" s="533">
        <v>2</v>
      </c>
      <c r="F821" s="30" t="s">
        <v>349</v>
      </c>
      <c r="G821" s="30">
        <v>47500</v>
      </c>
      <c r="H821" s="30">
        <f t="shared" si="226"/>
        <v>44408.1322325</v>
      </c>
      <c r="I821" s="30">
        <f t="shared" si="221"/>
        <v>88816.264465</v>
      </c>
      <c r="J821" s="25">
        <v>500</v>
      </c>
      <c r="K821" s="25">
        <f t="shared" si="222"/>
        <v>467.45402350000001</v>
      </c>
      <c r="L821" s="25">
        <f t="shared" si="224"/>
        <v>934.90804700000001</v>
      </c>
      <c r="M821" s="25">
        <f t="shared" si="228"/>
        <v>89751.172512000005</v>
      </c>
      <c r="N821" s="26"/>
      <c r="O821" s="663">
        <v>0.93490804699999996</v>
      </c>
    </row>
    <row r="822" spans="1:17" ht="18.95" customHeight="1">
      <c r="A822" s="573"/>
      <c r="B822" s="573" t="s">
        <v>273</v>
      </c>
      <c r="C822" s="666" t="s">
        <v>2760</v>
      </c>
      <c r="D822" s="660"/>
      <c r="E822" s="533">
        <v>2</v>
      </c>
      <c r="F822" s="30" t="s">
        <v>349</v>
      </c>
      <c r="G822" s="30">
        <v>40375</v>
      </c>
      <c r="H822" s="30">
        <f t="shared" si="226"/>
        <v>37746.912397624998</v>
      </c>
      <c r="I822" s="30">
        <f t="shared" si="221"/>
        <v>75493.824795249995</v>
      </c>
      <c r="J822" s="25">
        <v>500</v>
      </c>
      <c r="K822" s="25">
        <f t="shared" si="222"/>
        <v>467.45402350000001</v>
      </c>
      <c r="L822" s="25">
        <f t="shared" si="224"/>
        <v>934.90804700000001</v>
      </c>
      <c r="M822" s="25">
        <f t="shared" si="228"/>
        <v>76428.73284225</v>
      </c>
      <c r="N822" s="26"/>
      <c r="O822" s="663">
        <v>0.93490804699999996</v>
      </c>
    </row>
    <row r="823" spans="1:17" ht="18.95" customHeight="1">
      <c r="A823" s="573"/>
      <c r="B823" s="573" t="s">
        <v>273</v>
      </c>
      <c r="C823" s="666" t="s">
        <v>2761</v>
      </c>
      <c r="D823" s="660"/>
      <c r="E823" s="533">
        <v>121</v>
      </c>
      <c r="F823" s="30" t="s">
        <v>349</v>
      </c>
      <c r="G823" s="30">
        <v>1140</v>
      </c>
      <c r="H823" s="30">
        <f t="shared" si="226"/>
        <v>1065.79517358</v>
      </c>
      <c r="I823" s="30">
        <f t="shared" si="221"/>
        <v>128961.21600318</v>
      </c>
      <c r="J823" s="25">
        <v>200</v>
      </c>
      <c r="K823" s="25">
        <f t="shared" si="222"/>
        <v>186.9816094</v>
      </c>
      <c r="L823" s="25">
        <f t="shared" si="224"/>
        <v>22624.774737399999</v>
      </c>
      <c r="M823" s="25">
        <f t="shared" si="228"/>
        <v>151585.99074057999</v>
      </c>
      <c r="N823" s="26"/>
      <c r="O823" s="663">
        <v>0.93490804699999996</v>
      </c>
    </row>
    <row r="824" spans="1:17" ht="18.95" customHeight="1">
      <c r="A824" s="573"/>
      <c r="B824" s="573" t="s">
        <v>273</v>
      </c>
      <c r="C824" s="666" t="s">
        <v>2762</v>
      </c>
      <c r="D824" s="660"/>
      <c r="E824" s="533"/>
      <c r="F824" s="30" t="s">
        <v>349</v>
      </c>
      <c r="G824" s="30">
        <v>11732.5</v>
      </c>
      <c r="H824" s="30">
        <f t="shared" si="226"/>
        <v>10968.8086614275</v>
      </c>
      <c r="I824" s="30">
        <f t="shared" si="221"/>
        <v>0</v>
      </c>
      <c r="J824" s="25">
        <v>200</v>
      </c>
      <c r="K824" s="25">
        <f t="shared" si="222"/>
        <v>186.9816094</v>
      </c>
      <c r="L824" s="25">
        <f t="shared" si="224"/>
        <v>0</v>
      </c>
      <c r="M824" s="25">
        <f t="shared" si="228"/>
        <v>0</v>
      </c>
      <c r="N824" s="26"/>
      <c r="O824" s="663">
        <v>0.93490804699999996</v>
      </c>
    </row>
    <row r="825" spans="1:17" ht="18.95" customHeight="1">
      <c r="A825" s="573"/>
      <c r="B825" s="573" t="s">
        <v>273</v>
      </c>
      <c r="C825" s="666" t="s">
        <v>2763</v>
      </c>
      <c r="D825" s="660"/>
      <c r="E825" s="533">
        <v>8</v>
      </c>
      <c r="F825" s="30" t="s">
        <v>349</v>
      </c>
      <c r="G825" s="30">
        <v>5035</v>
      </c>
      <c r="H825" s="30">
        <f t="shared" si="226"/>
        <v>4707.2620166449997</v>
      </c>
      <c r="I825" s="30">
        <f t="shared" si="221"/>
        <v>37658.096133159997</v>
      </c>
      <c r="J825" s="25">
        <v>250</v>
      </c>
      <c r="K825" s="25">
        <f t="shared" si="222"/>
        <v>233.72701175</v>
      </c>
      <c r="L825" s="25">
        <f t="shared" si="224"/>
        <v>1869.816094</v>
      </c>
      <c r="M825" s="25">
        <f t="shared" si="228"/>
        <v>39527.912227159999</v>
      </c>
      <c r="N825" s="26"/>
      <c r="O825" s="663">
        <v>0.93490804699999996</v>
      </c>
    </row>
    <row r="826" spans="1:17" ht="18.95" customHeight="1">
      <c r="A826" s="651" t="s">
        <v>2777</v>
      </c>
      <c r="B826" s="665" t="s">
        <v>2740</v>
      </c>
      <c r="C826" s="666"/>
      <c r="D826" s="412"/>
      <c r="E826" s="533"/>
      <c r="F826" s="30"/>
      <c r="G826" s="30"/>
      <c r="H826" s="30"/>
      <c r="I826" s="30"/>
      <c r="J826" s="25"/>
      <c r="K826" s="25"/>
      <c r="L826" s="25"/>
      <c r="M826" s="25"/>
      <c r="N826" s="26"/>
      <c r="O826" s="663">
        <v>0.93490804699999996</v>
      </c>
    </row>
    <row r="827" spans="1:17" ht="18.95" customHeight="1">
      <c r="A827" s="573"/>
      <c r="B827" s="573" t="s">
        <v>273</v>
      </c>
      <c r="C827" s="666" t="s">
        <v>2766</v>
      </c>
      <c r="D827" s="660"/>
      <c r="E827" s="533"/>
      <c r="F827" s="30" t="s">
        <v>286</v>
      </c>
      <c r="G827" s="30">
        <f>ROUND(6470.1/1000,2)</f>
        <v>6.47</v>
      </c>
      <c r="H827" s="30">
        <f t="shared" si="226"/>
        <v>6.0488550640899996</v>
      </c>
      <c r="I827" s="30">
        <f t="shared" si="221"/>
        <v>0</v>
      </c>
      <c r="J827" s="25">
        <v>18</v>
      </c>
      <c r="K827" s="25">
        <f t="shared" si="222"/>
        <v>16.828344846</v>
      </c>
      <c r="L827" s="25">
        <f t="shared" si="224"/>
        <v>0</v>
      </c>
      <c r="M827" s="25">
        <f>I827+L827</f>
        <v>0</v>
      </c>
      <c r="N827" s="26"/>
      <c r="O827" s="663">
        <v>0.93490804699999996</v>
      </c>
    </row>
    <row r="828" spans="1:17" ht="18.95" customHeight="1">
      <c r="A828" s="573"/>
      <c r="B828" s="573"/>
      <c r="C828" s="666"/>
      <c r="D828" s="660"/>
      <c r="E828" s="533"/>
      <c r="F828" s="30"/>
      <c r="G828" s="30"/>
      <c r="H828" s="30"/>
      <c r="I828" s="30"/>
      <c r="J828" s="25"/>
      <c r="K828" s="25"/>
      <c r="L828" s="25"/>
      <c r="M828" s="25"/>
      <c r="N828" s="26"/>
      <c r="O828" s="663">
        <v>0.93490804699999996</v>
      </c>
    </row>
    <row r="829" spans="1:17" ht="18.95" customHeight="1">
      <c r="A829" s="573"/>
      <c r="B829" s="573" t="s">
        <v>273</v>
      </c>
      <c r="C829" s="666" t="s">
        <v>2767</v>
      </c>
      <c r="D829" s="660"/>
      <c r="E829" s="533">
        <v>2266</v>
      </c>
      <c r="F829" s="30" t="s">
        <v>286</v>
      </c>
      <c r="G829" s="30">
        <v>30</v>
      </c>
      <c r="H829" s="30">
        <f t="shared" si="226"/>
        <v>28.047241409999998</v>
      </c>
      <c r="I829" s="30">
        <f t="shared" si="221"/>
        <v>63555.049035059994</v>
      </c>
      <c r="J829" s="25">
        <v>15</v>
      </c>
      <c r="K829" s="25">
        <f t="shared" si="222"/>
        <v>14.023620704999999</v>
      </c>
      <c r="L829" s="25">
        <f t="shared" si="224"/>
        <v>31777.524517529997</v>
      </c>
      <c r="M829" s="25">
        <f>I829+L829</f>
        <v>95332.573552589995</v>
      </c>
      <c r="N829" s="26"/>
      <c r="O829" s="663">
        <v>0.93490804699999996</v>
      </c>
    </row>
    <row r="830" spans="1:17" ht="18.95" customHeight="1">
      <c r="A830" s="573"/>
      <c r="B830" s="573" t="s">
        <v>273</v>
      </c>
      <c r="C830" s="666" t="s">
        <v>2741</v>
      </c>
      <c r="D830" s="660"/>
      <c r="E830" s="533"/>
      <c r="F830" s="30" t="s">
        <v>286</v>
      </c>
      <c r="G830" s="30">
        <v>16</v>
      </c>
      <c r="H830" s="30">
        <f t="shared" si="226"/>
        <v>14.958528751999999</v>
      </c>
      <c r="I830" s="30">
        <f t="shared" si="221"/>
        <v>0</v>
      </c>
      <c r="J830" s="25">
        <v>10</v>
      </c>
      <c r="K830" s="25">
        <f t="shared" si="222"/>
        <v>9.3490804700000005</v>
      </c>
      <c r="L830" s="25">
        <f t="shared" si="224"/>
        <v>0</v>
      </c>
      <c r="M830" s="25">
        <f>I830+L830</f>
        <v>0</v>
      </c>
      <c r="N830" s="26"/>
      <c r="O830" s="663">
        <v>0.93490804699999996</v>
      </c>
    </row>
    <row r="831" spans="1:17" ht="18.95" customHeight="1">
      <c r="A831" s="651" t="s">
        <v>2778</v>
      </c>
      <c r="B831" s="652" t="s">
        <v>2195</v>
      </c>
      <c r="C831" s="657"/>
      <c r="D831" s="412"/>
      <c r="E831" s="533"/>
      <c r="F831" s="30"/>
      <c r="G831" s="30"/>
      <c r="H831" s="30"/>
      <c r="I831" s="30"/>
      <c r="J831" s="25"/>
      <c r="K831" s="25"/>
      <c r="L831" s="25"/>
      <c r="M831" s="25"/>
      <c r="N831" s="26"/>
      <c r="O831" s="663">
        <v>0.93490804699999996</v>
      </c>
    </row>
    <row r="832" spans="1:17" ht="18.95" customHeight="1">
      <c r="A832" s="573"/>
      <c r="B832" s="573" t="s">
        <v>273</v>
      </c>
      <c r="C832" s="661" t="s">
        <v>2196</v>
      </c>
      <c r="D832" s="660"/>
      <c r="E832" s="533">
        <v>1237</v>
      </c>
      <c r="F832" s="1181" t="s">
        <v>286</v>
      </c>
      <c r="G832" s="30">
        <f>ROUND(93.1/3,2)</f>
        <v>31.03</v>
      </c>
      <c r="H832" s="30">
        <f t="shared" si="226"/>
        <v>29.010196698409999</v>
      </c>
      <c r="I832" s="30">
        <f t="shared" si="221"/>
        <v>35885.613315933166</v>
      </c>
      <c r="J832" s="25">
        <v>22</v>
      </c>
      <c r="K832" s="25">
        <f t="shared" si="222"/>
        <v>20.567977033999998</v>
      </c>
      <c r="L832" s="25">
        <f t="shared" si="224"/>
        <v>25442.587591057996</v>
      </c>
      <c r="M832" s="25">
        <f>I832+L832</f>
        <v>61328.200906991158</v>
      </c>
      <c r="N832" s="26"/>
      <c r="O832" s="663">
        <v>0.93490804699999996</v>
      </c>
      <c r="P832" s="157" t="s">
        <v>2165</v>
      </c>
      <c r="Q832" s="157"/>
    </row>
    <row r="833" spans="1:15" ht="18.95" customHeight="1">
      <c r="A833" s="667" t="s">
        <v>2779</v>
      </c>
      <c r="B833" s="665" t="s">
        <v>2742</v>
      </c>
      <c r="C833" s="666"/>
      <c r="D833" s="660"/>
      <c r="E833" s="533">
        <v>1</v>
      </c>
      <c r="F833" s="30" t="s">
        <v>2193</v>
      </c>
      <c r="G833" s="670">
        <f>((SUM(I828:I830)*0.1)+(I832*0.2)+SUM(I817:I826)*0.02)</f>
        <v>30208.769382641032</v>
      </c>
      <c r="H833" s="30">
        <f>G833</f>
        <v>30208.769382641032</v>
      </c>
      <c r="I833" s="30">
        <f t="shared" si="221"/>
        <v>30208.769382641032</v>
      </c>
      <c r="J833" s="676">
        <f>G833*0.3</f>
        <v>9062.63081479231</v>
      </c>
      <c r="K833" s="25">
        <f>J833</f>
        <v>9062.63081479231</v>
      </c>
      <c r="L833" s="25">
        <f t="shared" si="224"/>
        <v>9062.63081479231</v>
      </c>
      <c r="M833" s="25">
        <f>I833+L833</f>
        <v>39271.400197433344</v>
      </c>
      <c r="N833" s="26" t="s">
        <v>151</v>
      </c>
      <c r="O833" s="663">
        <v>0.93490804699999996</v>
      </c>
    </row>
    <row r="834" spans="1:15" ht="18.95" customHeight="1">
      <c r="A834" s="265"/>
      <c r="B834" s="667"/>
      <c r="C834" s="666"/>
      <c r="D834" s="660"/>
      <c r="E834" s="533"/>
      <c r="F834" s="30"/>
      <c r="G834" s="30"/>
      <c r="H834" s="30"/>
      <c r="I834" s="30"/>
      <c r="J834" s="25"/>
      <c r="K834" s="25"/>
      <c r="L834" s="25"/>
      <c r="M834" s="25"/>
      <c r="N834" s="26"/>
      <c r="O834" s="663">
        <v>0.93490804699999996</v>
      </c>
    </row>
    <row r="835" spans="1:15" ht="18.95" customHeight="1">
      <c r="A835" s="265">
        <v>14.4</v>
      </c>
      <c r="B835" s="1353" t="s">
        <v>2780</v>
      </c>
      <c r="C835" s="1354"/>
      <c r="D835" s="1355"/>
      <c r="E835" s="533"/>
      <c r="F835" s="30"/>
      <c r="G835" s="30"/>
      <c r="H835" s="30"/>
      <c r="I835" s="30"/>
      <c r="J835" s="25"/>
      <c r="K835" s="25"/>
      <c r="L835" s="25"/>
      <c r="M835" s="25"/>
      <c r="N835" s="26"/>
      <c r="O835" s="663">
        <v>0.93490804699999996</v>
      </c>
    </row>
    <row r="836" spans="1:15" ht="18.95" customHeight="1">
      <c r="A836" s="651" t="s">
        <v>2781</v>
      </c>
      <c r="B836" s="665" t="s">
        <v>2782</v>
      </c>
      <c r="C836" s="666"/>
      <c r="D836" s="660"/>
      <c r="E836" s="533">
        <v>2</v>
      </c>
      <c r="F836" s="30" t="s">
        <v>349</v>
      </c>
      <c r="G836" s="30">
        <v>245670</v>
      </c>
      <c r="H836" s="30">
        <f t="shared" si="226"/>
        <v>229678.85990648999</v>
      </c>
      <c r="I836" s="30">
        <f t="shared" ref="I836:I867" si="229">E836*H836</f>
        <v>459357.71981297998</v>
      </c>
      <c r="J836" s="25">
        <v>500</v>
      </c>
      <c r="K836" s="25">
        <f t="shared" ref="K836:K866" si="230">J836*O836</f>
        <v>467.45402350000001</v>
      </c>
      <c r="L836" s="25">
        <f t="shared" si="224"/>
        <v>934.90804700000001</v>
      </c>
      <c r="M836" s="25">
        <f>I836+L836</f>
        <v>460292.62785997998</v>
      </c>
      <c r="N836" s="26"/>
      <c r="O836" s="663">
        <v>0.93490804699999996</v>
      </c>
    </row>
    <row r="837" spans="1:15" ht="18.95" customHeight="1">
      <c r="A837" s="573"/>
      <c r="B837" s="573" t="s">
        <v>273</v>
      </c>
      <c r="C837" s="666" t="s">
        <v>2757</v>
      </c>
      <c r="D837" s="660"/>
      <c r="E837" s="533">
        <v>2</v>
      </c>
      <c r="F837" s="30" t="s">
        <v>349</v>
      </c>
      <c r="G837" s="30">
        <v>11875</v>
      </c>
      <c r="H837" s="30">
        <f t="shared" si="226"/>
        <v>11102.033058125</v>
      </c>
      <c r="I837" s="30">
        <f t="shared" si="229"/>
        <v>22204.06611625</v>
      </c>
      <c r="J837" s="25">
        <v>500</v>
      </c>
      <c r="K837" s="25">
        <f t="shared" si="230"/>
        <v>467.45402350000001</v>
      </c>
      <c r="L837" s="25">
        <f t="shared" ref="L837:L867" si="231">E837*K837</f>
        <v>934.90804700000001</v>
      </c>
      <c r="M837" s="25">
        <f t="shared" ref="M837:M843" si="232">I837+L837</f>
        <v>23138.974163250001</v>
      </c>
      <c r="N837" s="26"/>
      <c r="O837" s="663">
        <v>0.93490804699999996</v>
      </c>
    </row>
    <row r="838" spans="1:15" ht="18.95" customHeight="1">
      <c r="A838" s="573"/>
      <c r="B838" s="573" t="s">
        <v>273</v>
      </c>
      <c r="C838" s="666" t="s">
        <v>2758</v>
      </c>
      <c r="D838" s="660"/>
      <c r="E838" s="533">
        <v>2</v>
      </c>
      <c r="F838" s="30" t="s">
        <v>349</v>
      </c>
      <c r="G838" s="30">
        <v>11400</v>
      </c>
      <c r="H838" s="30">
        <f t="shared" si="226"/>
        <v>10657.951735799999</v>
      </c>
      <c r="I838" s="30">
        <f t="shared" si="229"/>
        <v>21315.903471599999</v>
      </c>
      <c r="J838" s="25">
        <v>500</v>
      </c>
      <c r="K838" s="25">
        <f t="shared" si="230"/>
        <v>467.45402350000001</v>
      </c>
      <c r="L838" s="25">
        <f t="shared" si="231"/>
        <v>934.90804700000001</v>
      </c>
      <c r="M838" s="25">
        <f t="shared" si="232"/>
        <v>22250.8115186</v>
      </c>
      <c r="N838" s="26"/>
      <c r="O838" s="663">
        <v>0.93490804699999996</v>
      </c>
    </row>
    <row r="839" spans="1:15" ht="18.95" customHeight="1">
      <c r="A839" s="573"/>
      <c r="B839" s="573" t="s">
        <v>273</v>
      </c>
      <c r="C839" s="666" t="s">
        <v>2759</v>
      </c>
      <c r="D839" s="660"/>
      <c r="E839" s="533">
        <v>2</v>
      </c>
      <c r="F839" s="30" t="s">
        <v>349</v>
      </c>
      <c r="G839" s="30">
        <v>47500</v>
      </c>
      <c r="H839" s="30">
        <f t="shared" si="226"/>
        <v>44408.1322325</v>
      </c>
      <c r="I839" s="30">
        <f t="shared" si="229"/>
        <v>88816.264465</v>
      </c>
      <c r="J839" s="25">
        <v>500</v>
      </c>
      <c r="K839" s="25">
        <f t="shared" si="230"/>
        <v>467.45402350000001</v>
      </c>
      <c r="L839" s="25">
        <f t="shared" si="231"/>
        <v>934.90804700000001</v>
      </c>
      <c r="M839" s="25">
        <f t="shared" si="232"/>
        <v>89751.172512000005</v>
      </c>
      <c r="N839" s="26"/>
      <c r="O839" s="663">
        <v>0.93490804699999996</v>
      </c>
    </row>
    <row r="840" spans="1:15" ht="18.95" customHeight="1">
      <c r="A840" s="573"/>
      <c r="B840" s="573" t="s">
        <v>273</v>
      </c>
      <c r="C840" s="666" t="s">
        <v>2760</v>
      </c>
      <c r="D840" s="660"/>
      <c r="E840" s="533">
        <v>2</v>
      </c>
      <c r="F840" s="30" t="s">
        <v>349</v>
      </c>
      <c r="G840" s="30">
        <v>40375</v>
      </c>
      <c r="H840" s="30">
        <f t="shared" si="226"/>
        <v>37746.912397624998</v>
      </c>
      <c r="I840" s="30">
        <f t="shared" si="229"/>
        <v>75493.824795249995</v>
      </c>
      <c r="J840" s="25">
        <v>500</v>
      </c>
      <c r="K840" s="25">
        <f t="shared" si="230"/>
        <v>467.45402350000001</v>
      </c>
      <c r="L840" s="25">
        <f t="shared" si="231"/>
        <v>934.90804700000001</v>
      </c>
      <c r="M840" s="25">
        <f t="shared" si="232"/>
        <v>76428.73284225</v>
      </c>
      <c r="N840" s="26"/>
      <c r="O840" s="663">
        <v>0.93490804699999996</v>
      </c>
    </row>
    <row r="841" spans="1:15" ht="18.95" customHeight="1">
      <c r="A841" s="573"/>
      <c r="B841" s="573" t="s">
        <v>273</v>
      </c>
      <c r="C841" s="666" t="s">
        <v>2761</v>
      </c>
      <c r="D841" s="660"/>
      <c r="E841" s="533">
        <v>54</v>
      </c>
      <c r="F841" s="30" t="s">
        <v>349</v>
      </c>
      <c r="G841" s="30">
        <v>1140</v>
      </c>
      <c r="H841" s="30">
        <f t="shared" si="226"/>
        <v>1065.79517358</v>
      </c>
      <c r="I841" s="30">
        <f t="shared" si="229"/>
        <v>57552.939373319998</v>
      </c>
      <c r="J841" s="25">
        <v>200</v>
      </c>
      <c r="K841" s="25">
        <f t="shared" si="230"/>
        <v>186.9816094</v>
      </c>
      <c r="L841" s="25">
        <f t="shared" si="231"/>
        <v>10097.0069076</v>
      </c>
      <c r="M841" s="25">
        <f t="shared" si="232"/>
        <v>67649.946280920005</v>
      </c>
      <c r="N841" s="26"/>
      <c r="O841" s="663">
        <v>0.93490804699999996</v>
      </c>
    </row>
    <row r="842" spans="1:15" ht="18.95" customHeight="1">
      <c r="A842" s="573"/>
      <c r="B842" s="573" t="s">
        <v>273</v>
      </c>
      <c r="C842" s="666" t="s">
        <v>2762</v>
      </c>
      <c r="D842" s="660"/>
      <c r="E842" s="533"/>
      <c r="F842" s="30" t="s">
        <v>349</v>
      </c>
      <c r="G842" s="30">
        <v>11732.5</v>
      </c>
      <c r="H842" s="30">
        <f t="shared" si="226"/>
        <v>10968.8086614275</v>
      </c>
      <c r="I842" s="30">
        <f t="shared" si="229"/>
        <v>0</v>
      </c>
      <c r="J842" s="25">
        <v>200</v>
      </c>
      <c r="K842" s="25">
        <f t="shared" si="230"/>
        <v>186.9816094</v>
      </c>
      <c r="L842" s="25">
        <f t="shared" si="231"/>
        <v>0</v>
      </c>
      <c r="M842" s="25">
        <f t="shared" si="232"/>
        <v>0</v>
      </c>
      <c r="N842" s="26"/>
      <c r="O842" s="663">
        <v>0.93490804699999996</v>
      </c>
    </row>
    <row r="843" spans="1:15" ht="18.95" customHeight="1">
      <c r="A843" s="573"/>
      <c r="B843" s="573" t="s">
        <v>273</v>
      </c>
      <c r="C843" s="666" t="s">
        <v>2763</v>
      </c>
      <c r="D843" s="660"/>
      <c r="E843" s="533">
        <v>9</v>
      </c>
      <c r="F843" s="30" t="s">
        <v>349</v>
      </c>
      <c r="G843" s="30">
        <v>5035</v>
      </c>
      <c r="H843" s="30">
        <f t="shared" si="226"/>
        <v>4707.2620166449997</v>
      </c>
      <c r="I843" s="30">
        <f t="shared" si="229"/>
        <v>42365.358149804997</v>
      </c>
      <c r="J843" s="25">
        <v>250</v>
      </c>
      <c r="K843" s="25">
        <f t="shared" si="230"/>
        <v>233.72701175</v>
      </c>
      <c r="L843" s="25">
        <f t="shared" si="231"/>
        <v>2103.54310575</v>
      </c>
      <c r="M843" s="25">
        <f t="shared" si="232"/>
        <v>44468.901255555</v>
      </c>
      <c r="N843" s="26"/>
      <c r="O843" s="663">
        <v>0.93490804699999996</v>
      </c>
    </row>
    <row r="844" spans="1:15" ht="18.95" customHeight="1">
      <c r="A844" s="651" t="s">
        <v>2783</v>
      </c>
      <c r="B844" s="665" t="s">
        <v>2740</v>
      </c>
      <c r="C844" s="666"/>
      <c r="D844" s="412"/>
      <c r="E844" s="533"/>
      <c r="F844" s="30"/>
      <c r="G844" s="30"/>
      <c r="H844" s="30"/>
      <c r="I844" s="30"/>
      <c r="J844" s="25"/>
      <c r="K844" s="25"/>
      <c r="L844" s="25"/>
      <c r="M844" s="25"/>
      <c r="N844" s="26"/>
      <c r="O844" s="663">
        <v>0.93490804699999996</v>
      </c>
    </row>
    <row r="845" spans="1:15" ht="18.95" customHeight="1">
      <c r="A845" s="573"/>
      <c r="B845" s="573" t="s">
        <v>273</v>
      </c>
      <c r="C845" s="666" t="s">
        <v>2766</v>
      </c>
      <c r="D845" s="660"/>
      <c r="E845" s="533"/>
      <c r="F845" s="30" t="s">
        <v>286</v>
      </c>
      <c r="G845" s="30">
        <f>ROUND(6470.1/1000,2)</f>
        <v>6.47</v>
      </c>
      <c r="H845" s="30">
        <f t="shared" si="226"/>
        <v>6.0488550640899996</v>
      </c>
      <c r="I845" s="30">
        <f t="shared" si="229"/>
        <v>0</v>
      </c>
      <c r="J845" s="25">
        <v>18</v>
      </c>
      <c r="K845" s="25">
        <f t="shared" si="230"/>
        <v>16.828344846</v>
      </c>
      <c r="L845" s="25">
        <f t="shared" si="231"/>
        <v>0</v>
      </c>
      <c r="M845" s="25">
        <f>I845+L845</f>
        <v>0</v>
      </c>
      <c r="N845" s="26"/>
      <c r="O845" s="663">
        <v>0.93490804699999996</v>
      </c>
    </row>
    <row r="846" spans="1:15" ht="18.95" customHeight="1">
      <c r="A846" s="573"/>
      <c r="B846" s="573" t="s">
        <v>273</v>
      </c>
      <c r="C846" s="666" t="s">
        <v>2767</v>
      </c>
      <c r="D846" s="660"/>
      <c r="E846" s="533">
        <v>2045</v>
      </c>
      <c r="F846" s="30" t="s">
        <v>286</v>
      </c>
      <c r="G846" s="30">
        <v>30</v>
      </c>
      <c r="H846" s="30">
        <f t="shared" si="226"/>
        <v>28.047241409999998</v>
      </c>
      <c r="I846" s="30">
        <f t="shared" si="229"/>
        <v>57356.608683449995</v>
      </c>
      <c r="J846" s="25">
        <v>15</v>
      </c>
      <c r="K846" s="25">
        <f t="shared" si="230"/>
        <v>14.023620704999999</v>
      </c>
      <c r="L846" s="25">
        <f t="shared" si="231"/>
        <v>28678.304341724997</v>
      </c>
      <c r="M846" s="25">
        <f>I846+L846</f>
        <v>86034.913025174988</v>
      </c>
      <c r="N846" s="26"/>
      <c r="O846" s="663">
        <v>0.93490804699999996</v>
      </c>
    </row>
    <row r="847" spans="1:15" ht="18.95" customHeight="1">
      <c r="A847" s="573"/>
      <c r="B847" s="573" t="s">
        <v>273</v>
      </c>
      <c r="C847" s="666" t="s">
        <v>2741</v>
      </c>
      <c r="D847" s="660"/>
      <c r="E847" s="533"/>
      <c r="F847" s="30" t="s">
        <v>286</v>
      </c>
      <c r="G847" s="30">
        <v>16</v>
      </c>
      <c r="H847" s="30">
        <f t="shared" si="226"/>
        <v>14.958528751999999</v>
      </c>
      <c r="I847" s="30">
        <f t="shared" si="229"/>
        <v>0</v>
      </c>
      <c r="J847" s="25">
        <v>10</v>
      </c>
      <c r="K847" s="25">
        <f t="shared" si="230"/>
        <v>9.3490804700000005</v>
      </c>
      <c r="L847" s="25">
        <f t="shared" si="231"/>
        <v>0</v>
      </c>
      <c r="M847" s="25">
        <f>I847+L847</f>
        <v>0</v>
      </c>
      <c r="N847" s="26"/>
      <c r="O847" s="663">
        <v>0.93490804699999996</v>
      </c>
    </row>
    <row r="848" spans="1:15" ht="18.95" customHeight="1">
      <c r="A848" s="651" t="s">
        <v>2784</v>
      </c>
      <c r="B848" s="652" t="s">
        <v>2195</v>
      </c>
      <c r="C848" s="657"/>
      <c r="D848" s="412"/>
      <c r="E848" s="533"/>
      <c r="F848" s="30"/>
      <c r="G848" s="30"/>
      <c r="H848" s="30"/>
      <c r="I848" s="30"/>
      <c r="J848" s="25"/>
      <c r="K848" s="25"/>
      <c r="L848" s="25"/>
      <c r="M848" s="25"/>
      <c r="N848" s="26"/>
      <c r="O848" s="663">
        <v>0.93490804699999996</v>
      </c>
    </row>
    <row r="849" spans="1:17" ht="18.95" customHeight="1">
      <c r="A849" s="573"/>
      <c r="B849" s="573" t="s">
        <v>273</v>
      </c>
      <c r="C849" s="661" t="s">
        <v>2196</v>
      </c>
      <c r="D849" s="660"/>
      <c r="E849" s="533">
        <v>1115</v>
      </c>
      <c r="F849" s="1181" t="s">
        <v>286</v>
      </c>
      <c r="G849" s="30">
        <f>ROUND(93.1/3,2)</f>
        <v>31.03</v>
      </c>
      <c r="H849" s="30">
        <f t="shared" si="226"/>
        <v>29.010196698409999</v>
      </c>
      <c r="I849" s="30">
        <f t="shared" si="229"/>
        <v>32346.369318727149</v>
      </c>
      <c r="J849" s="25">
        <v>22</v>
      </c>
      <c r="K849" s="25">
        <f t="shared" si="230"/>
        <v>20.567977033999998</v>
      </c>
      <c r="L849" s="25">
        <f t="shared" si="231"/>
        <v>22933.294392909997</v>
      </c>
      <c r="M849" s="25">
        <f>I849+L849</f>
        <v>55279.663711637142</v>
      </c>
      <c r="N849" s="26"/>
      <c r="O849" s="663">
        <v>0.93490804699999996</v>
      </c>
      <c r="P849" s="157" t="s">
        <v>2165</v>
      </c>
      <c r="Q849" s="157"/>
    </row>
    <row r="850" spans="1:17" ht="18.95" customHeight="1">
      <c r="A850" s="667" t="s">
        <v>2785</v>
      </c>
      <c r="B850" s="665" t="s">
        <v>2742</v>
      </c>
      <c r="C850" s="666"/>
      <c r="D850" s="660"/>
      <c r="E850" s="533">
        <v>1</v>
      </c>
      <c r="F850" s="30" t="s">
        <v>2193</v>
      </c>
      <c r="G850" s="670">
        <f>((SUM(I845:I847)*0.1)+(I849*0.2)+SUM(I836:I843)*0.02)</f>
        <v>27547.056255774529</v>
      </c>
      <c r="H850" s="30">
        <f>G850</f>
        <v>27547.056255774529</v>
      </c>
      <c r="I850" s="30">
        <f t="shared" si="229"/>
        <v>27547.056255774529</v>
      </c>
      <c r="J850" s="676">
        <f>G850*0.3</f>
        <v>8264.1168767323579</v>
      </c>
      <c r="K850" s="25">
        <f>J850</f>
        <v>8264.1168767323579</v>
      </c>
      <c r="L850" s="25">
        <f t="shared" si="231"/>
        <v>8264.1168767323579</v>
      </c>
      <c r="M850" s="25">
        <f>I850+L850</f>
        <v>35811.173132506883</v>
      </c>
      <c r="N850" s="26"/>
      <c r="O850" s="663">
        <v>0.93490804699999996</v>
      </c>
    </row>
    <row r="851" spans="1:17" ht="18.95" customHeight="1">
      <c r="A851" s="265"/>
      <c r="B851" s="667"/>
      <c r="C851" s="666"/>
      <c r="D851" s="660"/>
      <c r="E851" s="533"/>
      <c r="F851" s="30"/>
      <c r="G851" s="30"/>
      <c r="H851" s="30"/>
      <c r="I851" s="30"/>
      <c r="J851" s="25"/>
      <c r="K851" s="25"/>
      <c r="L851" s="25"/>
      <c r="M851" s="25"/>
      <c r="N851" s="26"/>
      <c r="O851" s="663">
        <v>0.93490804699999996</v>
      </c>
    </row>
    <row r="852" spans="1:17" ht="18.95" customHeight="1">
      <c r="A852" s="265">
        <v>14.5</v>
      </c>
      <c r="B852" s="1353" t="s">
        <v>2786</v>
      </c>
      <c r="C852" s="1354"/>
      <c r="D852" s="1355"/>
      <c r="E852" s="533"/>
      <c r="F852" s="30"/>
      <c r="G852" s="30"/>
      <c r="H852" s="30"/>
      <c r="I852" s="30"/>
      <c r="J852" s="25"/>
      <c r="K852" s="25"/>
      <c r="L852" s="25"/>
      <c r="M852" s="25"/>
      <c r="N852" s="26"/>
      <c r="O852" s="663">
        <v>0.93490804699999996</v>
      </c>
    </row>
    <row r="853" spans="1:17" ht="18.95" customHeight="1">
      <c r="A853" s="651" t="s">
        <v>2787</v>
      </c>
      <c r="B853" s="665" t="s">
        <v>2782</v>
      </c>
      <c r="C853" s="666"/>
      <c r="D853" s="660"/>
      <c r="E853" s="533">
        <v>1</v>
      </c>
      <c r="F853" s="30" t="s">
        <v>349</v>
      </c>
      <c r="G853" s="30">
        <v>245670</v>
      </c>
      <c r="H853" s="30">
        <f t="shared" ref="H853:H866" si="233">G853*O853</f>
        <v>229678.85990648999</v>
      </c>
      <c r="I853" s="30">
        <f t="shared" si="229"/>
        <v>229678.85990648999</v>
      </c>
      <c r="J853" s="25">
        <v>500</v>
      </c>
      <c r="K853" s="25">
        <f t="shared" si="230"/>
        <v>467.45402350000001</v>
      </c>
      <c r="L853" s="25">
        <f t="shared" si="231"/>
        <v>467.45402350000001</v>
      </c>
      <c r="M853" s="25">
        <f>I853+L853</f>
        <v>230146.31392998999</v>
      </c>
      <c r="N853" s="26"/>
      <c r="O853" s="663">
        <v>0.93490804699999996</v>
      </c>
    </row>
    <row r="854" spans="1:17" ht="18.95" customHeight="1">
      <c r="A854" s="573"/>
      <c r="B854" s="573" t="s">
        <v>273</v>
      </c>
      <c r="C854" s="666" t="s">
        <v>2757</v>
      </c>
      <c r="D854" s="660"/>
      <c r="E854" s="533">
        <v>1</v>
      </c>
      <c r="F854" s="30" t="s">
        <v>349</v>
      </c>
      <c r="G854" s="30">
        <v>11875</v>
      </c>
      <c r="H854" s="30">
        <f t="shared" si="233"/>
        <v>11102.033058125</v>
      </c>
      <c r="I854" s="30">
        <f t="shared" si="229"/>
        <v>11102.033058125</v>
      </c>
      <c r="J854" s="25">
        <v>500</v>
      </c>
      <c r="K854" s="25">
        <f t="shared" si="230"/>
        <v>467.45402350000001</v>
      </c>
      <c r="L854" s="25">
        <f t="shared" si="231"/>
        <v>467.45402350000001</v>
      </c>
      <c r="M854" s="25">
        <f t="shared" ref="M854:M860" si="234">I854+L854</f>
        <v>11569.487081625</v>
      </c>
      <c r="N854" s="26"/>
      <c r="O854" s="663">
        <v>0.93490804699999996</v>
      </c>
    </row>
    <row r="855" spans="1:17" ht="18.95" customHeight="1">
      <c r="A855" s="573"/>
      <c r="B855" s="573" t="s">
        <v>273</v>
      </c>
      <c r="C855" s="666" t="s">
        <v>2758</v>
      </c>
      <c r="D855" s="660"/>
      <c r="E855" s="533">
        <v>1</v>
      </c>
      <c r="F855" s="30" t="s">
        <v>349</v>
      </c>
      <c r="G855" s="30">
        <v>11400</v>
      </c>
      <c r="H855" s="30">
        <f t="shared" si="233"/>
        <v>10657.951735799999</v>
      </c>
      <c r="I855" s="30">
        <f t="shared" si="229"/>
        <v>10657.951735799999</v>
      </c>
      <c r="J855" s="25">
        <v>500</v>
      </c>
      <c r="K855" s="25">
        <f t="shared" si="230"/>
        <v>467.45402350000001</v>
      </c>
      <c r="L855" s="25">
        <f t="shared" si="231"/>
        <v>467.45402350000001</v>
      </c>
      <c r="M855" s="25">
        <f t="shared" si="234"/>
        <v>11125.4057593</v>
      </c>
      <c r="N855" s="26"/>
      <c r="O855" s="663">
        <v>0.93490804699999996</v>
      </c>
    </row>
    <row r="856" spans="1:17" ht="18.95" customHeight="1">
      <c r="A856" s="573"/>
      <c r="B856" s="573" t="s">
        <v>273</v>
      </c>
      <c r="C856" s="666" t="s">
        <v>2759</v>
      </c>
      <c r="D856" s="660"/>
      <c r="E856" s="533">
        <v>1</v>
      </c>
      <c r="F856" s="30" t="s">
        <v>349</v>
      </c>
      <c r="G856" s="30">
        <v>47500</v>
      </c>
      <c r="H856" s="30">
        <f t="shared" si="233"/>
        <v>44408.1322325</v>
      </c>
      <c r="I856" s="30">
        <f t="shared" si="229"/>
        <v>44408.1322325</v>
      </c>
      <c r="J856" s="25">
        <v>500</v>
      </c>
      <c r="K856" s="25">
        <f t="shared" si="230"/>
        <v>467.45402350000001</v>
      </c>
      <c r="L856" s="25">
        <f t="shared" si="231"/>
        <v>467.45402350000001</v>
      </c>
      <c r="M856" s="25">
        <f t="shared" si="234"/>
        <v>44875.586256000002</v>
      </c>
      <c r="N856" s="26"/>
      <c r="O856" s="663">
        <v>0.93490804699999996</v>
      </c>
    </row>
    <row r="857" spans="1:17" ht="18.95" customHeight="1">
      <c r="A857" s="573"/>
      <c r="B857" s="573" t="s">
        <v>273</v>
      </c>
      <c r="C857" s="666" t="s">
        <v>2760</v>
      </c>
      <c r="D857" s="660"/>
      <c r="E857" s="533">
        <v>1</v>
      </c>
      <c r="F857" s="30" t="s">
        <v>349</v>
      </c>
      <c r="G857" s="30">
        <v>40375</v>
      </c>
      <c r="H857" s="30">
        <f t="shared" si="233"/>
        <v>37746.912397624998</v>
      </c>
      <c r="I857" s="30">
        <f t="shared" si="229"/>
        <v>37746.912397624998</v>
      </c>
      <c r="J857" s="25">
        <v>500</v>
      </c>
      <c r="K857" s="25">
        <f t="shared" si="230"/>
        <v>467.45402350000001</v>
      </c>
      <c r="L857" s="25">
        <f t="shared" si="231"/>
        <v>467.45402350000001</v>
      </c>
      <c r="M857" s="25">
        <f t="shared" si="234"/>
        <v>38214.366421125</v>
      </c>
      <c r="N857" s="26"/>
      <c r="O857" s="663">
        <v>0.93490804699999996</v>
      </c>
    </row>
    <row r="858" spans="1:17" ht="18.95" customHeight="1">
      <c r="A858" s="573"/>
      <c r="B858" s="573" t="s">
        <v>273</v>
      </c>
      <c r="C858" s="666" t="s">
        <v>2761</v>
      </c>
      <c r="D858" s="660"/>
      <c r="E858" s="533">
        <v>88</v>
      </c>
      <c r="F858" s="30" t="s">
        <v>349</v>
      </c>
      <c r="G858" s="30">
        <v>1140</v>
      </c>
      <c r="H858" s="30">
        <f t="shared" si="233"/>
        <v>1065.79517358</v>
      </c>
      <c r="I858" s="30">
        <f t="shared" si="229"/>
        <v>93789.975275039993</v>
      </c>
      <c r="J858" s="25">
        <v>200</v>
      </c>
      <c r="K858" s="25">
        <f t="shared" si="230"/>
        <v>186.9816094</v>
      </c>
      <c r="L858" s="25">
        <f t="shared" si="231"/>
        <v>16454.3816272</v>
      </c>
      <c r="M858" s="25">
        <f t="shared" si="234"/>
        <v>110244.35690223999</v>
      </c>
      <c r="N858" s="26"/>
      <c r="O858" s="663">
        <v>0.93490804699999996</v>
      </c>
    </row>
    <row r="859" spans="1:17" ht="18.95" customHeight="1">
      <c r="A859" s="573"/>
      <c r="B859" s="573" t="s">
        <v>273</v>
      </c>
      <c r="C859" s="666" t="s">
        <v>2762</v>
      </c>
      <c r="D859" s="660"/>
      <c r="E859" s="533"/>
      <c r="F859" s="30" t="s">
        <v>349</v>
      </c>
      <c r="G859" s="30">
        <v>11732.5</v>
      </c>
      <c r="H859" s="30">
        <f t="shared" si="233"/>
        <v>10968.8086614275</v>
      </c>
      <c r="I859" s="30">
        <f t="shared" si="229"/>
        <v>0</v>
      </c>
      <c r="J859" s="25">
        <v>200</v>
      </c>
      <c r="K859" s="25">
        <f t="shared" si="230"/>
        <v>186.9816094</v>
      </c>
      <c r="L859" s="25">
        <f t="shared" si="231"/>
        <v>0</v>
      </c>
      <c r="M859" s="25">
        <f t="shared" si="234"/>
        <v>0</v>
      </c>
      <c r="N859" s="26"/>
      <c r="O859" s="663">
        <v>0.93490804699999996</v>
      </c>
    </row>
    <row r="860" spans="1:17" ht="18.95" customHeight="1">
      <c r="A860" s="573"/>
      <c r="B860" s="573" t="s">
        <v>273</v>
      </c>
      <c r="C860" s="666" t="s">
        <v>2763</v>
      </c>
      <c r="D860" s="660"/>
      <c r="E860" s="533">
        <v>9</v>
      </c>
      <c r="F860" s="30" t="s">
        <v>349</v>
      </c>
      <c r="G860" s="30">
        <v>5035</v>
      </c>
      <c r="H860" s="30">
        <f t="shared" si="233"/>
        <v>4707.2620166449997</v>
      </c>
      <c r="I860" s="30">
        <f t="shared" si="229"/>
        <v>42365.358149804997</v>
      </c>
      <c r="J860" s="25">
        <v>250</v>
      </c>
      <c r="K860" s="25">
        <f t="shared" si="230"/>
        <v>233.72701175</v>
      </c>
      <c r="L860" s="25">
        <f t="shared" si="231"/>
        <v>2103.54310575</v>
      </c>
      <c r="M860" s="25">
        <f t="shared" si="234"/>
        <v>44468.901255555</v>
      </c>
      <c r="N860" s="26"/>
      <c r="O860" s="663">
        <v>0.93490804699999996</v>
      </c>
    </row>
    <row r="861" spans="1:17" ht="18.95" customHeight="1">
      <c r="A861" s="651" t="s">
        <v>2788</v>
      </c>
      <c r="B861" s="665" t="s">
        <v>2740</v>
      </c>
      <c r="C861" s="666"/>
      <c r="D861" s="412"/>
      <c r="E861" s="533"/>
      <c r="F861" s="30"/>
      <c r="G861" s="30"/>
      <c r="H861" s="30"/>
      <c r="I861" s="30"/>
      <c r="J861" s="25"/>
      <c r="K861" s="25"/>
      <c r="L861" s="25"/>
      <c r="M861" s="25"/>
      <c r="N861" s="26"/>
      <c r="O861" s="663">
        <v>0.93490804699999996</v>
      </c>
    </row>
    <row r="862" spans="1:17" ht="18.95" customHeight="1">
      <c r="A862" s="573"/>
      <c r="B862" s="573" t="s">
        <v>273</v>
      </c>
      <c r="C862" s="666" t="s">
        <v>2766</v>
      </c>
      <c r="D862" s="660"/>
      <c r="E862" s="533"/>
      <c r="F862" s="30" t="s">
        <v>286</v>
      </c>
      <c r="G862" s="30">
        <f>ROUND(6470.1/1000,2)</f>
        <v>6.47</v>
      </c>
      <c r="H862" s="30">
        <f t="shared" si="233"/>
        <v>6.0488550640899996</v>
      </c>
      <c r="I862" s="30">
        <f t="shared" si="229"/>
        <v>0</v>
      </c>
      <c r="J862" s="25">
        <v>18</v>
      </c>
      <c r="K862" s="25">
        <f t="shared" si="230"/>
        <v>16.828344846</v>
      </c>
      <c r="L862" s="25">
        <f t="shared" si="231"/>
        <v>0</v>
      </c>
      <c r="M862" s="25">
        <f>I862+L862</f>
        <v>0</v>
      </c>
      <c r="N862" s="26"/>
      <c r="O862" s="663">
        <v>0.93490804699999996</v>
      </c>
    </row>
    <row r="863" spans="1:17" ht="18.95" customHeight="1">
      <c r="A863" s="573"/>
      <c r="B863" s="573" t="s">
        <v>273</v>
      </c>
      <c r="C863" s="666" t="s">
        <v>2767</v>
      </c>
      <c r="D863" s="660"/>
      <c r="E863" s="533">
        <v>618</v>
      </c>
      <c r="F863" s="30" t="s">
        <v>286</v>
      </c>
      <c r="G863" s="30">
        <v>30</v>
      </c>
      <c r="H863" s="30">
        <f t="shared" si="233"/>
        <v>28.047241409999998</v>
      </c>
      <c r="I863" s="30">
        <f t="shared" si="229"/>
        <v>17333.19519138</v>
      </c>
      <c r="J863" s="25">
        <v>15</v>
      </c>
      <c r="K863" s="25">
        <f t="shared" si="230"/>
        <v>14.023620704999999</v>
      </c>
      <c r="L863" s="25">
        <f t="shared" si="231"/>
        <v>8666.5975956900002</v>
      </c>
      <c r="M863" s="25">
        <f>I863+L863</f>
        <v>25999.79278707</v>
      </c>
      <c r="N863" s="26"/>
      <c r="O863" s="663">
        <v>0.93490804699999996</v>
      </c>
    </row>
    <row r="864" spans="1:17" ht="18.95" customHeight="1">
      <c r="A864" s="573"/>
      <c r="B864" s="573" t="s">
        <v>273</v>
      </c>
      <c r="C864" s="666" t="s">
        <v>2741</v>
      </c>
      <c r="D864" s="660"/>
      <c r="E864" s="533"/>
      <c r="F864" s="30" t="s">
        <v>286</v>
      </c>
      <c r="G864" s="30">
        <v>16</v>
      </c>
      <c r="H864" s="30">
        <f t="shared" si="233"/>
        <v>14.958528751999999</v>
      </c>
      <c r="I864" s="30">
        <f t="shared" si="229"/>
        <v>0</v>
      </c>
      <c r="J864" s="25">
        <v>10</v>
      </c>
      <c r="K864" s="25">
        <f t="shared" si="230"/>
        <v>9.3490804700000005</v>
      </c>
      <c r="L864" s="25">
        <f t="shared" si="231"/>
        <v>0</v>
      </c>
      <c r="M864" s="25">
        <f>I864+L864</f>
        <v>0</v>
      </c>
      <c r="N864" s="26"/>
      <c r="O864" s="663">
        <v>0.93490804699999996</v>
      </c>
    </row>
    <row r="865" spans="1:17" ht="18.95" customHeight="1">
      <c r="A865" s="651" t="s">
        <v>2789</v>
      </c>
      <c r="B865" s="652" t="s">
        <v>2195</v>
      </c>
      <c r="C865" s="657"/>
      <c r="D865" s="412"/>
      <c r="E865" s="533"/>
      <c r="F865" s="30"/>
      <c r="G865" s="30"/>
      <c r="H865" s="30"/>
      <c r="I865" s="30"/>
      <c r="J865" s="25"/>
      <c r="K865" s="25"/>
      <c r="L865" s="25"/>
      <c r="M865" s="25"/>
      <c r="N865" s="26"/>
      <c r="O865" s="663">
        <v>0.93490804699999996</v>
      </c>
    </row>
    <row r="866" spans="1:17" ht="18.95" customHeight="1">
      <c r="A866" s="573"/>
      <c r="B866" s="573" t="s">
        <v>273</v>
      </c>
      <c r="C866" s="661" t="s">
        <v>2196</v>
      </c>
      <c r="D866" s="660"/>
      <c r="E866" s="533">
        <v>337</v>
      </c>
      <c r="F866" s="1181" t="s">
        <v>286</v>
      </c>
      <c r="G866" s="30">
        <f>ROUND(93.1/3,2)</f>
        <v>31.03</v>
      </c>
      <c r="H866" s="30">
        <f t="shared" si="233"/>
        <v>29.010196698409999</v>
      </c>
      <c r="I866" s="30">
        <f t="shared" si="229"/>
        <v>9776.4362873641694</v>
      </c>
      <c r="J866" s="25">
        <v>22</v>
      </c>
      <c r="K866" s="25">
        <f t="shared" si="230"/>
        <v>20.567977033999998</v>
      </c>
      <c r="L866" s="25">
        <f t="shared" si="231"/>
        <v>6931.4082604579999</v>
      </c>
      <c r="M866" s="25">
        <f>I866+L866</f>
        <v>16707.844547822169</v>
      </c>
      <c r="N866" s="26"/>
      <c r="O866" s="663">
        <v>0.93490804699999996</v>
      </c>
      <c r="P866" s="157" t="s">
        <v>2165</v>
      </c>
      <c r="Q866" s="157"/>
    </row>
    <row r="867" spans="1:17" ht="18.95" customHeight="1">
      <c r="A867" s="667" t="s">
        <v>2790</v>
      </c>
      <c r="B867" s="665" t="s">
        <v>2742</v>
      </c>
      <c r="C867" s="666"/>
      <c r="D867" s="660"/>
      <c r="E867" s="533">
        <v>1</v>
      </c>
      <c r="F867" s="30" t="s">
        <v>2193</v>
      </c>
      <c r="G867" s="670">
        <f>((SUM(I862:I864)*0.1)+(I866*0.2)+SUM(I853:I860)*0.02)</f>
        <v>13083.591231718534</v>
      </c>
      <c r="H867" s="384">
        <f>G867</f>
        <v>13083.591231718534</v>
      </c>
      <c r="I867" s="30">
        <f t="shared" si="229"/>
        <v>13083.591231718534</v>
      </c>
      <c r="J867" s="676">
        <f>G867*0.3</f>
        <v>3925.0773695155599</v>
      </c>
      <c r="K867" s="25">
        <f>J867</f>
        <v>3925.0773695155599</v>
      </c>
      <c r="L867" s="25">
        <f t="shared" si="231"/>
        <v>3925.0773695155599</v>
      </c>
      <c r="M867" s="25">
        <f>I867+L867</f>
        <v>17008.668601234094</v>
      </c>
      <c r="N867" s="26"/>
      <c r="O867" s="663">
        <v>0.93490804699999996</v>
      </c>
    </row>
    <row r="868" spans="1:17" ht="18.95" customHeight="1">
      <c r="A868" s="667"/>
      <c r="B868" s="665"/>
      <c r="C868" s="666"/>
      <c r="D868" s="660"/>
      <c r="E868" s="533"/>
      <c r="F868" s="30"/>
      <c r="G868" s="30"/>
      <c r="H868" s="30"/>
      <c r="I868" s="30"/>
      <c r="J868" s="25"/>
      <c r="K868" s="25"/>
      <c r="L868" s="25"/>
      <c r="M868" s="25"/>
      <c r="N868" s="26"/>
      <c r="O868" s="663">
        <v>0.93490804699999996</v>
      </c>
    </row>
    <row r="869" spans="1:17" ht="18.95" customHeight="1">
      <c r="A869" s="265"/>
      <c r="B869" s="1275" t="s">
        <v>2791</v>
      </c>
      <c r="C869" s="1276"/>
      <c r="D869" s="1277"/>
      <c r="E869" s="646"/>
      <c r="F869" s="102"/>
      <c r="G869" s="34"/>
      <c r="H869" s="34"/>
      <c r="I869" s="34">
        <f>SUM(I771:I867)</f>
        <v>5073142.9310710747</v>
      </c>
      <c r="J869" s="34"/>
      <c r="K869" s="34"/>
      <c r="L869" s="34">
        <f>SUM(L771:L867)</f>
        <v>394120.02907135914</v>
      </c>
      <c r="M869" s="34">
        <f>SUM(M771:M867)</f>
        <v>5467262.9601424364</v>
      </c>
      <c r="N869" s="35"/>
      <c r="O869" s="663">
        <v>0.93490804699999996</v>
      </c>
    </row>
    <row r="870" spans="1:17" ht="18.95" customHeight="1">
      <c r="A870" s="265"/>
      <c r="B870" s="256"/>
      <c r="C870" s="647"/>
      <c r="D870" s="258"/>
      <c r="E870" s="646"/>
      <c r="F870" s="102"/>
      <c r="G870" s="34"/>
      <c r="H870" s="34"/>
      <c r="I870" s="34"/>
      <c r="J870" s="34"/>
      <c r="K870" s="34"/>
      <c r="L870" s="34"/>
      <c r="M870" s="34"/>
      <c r="N870" s="35"/>
      <c r="O870" s="663">
        <v>0.93490804699999996</v>
      </c>
    </row>
    <row r="871" spans="1:17" ht="18.95" customHeight="1">
      <c r="A871" s="648">
        <v>15</v>
      </c>
      <c r="B871" s="1182" t="s">
        <v>1986</v>
      </c>
      <c r="C871" s="650"/>
      <c r="D871" s="412"/>
      <c r="E871" s="646"/>
      <c r="F871" s="102"/>
      <c r="G871" s="34"/>
      <c r="H871" s="30"/>
      <c r="I871" s="34"/>
      <c r="J871" s="102"/>
      <c r="K871" s="102"/>
      <c r="L871" s="34"/>
      <c r="M871" s="102"/>
      <c r="N871" s="35"/>
      <c r="O871" s="663">
        <v>0.93490804699999996</v>
      </c>
    </row>
    <row r="872" spans="1:17" ht="18.95" customHeight="1">
      <c r="A872" s="648"/>
      <c r="B872" s="649"/>
      <c r="C872" s="650"/>
      <c r="D872" s="412"/>
      <c r="E872" s="646"/>
      <c r="F872" s="102"/>
      <c r="G872" s="34"/>
      <c r="H872" s="34"/>
      <c r="I872" s="34"/>
      <c r="J872" s="102"/>
      <c r="K872" s="102"/>
      <c r="L872" s="34"/>
      <c r="M872" s="102"/>
      <c r="N872" s="35"/>
      <c r="O872" s="663">
        <v>0.93490804699999996</v>
      </c>
    </row>
    <row r="873" spans="1:17" ht="18.95" customHeight="1">
      <c r="A873" s="651">
        <v>15.1</v>
      </c>
      <c r="B873" s="1353" t="s">
        <v>2744</v>
      </c>
      <c r="C873" s="1354"/>
      <c r="D873" s="1355"/>
      <c r="E873" s="646"/>
      <c r="F873" s="102"/>
      <c r="G873" s="34"/>
      <c r="H873" s="34"/>
      <c r="I873" s="34"/>
      <c r="J873" s="102"/>
      <c r="K873" s="102"/>
      <c r="L873" s="34"/>
      <c r="M873" s="102"/>
      <c r="N873" s="35"/>
      <c r="O873" s="663">
        <v>0.93490804699999996</v>
      </c>
    </row>
    <row r="874" spans="1:17" ht="18.95" customHeight="1">
      <c r="A874" s="651" t="s">
        <v>2792</v>
      </c>
      <c r="B874" s="573" t="s">
        <v>273</v>
      </c>
      <c r="C874" s="657" t="s">
        <v>2793</v>
      </c>
      <c r="D874" s="693"/>
      <c r="E874" s="533">
        <v>1</v>
      </c>
      <c r="F874" s="30" t="s">
        <v>349</v>
      </c>
      <c r="G874" s="30">
        <f>350000*0.85</f>
        <v>297500</v>
      </c>
      <c r="H874" s="30">
        <f t="shared" ref="H874:H888" si="235">G874*O874</f>
        <v>278135.14398250001</v>
      </c>
      <c r="I874" s="30">
        <f>E874*H874</f>
        <v>278135.14398250001</v>
      </c>
      <c r="J874" s="25">
        <v>10000</v>
      </c>
      <c r="K874" s="25">
        <f t="shared" ref="K874:K934" si="236">J874*O874</f>
        <v>9349.080469999999</v>
      </c>
      <c r="L874" s="25">
        <f t="shared" ref="L874:L916" si="237">E874*K874</f>
        <v>9349.080469999999</v>
      </c>
      <c r="M874" s="25">
        <f t="shared" ref="M874:M889" si="238">I874+L874</f>
        <v>287484.2244525</v>
      </c>
      <c r="N874" s="35"/>
      <c r="O874" s="663">
        <v>0.93490804699999996</v>
      </c>
    </row>
    <row r="875" spans="1:17" ht="18.95" customHeight="1">
      <c r="A875" s="648"/>
      <c r="B875" s="573" t="s">
        <v>273</v>
      </c>
      <c r="C875" s="666" t="s">
        <v>2794</v>
      </c>
      <c r="D875" s="694"/>
      <c r="E875" s="533">
        <v>2</v>
      </c>
      <c r="F875" s="30" t="s">
        <v>349</v>
      </c>
      <c r="G875" s="30">
        <f>150000*0.85</f>
        <v>127500</v>
      </c>
      <c r="H875" s="30">
        <f t="shared" si="235"/>
        <v>119200.7759925</v>
      </c>
      <c r="I875" s="30">
        <f t="shared" ref="I875:I897" si="239">E875*H875</f>
        <v>238401.551985</v>
      </c>
      <c r="J875" s="25">
        <v>5000</v>
      </c>
      <c r="K875" s="25">
        <f t="shared" si="236"/>
        <v>4674.5402349999995</v>
      </c>
      <c r="L875" s="25">
        <f t="shared" si="237"/>
        <v>9349.080469999999</v>
      </c>
      <c r="M875" s="25">
        <f t="shared" si="238"/>
        <v>247750.63245499998</v>
      </c>
      <c r="N875" s="35"/>
      <c r="O875" s="663">
        <v>0.93490804699999996</v>
      </c>
    </row>
    <row r="876" spans="1:17" ht="18.95" customHeight="1">
      <c r="A876" s="648"/>
      <c r="B876" s="573" t="s">
        <v>273</v>
      </c>
      <c r="C876" s="666" t="s">
        <v>2795</v>
      </c>
      <c r="D876" s="695"/>
      <c r="E876" s="533">
        <v>1</v>
      </c>
      <c r="F876" s="30" t="s">
        <v>349</v>
      </c>
      <c r="G876" s="30">
        <f>70000*0.85</f>
        <v>59500</v>
      </c>
      <c r="H876" s="30">
        <f t="shared" si="235"/>
        <v>55627.028796499995</v>
      </c>
      <c r="I876" s="30">
        <f t="shared" si="239"/>
        <v>55627.028796499995</v>
      </c>
      <c r="J876" s="25">
        <v>1500</v>
      </c>
      <c r="K876" s="25">
        <f t="shared" si="236"/>
        <v>1402.3620704999998</v>
      </c>
      <c r="L876" s="25">
        <f t="shared" si="237"/>
        <v>1402.3620704999998</v>
      </c>
      <c r="M876" s="25">
        <f t="shared" si="238"/>
        <v>57029.390866999995</v>
      </c>
      <c r="N876" s="35"/>
      <c r="O876" s="663">
        <v>0.93490804699999996</v>
      </c>
    </row>
    <row r="877" spans="1:17" ht="18.95" customHeight="1">
      <c r="A877" s="648"/>
      <c r="B877" s="573" t="s">
        <v>273</v>
      </c>
      <c r="C877" s="666" t="s">
        <v>2796</v>
      </c>
      <c r="D877" s="695"/>
      <c r="E877" s="533">
        <v>1</v>
      </c>
      <c r="F877" s="30" t="s">
        <v>349</v>
      </c>
      <c r="G877" s="30">
        <f>28000*0.85</f>
        <v>23800</v>
      </c>
      <c r="H877" s="30">
        <f t="shared" si="235"/>
        <v>22250.8115186</v>
      </c>
      <c r="I877" s="30">
        <f t="shared" si="239"/>
        <v>22250.8115186</v>
      </c>
      <c r="J877" s="25">
        <v>1000</v>
      </c>
      <c r="K877" s="25">
        <f t="shared" si="236"/>
        <v>934.90804700000001</v>
      </c>
      <c r="L877" s="25">
        <f t="shared" si="237"/>
        <v>934.90804700000001</v>
      </c>
      <c r="M877" s="25">
        <f t="shared" si="238"/>
        <v>23185.7195656</v>
      </c>
      <c r="N877" s="35"/>
      <c r="O877" s="663">
        <v>0.93490804699999996</v>
      </c>
    </row>
    <row r="878" spans="1:17" ht="18.95" customHeight="1">
      <c r="A878" s="648"/>
      <c r="B878" s="573" t="s">
        <v>273</v>
      </c>
      <c r="C878" s="666" t="s">
        <v>2797</v>
      </c>
      <c r="D878" s="695"/>
      <c r="E878" s="533">
        <v>1</v>
      </c>
      <c r="F878" s="30" t="s">
        <v>349</v>
      </c>
      <c r="G878" s="30">
        <v>4275</v>
      </c>
      <c r="H878" s="30">
        <f t="shared" si="235"/>
        <v>3996.731900925</v>
      </c>
      <c r="I878" s="30">
        <f t="shared" si="239"/>
        <v>3996.731900925</v>
      </c>
      <c r="J878" s="25">
        <v>500</v>
      </c>
      <c r="K878" s="25">
        <f t="shared" si="236"/>
        <v>467.45402350000001</v>
      </c>
      <c r="L878" s="25">
        <f t="shared" si="237"/>
        <v>467.45402350000001</v>
      </c>
      <c r="M878" s="25">
        <f t="shared" si="238"/>
        <v>4464.1859244249999</v>
      </c>
      <c r="N878" s="35"/>
      <c r="O878" s="663">
        <v>0.93490804699999996</v>
      </c>
    </row>
    <row r="879" spans="1:17" ht="18.95" customHeight="1">
      <c r="A879" s="265"/>
      <c r="B879" s="573" t="s">
        <v>273</v>
      </c>
      <c r="C879" s="666" t="s">
        <v>2798</v>
      </c>
      <c r="D879" s="694"/>
      <c r="E879" s="533">
        <v>17</v>
      </c>
      <c r="F879" s="30" t="s">
        <v>349</v>
      </c>
      <c r="G879" s="25">
        <f>2800*0.85</f>
        <v>2380</v>
      </c>
      <c r="H879" s="30">
        <f t="shared" si="235"/>
        <v>2225.0811518599999</v>
      </c>
      <c r="I879" s="30">
        <f t="shared" si="239"/>
        <v>37826.37958162</v>
      </c>
      <c r="J879" s="25">
        <v>200</v>
      </c>
      <c r="K879" s="25">
        <f t="shared" si="236"/>
        <v>186.9816094</v>
      </c>
      <c r="L879" s="25">
        <f t="shared" si="237"/>
        <v>3178.6873597999997</v>
      </c>
      <c r="M879" s="25">
        <f t="shared" si="238"/>
        <v>41005.066941420002</v>
      </c>
      <c r="N879" s="26"/>
      <c r="O879" s="663">
        <v>0.93490804699999996</v>
      </c>
    </row>
    <row r="880" spans="1:17" ht="18.95" customHeight="1">
      <c r="A880" s="265"/>
      <c r="B880" s="573" t="s">
        <v>273</v>
      </c>
      <c r="C880" s="666" t="s">
        <v>2799</v>
      </c>
      <c r="D880" s="694"/>
      <c r="E880" s="533">
        <v>5</v>
      </c>
      <c r="F880" s="30" t="s">
        <v>349</v>
      </c>
      <c r="G880" s="25">
        <f>2500*0.85</f>
        <v>2125</v>
      </c>
      <c r="H880" s="30">
        <f t="shared" si="235"/>
        <v>1986.6795998749999</v>
      </c>
      <c r="I880" s="30">
        <f t="shared" si="239"/>
        <v>9933.3979993749999</v>
      </c>
      <c r="J880" s="25">
        <v>200</v>
      </c>
      <c r="K880" s="25">
        <f t="shared" si="236"/>
        <v>186.9816094</v>
      </c>
      <c r="L880" s="25">
        <f t="shared" si="237"/>
        <v>934.90804700000001</v>
      </c>
      <c r="M880" s="25">
        <f t="shared" si="238"/>
        <v>10868.306046375001</v>
      </c>
      <c r="N880" s="26"/>
      <c r="O880" s="663">
        <v>0.93490804699999996</v>
      </c>
    </row>
    <row r="881" spans="1:17" ht="18.95" customHeight="1">
      <c r="A881" s="265"/>
      <c r="B881" s="573" t="s">
        <v>273</v>
      </c>
      <c r="C881" s="666" t="s">
        <v>2800</v>
      </c>
      <c r="D881" s="694"/>
      <c r="E881" s="533">
        <v>2</v>
      </c>
      <c r="F881" s="30" t="s">
        <v>349</v>
      </c>
      <c r="G881" s="25">
        <f>2500*0.85</f>
        <v>2125</v>
      </c>
      <c r="H881" s="30">
        <f t="shared" si="235"/>
        <v>1986.6795998749999</v>
      </c>
      <c r="I881" s="30">
        <f t="shared" si="239"/>
        <v>3973.3591997499998</v>
      </c>
      <c r="J881" s="25">
        <v>200</v>
      </c>
      <c r="K881" s="25">
        <f t="shared" si="236"/>
        <v>186.9816094</v>
      </c>
      <c r="L881" s="25">
        <f t="shared" si="237"/>
        <v>373.96321879999999</v>
      </c>
      <c r="M881" s="25">
        <f t="shared" si="238"/>
        <v>4347.3224185499994</v>
      </c>
      <c r="N881" s="26"/>
      <c r="O881" s="663">
        <v>0.93490804699999996</v>
      </c>
    </row>
    <row r="882" spans="1:17" ht="18.95" customHeight="1">
      <c r="A882" s="265"/>
      <c r="B882" s="573" t="s">
        <v>273</v>
      </c>
      <c r="C882" s="666" t="s">
        <v>2801</v>
      </c>
      <c r="D882" s="694"/>
      <c r="E882" s="533">
        <v>4</v>
      </c>
      <c r="F882" s="30" t="s">
        <v>349</v>
      </c>
      <c r="G882" s="25">
        <f>2500*0.85</f>
        <v>2125</v>
      </c>
      <c r="H882" s="30">
        <f t="shared" si="235"/>
        <v>1986.6795998749999</v>
      </c>
      <c r="I882" s="30">
        <f t="shared" si="239"/>
        <v>7946.7183994999996</v>
      </c>
      <c r="J882" s="25">
        <v>200</v>
      </c>
      <c r="K882" s="25">
        <f t="shared" si="236"/>
        <v>186.9816094</v>
      </c>
      <c r="L882" s="25">
        <f t="shared" si="237"/>
        <v>747.92643759999999</v>
      </c>
      <c r="M882" s="25">
        <f t="shared" si="238"/>
        <v>8694.6448370999988</v>
      </c>
      <c r="N882" s="26"/>
      <c r="O882" s="663">
        <v>0.93490804699999996</v>
      </c>
    </row>
    <row r="883" spans="1:17" ht="18.95" customHeight="1">
      <c r="A883" s="265"/>
      <c r="B883" s="573" t="s">
        <v>273</v>
      </c>
      <c r="C883" s="666" t="s">
        <v>2802</v>
      </c>
      <c r="D883" s="694"/>
      <c r="E883" s="533">
        <v>2</v>
      </c>
      <c r="F883" s="30" t="s">
        <v>349</v>
      </c>
      <c r="G883" s="25">
        <f>7000*0.85</f>
        <v>5950</v>
      </c>
      <c r="H883" s="30">
        <f t="shared" si="235"/>
        <v>5562.7028796499999</v>
      </c>
      <c r="I883" s="30">
        <f t="shared" si="239"/>
        <v>11125.4057593</v>
      </c>
      <c r="J883" s="25">
        <v>1000</v>
      </c>
      <c r="K883" s="25">
        <f t="shared" si="236"/>
        <v>934.90804700000001</v>
      </c>
      <c r="L883" s="25">
        <f t="shared" si="237"/>
        <v>1869.816094</v>
      </c>
      <c r="M883" s="25">
        <f t="shared" si="238"/>
        <v>12995.2218533</v>
      </c>
      <c r="N883" s="26"/>
      <c r="O883" s="663">
        <v>0.93490804699999996</v>
      </c>
    </row>
    <row r="884" spans="1:17" ht="18.95" customHeight="1">
      <c r="A884" s="265"/>
      <c r="B884" s="573" t="s">
        <v>273</v>
      </c>
      <c r="C884" s="666" t="s">
        <v>2803</v>
      </c>
      <c r="D884" s="694"/>
      <c r="E884" s="533"/>
      <c r="F884" s="30" t="s">
        <v>349</v>
      </c>
      <c r="G884" s="25">
        <v>54400</v>
      </c>
      <c r="H884" s="30">
        <f t="shared" si="235"/>
        <v>50858.997756799996</v>
      </c>
      <c r="I884" s="30">
        <f t="shared" si="239"/>
        <v>0</v>
      </c>
      <c r="J884" s="25">
        <v>3000</v>
      </c>
      <c r="K884" s="25">
        <f t="shared" si="236"/>
        <v>2804.7241409999997</v>
      </c>
      <c r="L884" s="25">
        <f t="shared" si="237"/>
        <v>0</v>
      </c>
      <c r="M884" s="25">
        <f t="shared" si="238"/>
        <v>0</v>
      </c>
      <c r="N884" s="26"/>
      <c r="O884" s="663">
        <v>0.93490804699999996</v>
      </c>
    </row>
    <row r="885" spans="1:17" ht="18.95" customHeight="1">
      <c r="A885" s="265"/>
      <c r="B885" s="573" t="s">
        <v>273</v>
      </c>
      <c r="C885" s="666" t="s">
        <v>2804</v>
      </c>
      <c r="D885" s="694"/>
      <c r="E885" s="533">
        <v>75</v>
      </c>
      <c r="F885" s="30" t="s">
        <v>349</v>
      </c>
      <c r="G885" s="25">
        <f>1100*0.85</f>
        <v>935</v>
      </c>
      <c r="H885" s="30">
        <f t="shared" si="235"/>
        <v>874.13902394499996</v>
      </c>
      <c r="I885" s="30">
        <f t="shared" si="239"/>
        <v>65560.426795874999</v>
      </c>
      <c r="J885" s="25">
        <v>200</v>
      </c>
      <c r="K885" s="25">
        <f t="shared" si="236"/>
        <v>186.9816094</v>
      </c>
      <c r="L885" s="25">
        <f t="shared" si="237"/>
        <v>14023.620704999999</v>
      </c>
      <c r="M885" s="25">
        <f t="shared" si="238"/>
        <v>79584.047500874993</v>
      </c>
      <c r="N885" s="26"/>
      <c r="O885" s="663">
        <v>0.93490804699999996</v>
      </c>
    </row>
    <row r="886" spans="1:17" ht="18.95" customHeight="1">
      <c r="A886" s="265"/>
      <c r="B886" s="573" t="s">
        <v>273</v>
      </c>
      <c r="C886" s="666" t="s">
        <v>2805</v>
      </c>
      <c r="D886" s="694"/>
      <c r="E886" s="533">
        <v>54</v>
      </c>
      <c r="F886" s="30" t="s">
        <v>349</v>
      </c>
      <c r="G886" s="25">
        <f>1100*0.85</f>
        <v>935</v>
      </c>
      <c r="H886" s="30">
        <f t="shared" si="235"/>
        <v>874.13902394499996</v>
      </c>
      <c r="I886" s="30">
        <f t="shared" si="239"/>
        <v>47203.507293030001</v>
      </c>
      <c r="J886" s="25">
        <v>200</v>
      </c>
      <c r="K886" s="25">
        <f t="shared" si="236"/>
        <v>186.9816094</v>
      </c>
      <c r="L886" s="25">
        <f t="shared" si="237"/>
        <v>10097.0069076</v>
      </c>
      <c r="M886" s="25">
        <f t="shared" si="238"/>
        <v>57300.514200630001</v>
      </c>
      <c r="N886" s="26"/>
      <c r="O886" s="663">
        <v>0.93490804699999996</v>
      </c>
    </row>
    <row r="887" spans="1:17" ht="18.95" customHeight="1">
      <c r="A887" s="265"/>
      <c r="B887" s="573" t="s">
        <v>273</v>
      </c>
      <c r="C887" s="666" t="s">
        <v>2806</v>
      </c>
      <c r="D887" s="694"/>
      <c r="E887" s="533">
        <v>18</v>
      </c>
      <c r="F887" s="30" t="s">
        <v>349</v>
      </c>
      <c r="G887" s="25">
        <f>850*0.85</f>
        <v>722.5</v>
      </c>
      <c r="H887" s="30">
        <f t="shared" si="235"/>
        <v>675.47106395749995</v>
      </c>
      <c r="I887" s="30">
        <f t="shared" si="239"/>
        <v>12158.479151234998</v>
      </c>
      <c r="J887" s="25">
        <v>200</v>
      </c>
      <c r="K887" s="25">
        <f t="shared" si="236"/>
        <v>186.9816094</v>
      </c>
      <c r="L887" s="25">
        <f t="shared" si="237"/>
        <v>3365.6689692</v>
      </c>
      <c r="M887" s="25">
        <f t="shared" si="238"/>
        <v>15524.148120434998</v>
      </c>
      <c r="N887" s="26"/>
      <c r="O887" s="663">
        <v>0.93490804699999996</v>
      </c>
    </row>
    <row r="888" spans="1:17" ht="18.95" customHeight="1">
      <c r="A888" s="265"/>
      <c r="B888" s="573" t="s">
        <v>273</v>
      </c>
      <c r="C888" s="666" t="s">
        <v>2807</v>
      </c>
      <c r="D888" s="694"/>
      <c r="E888" s="533">
        <v>18</v>
      </c>
      <c r="F888" s="30" t="s">
        <v>349</v>
      </c>
      <c r="G888" s="25">
        <f>2200*0.85</f>
        <v>1870</v>
      </c>
      <c r="H888" s="30">
        <f t="shared" si="235"/>
        <v>1748.2780478899999</v>
      </c>
      <c r="I888" s="30">
        <f t="shared" si="239"/>
        <v>31469.00486202</v>
      </c>
      <c r="J888" s="25">
        <v>200</v>
      </c>
      <c r="K888" s="25">
        <f t="shared" si="236"/>
        <v>186.9816094</v>
      </c>
      <c r="L888" s="25">
        <f t="shared" si="237"/>
        <v>3365.6689692</v>
      </c>
      <c r="M888" s="25">
        <f t="shared" si="238"/>
        <v>34834.673831220003</v>
      </c>
      <c r="N888" s="26"/>
      <c r="O888" s="663">
        <v>0.93490804699999996</v>
      </c>
    </row>
    <row r="889" spans="1:17" ht="18.95" customHeight="1">
      <c r="A889" s="265"/>
      <c r="B889" s="573" t="s">
        <v>273</v>
      </c>
      <c r="C889" s="666" t="s">
        <v>2808</v>
      </c>
      <c r="D889" s="694"/>
      <c r="E889" s="533">
        <v>1</v>
      </c>
      <c r="F889" s="30" t="s">
        <v>349</v>
      </c>
      <c r="G889" s="25"/>
      <c r="H889" s="25"/>
      <c r="I889" s="30">
        <f t="shared" si="239"/>
        <v>0</v>
      </c>
      <c r="J889" s="25">
        <f>(185000+30000)*0.85</f>
        <v>182750</v>
      </c>
      <c r="K889" s="25">
        <f t="shared" si="236"/>
        <v>170854.44558924998</v>
      </c>
      <c r="L889" s="25">
        <f t="shared" si="237"/>
        <v>170854.44558924998</v>
      </c>
      <c r="M889" s="25">
        <f t="shared" si="238"/>
        <v>170854.44558924998</v>
      </c>
      <c r="N889" s="26"/>
      <c r="O889" s="663">
        <v>0.93490804699999996</v>
      </c>
    </row>
    <row r="890" spans="1:17" ht="18.95" customHeight="1">
      <c r="A890" s="667" t="s">
        <v>2809</v>
      </c>
      <c r="B890" s="665" t="s">
        <v>2740</v>
      </c>
      <c r="C890" s="666"/>
      <c r="D890" s="660"/>
      <c r="E890" s="533"/>
      <c r="F890" s="30"/>
      <c r="G890" s="25"/>
      <c r="H890" s="25"/>
      <c r="I890" s="30"/>
      <c r="J890" s="25"/>
      <c r="K890" s="25"/>
      <c r="L890" s="25"/>
      <c r="M890" s="25"/>
      <c r="N890" s="26"/>
      <c r="O890" s="663">
        <v>0.93490804699999996</v>
      </c>
      <c r="Q890" s="157"/>
    </row>
    <row r="891" spans="1:17" ht="18.95" customHeight="1">
      <c r="A891" s="265"/>
      <c r="B891" s="573" t="s">
        <v>273</v>
      </c>
      <c r="C891" s="1180" t="s">
        <v>2810</v>
      </c>
      <c r="D891" s="660"/>
      <c r="E891" s="533">
        <f>2563+1468</f>
        <v>4031</v>
      </c>
      <c r="F891" s="1181" t="s">
        <v>286</v>
      </c>
      <c r="G891" s="30">
        <f>ROUND(900.6/100,2)</f>
        <v>9.01</v>
      </c>
      <c r="H891" s="30">
        <f t="shared" ref="H891:H893" si="240">G891*O891</f>
        <v>8.4235215034699991</v>
      </c>
      <c r="I891" s="30">
        <f t="shared" si="239"/>
        <v>33955.215180487568</v>
      </c>
      <c r="J891" s="25">
        <v>7</v>
      </c>
      <c r="K891" s="25">
        <f t="shared" si="236"/>
        <v>6.5443563289999993</v>
      </c>
      <c r="L891" s="25">
        <f t="shared" si="237"/>
        <v>26380.300362198996</v>
      </c>
      <c r="M891" s="25">
        <f>I891+L891</f>
        <v>60335.515542686568</v>
      </c>
      <c r="N891" s="26"/>
      <c r="O891" s="663">
        <v>0.93490804699999996</v>
      </c>
      <c r="P891" s="157" t="s">
        <v>2165</v>
      </c>
      <c r="Q891" s="157"/>
    </row>
    <row r="892" spans="1:17" ht="18.95" customHeight="1">
      <c r="A892" s="265"/>
      <c r="B892" s="573" t="s">
        <v>273</v>
      </c>
      <c r="C892" s="1180" t="s">
        <v>2811</v>
      </c>
      <c r="D892" s="660"/>
      <c r="E892" s="533">
        <f>1037+182</f>
        <v>1219</v>
      </c>
      <c r="F892" s="1181" t="s">
        <v>286</v>
      </c>
      <c r="G892" s="30">
        <v>31</v>
      </c>
      <c r="H892" s="30">
        <f t="shared" si="240"/>
        <v>28.982149456999998</v>
      </c>
      <c r="I892" s="30">
        <f t="shared" si="239"/>
        <v>35329.240188083</v>
      </c>
      <c r="J892" s="25">
        <v>10</v>
      </c>
      <c r="K892" s="25">
        <f t="shared" si="236"/>
        <v>9.3490804700000005</v>
      </c>
      <c r="L892" s="25">
        <f t="shared" si="237"/>
        <v>11396.529092930001</v>
      </c>
      <c r="M892" s="25">
        <f>I892+L892</f>
        <v>46725.769281013003</v>
      </c>
      <c r="N892" s="26"/>
      <c r="O892" s="663">
        <v>0.93490804699999996</v>
      </c>
      <c r="Q892" s="157"/>
    </row>
    <row r="893" spans="1:17" ht="18.95" customHeight="1">
      <c r="A893" s="265"/>
      <c r="B893" s="573" t="s">
        <v>273</v>
      </c>
      <c r="C893" s="666" t="s">
        <v>2812</v>
      </c>
      <c r="D893" s="694"/>
      <c r="E893" s="533">
        <v>540</v>
      </c>
      <c r="F893" s="1181" t="s">
        <v>286</v>
      </c>
      <c r="G893" s="30">
        <v>100</v>
      </c>
      <c r="H893" s="30">
        <f t="shared" si="240"/>
        <v>93.490804699999998</v>
      </c>
      <c r="I893" s="30">
        <f t="shared" si="239"/>
        <v>50485.034538</v>
      </c>
      <c r="J893" s="25">
        <v>30</v>
      </c>
      <c r="K893" s="25">
        <f t="shared" si="236"/>
        <v>28.047241409999998</v>
      </c>
      <c r="L893" s="25">
        <f t="shared" si="237"/>
        <v>15145.510361399998</v>
      </c>
      <c r="M893" s="25">
        <f>I893+L893</f>
        <v>65630.544899400003</v>
      </c>
      <c r="N893" s="26"/>
      <c r="O893" s="663">
        <v>0.93490804699999996</v>
      </c>
      <c r="Q893" s="157"/>
    </row>
    <row r="894" spans="1:17" ht="18.95" customHeight="1">
      <c r="A894" s="651" t="s">
        <v>2813</v>
      </c>
      <c r="B894" s="652" t="s">
        <v>2195</v>
      </c>
      <c r="C894" s="657"/>
      <c r="D894" s="412"/>
      <c r="E894" s="533"/>
      <c r="F894" s="30"/>
      <c r="G894" s="30"/>
      <c r="H894" s="30"/>
      <c r="I894" s="30"/>
      <c r="J894" s="25"/>
      <c r="K894" s="25"/>
      <c r="L894" s="25"/>
      <c r="M894" s="25"/>
      <c r="N894" s="26"/>
      <c r="O894" s="663">
        <v>0.93490804699999996</v>
      </c>
      <c r="Q894" s="157"/>
    </row>
    <row r="895" spans="1:17" ht="18.95" customHeight="1">
      <c r="A895" s="265"/>
      <c r="B895" s="573" t="s">
        <v>273</v>
      </c>
      <c r="C895" s="661" t="s">
        <v>2196</v>
      </c>
      <c r="D895" s="660"/>
      <c r="E895" s="533">
        <f>1303+697+595</f>
        <v>2595</v>
      </c>
      <c r="F895" s="1181" t="s">
        <v>286</v>
      </c>
      <c r="G895" s="30">
        <f>ROUND(93.1/3,2)</f>
        <v>31.03</v>
      </c>
      <c r="H895" s="30">
        <f t="shared" ref="H895:H896" si="241">G895*O895</f>
        <v>29.010196698409999</v>
      </c>
      <c r="I895" s="30">
        <f t="shared" si="239"/>
        <v>75281.460432373948</v>
      </c>
      <c r="J895" s="25">
        <v>22</v>
      </c>
      <c r="K895" s="25">
        <f t="shared" si="236"/>
        <v>20.567977033999998</v>
      </c>
      <c r="L895" s="25">
        <f t="shared" si="237"/>
        <v>53373.900403229993</v>
      </c>
      <c r="M895" s="25">
        <f>I895+L895</f>
        <v>128655.36083560393</v>
      </c>
      <c r="N895" s="26"/>
      <c r="O895" s="663">
        <v>0.93490804699999996</v>
      </c>
      <c r="P895" s="157" t="s">
        <v>2165</v>
      </c>
      <c r="Q895" s="157"/>
    </row>
    <row r="896" spans="1:17" ht="18.95" customHeight="1">
      <c r="A896" s="265"/>
      <c r="B896" s="573" t="s">
        <v>273</v>
      </c>
      <c r="C896" s="661" t="s">
        <v>2197</v>
      </c>
      <c r="D896" s="660"/>
      <c r="E896" s="533">
        <f>492+100</f>
        <v>592</v>
      </c>
      <c r="F896" s="1181" t="s">
        <v>286</v>
      </c>
      <c r="G896" s="30">
        <f>ROUND(134.4/3,2)</f>
        <v>44.8</v>
      </c>
      <c r="H896" s="30">
        <f t="shared" si="241"/>
        <v>41.883880505599997</v>
      </c>
      <c r="I896" s="30">
        <f t="shared" si="239"/>
        <v>24795.2572593152</v>
      </c>
      <c r="J896" s="25">
        <v>24</v>
      </c>
      <c r="K896" s="25">
        <f t="shared" si="236"/>
        <v>22.437793127999999</v>
      </c>
      <c r="L896" s="25">
        <f t="shared" si="237"/>
        <v>13283.173531775999</v>
      </c>
      <c r="M896" s="25">
        <f>I896+L896</f>
        <v>38078.430791091203</v>
      </c>
      <c r="N896" s="26"/>
      <c r="O896" s="663">
        <v>0.93490804699999996</v>
      </c>
      <c r="P896" s="157" t="s">
        <v>2165</v>
      </c>
      <c r="Q896" s="157"/>
    </row>
    <row r="897" spans="1:17" ht="18.95" customHeight="1">
      <c r="A897" s="667" t="s">
        <v>2814</v>
      </c>
      <c r="B897" s="665" t="s">
        <v>2742</v>
      </c>
      <c r="C897" s="666"/>
      <c r="D897" s="660"/>
      <c r="E897" s="533">
        <v>1</v>
      </c>
      <c r="F897" s="30" t="s">
        <v>2193</v>
      </c>
      <c r="G897" s="670">
        <f>((SUM(I891:I893)*0.05)+(SUM(I895:I896)*0.15)+(SUM(I874:I888)*0.02))</f>
        <v>37512.141093586499</v>
      </c>
      <c r="H897" s="30">
        <f>G897</f>
        <v>37512.141093586499</v>
      </c>
      <c r="I897" s="30">
        <f t="shared" si="239"/>
        <v>37512.141093586499</v>
      </c>
      <c r="J897" s="676">
        <f>G897*0.3</f>
        <v>11253.64232807595</v>
      </c>
      <c r="K897" s="25">
        <f>J897</f>
        <v>11253.64232807595</v>
      </c>
      <c r="L897" s="25">
        <f t="shared" si="237"/>
        <v>11253.64232807595</v>
      </c>
      <c r="M897" s="25">
        <f>I897+L897</f>
        <v>48765.783421662447</v>
      </c>
      <c r="N897" s="26"/>
      <c r="O897" s="663">
        <v>0.93490804699999996</v>
      </c>
      <c r="Q897" s="157"/>
    </row>
    <row r="898" spans="1:17" ht="18.95" customHeight="1">
      <c r="A898" s="265"/>
      <c r="B898" s="667"/>
      <c r="C898" s="666"/>
      <c r="D898" s="660"/>
      <c r="E898" s="533"/>
      <c r="F898" s="30"/>
      <c r="G898" s="30"/>
      <c r="H898" s="30"/>
      <c r="I898" s="30"/>
      <c r="J898" s="25"/>
      <c r="K898" s="25"/>
      <c r="L898" s="25"/>
      <c r="M898" s="25"/>
      <c r="N898" s="26"/>
      <c r="O898" s="663">
        <v>0.93490804699999996</v>
      </c>
      <c r="Q898" s="157"/>
    </row>
    <row r="899" spans="1:17" ht="18.95" customHeight="1">
      <c r="A899" s="265">
        <v>15.2</v>
      </c>
      <c r="B899" s="1353" t="s">
        <v>2770</v>
      </c>
      <c r="C899" s="1354"/>
      <c r="D899" s="1355"/>
      <c r="E899" s="646"/>
      <c r="F899" s="102"/>
      <c r="G899" s="34"/>
      <c r="H899" s="34"/>
      <c r="I899" s="34"/>
      <c r="J899" s="102"/>
      <c r="K899" s="25"/>
      <c r="L899" s="25"/>
      <c r="M899" s="102"/>
      <c r="N899" s="26"/>
      <c r="O899" s="663">
        <v>0.93490804699999996</v>
      </c>
    </row>
    <row r="900" spans="1:17" ht="18.95" customHeight="1">
      <c r="A900" s="651" t="s">
        <v>2815</v>
      </c>
      <c r="B900" s="573" t="s">
        <v>273</v>
      </c>
      <c r="C900" s="666" t="s">
        <v>2798</v>
      </c>
      <c r="D900" s="694"/>
      <c r="E900" s="533">
        <v>15</v>
      </c>
      <c r="F900" s="30" t="s">
        <v>349</v>
      </c>
      <c r="G900" s="25">
        <v>2380</v>
      </c>
      <c r="H900" s="30">
        <f t="shared" ref="H900:H912" si="242">G900*O900</f>
        <v>2225.0811518599999</v>
      </c>
      <c r="I900" s="30">
        <f>E900*H900</f>
        <v>33376.217277899996</v>
      </c>
      <c r="J900" s="25">
        <v>200</v>
      </c>
      <c r="K900" s="25">
        <f t="shared" si="236"/>
        <v>186.9816094</v>
      </c>
      <c r="L900" s="25">
        <f t="shared" si="237"/>
        <v>2804.7241410000001</v>
      </c>
      <c r="M900" s="25">
        <f t="shared" ref="M900:M909" si="243">I900+L900</f>
        <v>36180.941418899994</v>
      </c>
      <c r="N900" s="26"/>
      <c r="O900" s="663">
        <v>0.93490804699999996</v>
      </c>
    </row>
    <row r="901" spans="1:17" ht="18.95" customHeight="1">
      <c r="A901" s="265"/>
      <c r="B901" s="573" t="s">
        <v>273</v>
      </c>
      <c r="C901" s="666" t="s">
        <v>2799</v>
      </c>
      <c r="D901" s="694"/>
      <c r="E901" s="533">
        <v>6</v>
      </c>
      <c r="F901" s="30" t="s">
        <v>349</v>
      </c>
      <c r="G901" s="25">
        <v>2125</v>
      </c>
      <c r="H901" s="30">
        <f t="shared" si="242"/>
        <v>1986.6795998749999</v>
      </c>
      <c r="I901" s="30">
        <f t="shared" ref="I901:I916" si="244">E901*H901</f>
        <v>11920.077599249998</v>
      </c>
      <c r="J901" s="25">
        <v>200</v>
      </c>
      <c r="K901" s="25">
        <f t="shared" si="236"/>
        <v>186.9816094</v>
      </c>
      <c r="L901" s="25">
        <f t="shared" si="237"/>
        <v>1121.8896563999999</v>
      </c>
      <c r="M901" s="25">
        <f t="shared" si="243"/>
        <v>13041.967255649999</v>
      </c>
      <c r="N901" s="26"/>
      <c r="O901" s="663">
        <v>0.93490804699999996</v>
      </c>
    </row>
    <row r="902" spans="1:17" ht="18.95" customHeight="1">
      <c r="A902" s="265"/>
      <c r="B902" s="573" t="s">
        <v>273</v>
      </c>
      <c r="C902" s="666" t="s">
        <v>2800</v>
      </c>
      <c r="D902" s="694"/>
      <c r="E902" s="533">
        <v>2</v>
      </c>
      <c r="F902" s="30" t="s">
        <v>349</v>
      </c>
      <c r="G902" s="25">
        <v>2125</v>
      </c>
      <c r="H902" s="30">
        <f t="shared" si="242"/>
        <v>1986.6795998749999</v>
      </c>
      <c r="I902" s="30">
        <f t="shared" si="244"/>
        <v>3973.3591997499998</v>
      </c>
      <c r="J902" s="25">
        <v>200</v>
      </c>
      <c r="K902" s="25">
        <f t="shared" si="236"/>
        <v>186.9816094</v>
      </c>
      <c r="L902" s="25">
        <f t="shared" si="237"/>
        <v>373.96321879999999</v>
      </c>
      <c r="M902" s="25">
        <f t="shared" si="243"/>
        <v>4347.3224185499994</v>
      </c>
      <c r="N902" s="26"/>
      <c r="O902" s="663">
        <v>0.93490804699999996</v>
      </c>
    </row>
    <row r="903" spans="1:17" ht="18.95" customHeight="1">
      <c r="A903" s="265"/>
      <c r="B903" s="573" t="s">
        <v>273</v>
      </c>
      <c r="C903" s="666" t="s">
        <v>2801</v>
      </c>
      <c r="D903" s="694"/>
      <c r="E903" s="533">
        <v>4</v>
      </c>
      <c r="F903" s="30" t="s">
        <v>349</v>
      </c>
      <c r="G903" s="25">
        <v>2125</v>
      </c>
      <c r="H903" s="30">
        <f t="shared" si="242"/>
        <v>1986.6795998749999</v>
      </c>
      <c r="I903" s="30">
        <f t="shared" si="244"/>
        <v>7946.7183994999996</v>
      </c>
      <c r="J903" s="25">
        <v>200</v>
      </c>
      <c r="K903" s="25">
        <f t="shared" si="236"/>
        <v>186.9816094</v>
      </c>
      <c r="L903" s="25">
        <f t="shared" si="237"/>
        <v>747.92643759999999</v>
      </c>
      <c r="M903" s="25">
        <f t="shared" si="243"/>
        <v>8694.6448370999988</v>
      </c>
      <c r="N903" s="26"/>
      <c r="O903" s="663">
        <v>0.93490804699999996</v>
      </c>
    </row>
    <row r="904" spans="1:17" ht="18.95" customHeight="1">
      <c r="A904" s="265"/>
      <c r="B904" s="573" t="s">
        <v>273</v>
      </c>
      <c r="C904" s="666" t="s">
        <v>2802</v>
      </c>
      <c r="D904" s="694"/>
      <c r="E904" s="533">
        <v>2</v>
      </c>
      <c r="F904" s="30" t="s">
        <v>349</v>
      </c>
      <c r="G904" s="25">
        <v>5950</v>
      </c>
      <c r="H904" s="30">
        <f t="shared" si="242"/>
        <v>5562.7028796499999</v>
      </c>
      <c r="I904" s="30">
        <f t="shared" si="244"/>
        <v>11125.4057593</v>
      </c>
      <c r="J904" s="25">
        <v>1000</v>
      </c>
      <c r="K904" s="25">
        <f t="shared" si="236"/>
        <v>934.90804700000001</v>
      </c>
      <c r="L904" s="25">
        <f t="shared" si="237"/>
        <v>1869.816094</v>
      </c>
      <c r="M904" s="25">
        <f t="shared" si="243"/>
        <v>12995.2218533</v>
      </c>
      <c r="N904" s="26"/>
      <c r="O904" s="663">
        <v>0.93490804699999996</v>
      </c>
    </row>
    <row r="905" spans="1:17" ht="18.95" customHeight="1">
      <c r="A905" s="265"/>
      <c r="B905" s="573" t="s">
        <v>273</v>
      </c>
      <c r="C905" s="666" t="s">
        <v>2803</v>
      </c>
      <c r="D905" s="694"/>
      <c r="E905" s="533"/>
      <c r="F905" s="30" t="s">
        <v>349</v>
      </c>
      <c r="G905" s="25">
        <f>35000*0.85</f>
        <v>29750</v>
      </c>
      <c r="H905" s="30">
        <f t="shared" si="242"/>
        <v>27813.514398249998</v>
      </c>
      <c r="I905" s="30">
        <f t="shared" si="244"/>
        <v>0</v>
      </c>
      <c r="J905" s="25">
        <v>3000</v>
      </c>
      <c r="K905" s="25">
        <f t="shared" si="236"/>
        <v>2804.7241409999997</v>
      </c>
      <c r="L905" s="25">
        <f t="shared" si="237"/>
        <v>0</v>
      </c>
      <c r="M905" s="25">
        <f t="shared" si="243"/>
        <v>0</v>
      </c>
      <c r="N905" s="26"/>
      <c r="O905" s="663">
        <v>0.93490804699999996</v>
      </c>
    </row>
    <row r="906" spans="1:17" ht="18.95" customHeight="1">
      <c r="A906" s="265"/>
      <c r="B906" s="573" t="s">
        <v>273</v>
      </c>
      <c r="C906" s="666" t="s">
        <v>2804</v>
      </c>
      <c r="D906" s="694"/>
      <c r="E906" s="533">
        <v>70</v>
      </c>
      <c r="F906" s="30" t="s">
        <v>349</v>
      </c>
      <c r="G906" s="25">
        <v>935</v>
      </c>
      <c r="H906" s="30">
        <f t="shared" si="242"/>
        <v>874.13902394499996</v>
      </c>
      <c r="I906" s="30">
        <f t="shared" si="244"/>
        <v>61189.731676149997</v>
      </c>
      <c r="J906" s="25">
        <v>200</v>
      </c>
      <c r="K906" s="25">
        <f t="shared" si="236"/>
        <v>186.9816094</v>
      </c>
      <c r="L906" s="25">
        <f t="shared" si="237"/>
        <v>13088.712658</v>
      </c>
      <c r="M906" s="25">
        <f t="shared" si="243"/>
        <v>74278.444334150001</v>
      </c>
      <c r="N906" s="26"/>
      <c r="O906" s="663">
        <v>0.93490804699999996</v>
      </c>
    </row>
    <row r="907" spans="1:17" ht="18.95" customHeight="1">
      <c r="A907" s="265"/>
      <c r="B907" s="573" t="s">
        <v>273</v>
      </c>
      <c r="C907" s="666" t="s">
        <v>2805</v>
      </c>
      <c r="D907" s="694"/>
      <c r="E907" s="533">
        <v>19</v>
      </c>
      <c r="F907" s="30" t="s">
        <v>349</v>
      </c>
      <c r="G907" s="25">
        <v>935</v>
      </c>
      <c r="H907" s="30">
        <f t="shared" si="242"/>
        <v>874.13902394499996</v>
      </c>
      <c r="I907" s="30">
        <f t="shared" si="244"/>
        <v>16608.641454954999</v>
      </c>
      <c r="J907" s="25">
        <v>200</v>
      </c>
      <c r="K907" s="25">
        <f t="shared" si="236"/>
        <v>186.9816094</v>
      </c>
      <c r="L907" s="25">
        <f t="shared" si="237"/>
        <v>3552.6505785999998</v>
      </c>
      <c r="M907" s="25">
        <f t="shared" si="243"/>
        <v>20161.292033555001</v>
      </c>
      <c r="N907" s="26"/>
      <c r="O907" s="663">
        <v>0.93490804699999996</v>
      </c>
    </row>
    <row r="908" spans="1:17" ht="18.95" customHeight="1">
      <c r="A908" s="265"/>
      <c r="B908" s="573" t="s">
        <v>273</v>
      </c>
      <c r="C908" s="666" t="s">
        <v>2806</v>
      </c>
      <c r="D908" s="694"/>
      <c r="E908" s="533">
        <v>12</v>
      </c>
      <c r="F908" s="30" t="s">
        <v>349</v>
      </c>
      <c r="G908" s="25">
        <v>723</v>
      </c>
      <c r="H908" s="30">
        <f t="shared" si="242"/>
        <v>675.93851798100002</v>
      </c>
      <c r="I908" s="30">
        <f t="shared" si="244"/>
        <v>8111.2622157719998</v>
      </c>
      <c r="J908" s="25">
        <v>200</v>
      </c>
      <c r="K908" s="25">
        <f t="shared" si="236"/>
        <v>186.9816094</v>
      </c>
      <c r="L908" s="25">
        <f t="shared" si="237"/>
        <v>2243.7793127999998</v>
      </c>
      <c r="M908" s="25">
        <f t="shared" si="243"/>
        <v>10355.041528571999</v>
      </c>
      <c r="N908" s="26"/>
      <c r="O908" s="663">
        <v>0.93490804699999996</v>
      </c>
    </row>
    <row r="909" spans="1:17" ht="18.95" customHeight="1">
      <c r="A909" s="265"/>
      <c r="B909" s="573" t="s">
        <v>273</v>
      </c>
      <c r="C909" s="666" t="s">
        <v>2807</v>
      </c>
      <c r="D909" s="694"/>
      <c r="E909" s="533">
        <v>12</v>
      </c>
      <c r="F909" s="30" t="s">
        <v>349</v>
      </c>
      <c r="G909" s="25">
        <v>1870</v>
      </c>
      <c r="H909" s="30">
        <f t="shared" si="242"/>
        <v>1748.2780478899999</v>
      </c>
      <c r="I909" s="30">
        <f t="shared" si="244"/>
        <v>20979.336574679997</v>
      </c>
      <c r="J909" s="25">
        <v>200</v>
      </c>
      <c r="K909" s="25">
        <f t="shared" si="236"/>
        <v>186.9816094</v>
      </c>
      <c r="L909" s="25">
        <f t="shared" si="237"/>
        <v>2243.7793127999998</v>
      </c>
      <c r="M909" s="25">
        <f t="shared" si="243"/>
        <v>23223.115887479998</v>
      </c>
      <c r="N909" s="26"/>
      <c r="O909" s="663">
        <v>0.93490804699999996</v>
      </c>
    </row>
    <row r="910" spans="1:17" ht="18.95" customHeight="1">
      <c r="A910" s="667" t="s">
        <v>2816</v>
      </c>
      <c r="B910" s="665" t="s">
        <v>2740</v>
      </c>
      <c r="C910" s="659"/>
      <c r="D910" s="694"/>
      <c r="E910" s="533"/>
      <c r="F910" s="30"/>
      <c r="G910" s="30"/>
      <c r="H910" s="30"/>
      <c r="I910" s="30"/>
      <c r="J910" s="25"/>
      <c r="K910" s="25"/>
      <c r="L910" s="25"/>
      <c r="M910" s="25"/>
      <c r="N910" s="26"/>
      <c r="O910" s="663">
        <v>0.93490804699999996</v>
      </c>
      <c r="Q910" s="157"/>
    </row>
    <row r="911" spans="1:17" ht="18.95" customHeight="1">
      <c r="A911" s="265"/>
      <c r="B911" s="573" t="s">
        <v>273</v>
      </c>
      <c r="C911" s="1180" t="s">
        <v>2810</v>
      </c>
      <c r="D911" s="694"/>
      <c r="E911" s="533">
        <f>1427+1084</f>
        <v>2511</v>
      </c>
      <c r="F911" s="1181" t="s">
        <v>286</v>
      </c>
      <c r="G911" s="30">
        <f>ROUND(900.6/100,2)</f>
        <v>9.01</v>
      </c>
      <c r="H911" s="30">
        <f t="shared" si="242"/>
        <v>8.4235215034699991</v>
      </c>
      <c r="I911" s="30">
        <f t="shared" si="244"/>
        <v>21151.462495213167</v>
      </c>
      <c r="J911" s="25">
        <v>7</v>
      </c>
      <c r="K911" s="25">
        <f t="shared" si="236"/>
        <v>6.5443563289999993</v>
      </c>
      <c r="L911" s="25">
        <f t="shared" si="237"/>
        <v>16432.878742118999</v>
      </c>
      <c r="M911" s="25">
        <f>I911+L911</f>
        <v>37584.341237332163</v>
      </c>
      <c r="N911" s="26"/>
      <c r="O911" s="663">
        <v>0.93490804699999996</v>
      </c>
      <c r="P911" s="157" t="s">
        <v>2165</v>
      </c>
      <c r="Q911" s="157"/>
    </row>
    <row r="912" spans="1:17" ht="18.95" customHeight="1">
      <c r="A912" s="265"/>
      <c r="B912" s="573" t="s">
        <v>273</v>
      </c>
      <c r="C912" s="1180" t="s">
        <v>2811</v>
      </c>
      <c r="D912" s="694"/>
      <c r="E912" s="533">
        <f>404+365</f>
        <v>769</v>
      </c>
      <c r="F912" s="1181" t="s">
        <v>286</v>
      </c>
      <c r="G912" s="30">
        <v>31</v>
      </c>
      <c r="H912" s="30">
        <f t="shared" si="242"/>
        <v>28.982149456999998</v>
      </c>
      <c r="I912" s="30">
        <f t="shared" si="244"/>
        <v>22287.272932432999</v>
      </c>
      <c r="J912" s="25">
        <v>10</v>
      </c>
      <c r="K912" s="25">
        <f t="shared" si="236"/>
        <v>9.3490804700000005</v>
      </c>
      <c r="L912" s="25">
        <f t="shared" si="237"/>
        <v>7189.4428814300009</v>
      </c>
      <c r="M912" s="25">
        <f>I912+L912</f>
        <v>29476.715813863</v>
      </c>
      <c r="N912" s="26"/>
      <c r="O912" s="663">
        <v>0.93490804699999996</v>
      </c>
      <c r="Q912" s="157"/>
    </row>
    <row r="913" spans="1:17" ht="18.95" customHeight="1">
      <c r="A913" s="651" t="s">
        <v>2817</v>
      </c>
      <c r="B913" s="652" t="s">
        <v>2195</v>
      </c>
      <c r="C913" s="653"/>
      <c r="D913" s="412"/>
      <c r="E913" s="533"/>
      <c r="F913" s="30"/>
      <c r="G913" s="30"/>
      <c r="H913" s="30"/>
      <c r="I913" s="30"/>
      <c r="J913" s="25"/>
      <c r="K913" s="25"/>
      <c r="L913" s="25"/>
      <c r="M913" s="25"/>
      <c r="N913" s="26"/>
      <c r="O913" s="663">
        <v>0.93490804699999996</v>
      </c>
      <c r="Q913" s="157"/>
    </row>
    <row r="914" spans="1:17" ht="18.95" customHeight="1">
      <c r="A914" s="265"/>
      <c r="B914" s="573" t="s">
        <v>273</v>
      </c>
      <c r="C914" s="661" t="s">
        <v>2196</v>
      </c>
      <c r="D914" s="660"/>
      <c r="E914" s="533">
        <f>734+571</f>
        <v>1305</v>
      </c>
      <c r="F914" s="1181" t="s">
        <v>286</v>
      </c>
      <c r="G914" s="30">
        <f>ROUND(93.1/3,2)</f>
        <v>31.03</v>
      </c>
      <c r="H914" s="30">
        <f t="shared" ref="H914:H915" si="245">G914*O914</f>
        <v>29.010196698409999</v>
      </c>
      <c r="I914" s="30">
        <f t="shared" si="244"/>
        <v>37858.306691425045</v>
      </c>
      <c r="J914" s="25">
        <v>22</v>
      </c>
      <c r="K914" s="25">
        <f t="shared" si="236"/>
        <v>20.567977033999998</v>
      </c>
      <c r="L914" s="25">
        <f t="shared" si="237"/>
        <v>26841.210029369999</v>
      </c>
      <c r="M914" s="25">
        <f>I914+L914</f>
        <v>64699.516720795044</v>
      </c>
      <c r="N914" s="26"/>
      <c r="O914" s="663">
        <v>0.93490804699999996</v>
      </c>
      <c r="P914" s="157" t="s">
        <v>2165</v>
      </c>
      <c r="Q914" s="157"/>
    </row>
    <row r="915" spans="1:17" ht="18.95" customHeight="1">
      <c r="A915" s="265"/>
      <c r="B915" s="573" t="s">
        <v>273</v>
      </c>
      <c r="C915" s="661" t="s">
        <v>2197</v>
      </c>
      <c r="D915" s="660"/>
      <c r="E915" s="533">
        <f>181+199</f>
        <v>380</v>
      </c>
      <c r="F915" s="1181" t="s">
        <v>286</v>
      </c>
      <c r="G915" s="30">
        <f>ROUND(134.4/3,2)</f>
        <v>44.8</v>
      </c>
      <c r="H915" s="30">
        <f t="shared" si="245"/>
        <v>41.883880505599997</v>
      </c>
      <c r="I915" s="30">
        <f t="shared" si="244"/>
        <v>15915.874592127999</v>
      </c>
      <c r="J915" s="25">
        <v>24</v>
      </c>
      <c r="K915" s="25">
        <f t="shared" si="236"/>
        <v>22.437793127999999</v>
      </c>
      <c r="L915" s="25">
        <f t="shared" si="237"/>
        <v>8526.3613886399999</v>
      </c>
      <c r="M915" s="25">
        <f>I915+L915</f>
        <v>24442.235980767997</v>
      </c>
      <c r="N915" s="26"/>
      <c r="O915" s="663">
        <v>0.93490804699999996</v>
      </c>
      <c r="P915" s="157" t="s">
        <v>2165</v>
      </c>
      <c r="Q915" s="157"/>
    </row>
    <row r="916" spans="1:17" ht="18.95" customHeight="1">
      <c r="A916" s="667" t="s">
        <v>2818</v>
      </c>
      <c r="B916" s="665" t="s">
        <v>2742</v>
      </c>
      <c r="C916" s="659"/>
      <c r="D916" s="660"/>
      <c r="E916" s="533">
        <v>1</v>
      </c>
      <c r="F916" s="30" t="s">
        <v>2193</v>
      </c>
      <c r="G916" s="670">
        <f>((SUM(I911:I912)*0.05)+(SUM(I914:I915)*0.15)+(SUM(I900:I909)*0.02))</f>
        <v>13742.678967060405</v>
      </c>
      <c r="H916" s="30">
        <f>G916</f>
        <v>13742.678967060405</v>
      </c>
      <c r="I916" s="30">
        <f t="shared" si="244"/>
        <v>13742.678967060405</v>
      </c>
      <c r="J916" s="676">
        <f>G916*0.3</f>
        <v>4122.8036901181213</v>
      </c>
      <c r="K916" s="25">
        <f>J916</f>
        <v>4122.8036901181213</v>
      </c>
      <c r="L916" s="25">
        <f t="shared" si="237"/>
        <v>4122.8036901181213</v>
      </c>
      <c r="M916" s="25">
        <f>I916+L916</f>
        <v>17865.482657178527</v>
      </c>
      <c r="N916" s="26"/>
      <c r="O916" s="663">
        <v>0.93490804699999996</v>
      </c>
      <c r="Q916" s="157"/>
    </row>
    <row r="917" spans="1:17" ht="18.95" customHeight="1">
      <c r="A917" s="265"/>
      <c r="B917" s="667"/>
      <c r="C917" s="666"/>
      <c r="D917" s="660"/>
      <c r="E917" s="533"/>
      <c r="F917" s="30"/>
      <c r="G917" s="30"/>
      <c r="H917" s="30"/>
      <c r="I917" s="30"/>
      <c r="J917" s="25"/>
      <c r="K917" s="25"/>
      <c r="L917" s="25"/>
      <c r="M917" s="25"/>
      <c r="N917" s="26"/>
      <c r="O917" s="663">
        <v>0.93490804699999996</v>
      </c>
      <c r="Q917" s="157"/>
    </row>
    <row r="918" spans="1:17" ht="18.95" customHeight="1">
      <c r="A918" s="265">
        <v>15.3</v>
      </c>
      <c r="B918" s="1353" t="s">
        <v>2775</v>
      </c>
      <c r="C918" s="1354"/>
      <c r="D918" s="1355"/>
      <c r="E918" s="646"/>
      <c r="F918" s="102"/>
      <c r="G918" s="34"/>
      <c r="H918" s="34"/>
      <c r="I918" s="34"/>
      <c r="J918" s="102"/>
      <c r="K918" s="25"/>
      <c r="L918" s="34"/>
      <c r="M918" s="102"/>
      <c r="N918" s="26"/>
      <c r="O918" s="663">
        <v>0.93490804699999996</v>
      </c>
      <c r="Q918" s="157"/>
    </row>
    <row r="919" spans="1:17" ht="18.95" customHeight="1">
      <c r="A919" s="651" t="s">
        <v>2819</v>
      </c>
      <c r="B919" s="573" t="s">
        <v>273</v>
      </c>
      <c r="C919" s="666" t="s">
        <v>2798</v>
      </c>
      <c r="D919" s="694"/>
      <c r="E919" s="533">
        <v>16</v>
      </c>
      <c r="F919" s="30" t="s">
        <v>349</v>
      </c>
      <c r="G919" s="25">
        <v>2380</v>
      </c>
      <c r="H919" s="30">
        <f t="shared" ref="H919:H982" si="246">G919*O919</f>
        <v>2225.0811518599999</v>
      </c>
      <c r="I919" s="30">
        <f>E919*H919</f>
        <v>35601.298429759998</v>
      </c>
      <c r="J919" s="25">
        <v>200</v>
      </c>
      <c r="K919" s="25">
        <f t="shared" si="236"/>
        <v>186.9816094</v>
      </c>
      <c r="L919" s="25">
        <f t="shared" ref="L919:L982" si="247">E919*K919</f>
        <v>2991.7057503999999</v>
      </c>
      <c r="M919" s="25">
        <f t="shared" ref="M919:M928" si="248">I919+L919</f>
        <v>38593.004180159995</v>
      </c>
      <c r="N919" s="26"/>
      <c r="O919" s="663">
        <v>0.93490804699999996</v>
      </c>
    </row>
    <row r="920" spans="1:17" ht="18.95" customHeight="1">
      <c r="A920" s="265"/>
      <c r="B920" s="573" t="s">
        <v>273</v>
      </c>
      <c r="C920" s="666" t="s">
        <v>2799</v>
      </c>
      <c r="D920" s="694"/>
      <c r="E920" s="533">
        <v>7</v>
      </c>
      <c r="F920" s="30" t="s">
        <v>349</v>
      </c>
      <c r="G920" s="25">
        <v>2125</v>
      </c>
      <c r="H920" s="30">
        <f t="shared" si="246"/>
        <v>1986.6795998749999</v>
      </c>
      <c r="I920" s="30">
        <f t="shared" ref="I920:I935" si="249">E920*H920</f>
        <v>13906.757199124999</v>
      </c>
      <c r="J920" s="25">
        <v>200</v>
      </c>
      <c r="K920" s="25">
        <f t="shared" si="236"/>
        <v>186.9816094</v>
      </c>
      <c r="L920" s="25">
        <f t="shared" si="247"/>
        <v>1308.8712657999999</v>
      </c>
      <c r="M920" s="25">
        <f t="shared" si="248"/>
        <v>15215.628464924999</v>
      </c>
      <c r="N920" s="26"/>
      <c r="O920" s="663">
        <v>0.93490804699999996</v>
      </c>
    </row>
    <row r="921" spans="1:17" ht="18.95" customHeight="1">
      <c r="A921" s="265"/>
      <c r="B921" s="573" t="s">
        <v>273</v>
      </c>
      <c r="C921" s="666" t="s">
        <v>2800</v>
      </c>
      <c r="D921" s="694"/>
      <c r="E921" s="533">
        <v>2</v>
      </c>
      <c r="F921" s="30" t="s">
        <v>349</v>
      </c>
      <c r="G921" s="25">
        <v>2125</v>
      </c>
      <c r="H921" s="30">
        <f t="shared" si="246"/>
        <v>1986.6795998749999</v>
      </c>
      <c r="I921" s="30">
        <f t="shared" si="249"/>
        <v>3973.3591997499998</v>
      </c>
      <c r="J921" s="25">
        <v>200</v>
      </c>
      <c r="K921" s="25">
        <f t="shared" si="236"/>
        <v>186.9816094</v>
      </c>
      <c r="L921" s="25">
        <f t="shared" si="247"/>
        <v>373.96321879999999</v>
      </c>
      <c r="M921" s="25">
        <f t="shared" si="248"/>
        <v>4347.3224185499994</v>
      </c>
      <c r="N921" s="26"/>
      <c r="O921" s="663">
        <v>0.93490804699999996</v>
      </c>
    </row>
    <row r="922" spans="1:17" ht="18.95" customHeight="1">
      <c r="A922" s="265"/>
      <c r="B922" s="573" t="s">
        <v>273</v>
      </c>
      <c r="C922" s="666" t="s">
        <v>2801</v>
      </c>
      <c r="D922" s="694"/>
      <c r="E922" s="533">
        <v>4</v>
      </c>
      <c r="F922" s="30" t="s">
        <v>349</v>
      </c>
      <c r="G922" s="25">
        <v>2125</v>
      </c>
      <c r="H922" s="30">
        <f t="shared" si="246"/>
        <v>1986.6795998749999</v>
      </c>
      <c r="I922" s="30">
        <f t="shared" si="249"/>
        <v>7946.7183994999996</v>
      </c>
      <c r="J922" s="25">
        <v>200</v>
      </c>
      <c r="K922" s="25">
        <f t="shared" si="236"/>
        <v>186.9816094</v>
      </c>
      <c r="L922" s="25">
        <f t="shared" si="247"/>
        <v>747.92643759999999</v>
      </c>
      <c r="M922" s="25">
        <f t="shared" si="248"/>
        <v>8694.6448370999988</v>
      </c>
      <c r="N922" s="26"/>
      <c r="O922" s="663">
        <v>0.93490804699999996</v>
      </c>
    </row>
    <row r="923" spans="1:17" ht="18.95" customHeight="1">
      <c r="A923" s="265"/>
      <c r="B923" s="573" t="s">
        <v>273</v>
      </c>
      <c r="C923" s="666" t="s">
        <v>2802</v>
      </c>
      <c r="D923" s="694"/>
      <c r="E923" s="533">
        <v>2</v>
      </c>
      <c r="F923" s="30" t="s">
        <v>349</v>
      </c>
      <c r="G923" s="25">
        <v>5950</v>
      </c>
      <c r="H923" s="30">
        <f t="shared" si="246"/>
        <v>5562.7028796499999</v>
      </c>
      <c r="I923" s="30">
        <f t="shared" si="249"/>
        <v>11125.4057593</v>
      </c>
      <c r="J923" s="25">
        <v>1000</v>
      </c>
      <c r="K923" s="25">
        <f t="shared" si="236"/>
        <v>934.90804700000001</v>
      </c>
      <c r="L923" s="25">
        <f t="shared" si="247"/>
        <v>1869.816094</v>
      </c>
      <c r="M923" s="25">
        <f t="shared" si="248"/>
        <v>12995.2218533</v>
      </c>
      <c r="N923" s="26"/>
      <c r="O923" s="663">
        <v>0.93490804699999996</v>
      </c>
    </row>
    <row r="924" spans="1:17" ht="18.95" customHeight="1">
      <c r="A924" s="265"/>
      <c r="B924" s="573" t="s">
        <v>273</v>
      </c>
      <c r="C924" s="666" t="s">
        <v>2803</v>
      </c>
      <c r="D924" s="694"/>
      <c r="E924" s="533"/>
      <c r="F924" s="30" t="s">
        <v>349</v>
      </c>
      <c r="G924" s="25">
        <f>35000*0.85</f>
        <v>29750</v>
      </c>
      <c r="H924" s="30">
        <f t="shared" si="246"/>
        <v>27813.514398249998</v>
      </c>
      <c r="I924" s="30">
        <f t="shared" si="249"/>
        <v>0</v>
      </c>
      <c r="J924" s="25">
        <v>3000</v>
      </c>
      <c r="K924" s="25">
        <f t="shared" si="236"/>
        <v>2804.7241409999997</v>
      </c>
      <c r="L924" s="25">
        <f t="shared" si="247"/>
        <v>0</v>
      </c>
      <c r="M924" s="25">
        <f t="shared" si="248"/>
        <v>0</v>
      </c>
      <c r="N924" s="26"/>
      <c r="O924" s="663">
        <v>0.93490804699999996</v>
      </c>
    </row>
    <row r="925" spans="1:17" ht="18.95" customHeight="1">
      <c r="A925" s="265"/>
      <c r="B925" s="573" t="s">
        <v>273</v>
      </c>
      <c r="C925" s="666" t="s">
        <v>2804</v>
      </c>
      <c r="D925" s="694"/>
      <c r="E925" s="533">
        <v>87</v>
      </c>
      <c r="F925" s="30" t="s">
        <v>349</v>
      </c>
      <c r="G925" s="25">
        <v>935</v>
      </c>
      <c r="H925" s="30">
        <f t="shared" si="246"/>
        <v>874.13902394499996</v>
      </c>
      <c r="I925" s="30">
        <f t="shared" si="249"/>
        <v>76050.095083214997</v>
      </c>
      <c r="J925" s="25">
        <v>200</v>
      </c>
      <c r="K925" s="25">
        <f t="shared" si="236"/>
        <v>186.9816094</v>
      </c>
      <c r="L925" s="25">
        <f t="shared" si="247"/>
        <v>16267.400017800001</v>
      </c>
      <c r="M925" s="25">
        <f t="shared" si="248"/>
        <v>92317.495101014996</v>
      </c>
      <c r="N925" s="26"/>
      <c r="O925" s="663">
        <v>0.93490804699999996</v>
      </c>
    </row>
    <row r="926" spans="1:17" ht="18.95" customHeight="1">
      <c r="A926" s="265"/>
      <c r="B926" s="573" t="s">
        <v>273</v>
      </c>
      <c r="C926" s="666" t="s">
        <v>2805</v>
      </c>
      <c r="D926" s="694"/>
      <c r="E926" s="533">
        <v>7</v>
      </c>
      <c r="F926" s="30" t="s">
        <v>349</v>
      </c>
      <c r="G926" s="25">
        <v>935</v>
      </c>
      <c r="H926" s="30">
        <f t="shared" si="246"/>
        <v>874.13902394499996</v>
      </c>
      <c r="I926" s="30">
        <f t="shared" si="249"/>
        <v>6118.9731676149995</v>
      </c>
      <c r="J926" s="25">
        <v>200</v>
      </c>
      <c r="K926" s="25">
        <f t="shared" si="236"/>
        <v>186.9816094</v>
      </c>
      <c r="L926" s="25">
        <f t="shared" si="247"/>
        <v>1308.8712657999999</v>
      </c>
      <c r="M926" s="25">
        <f t="shared" si="248"/>
        <v>7427.844433414999</v>
      </c>
      <c r="N926" s="26"/>
      <c r="O926" s="663">
        <v>0.93490804699999996</v>
      </c>
    </row>
    <row r="927" spans="1:17" ht="18.95" customHeight="1">
      <c r="A927" s="265"/>
      <c r="B927" s="573" t="s">
        <v>273</v>
      </c>
      <c r="C927" s="666" t="s">
        <v>2806</v>
      </c>
      <c r="D927" s="694"/>
      <c r="E927" s="533">
        <v>9</v>
      </c>
      <c r="F927" s="30" t="s">
        <v>349</v>
      </c>
      <c r="G927" s="25">
        <v>723</v>
      </c>
      <c r="H927" s="30">
        <f t="shared" si="246"/>
        <v>675.93851798100002</v>
      </c>
      <c r="I927" s="30">
        <f t="shared" si="249"/>
        <v>6083.4466618289998</v>
      </c>
      <c r="J927" s="25">
        <v>200</v>
      </c>
      <c r="K927" s="25">
        <f t="shared" si="236"/>
        <v>186.9816094</v>
      </c>
      <c r="L927" s="25">
        <f t="shared" si="247"/>
        <v>1682.8344846</v>
      </c>
      <c r="M927" s="25">
        <f t="shared" si="248"/>
        <v>7766.2811464289998</v>
      </c>
      <c r="N927" s="26"/>
      <c r="O927" s="663">
        <v>0.93490804699999996</v>
      </c>
    </row>
    <row r="928" spans="1:17" ht="18.95" customHeight="1">
      <c r="A928" s="265"/>
      <c r="B928" s="573" t="s">
        <v>273</v>
      </c>
      <c r="C928" s="666" t="s">
        <v>2807</v>
      </c>
      <c r="D928" s="694"/>
      <c r="E928" s="533">
        <v>9</v>
      </c>
      <c r="F928" s="30" t="s">
        <v>349</v>
      </c>
      <c r="G928" s="25">
        <v>1870</v>
      </c>
      <c r="H928" s="30">
        <f t="shared" si="246"/>
        <v>1748.2780478899999</v>
      </c>
      <c r="I928" s="30">
        <f t="shared" si="249"/>
        <v>15734.50243101</v>
      </c>
      <c r="J928" s="25">
        <v>200</v>
      </c>
      <c r="K928" s="25">
        <f t="shared" si="236"/>
        <v>186.9816094</v>
      </c>
      <c r="L928" s="25">
        <f t="shared" si="247"/>
        <v>1682.8344846</v>
      </c>
      <c r="M928" s="25">
        <f t="shared" si="248"/>
        <v>17417.336915610002</v>
      </c>
      <c r="N928" s="26"/>
      <c r="O928" s="663">
        <v>0.93490804699999996</v>
      </c>
    </row>
    <row r="929" spans="1:17" ht="18.95" customHeight="1">
      <c r="A929" s="667" t="s">
        <v>2820</v>
      </c>
      <c r="B929" s="665" t="s">
        <v>2740</v>
      </c>
      <c r="C929" s="666"/>
      <c r="D929" s="660"/>
      <c r="E929" s="533"/>
      <c r="F929" s="30"/>
      <c r="G929" s="25"/>
      <c r="H929" s="30"/>
      <c r="I929" s="30">
        <f t="shared" si="249"/>
        <v>0</v>
      </c>
      <c r="J929" s="25"/>
      <c r="K929" s="25"/>
      <c r="L929" s="25"/>
      <c r="M929" s="25"/>
      <c r="N929" s="26"/>
      <c r="O929" s="663">
        <v>0.93490804699999996</v>
      </c>
    </row>
    <row r="930" spans="1:17" ht="18.95" customHeight="1">
      <c r="A930" s="573"/>
      <c r="B930" s="573" t="s">
        <v>273</v>
      </c>
      <c r="C930" s="1180" t="s">
        <v>2810</v>
      </c>
      <c r="D930" s="660"/>
      <c r="E930" s="533">
        <f>1706+1002</f>
        <v>2708</v>
      </c>
      <c r="F930" s="1181" t="s">
        <v>286</v>
      </c>
      <c r="G930" s="30">
        <f>ROUND(900.6/100,2)</f>
        <v>9.01</v>
      </c>
      <c r="H930" s="30">
        <f t="shared" si="246"/>
        <v>8.4235215034699991</v>
      </c>
      <c r="I930" s="30">
        <f t="shared" si="249"/>
        <v>22810.896231396757</v>
      </c>
      <c r="J930" s="25">
        <v>7</v>
      </c>
      <c r="K930" s="25">
        <f t="shared" si="236"/>
        <v>6.5443563289999993</v>
      </c>
      <c r="L930" s="25">
        <f t="shared" si="247"/>
        <v>17722.116938931998</v>
      </c>
      <c r="M930" s="25">
        <f>I930+L930</f>
        <v>40533.013170328755</v>
      </c>
      <c r="N930" s="26"/>
      <c r="O930" s="663">
        <v>0.93490804699999996</v>
      </c>
      <c r="P930" s="157" t="s">
        <v>2165</v>
      </c>
      <c r="Q930" s="157"/>
    </row>
    <row r="931" spans="1:17" ht="18.95" customHeight="1">
      <c r="A931" s="573"/>
      <c r="B931" s="573" t="s">
        <v>273</v>
      </c>
      <c r="C931" s="1180" t="s">
        <v>2811</v>
      </c>
      <c r="D931" s="660"/>
      <c r="E931" s="533">
        <f>407+229</f>
        <v>636</v>
      </c>
      <c r="F931" s="1181" t="s">
        <v>286</v>
      </c>
      <c r="G931" s="30">
        <v>31</v>
      </c>
      <c r="H931" s="30">
        <f t="shared" si="246"/>
        <v>28.982149456999998</v>
      </c>
      <c r="I931" s="30">
        <f t="shared" si="249"/>
        <v>18432.647054651999</v>
      </c>
      <c r="J931" s="25">
        <v>10</v>
      </c>
      <c r="K931" s="25">
        <f t="shared" si="236"/>
        <v>9.3490804700000005</v>
      </c>
      <c r="L931" s="25">
        <f t="shared" si="247"/>
        <v>5946.0151789199999</v>
      </c>
      <c r="M931" s="25">
        <f>I931+L931</f>
        <v>24378.662233571999</v>
      </c>
      <c r="N931" s="26"/>
      <c r="O931" s="663">
        <v>0.93490804699999996</v>
      </c>
      <c r="Q931" s="157"/>
    </row>
    <row r="932" spans="1:17" ht="18.95" customHeight="1">
      <c r="A932" s="651" t="s">
        <v>2821</v>
      </c>
      <c r="B932" s="652" t="s">
        <v>2195</v>
      </c>
      <c r="C932" s="657"/>
      <c r="D932" s="412"/>
      <c r="E932" s="533"/>
      <c r="F932" s="30"/>
      <c r="G932" s="30"/>
      <c r="H932" s="30"/>
      <c r="I932" s="30">
        <f t="shared" si="249"/>
        <v>0</v>
      </c>
      <c r="J932" s="25"/>
      <c r="K932" s="25"/>
      <c r="L932" s="25"/>
      <c r="M932" s="25"/>
      <c r="N932" s="26"/>
      <c r="O932" s="663">
        <v>0.93490804699999996</v>
      </c>
      <c r="Q932" s="157"/>
    </row>
    <row r="933" spans="1:17" ht="18.95" customHeight="1">
      <c r="A933" s="573"/>
      <c r="B933" s="573" t="s">
        <v>273</v>
      </c>
      <c r="C933" s="661" t="s">
        <v>2196</v>
      </c>
      <c r="D933" s="660"/>
      <c r="E933" s="533">
        <f>870+547</f>
        <v>1417</v>
      </c>
      <c r="F933" s="1181" t="s">
        <v>286</v>
      </c>
      <c r="G933" s="30">
        <f>ROUND(93.1/3,2)</f>
        <v>31.03</v>
      </c>
      <c r="H933" s="30">
        <f t="shared" si="246"/>
        <v>29.010196698409999</v>
      </c>
      <c r="I933" s="30">
        <f t="shared" si="249"/>
        <v>41107.448721646972</v>
      </c>
      <c r="J933" s="25">
        <v>22</v>
      </c>
      <c r="K933" s="25">
        <f t="shared" si="236"/>
        <v>20.567977033999998</v>
      </c>
      <c r="L933" s="25">
        <f t="shared" si="247"/>
        <v>29144.823457177998</v>
      </c>
      <c r="M933" s="25">
        <f>I933+L933</f>
        <v>70252.272178824962</v>
      </c>
      <c r="N933" s="26"/>
      <c r="O933" s="663">
        <v>0.93490804699999996</v>
      </c>
      <c r="P933" s="157" t="s">
        <v>2165</v>
      </c>
      <c r="Q933" s="157"/>
    </row>
    <row r="934" spans="1:17" ht="18.95" customHeight="1">
      <c r="A934" s="573"/>
      <c r="B934" s="573" t="s">
        <v>273</v>
      </c>
      <c r="C934" s="661" t="s">
        <v>2197</v>
      </c>
      <c r="D934" s="660"/>
      <c r="E934" s="533">
        <f>204+125</f>
        <v>329</v>
      </c>
      <c r="F934" s="1181" t="s">
        <v>286</v>
      </c>
      <c r="G934" s="30">
        <f>ROUND(134.4/3,2)</f>
        <v>44.8</v>
      </c>
      <c r="H934" s="30">
        <f t="shared" si="246"/>
        <v>41.883880505599997</v>
      </c>
      <c r="I934" s="30">
        <f t="shared" si="249"/>
        <v>13779.796686342399</v>
      </c>
      <c r="J934" s="25">
        <v>24</v>
      </c>
      <c r="K934" s="25">
        <f t="shared" si="236"/>
        <v>22.437793127999999</v>
      </c>
      <c r="L934" s="25">
        <f t="shared" si="247"/>
        <v>7382.0339391119996</v>
      </c>
      <c r="M934" s="25">
        <f>I934+L934</f>
        <v>21161.8306254544</v>
      </c>
      <c r="N934" s="26"/>
      <c r="O934" s="663">
        <v>0.93490804699999996</v>
      </c>
      <c r="P934" s="157" t="s">
        <v>2165</v>
      </c>
      <c r="Q934" s="157"/>
    </row>
    <row r="935" spans="1:17" ht="18.95" customHeight="1">
      <c r="A935" s="667" t="s">
        <v>2822</v>
      </c>
      <c r="B935" s="665" t="s">
        <v>2742</v>
      </c>
      <c r="C935" s="666"/>
      <c r="D935" s="660"/>
      <c r="E935" s="533">
        <v>1</v>
      </c>
      <c r="F935" s="30" t="s">
        <v>2193</v>
      </c>
      <c r="G935" s="670">
        <f>((SUM(I930:I931)*0.05)+(SUM(I933:I934)*0.15)+(SUM(I919:I928)*0.02))</f>
        <v>13826.075102122924</v>
      </c>
      <c r="H935" s="30">
        <f>G935</f>
        <v>13826.075102122924</v>
      </c>
      <c r="I935" s="30">
        <f t="shared" si="249"/>
        <v>13826.075102122924</v>
      </c>
      <c r="J935" s="676">
        <f>G935*0.3</f>
        <v>4147.8225306368768</v>
      </c>
      <c r="K935" s="25">
        <f>J935</f>
        <v>4147.8225306368768</v>
      </c>
      <c r="L935" s="25">
        <f t="shared" si="247"/>
        <v>4147.8225306368768</v>
      </c>
      <c r="M935" s="25">
        <f>I935+L935</f>
        <v>17973.897632759799</v>
      </c>
      <c r="N935" s="26"/>
      <c r="O935" s="663">
        <v>0.93490804699999996</v>
      </c>
      <c r="Q935" s="157"/>
    </row>
    <row r="936" spans="1:17" ht="18.95" customHeight="1">
      <c r="A936" s="265"/>
      <c r="B936" s="667"/>
      <c r="C936" s="666"/>
      <c r="D936" s="660"/>
      <c r="E936" s="533"/>
      <c r="F936" s="30"/>
      <c r="G936" s="30"/>
      <c r="H936" s="30"/>
      <c r="I936" s="30"/>
      <c r="J936" s="25"/>
      <c r="K936" s="25"/>
      <c r="L936" s="25"/>
      <c r="M936" s="25"/>
      <c r="N936" s="26"/>
      <c r="O936" s="663">
        <v>0.93490804699999996</v>
      </c>
      <c r="Q936" s="157"/>
    </row>
    <row r="937" spans="1:17" ht="18.95" customHeight="1">
      <c r="A937" s="265">
        <v>15.4</v>
      </c>
      <c r="B937" s="1353" t="s">
        <v>2780</v>
      </c>
      <c r="C937" s="1354"/>
      <c r="D937" s="1355"/>
      <c r="E937" s="646"/>
      <c r="F937" s="102"/>
      <c r="G937" s="34"/>
      <c r="H937" s="30"/>
      <c r="I937" s="34"/>
      <c r="J937" s="102"/>
      <c r="K937" s="25"/>
      <c r="L937" s="25"/>
      <c r="M937" s="102"/>
      <c r="N937" s="26"/>
      <c r="O937" s="663">
        <v>0.93490804699999996</v>
      </c>
      <c r="Q937" s="157"/>
    </row>
    <row r="938" spans="1:17" ht="18.95" customHeight="1">
      <c r="A938" s="651" t="s">
        <v>2823</v>
      </c>
      <c r="B938" s="665" t="s">
        <v>2798</v>
      </c>
      <c r="C938" s="666"/>
      <c r="D938" s="694"/>
      <c r="E938" s="533">
        <v>16</v>
      </c>
      <c r="F938" s="30" t="s">
        <v>349</v>
      </c>
      <c r="G938" s="25">
        <v>2380</v>
      </c>
      <c r="H938" s="30">
        <f t="shared" si="246"/>
        <v>2225.0811518599999</v>
      </c>
      <c r="I938" s="30">
        <f t="shared" ref="I938:I954" si="250">E938*H938</f>
        <v>35601.298429759998</v>
      </c>
      <c r="J938" s="25">
        <v>200</v>
      </c>
      <c r="K938" s="25">
        <f t="shared" ref="K938:K1000" si="251">J938*O938</f>
        <v>186.9816094</v>
      </c>
      <c r="L938" s="25">
        <f t="shared" si="247"/>
        <v>2991.7057503999999</v>
      </c>
      <c r="M938" s="25">
        <f t="shared" ref="M938:M947" si="252">I938+L938</f>
        <v>38593.004180159995</v>
      </c>
      <c r="N938" s="26"/>
      <c r="O938" s="663">
        <v>0.93490804699999996</v>
      </c>
      <c r="Q938" s="157"/>
    </row>
    <row r="939" spans="1:17" ht="18.95" customHeight="1">
      <c r="A939" s="573"/>
      <c r="B939" s="573" t="s">
        <v>273</v>
      </c>
      <c r="C939" s="666" t="s">
        <v>2799</v>
      </c>
      <c r="D939" s="694"/>
      <c r="E939" s="533">
        <v>5</v>
      </c>
      <c r="F939" s="30" t="s">
        <v>349</v>
      </c>
      <c r="G939" s="25">
        <v>2125</v>
      </c>
      <c r="H939" s="30">
        <f t="shared" si="246"/>
        <v>1986.6795998749999</v>
      </c>
      <c r="I939" s="30">
        <f t="shared" si="250"/>
        <v>9933.3979993749999</v>
      </c>
      <c r="J939" s="25">
        <v>200</v>
      </c>
      <c r="K939" s="25">
        <f t="shared" si="251"/>
        <v>186.9816094</v>
      </c>
      <c r="L939" s="25">
        <f t="shared" si="247"/>
        <v>934.90804700000001</v>
      </c>
      <c r="M939" s="25">
        <f t="shared" si="252"/>
        <v>10868.306046375001</v>
      </c>
      <c r="N939" s="26"/>
      <c r="O939" s="663">
        <v>0.93490804699999996</v>
      </c>
      <c r="Q939" s="157"/>
    </row>
    <row r="940" spans="1:17" ht="18.95" customHeight="1">
      <c r="A940" s="573"/>
      <c r="B940" s="573" t="s">
        <v>273</v>
      </c>
      <c r="C940" s="666" t="s">
        <v>2800</v>
      </c>
      <c r="D940" s="694"/>
      <c r="E940" s="533">
        <v>2</v>
      </c>
      <c r="F940" s="30" t="s">
        <v>349</v>
      </c>
      <c r="G940" s="25">
        <v>2125</v>
      </c>
      <c r="H940" s="30">
        <f t="shared" si="246"/>
        <v>1986.6795998749999</v>
      </c>
      <c r="I940" s="30">
        <f t="shared" si="250"/>
        <v>3973.3591997499998</v>
      </c>
      <c r="J940" s="25">
        <v>200</v>
      </c>
      <c r="K940" s="25">
        <f t="shared" si="251"/>
        <v>186.9816094</v>
      </c>
      <c r="L940" s="25">
        <f t="shared" si="247"/>
        <v>373.96321879999999</v>
      </c>
      <c r="M940" s="25">
        <f t="shared" si="252"/>
        <v>4347.3224185499994</v>
      </c>
      <c r="N940" s="26"/>
      <c r="O940" s="663">
        <v>0.93490804699999996</v>
      </c>
      <c r="Q940" s="157"/>
    </row>
    <row r="941" spans="1:17" ht="18.95" customHeight="1">
      <c r="A941" s="573"/>
      <c r="B941" s="573" t="s">
        <v>273</v>
      </c>
      <c r="C941" s="666" t="s">
        <v>2801</v>
      </c>
      <c r="D941" s="694"/>
      <c r="E941" s="533">
        <v>4</v>
      </c>
      <c r="F941" s="30" t="s">
        <v>349</v>
      </c>
      <c r="G941" s="25">
        <v>2125</v>
      </c>
      <c r="H941" s="30">
        <f t="shared" si="246"/>
        <v>1986.6795998749999</v>
      </c>
      <c r="I941" s="30">
        <f t="shared" si="250"/>
        <v>7946.7183994999996</v>
      </c>
      <c r="J941" s="25">
        <v>200</v>
      </c>
      <c r="K941" s="25">
        <f t="shared" si="251"/>
        <v>186.9816094</v>
      </c>
      <c r="L941" s="25">
        <f t="shared" si="247"/>
        <v>747.92643759999999</v>
      </c>
      <c r="M941" s="25">
        <f t="shared" si="252"/>
        <v>8694.6448370999988</v>
      </c>
      <c r="N941" s="26"/>
      <c r="O941" s="663">
        <v>0.93490804699999996</v>
      </c>
      <c r="Q941" s="157"/>
    </row>
    <row r="942" spans="1:17" ht="18.95" customHeight="1">
      <c r="A942" s="573"/>
      <c r="B942" s="573" t="s">
        <v>273</v>
      </c>
      <c r="C942" s="666" t="s">
        <v>2802</v>
      </c>
      <c r="D942" s="694"/>
      <c r="E942" s="533">
        <v>2</v>
      </c>
      <c r="F942" s="30" t="s">
        <v>349</v>
      </c>
      <c r="G942" s="25">
        <v>5950</v>
      </c>
      <c r="H942" s="30">
        <f t="shared" si="246"/>
        <v>5562.7028796499999</v>
      </c>
      <c r="I942" s="30">
        <f t="shared" si="250"/>
        <v>11125.4057593</v>
      </c>
      <c r="J942" s="25">
        <v>1000</v>
      </c>
      <c r="K942" s="25">
        <f t="shared" si="251"/>
        <v>934.90804700000001</v>
      </c>
      <c r="L942" s="25">
        <f t="shared" si="247"/>
        <v>1869.816094</v>
      </c>
      <c r="M942" s="25">
        <f t="shared" si="252"/>
        <v>12995.2218533</v>
      </c>
      <c r="N942" s="26"/>
      <c r="O942" s="663">
        <v>0.93490804699999996</v>
      </c>
      <c r="Q942" s="157"/>
    </row>
    <row r="943" spans="1:17" ht="18.95" customHeight="1">
      <c r="A943" s="573"/>
      <c r="B943" s="573" t="s">
        <v>273</v>
      </c>
      <c r="C943" s="666" t="s">
        <v>2803</v>
      </c>
      <c r="D943" s="694"/>
      <c r="E943" s="533">
        <v>6</v>
      </c>
      <c r="F943" s="30" t="s">
        <v>349</v>
      </c>
      <c r="G943" s="25">
        <f>35000*0.85</f>
        <v>29750</v>
      </c>
      <c r="H943" s="30">
        <f t="shared" si="246"/>
        <v>27813.514398249998</v>
      </c>
      <c r="I943" s="30">
        <f t="shared" si="250"/>
        <v>166881.08638949998</v>
      </c>
      <c r="J943" s="25">
        <v>3000</v>
      </c>
      <c r="K943" s="25">
        <f t="shared" si="251"/>
        <v>2804.7241409999997</v>
      </c>
      <c r="L943" s="25">
        <f t="shared" si="247"/>
        <v>16828.344846</v>
      </c>
      <c r="M943" s="25">
        <f t="shared" si="252"/>
        <v>183709.43123549997</v>
      </c>
      <c r="N943" s="26"/>
      <c r="O943" s="663">
        <v>0.93490804699999996</v>
      </c>
      <c r="Q943" s="157"/>
    </row>
    <row r="944" spans="1:17" ht="18.95" customHeight="1">
      <c r="A944" s="573"/>
      <c r="B944" s="573" t="s">
        <v>273</v>
      </c>
      <c r="C944" s="666" t="s">
        <v>2804</v>
      </c>
      <c r="D944" s="694"/>
      <c r="E944" s="533">
        <v>58</v>
      </c>
      <c r="F944" s="30" t="s">
        <v>349</v>
      </c>
      <c r="G944" s="25">
        <v>935</v>
      </c>
      <c r="H944" s="30">
        <f t="shared" si="246"/>
        <v>874.13902394499996</v>
      </c>
      <c r="I944" s="30">
        <f t="shared" si="250"/>
        <v>50700.063388809998</v>
      </c>
      <c r="J944" s="25">
        <v>200</v>
      </c>
      <c r="K944" s="25">
        <f t="shared" si="251"/>
        <v>186.9816094</v>
      </c>
      <c r="L944" s="25">
        <f t="shared" si="247"/>
        <v>10844.933345199999</v>
      </c>
      <c r="M944" s="25">
        <f t="shared" si="252"/>
        <v>61544.996734009997</v>
      </c>
      <c r="N944" s="26"/>
      <c r="O944" s="663">
        <v>0.93490804699999996</v>
      </c>
      <c r="Q944" s="157"/>
    </row>
    <row r="945" spans="1:17" ht="18.95" customHeight="1">
      <c r="A945" s="573"/>
      <c r="B945" s="573" t="s">
        <v>273</v>
      </c>
      <c r="C945" s="666" t="s">
        <v>2805</v>
      </c>
      <c r="D945" s="694"/>
      <c r="E945" s="533">
        <v>7</v>
      </c>
      <c r="F945" s="30" t="s">
        <v>349</v>
      </c>
      <c r="G945" s="25">
        <v>935</v>
      </c>
      <c r="H945" s="30">
        <f t="shared" si="246"/>
        <v>874.13902394499996</v>
      </c>
      <c r="I945" s="30">
        <f t="shared" si="250"/>
        <v>6118.9731676149995</v>
      </c>
      <c r="J945" s="25">
        <v>200</v>
      </c>
      <c r="K945" s="25">
        <f t="shared" si="251"/>
        <v>186.9816094</v>
      </c>
      <c r="L945" s="25">
        <f t="shared" si="247"/>
        <v>1308.8712657999999</v>
      </c>
      <c r="M945" s="25">
        <f t="shared" si="252"/>
        <v>7427.844433414999</v>
      </c>
      <c r="N945" s="26"/>
      <c r="O945" s="663">
        <v>0.93490804699999996</v>
      </c>
      <c r="Q945" s="157"/>
    </row>
    <row r="946" spans="1:17" ht="18.95" customHeight="1">
      <c r="A946" s="573"/>
      <c r="B946" s="573" t="s">
        <v>273</v>
      </c>
      <c r="C946" s="666" t="s">
        <v>2806</v>
      </c>
      <c r="D946" s="694"/>
      <c r="E946" s="533">
        <v>5</v>
      </c>
      <c r="F946" s="30" t="s">
        <v>349</v>
      </c>
      <c r="G946" s="25">
        <v>723</v>
      </c>
      <c r="H946" s="30">
        <f t="shared" si="246"/>
        <v>675.93851798100002</v>
      </c>
      <c r="I946" s="30">
        <f t="shared" si="250"/>
        <v>3379.6925899050002</v>
      </c>
      <c r="J946" s="25">
        <v>200</v>
      </c>
      <c r="K946" s="25">
        <f t="shared" si="251"/>
        <v>186.9816094</v>
      </c>
      <c r="L946" s="25">
        <f t="shared" si="247"/>
        <v>934.90804700000001</v>
      </c>
      <c r="M946" s="25">
        <f t="shared" si="252"/>
        <v>4314.6006369050001</v>
      </c>
      <c r="N946" s="26"/>
      <c r="O946" s="663">
        <v>0.93490804699999996</v>
      </c>
    </row>
    <row r="947" spans="1:17" ht="18.95" customHeight="1">
      <c r="A947" s="573"/>
      <c r="B947" s="573" t="s">
        <v>273</v>
      </c>
      <c r="C947" s="666" t="s">
        <v>2807</v>
      </c>
      <c r="D947" s="694"/>
      <c r="E947" s="533">
        <v>5</v>
      </c>
      <c r="F947" s="30" t="s">
        <v>349</v>
      </c>
      <c r="G947" s="25">
        <v>1870</v>
      </c>
      <c r="H947" s="30">
        <f t="shared" si="246"/>
        <v>1748.2780478899999</v>
      </c>
      <c r="I947" s="30">
        <f t="shared" si="250"/>
        <v>8741.3902394500001</v>
      </c>
      <c r="J947" s="25">
        <v>200</v>
      </c>
      <c r="K947" s="25">
        <f t="shared" si="251"/>
        <v>186.9816094</v>
      </c>
      <c r="L947" s="25">
        <f t="shared" si="247"/>
        <v>934.90804700000001</v>
      </c>
      <c r="M947" s="25">
        <f t="shared" si="252"/>
        <v>9676.2982864500009</v>
      </c>
      <c r="N947" s="26"/>
      <c r="O947" s="663">
        <v>0.93490804699999996</v>
      </c>
      <c r="Q947" s="157"/>
    </row>
    <row r="948" spans="1:17" ht="18.95" customHeight="1">
      <c r="A948" s="667" t="s">
        <v>2824</v>
      </c>
      <c r="B948" s="665" t="s">
        <v>2740</v>
      </c>
      <c r="C948" s="666"/>
      <c r="D948" s="660"/>
      <c r="E948" s="533"/>
      <c r="F948" s="30"/>
      <c r="G948" s="25"/>
      <c r="H948" s="30"/>
      <c r="I948" s="30"/>
      <c r="J948" s="25"/>
      <c r="K948" s="25"/>
      <c r="L948" s="25"/>
      <c r="M948" s="25"/>
      <c r="N948" s="26"/>
      <c r="O948" s="663">
        <v>0.93490804699999996</v>
      </c>
      <c r="Q948" s="157"/>
    </row>
    <row r="949" spans="1:17" ht="18.95" customHeight="1">
      <c r="A949" s="573"/>
      <c r="B949" s="573" t="s">
        <v>273</v>
      </c>
      <c r="C949" s="1180" t="s">
        <v>2810</v>
      </c>
      <c r="D949" s="660"/>
      <c r="E949" s="533">
        <f>1900+808</f>
        <v>2708</v>
      </c>
      <c r="F949" s="1181" t="s">
        <v>286</v>
      </c>
      <c r="G949" s="30">
        <f>ROUND(900.6/100,2)</f>
        <v>9.01</v>
      </c>
      <c r="H949" s="30">
        <f t="shared" si="246"/>
        <v>8.4235215034699991</v>
      </c>
      <c r="I949" s="30">
        <f t="shared" si="250"/>
        <v>22810.896231396757</v>
      </c>
      <c r="J949" s="25">
        <v>7</v>
      </c>
      <c r="K949" s="25">
        <f t="shared" si="251"/>
        <v>6.5443563289999993</v>
      </c>
      <c r="L949" s="25">
        <f t="shared" si="247"/>
        <v>17722.116938931998</v>
      </c>
      <c r="M949" s="25">
        <f>I949+L949</f>
        <v>40533.013170328755</v>
      </c>
      <c r="N949" s="26"/>
      <c r="O949" s="663">
        <v>0.93490804699999996</v>
      </c>
      <c r="P949" s="157" t="s">
        <v>2165</v>
      </c>
      <c r="Q949" s="157"/>
    </row>
    <row r="950" spans="1:17" ht="18.95" customHeight="1">
      <c r="A950" s="573"/>
      <c r="B950" s="573" t="s">
        <v>273</v>
      </c>
      <c r="C950" s="1180" t="s">
        <v>2811</v>
      </c>
      <c r="D950" s="660"/>
      <c r="E950" s="533">
        <f>396+132</f>
        <v>528</v>
      </c>
      <c r="F950" s="1181" t="s">
        <v>286</v>
      </c>
      <c r="G950" s="30">
        <v>31</v>
      </c>
      <c r="H950" s="30">
        <f t="shared" si="246"/>
        <v>28.982149456999998</v>
      </c>
      <c r="I950" s="30">
        <f t="shared" si="250"/>
        <v>15302.574913295999</v>
      </c>
      <c r="J950" s="25">
        <v>10</v>
      </c>
      <c r="K950" s="25">
        <f t="shared" si="251"/>
        <v>9.3490804700000005</v>
      </c>
      <c r="L950" s="25">
        <f t="shared" si="247"/>
        <v>4936.3144881600001</v>
      </c>
      <c r="M950" s="25">
        <f>I950+L950</f>
        <v>20238.889401455999</v>
      </c>
      <c r="N950" s="26"/>
      <c r="O950" s="663">
        <v>0.93490804699999996</v>
      </c>
      <c r="Q950" s="157"/>
    </row>
    <row r="951" spans="1:17" ht="18.95" customHeight="1">
      <c r="A951" s="651" t="s">
        <v>2825</v>
      </c>
      <c r="B951" s="652" t="s">
        <v>2195</v>
      </c>
      <c r="C951" s="657"/>
      <c r="D951" s="412"/>
      <c r="E951" s="533"/>
      <c r="F951" s="30"/>
      <c r="G951" s="30"/>
      <c r="H951" s="30"/>
      <c r="I951" s="30"/>
      <c r="J951" s="25"/>
      <c r="K951" s="25"/>
      <c r="L951" s="25"/>
      <c r="M951" s="25"/>
      <c r="N951" s="26"/>
      <c r="O951" s="663">
        <v>0.93490804699999996</v>
      </c>
      <c r="Q951" s="157"/>
    </row>
    <row r="952" spans="1:17" ht="18.95" customHeight="1">
      <c r="A952" s="265"/>
      <c r="B952" s="573" t="s">
        <v>273</v>
      </c>
      <c r="C952" s="661" t="s">
        <v>2196</v>
      </c>
      <c r="D952" s="660"/>
      <c r="E952" s="533">
        <f>1005+366</f>
        <v>1371</v>
      </c>
      <c r="F952" s="1181" t="s">
        <v>286</v>
      </c>
      <c r="G952" s="30">
        <f>ROUND(93.1/3,2)</f>
        <v>31.03</v>
      </c>
      <c r="H952" s="30">
        <f t="shared" si="246"/>
        <v>29.010196698409999</v>
      </c>
      <c r="I952" s="30">
        <f t="shared" si="250"/>
        <v>39772.979673520109</v>
      </c>
      <c r="J952" s="25">
        <v>22</v>
      </c>
      <c r="K952" s="25">
        <f t="shared" si="251"/>
        <v>20.567977033999998</v>
      </c>
      <c r="L952" s="25">
        <f t="shared" si="247"/>
        <v>28198.696513613999</v>
      </c>
      <c r="M952" s="25">
        <f>I952+L952</f>
        <v>67971.676187134115</v>
      </c>
      <c r="N952" s="26"/>
      <c r="O952" s="663">
        <v>0.93490804699999996</v>
      </c>
      <c r="P952" s="157" t="s">
        <v>2165</v>
      </c>
      <c r="Q952" s="157"/>
    </row>
    <row r="953" spans="1:17" ht="18.95" customHeight="1">
      <c r="A953" s="265"/>
      <c r="B953" s="573" t="s">
        <v>273</v>
      </c>
      <c r="C953" s="661" t="s">
        <v>2197</v>
      </c>
      <c r="D953" s="660"/>
      <c r="E953" s="533">
        <f>216+72</f>
        <v>288</v>
      </c>
      <c r="F953" s="1181" t="s">
        <v>286</v>
      </c>
      <c r="G953" s="30">
        <f>ROUND(134.4/3,2)</f>
        <v>44.8</v>
      </c>
      <c r="H953" s="30">
        <f t="shared" si="246"/>
        <v>41.883880505599997</v>
      </c>
      <c r="I953" s="30">
        <f t="shared" si="250"/>
        <v>12062.5575856128</v>
      </c>
      <c r="J953" s="25">
        <v>24</v>
      </c>
      <c r="K953" s="25">
        <f t="shared" si="251"/>
        <v>22.437793127999999</v>
      </c>
      <c r="L953" s="25">
        <f t="shared" si="247"/>
        <v>6462.0844208640001</v>
      </c>
      <c r="M953" s="25">
        <f>I953+L953</f>
        <v>18524.642006476799</v>
      </c>
      <c r="N953" s="26"/>
      <c r="O953" s="663">
        <v>0.93490804699999996</v>
      </c>
      <c r="P953" s="157" t="s">
        <v>2165</v>
      </c>
      <c r="Q953" s="157"/>
    </row>
    <row r="954" spans="1:17" ht="18.95" customHeight="1">
      <c r="A954" s="667" t="s">
        <v>2826</v>
      </c>
      <c r="B954" s="665" t="s">
        <v>2742</v>
      </c>
      <c r="C954" s="666"/>
      <c r="D954" s="660"/>
      <c r="E954" s="533">
        <v>1</v>
      </c>
      <c r="F954" s="30" t="s">
        <v>2193</v>
      </c>
      <c r="G954" s="670">
        <f>((SUM(I949:I950)*0.05)+(SUM(I952:I953)*0.15)+(SUM(I938:I947)*0.02))</f>
        <v>15769.031857363872</v>
      </c>
      <c r="H954" s="30">
        <f>G954</f>
        <v>15769.031857363872</v>
      </c>
      <c r="I954" s="30">
        <f t="shared" si="250"/>
        <v>15769.031857363872</v>
      </c>
      <c r="J954" s="676">
        <f>G954*0.3</f>
        <v>4730.7095572091612</v>
      </c>
      <c r="K954" s="25">
        <f>J954</f>
        <v>4730.7095572091612</v>
      </c>
      <c r="L954" s="25">
        <f t="shared" si="247"/>
        <v>4730.7095572091612</v>
      </c>
      <c r="M954" s="25">
        <f>I954+L954</f>
        <v>20499.741414573033</v>
      </c>
      <c r="N954" s="26"/>
      <c r="O954" s="663">
        <v>0.93490804699999996</v>
      </c>
      <c r="Q954" s="157"/>
    </row>
    <row r="955" spans="1:17" ht="18.95" customHeight="1">
      <c r="A955" s="667"/>
      <c r="B955" s="665"/>
      <c r="C955" s="666"/>
      <c r="D955" s="660"/>
      <c r="E955" s="533"/>
      <c r="F955" s="30"/>
      <c r="G955" s="30"/>
      <c r="H955" s="30"/>
      <c r="I955" s="30"/>
      <c r="J955" s="25"/>
      <c r="K955" s="25"/>
      <c r="L955" s="25"/>
      <c r="M955" s="25"/>
      <c r="N955" s="26"/>
      <c r="O955" s="663">
        <v>0.93490804699999996</v>
      </c>
      <c r="Q955" s="157"/>
    </row>
    <row r="956" spans="1:17" ht="18.95" customHeight="1">
      <c r="A956" s="265">
        <v>15.5</v>
      </c>
      <c r="B956" s="1353" t="s">
        <v>2786</v>
      </c>
      <c r="C956" s="1354"/>
      <c r="D956" s="1355"/>
      <c r="E956" s="646"/>
      <c r="F956" s="102"/>
      <c r="G956" s="34"/>
      <c r="H956" s="30"/>
      <c r="I956" s="34"/>
      <c r="J956" s="102"/>
      <c r="K956" s="25"/>
      <c r="L956" s="25"/>
      <c r="M956" s="102"/>
      <c r="N956" s="26"/>
      <c r="O956" s="663">
        <v>0.93490804699999996</v>
      </c>
      <c r="Q956" s="157"/>
    </row>
    <row r="957" spans="1:17" ht="18.95" customHeight="1">
      <c r="A957" s="651" t="s">
        <v>2827</v>
      </c>
      <c r="B957" s="665" t="s">
        <v>2798</v>
      </c>
      <c r="C957" s="666"/>
      <c r="D957" s="694"/>
      <c r="E957" s="533">
        <v>5</v>
      </c>
      <c r="F957" s="30" t="s">
        <v>349</v>
      </c>
      <c r="G957" s="25">
        <v>2380</v>
      </c>
      <c r="H957" s="30">
        <f t="shared" si="246"/>
        <v>2225.0811518599999</v>
      </c>
      <c r="I957" s="30">
        <f t="shared" ref="I957:I973" si="253">E957*H957</f>
        <v>11125.4057593</v>
      </c>
      <c r="J957" s="25">
        <v>200</v>
      </c>
      <c r="K957" s="25">
        <f t="shared" si="251"/>
        <v>186.9816094</v>
      </c>
      <c r="L957" s="25">
        <f t="shared" si="247"/>
        <v>934.90804700000001</v>
      </c>
      <c r="M957" s="25">
        <f t="shared" ref="M957:M966" si="254">I957+L957</f>
        <v>12060.313806300001</v>
      </c>
      <c r="N957" s="26"/>
      <c r="O957" s="663">
        <v>0.93490804699999996</v>
      </c>
      <c r="Q957" s="157"/>
    </row>
    <row r="958" spans="1:17" ht="18.95" customHeight="1">
      <c r="A958" s="573"/>
      <c r="B958" s="573" t="s">
        <v>273</v>
      </c>
      <c r="C958" s="666" t="s">
        <v>2799</v>
      </c>
      <c r="D958" s="694"/>
      <c r="E958" s="533">
        <v>1</v>
      </c>
      <c r="F958" s="30" t="s">
        <v>349</v>
      </c>
      <c r="G958" s="25">
        <v>2125</v>
      </c>
      <c r="H958" s="30">
        <f t="shared" si="246"/>
        <v>1986.6795998749999</v>
      </c>
      <c r="I958" s="30">
        <f t="shared" si="253"/>
        <v>1986.6795998749999</v>
      </c>
      <c r="J958" s="25">
        <v>200</v>
      </c>
      <c r="K958" s="25">
        <f t="shared" si="251"/>
        <v>186.9816094</v>
      </c>
      <c r="L958" s="25">
        <f t="shared" si="247"/>
        <v>186.9816094</v>
      </c>
      <c r="M958" s="25">
        <f t="shared" si="254"/>
        <v>2173.6612092749997</v>
      </c>
      <c r="N958" s="26"/>
      <c r="O958" s="663">
        <v>0.93490804699999996</v>
      </c>
      <c r="Q958" s="157"/>
    </row>
    <row r="959" spans="1:17" ht="18.95" customHeight="1">
      <c r="A959" s="573"/>
      <c r="B959" s="573" t="s">
        <v>273</v>
      </c>
      <c r="C959" s="666" t="s">
        <v>2800</v>
      </c>
      <c r="D959" s="694"/>
      <c r="E959" s="533">
        <v>1</v>
      </c>
      <c r="F959" s="30" t="s">
        <v>349</v>
      </c>
      <c r="G959" s="25">
        <v>2125</v>
      </c>
      <c r="H959" s="30">
        <f t="shared" si="246"/>
        <v>1986.6795998749999</v>
      </c>
      <c r="I959" s="30">
        <f t="shared" si="253"/>
        <v>1986.6795998749999</v>
      </c>
      <c r="J959" s="25">
        <v>200</v>
      </c>
      <c r="K959" s="25">
        <f t="shared" si="251"/>
        <v>186.9816094</v>
      </c>
      <c r="L959" s="25">
        <f t="shared" si="247"/>
        <v>186.9816094</v>
      </c>
      <c r="M959" s="25">
        <f t="shared" si="254"/>
        <v>2173.6612092749997</v>
      </c>
      <c r="N959" s="26"/>
      <c r="O959" s="663">
        <v>0.93490804699999996</v>
      </c>
    </row>
    <row r="960" spans="1:17" ht="18.95" customHeight="1">
      <c r="A960" s="573"/>
      <c r="B960" s="573" t="s">
        <v>273</v>
      </c>
      <c r="C960" s="666" t="s">
        <v>2801</v>
      </c>
      <c r="D960" s="694"/>
      <c r="E960" s="533">
        <v>2</v>
      </c>
      <c r="F960" s="30" t="s">
        <v>349</v>
      </c>
      <c r="G960" s="25">
        <v>2125</v>
      </c>
      <c r="H960" s="30">
        <f t="shared" si="246"/>
        <v>1986.6795998749999</v>
      </c>
      <c r="I960" s="30">
        <f t="shared" si="253"/>
        <v>3973.3591997499998</v>
      </c>
      <c r="J960" s="25">
        <v>200</v>
      </c>
      <c r="K960" s="25">
        <f t="shared" si="251"/>
        <v>186.9816094</v>
      </c>
      <c r="L960" s="25">
        <f t="shared" si="247"/>
        <v>373.96321879999999</v>
      </c>
      <c r="M960" s="25">
        <f t="shared" si="254"/>
        <v>4347.3224185499994</v>
      </c>
      <c r="N960" s="26"/>
      <c r="O960" s="663">
        <v>0.93490804699999996</v>
      </c>
      <c r="Q960" s="157"/>
    </row>
    <row r="961" spans="1:17" ht="18.95" customHeight="1">
      <c r="A961" s="573"/>
      <c r="B961" s="573" t="s">
        <v>273</v>
      </c>
      <c r="C961" s="666" t="s">
        <v>2802</v>
      </c>
      <c r="D961" s="694"/>
      <c r="E961" s="533">
        <v>1</v>
      </c>
      <c r="F961" s="30" t="s">
        <v>349</v>
      </c>
      <c r="G961" s="25">
        <v>5950</v>
      </c>
      <c r="H961" s="30">
        <f t="shared" si="246"/>
        <v>5562.7028796499999</v>
      </c>
      <c r="I961" s="30">
        <f t="shared" si="253"/>
        <v>5562.7028796499999</v>
      </c>
      <c r="J961" s="25">
        <v>1000</v>
      </c>
      <c r="K961" s="25">
        <f t="shared" si="251"/>
        <v>934.90804700000001</v>
      </c>
      <c r="L961" s="25">
        <f t="shared" si="247"/>
        <v>934.90804700000001</v>
      </c>
      <c r="M961" s="25">
        <f t="shared" si="254"/>
        <v>6497.6109266499998</v>
      </c>
      <c r="N961" s="26"/>
      <c r="O961" s="663">
        <v>0.93490804699999996</v>
      </c>
      <c r="Q961" s="157"/>
    </row>
    <row r="962" spans="1:17" ht="18.95" customHeight="1">
      <c r="A962" s="573"/>
      <c r="B962" s="573" t="s">
        <v>273</v>
      </c>
      <c r="C962" s="666" t="s">
        <v>2803</v>
      </c>
      <c r="D962" s="694"/>
      <c r="E962" s="533">
        <v>4</v>
      </c>
      <c r="F962" s="30" t="s">
        <v>349</v>
      </c>
      <c r="G962" s="25">
        <f>35000*0.85</f>
        <v>29750</v>
      </c>
      <c r="H962" s="30">
        <f t="shared" si="246"/>
        <v>27813.514398249998</v>
      </c>
      <c r="I962" s="30">
        <f t="shared" si="253"/>
        <v>111254.05759299999</v>
      </c>
      <c r="J962" s="25">
        <v>3000</v>
      </c>
      <c r="K962" s="25">
        <f t="shared" si="251"/>
        <v>2804.7241409999997</v>
      </c>
      <c r="L962" s="25">
        <f t="shared" si="247"/>
        <v>11218.896563999999</v>
      </c>
      <c r="M962" s="25">
        <f t="shared" si="254"/>
        <v>122472.95415699999</v>
      </c>
      <c r="N962" s="26"/>
      <c r="O962" s="663">
        <v>0.93490804699999996</v>
      </c>
      <c r="Q962" s="157"/>
    </row>
    <row r="963" spans="1:17" ht="18.95" customHeight="1">
      <c r="A963" s="573"/>
      <c r="B963" s="573" t="s">
        <v>273</v>
      </c>
      <c r="C963" s="666" t="s">
        <v>2804</v>
      </c>
      <c r="D963" s="694"/>
      <c r="E963" s="533">
        <v>92</v>
      </c>
      <c r="F963" s="30" t="s">
        <v>349</v>
      </c>
      <c r="G963" s="25">
        <v>935</v>
      </c>
      <c r="H963" s="30">
        <f t="shared" si="246"/>
        <v>874.13902394499996</v>
      </c>
      <c r="I963" s="30">
        <f t="shared" si="253"/>
        <v>80420.790202939999</v>
      </c>
      <c r="J963" s="25">
        <v>200</v>
      </c>
      <c r="K963" s="25">
        <f t="shared" si="251"/>
        <v>186.9816094</v>
      </c>
      <c r="L963" s="25">
        <f t="shared" si="247"/>
        <v>17202.3080648</v>
      </c>
      <c r="M963" s="25">
        <f t="shared" si="254"/>
        <v>97623.098267740002</v>
      </c>
      <c r="N963" s="26"/>
      <c r="O963" s="663">
        <v>0.93490804699999996</v>
      </c>
      <c r="Q963" s="157"/>
    </row>
    <row r="964" spans="1:17" ht="18.95" customHeight="1">
      <c r="A964" s="573"/>
      <c r="B964" s="573" t="s">
        <v>273</v>
      </c>
      <c r="C964" s="666" t="s">
        <v>2805</v>
      </c>
      <c r="D964" s="694"/>
      <c r="E964" s="533">
        <v>1</v>
      </c>
      <c r="F964" s="30" t="s">
        <v>349</v>
      </c>
      <c r="G964" s="25">
        <v>935</v>
      </c>
      <c r="H964" s="30">
        <f t="shared" si="246"/>
        <v>874.13902394499996</v>
      </c>
      <c r="I964" s="30">
        <f t="shared" si="253"/>
        <v>874.13902394499996</v>
      </c>
      <c r="J964" s="25">
        <v>200</v>
      </c>
      <c r="K964" s="25">
        <f t="shared" si="251"/>
        <v>186.9816094</v>
      </c>
      <c r="L964" s="25">
        <f t="shared" si="247"/>
        <v>186.9816094</v>
      </c>
      <c r="M964" s="25">
        <f t="shared" si="254"/>
        <v>1061.120633345</v>
      </c>
      <c r="N964" s="26"/>
      <c r="O964" s="663">
        <v>0.93490804699999996</v>
      </c>
      <c r="Q964" s="157"/>
    </row>
    <row r="965" spans="1:17" ht="18.95" customHeight="1">
      <c r="A965" s="573"/>
      <c r="B965" s="573" t="s">
        <v>273</v>
      </c>
      <c r="C965" s="666" t="s">
        <v>2806</v>
      </c>
      <c r="D965" s="694"/>
      <c r="E965" s="533">
        <v>6</v>
      </c>
      <c r="F965" s="30" t="s">
        <v>349</v>
      </c>
      <c r="G965" s="25">
        <v>723</v>
      </c>
      <c r="H965" s="30">
        <f t="shared" si="246"/>
        <v>675.93851798100002</v>
      </c>
      <c r="I965" s="30">
        <f t="shared" si="253"/>
        <v>4055.6311078859999</v>
      </c>
      <c r="J965" s="25">
        <v>200</v>
      </c>
      <c r="K965" s="25">
        <f t="shared" si="251"/>
        <v>186.9816094</v>
      </c>
      <c r="L965" s="25">
        <f t="shared" si="247"/>
        <v>1121.8896563999999</v>
      </c>
      <c r="M965" s="25">
        <f t="shared" si="254"/>
        <v>5177.5207642859996</v>
      </c>
      <c r="N965" s="26"/>
      <c r="O965" s="663">
        <v>0.93490804699999996</v>
      </c>
      <c r="Q965" s="157"/>
    </row>
    <row r="966" spans="1:17" ht="18.95" customHeight="1">
      <c r="A966" s="573"/>
      <c r="B966" s="573" t="s">
        <v>273</v>
      </c>
      <c r="C966" s="666" t="s">
        <v>2807</v>
      </c>
      <c r="D966" s="694"/>
      <c r="E966" s="533">
        <v>6</v>
      </c>
      <c r="F966" s="30" t="s">
        <v>349</v>
      </c>
      <c r="G966" s="25">
        <v>1870</v>
      </c>
      <c r="H966" s="30">
        <f t="shared" si="246"/>
        <v>1748.2780478899999</v>
      </c>
      <c r="I966" s="30">
        <f t="shared" si="253"/>
        <v>10489.668287339999</v>
      </c>
      <c r="J966" s="25">
        <v>200</v>
      </c>
      <c r="K966" s="25">
        <f t="shared" si="251"/>
        <v>186.9816094</v>
      </c>
      <c r="L966" s="25">
        <f t="shared" si="247"/>
        <v>1121.8896563999999</v>
      </c>
      <c r="M966" s="25">
        <f t="shared" si="254"/>
        <v>11611.557943739999</v>
      </c>
      <c r="N966" s="26"/>
      <c r="O966" s="663">
        <v>0.93490804699999996</v>
      </c>
      <c r="Q966" s="157"/>
    </row>
    <row r="967" spans="1:17" ht="18.95" customHeight="1">
      <c r="A967" s="667" t="s">
        <v>2828</v>
      </c>
      <c r="B967" s="665" t="s">
        <v>2740</v>
      </c>
      <c r="C967" s="666"/>
      <c r="D967" s="660"/>
      <c r="E967" s="533"/>
      <c r="F967" s="30"/>
      <c r="G967" s="25"/>
      <c r="H967" s="30"/>
      <c r="I967" s="30"/>
      <c r="J967" s="25"/>
      <c r="K967" s="25"/>
      <c r="L967" s="25"/>
      <c r="M967" s="25"/>
      <c r="N967" s="26"/>
      <c r="O967" s="663">
        <v>0.93490804699999996</v>
      </c>
      <c r="Q967" s="157"/>
    </row>
    <row r="968" spans="1:17" ht="18.95" customHeight="1">
      <c r="A968" s="573"/>
      <c r="B968" s="573" t="s">
        <v>273</v>
      </c>
      <c r="C968" s="1180" t="s">
        <v>2810</v>
      </c>
      <c r="D968" s="660"/>
      <c r="E968" s="533">
        <v>486</v>
      </c>
      <c r="F968" s="1181" t="s">
        <v>286</v>
      </c>
      <c r="G968" s="30">
        <f>ROUND(900.6/100,2)</f>
        <v>9.01</v>
      </c>
      <c r="H968" s="30">
        <f t="shared" si="246"/>
        <v>8.4235215034699991</v>
      </c>
      <c r="I968" s="30">
        <f t="shared" si="253"/>
        <v>4093.8314506864194</v>
      </c>
      <c r="J968" s="25">
        <v>7</v>
      </c>
      <c r="K968" s="25">
        <f t="shared" si="251"/>
        <v>6.5443563289999993</v>
      </c>
      <c r="L968" s="25">
        <f t="shared" si="247"/>
        <v>3180.5571758939996</v>
      </c>
      <c r="M968" s="25">
        <f>I968+L968</f>
        <v>7274.3886265804194</v>
      </c>
      <c r="N968" s="26"/>
      <c r="O968" s="663">
        <v>0.93490804699999996</v>
      </c>
      <c r="Q968" s="157"/>
    </row>
    <row r="969" spans="1:17" ht="18.95" customHeight="1">
      <c r="A969" s="573"/>
      <c r="B969" s="573" t="s">
        <v>273</v>
      </c>
      <c r="C969" s="1180" t="s">
        <v>2811</v>
      </c>
      <c r="D969" s="660"/>
      <c r="E969" s="533">
        <v>88</v>
      </c>
      <c r="F969" s="1181" t="s">
        <v>286</v>
      </c>
      <c r="G969" s="30">
        <v>31</v>
      </c>
      <c r="H969" s="30">
        <f t="shared" si="246"/>
        <v>28.982149456999998</v>
      </c>
      <c r="I969" s="30">
        <f t="shared" si="253"/>
        <v>2550.4291522159997</v>
      </c>
      <c r="J969" s="25">
        <v>10</v>
      </c>
      <c r="K969" s="25">
        <f t="shared" si="251"/>
        <v>9.3490804700000005</v>
      </c>
      <c r="L969" s="25">
        <f t="shared" si="247"/>
        <v>822.71908136000002</v>
      </c>
      <c r="M969" s="25">
        <f>I969+L969</f>
        <v>3373.1482335759997</v>
      </c>
      <c r="N969" s="26"/>
      <c r="O969" s="663">
        <v>0.93490804699999996</v>
      </c>
      <c r="Q969" s="157"/>
    </row>
    <row r="970" spans="1:17" ht="18.95" customHeight="1">
      <c r="A970" s="651" t="s">
        <v>2829</v>
      </c>
      <c r="B970" s="652" t="s">
        <v>2195</v>
      </c>
      <c r="C970" s="657"/>
      <c r="D970" s="412"/>
      <c r="E970" s="533"/>
      <c r="F970" s="30"/>
      <c r="G970" s="30"/>
      <c r="H970" s="30"/>
      <c r="I970" s="30"/>
      <c r="J970" s="25"/>
      <c r="K970" s="25"/>
      <c r="L970" s="25"/>
      <c r="M970" s="25"/>
      <c r="N970" s="26"/>
      <c r="O970" s="663">
        <v>0.93490804699999996</v>
      </c>
      <c r="Q970" s="157"/>
    </row>
    <row r="971" spans="1:17" ht="18.95" customHeight="1">
      <c r="A971" s="573"/>
      <c r="B971" s="573" t="s">
        <v>273</v>
      </c>
      <c r="C971" s="661" t="s">
        <v>2196</v>
      </c>
      <c r="D971" s="660"/>
      <c r="E971" s="533">
        <v>253</v>
      </c>
      <c r="F971" s="1181" t="s">
        <v>286</v>
      </c>
      <c r="G971" s="30">
        <f>ROUND(93.1/3,2)</f>
        <v>31.03</v>
      </c>
      <c r="H971" s="30">
        <f t="shared" si="246"/>
        <v>29.010196698409999</v>
      </c>
      <c r="I971" s="30">
        <f t="shared" si="253"/>
        <v>7339.5797646977298</v>
      </c>
      <c r="J971" s="25">
        <v>22</v>
      </c>
      <c r="K971" s="25">
        <f t="shared" si="251"/>
        <v>20.567977033999998</v>
      </c>
      <c r="L971" s="25">
        <f t="shared" si="247"/>
        <v>5203.6981896019997</v>
      </c>
      <c r="M971" s="25">
        <f>I971+L971</f>
        <v>12543.27795429973</v>
      </c>
      <c r="N971" s="26"/>
      <c r="O971" s="663">
        <v>0.93490804699999996</v>
      </c>
      <c r="Q971" s="157"/>
    </row>
    <row r="972" spans="1:17" ht="18.95" customHeight="1">
      <c r="A972" s="573"/>
      <c r="B972" s="573" t="s">
        <v>273</v>
      </c>
      <c r="C972" s="661" t="s">
        <v>2197</v>
      </c>
      <c r="D972" s="660"/>
      <c r="E972" s="533">
        <v>48</v>
      </c>
      <c r="F972" s="1181" t="s">
        <v>286</v>
      </c>
      <c r="G972" s="30">
        <f>ROUND(134.4/3,2)</f>
        <v>44.8</v>
      </c>
      <c r="H972" s="30">
        <f t="shared" si="246"/>
        <v>41.883880505599997</v>
      </c>
      <c r="I972" s="30">
        <f t="shared" si="253"/>
        <v>2010.4262642688</v>
      </c>
      <c r="J972" s="25">
        <v>24</v>
      </c>
      <c r="K972" s="25">
        <f t="shared" si="251"/>
        <v>22.437793127999999</v>
      </c>
      <c r="L972" s="25">
        <f t="shared" si="247"/>
        <v>1077.014070144</v>
      </c>
      <c r="M972" s="25">
        <f>I972+L972</f>
        <v>3087.4403344128</v>
      </c>
      <c r="N972" s="26"/>
      <c r="O972" s="663">
        <v>0.93490804699999996</v>
      </c>
      <c r="Q972" s="157"/>
    </row>
    <row r="973" spans="1:17" ht="18.95" customHeight="1">
      <c r="A973" s="667" t="s">
        <v>2830</v>
      </c>
      <c r="B973" s="665" t="s">
        <v>2742</v>
      </c>
      <c r="C973" s="666"/>
      <c r="D973" s="660"/>
      <c r="E973" s="533">
        <v>1</v>
      </c>
      <c r="F973" s="30" t="s">
        <v>2193</v>
      </c>
      <c r="G973" s="670">
        <f>((SUM(I968:I969)*0.05)+(SUM(I971:I972)*0.15)+(SUM(I957:I966)*0.02))</f>
        <v>6369.2961995613205</v>
      </c>
      <c r="H973" s="30">
        <f>G973</f>
        <v>6369.2961995613205</v>
      </c>
      <c r="I973" s="30">
        <f t="shared" si="253"/>
        <v>6369.2961995613205</v>
      </c>
      <c r="J973" s="676">
        <f>G973*0.3</f>
        <v>1910.788859868396</v>
      </c>
      <c r="K973" s="25">
        <f>J973</f>
        <v>1910.788859868396</v>
      </c>
      <c r="L973" s="25">
        <f t="shared" si="247"/>
        <v>1910.788859868396</v>
      </c>
      <c r="M973" s="25">
        <f>I973+L973</f>
        <v>8280.0850594297171</v>
      </c>
      <c r="N973" s="26"/>
      <c r="O973" s="663">
        <v>0.93490804699999996</v>
      </c>
      <c r="Q973" s="157"/>
    </row>
    <row r="974" spans="1:17" ht="18.95" customHeight="1">
      <c r="A974" s="265"/>
      <c r="B974" s="1275" t="s">
        <v>2831</v>
      </c>
      <c r="C974" s="1276"/>
      <c r="D974" s="1277"/>
      <c r="E974" s="646"/>
      <c r="F974" s="102"/>
      <c r="G974" s="34"/>
      <c r="H974" s="30"/>
      <c r="I974" s="34">
        <f>SUM(I874:I973)</f>
        <v>2319862.1637890036</v>
      </c>
      <c r="J974" s="34"/>
      <c r="K974" s="25"/>
      <c r="L974" s="34">
        <f>SUM(L874:L973)</f>
        <v>690369.3191409643</v>
      </c>
      <c r="M974" s="34">
        <f>SUM(M874:M973)</f>
        <v>3010231.4829299701</v>
      </c>
      <c r="N974" s="35"/>
      <c r="O974" s="663">
        <v>0.93490804699999996</v>
      </c>
      <c r="Q974" s="157"/>
    </row>
    <row r="975" spans="1:17" ht="18.95" customHeight="1">
      <c r="A975" s="265"/>
      <c r="B975" s="256"/>
      <c r="C975" s="647"/>
      <c r="D975" s="258"/>
      <c r="E975" s="646"/>
      <c r="F975" s="102"/>
      <c r="G975" s="34"/>
      <c r="H975" s="30"/>
      <c r="I975" s="34"/>
      <c r="J975" s="34"/>
      <c r="K975" s="25"/>
      <c r="L975" s="25"/>
      <c r="M975" s="34"/>
      <c r="N975" s="35"/>
      <c r="O975" s="663">
        <v>0.93490804699999996</v>
      </c>
      <c r="Q975" s="157"/>
    </row>
    <row r="976" spans="1:17" ht="18.95" customHeight="1">
      <c r="A976" s="648">
        <v>16</v>
      </c>
      <c r="B976" s="1182" t="s">
        <v>1987</v>
      </c>
      <c r="C976" s="650"/>
      <c r="D976" s="412"/>
      <c r="E976" s="646"/>
      <c r="F976" s="102"/>
      <c r="G976" s="34"/>
      <c r="H976" s="30"/>
      <c r="I976" s="34"/>
      <c r="J976" s="102"/>
      <c r="K976" s="25"/>
      <c r="L976" s="25"/>
      <c r="M976" s="102"/>
      <c r="N976" s="35"/>
      <c r="O976" s="663">
        <v>0.93490804699999996</v>
      </c>
      <c r="Q976" s="157"/>
    </row>
    <row r="977" spans="1:17" ht="18.95" customHeight="1">
      <c r="A977" s="651">
        <v>16.100000000000001</v>
      </c>
      <c r="B977" s="1353" t="s">
        <v>2744</v>
      </c>
      <c r="C977" s="1354"/>
      <c r="D977" s="1355"/>
      <c r="E977" s="646"/>
      <c r="F977" s="102"/>
      <c r="G977" s="34"/>
      <c r="H977" s="30"/>
      <c r="I977" s="34"/>
      <c r="J977" s="102"/>
      <c r="K977" s="25"/>
      <c r="L977" s="25"/>
      <c r="M977" s="102"/>
      <c r="N977" s="35"/>
      <c r="O977" s="663">
        <v>0.93490804699999996</v>
      </c>
      <c r="Q977" s="157"/>
    </row>
    <row r="978" spans="1:17" ht="18.95" customHeight="1">
      <c r="A978" s="651" t="s">
        <v>2832</v>
      </c>
      <c r="B978" s="665" t="s">
        <v>2833</v>
      </c>
      <c r="C978" s="666"/>
      <c r="D978" s="660"/>
      <c r="E978" s="533">
        <v>3</v>
      </c>
      <c r="F978" s="30" t="s">
        <v>349</v>
      </c>
      <c r="G978" s="67">
        <v>33000</v>
      </c>
      <c r="H978" s="30">
        <f t="shared" si="246"/>
        <v>30851.965550999998</v>
      </c>
      <c r="I978" s="67">
        <f>E978*H978</f>
        <v>92555.896652999989</v>
      </c>
      <c r="J978" s="67">
        <v>1000</v>
      </c>
      <c r="K978" s="25">
        <f t="shared" si="251"/>
        <v>934.90804700000001</v>
      </c>
      <c r="L978" s="25">
        <f t="shared" si="247"/>
        <v>2804.7241410000001</v>
      </c>
      <c r="M978" s="67">
        <f t="shared" ref="M978:M997" si="255">I978+L978</f>
        <v>95360.620793999988</v>
      </c>
      <c r="N978" s="26"/>
      <c r="O978" s="663">
        <v>0.93490804699999996</v>
      </c>
      <c r="Q978" s="157"/>
    </row>
    <row r="979" spans="1:17" ht="18.95" customHeight="1">
      <c r="A979" s="265"/>
      <c r="B979" s="573" t="s">
        <v>273</v>
      </c>
      <c r="C979" s="659" t="s">
        <v>2834</v>
      </c>
      <c r="D979" s="660"/>
      <c r="E979" s="533">
        <v>1</v>
      </c>
      <c r="F979" s="30" t="s">
        <v>349</v>
      </c>
      <c r="G979" s="67">
        <v>134520</v>
      </c>
      <c r="H979" s="30">
        <f t="shared" si="246"/>
        <v>125763.83048244</v>
      </c>
      <c r="I979" s="67">
        <f t="shared" ref="I979:I1003" si="256">E979*H979</f>
        <v>125763.83048244</v>
      </c>
      <c r="J979" s="67">
        <v>1000</v>
      </c>
      <c r="K979" s="25">
        <f t="shared" si="251"/>
        <v>934.90804700000001</v>
      </c>
      <c r="L979" s="25">
        <f t="shared" si="247"/>
        <v>934.90804700000001</v>
      </c>
      <c r="M979" s="67">
        <f t="shared" si="255"/>
        <v>126698.73852944</v>
      </c>
      <c r="N979" s="26"/>
      <c r="O979" s="663">
        <v>0.93490804699999996</v>
      </c>
      <c r="Q979" s="157"/>
    </row>
    <row r="980" spans="1:17" ht="18.95" customHeight="1">
      <c r="A980" s="265"/>
      <c r="B980" s="573" t="s">
        <v>273</v>
      </c>
      <c r="C980" s="659" t="s">
        <v>2835</v>
      </c>
      <c r="D980" s="660"/>
      <c r="E980" s="533">
        <v>3</v>
      </c>
      <c r="F980" s="30" t="s">
        <v>349</v>
      </c>
      <c r="G980" s="25">
        <v>43000</v>
      </c>
      <c r="H980" s="30">
        <f t="shared" si="246"/>
        <v>40201.046021000002</v>
      </c>
      <c r="I980" s="67">
        <f t="shared" si="256"/>
        <v>120603.13806300001</v>
      </c>
      <c r="J980" s="25">
        <v>1000</v>
      </c>
      <c r="K980" s="25">
        <f t="shared" si="251"/>
        <v>934.90804700000001</v>
      </c>
      <c r="L980" s="25">
        <f t="shared" si="247"/>
        <v>2804.7241410000001</v>
      </c>
      <c r="M980" s="67">
        <f t="shared" si="255"/>
        <v>123407.862204</v>
      </c>
      <c r="N980" s="26"/>
      <c r="O980" s="663">
        <v>0.93490804699999996</v>
      </c>
      <c r="Q980" s="157"/>
    </row>
    <row r="981" spans="1:17" ht="18.95" customHeight="1">
      <c r="A981" s="265"/>
      <c r="B981" s="573" t="s">
        <v>273</v>
      </c>
      <c r="C981" s="659" t="s">
        <v>2836</v>
      </c>
      <c r="D981" s="660"/>
      <c r="E981" s="533">
        <v>2</v>
      </c>
      <c r="F981" s="30" t="s">
        <v>349</v>
      </c>
      <c r="G981" s="67">
        <v>306850</v>
      </c>
      <c r="H981" s="30">
        <f t="shared" si="246"/>
        <v>286876.53422194999</v>
      </c>
      <c r="I981" s="67">
        <f t="shared" si="256"/>
        <v>573753.06844389997</v>
      </c>
      <c r="J981" s="67">
        <v>2500</v>
      </c>
      <c r="K981" s="25">
        <f t="shared" si="251"/>
        <v>2337.2701174999997</v>
      </c>
      <c r="L981" s="25">
        <f t="shared" si="247"/>
        <v>4674.5402349999995</v>
      </c>
      <c r="M981" s="67">
        <f t="shared" si="255"/>
        <v>578427.60867889994</v>
      </c>
      <c r="N981" s="26"/>
      <c r="O981" s="663">
        <v>0.93490804699999996</v>
      </c>
      <c r="Q981" s="157"/>
    </row>
    <row r="982" spans="1:17" ht="18.95" customHeight="1">
      <c r="A982" s="265"/>
      <c r="B982" s="573" t="s">
        <v>273</v>
      </c>
      <c r="C982" s="659" t="s">
        <v>2837</v>
      </c>
      <c r="D982" s="660"/>
      <c r="E982" s="533">
        <v>3</v>
      </c>
      <c r="F982" s="30" t="s">
        <v>349</v>
      </c>
      <c r="G982" s="67">
        <v>70000</v>
      </c>
      <c r="H982" s="30">
        <f t="shared" si="246"/>
        <v>65443.563289999998</v>
      </c>
      <c r="I982" s="67">
        <f t="shared" si="256"/>
        <v>196330.68987</v>
      </c>
      <c r="J982" s="67">
        <v>1000</v>
      </c>
      <c r="K982" s="25">
        <f t="shared" si="251"/>
        <v>934.90804700000001</v>
      </c>
      <c r="L982" s="25">
        <f t="shared" si="247"/>
        <v>2804.7241410000001</v>
      </c>
      <c r="M982" s="67">
        <f t="shared" si="255"/>
        <v>199135.41401100002</v>
      </c>
      <c r="N982" s="26"/>
      <c r="O982" s="663">
        <v>0.93490804699999996</v>
      </c>
      <c r="Q982" s="157"/>
    </row>
    <row r="983" spans="1:17" ht="18.95" customHeight="1">
      <c r="A983" s="265"/>
      <c r="B983" s="573" t="s">
        <v>273</v>
      </c>
      <c r="C983" s="659" t="s">
        <v>2838</v>
      </c>
      <c r="D983" s="660"/>
      <c r="E983" s="533">
        <v>4</v>
      </c>
      <c r="F983" s="30" t="s">
        <v>349</v>
      </c>
      <c r="G983" s="67">
        <v>22000</v>
      </c>
      <c r="H983" s="30">
        <f t="shared" ref="H983:H1046" si="257">G983*O983</f>
        <v>20567.977034</v>
      </c>
      <c r="I983" s="67">
        <f t="shared" si="256"/>
        <v>82271.908135999998</v>
      </c>
      <c r="J983" s="67">
        <v>1000</v>
      </c>
      <c r="K983" s="25">
        <f t="shared" si="251"/>
        <v>934.90804700000001</v>
      </c>
      <c r="L983" s="25">
        <f t="shared" ref="L983:L1003" si="258">E983*K983</f>
        <v>3739.632188</v>
      </c>
      <c r="M983" s="67">
        <f t="shared" si="255"/>
        <v>86011.540324000001</v>
      </c>
      <c r="N983" s="26"/>
      <c r="O983" s="663">
        <v>0.93490804699999996</v>
      </c>
      <c r="Q983" s="157"/>
    </row>
    <row r="984" spans="1:17" ht="18.95" customHeight="1">
      <c r="A984" s="265"/>
      <c r="B984" s="573" t="s">
        <v>273</v>
      </c>
      <c r="C984" s="659" t="s">
        <v>2839</v>
      </c>
      <c r="D984" s="660"/>
      <c r="E984" s="533">
        <v>1</v>
      </c>
      <c r="F984" s="30" t="s">
        <v>349</v>
      </c>
      <c r="G984" s="67">
        <v>8000</v>
      </c>
      <c r="H984" s="30">
        <f t="shared" si="257"/>
        <v>7479.2643760000001</v>
      </c>
      <c r="I984" s="67">
        <f t="shared" si="256"/>
        <v>7479.2643760000001</v>
      </c>
      <c r="J984" s="67">
        <v>1000</v>
      </c>
      <c r="K984" s="25">
        <f t="shared" si="251"/>
        <v>934.90804700000001</v>
      </c>
      <c r="L984" s="25">
        <f t="shared" si="258"/>
        <v>934.90804700000001</v>
      </c>
      <c r="M984" s="67">
        <f t="shared" si="255"/>
        <v>8414.172423</v>
      </c>
      <c r="N984" s="26"/>
      <c r="O984" s="663">
        <v>0.93490804699999996</v>
      </c>
      <c r="Q984" s="157"/>
    </row>
    <row r="985" spans="1:17" ht="18.95" customHeight="1">
      <c r="A985" s="265"/>
      <c r="B985" s="573" t="s">
        <v>273</v>
      </c>
      <c r="C985" s="659" t="s">
        <v>2840</v>
      </c>
      <c r="D985" s="660"/>
      <c r="E985" s="533">
        <v>24</v>
      </c>
      <c r="F985" s="30" t="s">
        <v>349</v>
      </c>
      <c r="G985" s="67">
        <v>9975</v>
      </c>
      <c r="H985" s="30">
        <f t="shared" si="257"/>
        <v>9325.7077688249992</v>
      </c>
      <c r="I985" s="67">
        <f t="shared" si="256"/>
        <v>223816.98645179998</v>
      </c>
      <c r="J985" s="67">
        <v>650</v>
      </c>
      <c r="K985" s="25">
        <f t="shared" si="251"/>
        <v>607.69023055000002</v>
      </c>
      <c r="L985" s="25">
        <f t="shared" si="258"/>
        <v>14584.565533200001</v>
      </c>
      <c r="M985" s="67">
        <f t="shared" si="255"/>
        <v>238401.55198499997</v>
      </c>
      <c r="N985" s="26"/>
      <c r="O985" s="663">
        <v>0.93490804699999996</v>
      </c>
      <c r="Q985" s="157"/>
    </row>
    <row r="986" spans="1:17" ht="18.95" customHeight="1">
      <c r="A986" s="265"/>
      <c r="B986" s="573" t="s">
        <v>273</v>
      </c>
      <c r="C986" s="659" t="s">
        <v>2841</v>
      </c>
      <c r="D986" s="660"/>
      <c r="E986" s="533">
        <v>10</v>
      </c>
      <c r="F986" s="30" t="s">
        <v>349</v>
      </c>
      <c r="G986" s="67">
        <v>10000</v>
      </c>
      <c r="H986" s="30">
        <f t="shared" si="257"/>
        <v>9349.080469999999</v>
      </c>
      <c r="I986" s="67">
        <f t="shared" si="256"/>
        <v>93490.804699999993</v>
      </c>
      <c r="J986" s="67">
        <v>1000</v>
      </c>
      <c r="K986" s="25">
        <f t="shared" si="251"/>
        <v>934.90804700000001</v>
      </c>
      <c r="L986" s="25">
        <f t="shared" si="258"/>
        <v>9349.0804700000008</v>
      </c>
      <c r="M986" s="67">
        <f t="shared" si="255"/>
        <v>102839.88516999999</v>
      </c>
      <c r="N986" s="26"/>
      <c r="O986" s="663">
        <v>0.93490804699999996</v>
      </c>
      <c r="Q986" s="157"/>
    </row>
    <row r="987" spans="1:17" ht="18.95" customHeight="1">
      <c r="A987" s="265"/>
      <c r="B987" s="573" t="s">
        <v>273</v>
      </c>
      <c r="C987" s="659" t="s">
        <v>2842</v>
      </c>
      <c r="D987" s="660"/>
      <c r="E987" s="533">
        <v>3</v>
      </c>
      <c r="F987" s="30" t="s">
        <v>349</v>
      </c>
      <c r="G987" s="25">
        <v>4200</v>
      </c>
      <c r="H987" s="30">
        <f t="shared" si="257"/>
        <v>3926.6137973999998</v>
      </c>
      <c r="I987" s="67">
        <f t="shared" si="256"/>
        <v>11779.8413922</v>
      </c>
      <c r="J987" s="25">
        <v>500</v>
      </c>
      <c r="K987" s="25">
        <f t="shared" si="251"/>
        <v>467.45402350000001</v>
      </c>
      <c r="L987" s="25">
        <f t="shared" si="258"/>
        <v>1402.3620705000001</v>
      </c>
      <c r="M987" s="67">
        <f t="shared" si="255"/>
        <v>13182.203462699999</v>
      </c>
      <c r="N987" s="26"/>
      <c r="O987" s="663">
        <v>0.93490804699999996</v>
      </c>
      <c r="Q987" s="157"/>
    </row>
    <row r="988" spans="1:17" ht="18.95" customHeight="1">
      <c r="A988" s="265"/>
      <c r="B988" s="573" t="s">
        <v>273</v>
      </c>
      <c r="C988" s="659" t="s">
        <v>2843</v>
      </c>
      <c r="D988" s="660"/>
      <c r="E988" s="533">
        <v>3</v>
      </c>
      <c r="F988" s="30" t="s">
        <v>349</v>
      </c>
      <c r="G988" s="25">
        <v>3000</v>
      </c>
      <c r="H988" s="30">
        <f t="shared" si="257"/>
        <v>2804.7241409999997</v>
      </c>
      <c r="I988" s="67">
        <f t="shared" si="256"/>
        <v>8414.172423</v>
      </c>
      <c r="J988" s="25">
        <v>500</v>
      </c>
      <c r="K988" s="25">
        <f t="shared" si="251"/>
        <v>467.45402350000001</v>
      </c>
      <c r="L988" s="25">
        <f t="shared" si="258"/>
        <v>1402.3620705000001</v>
      </c>
      <c r="M988" s="67">
        <f t="shared" si="255"/>
        <v>9816.5344934999994</v>
      </c>
      <c r="N988" s="26"/>
      <c r="O988" s="663">
        <v>0.93490804699999996</v>
      </c>
      <c r="Q988" s="157"/>
    </row>
    <row r="989" spans="1:17" ht="18.95" customHeight="1">
      <c r="A989" s="265"/>
      <c r="B989" s="573" t="s">
        <v>273</v>
      </c>
      <c r="C989" s="659" t="s">
        <v>2844</v>
      </c>
      <c r="D989" s="660"/>
      <c r="E989" s="533">
        <v>72</v>
      </c>
      <c r="F989" s="30" t="s">
        <v>349</v>
      </c>
      <c r="G989" s="25">
        <v>150</v>
      </c>
      <c r="H989" s="30">
        <f t="shared" si="257"/>
        <v>140.23620704999999</v>
      </c>
      <c r="I989" s="67">
        <f t="shared" si="256"/>
        <v>10097.0069076</v>
      </c>
      <c r="J989" s="25">
        <v>0</v>
      </c>
      <c r="K989" s="25">
        <f t="shared" si="251"/>
        <v>0</v>
      </c>
      <c r="L989" s="25">
        <f t="shared" si="258"/>
        <v>0</v>
      </c>
      <c r="M989" s="67">
        <f t="shared" si="255"/>
        <v>10097.0069076</v>
      </c>
      <c r="N989" s="26"/>
      <c r="O989" s="663">
        <v>0.93490804699999996</v>
      </c>
      <c r="Q989" s="157"/>
    </row>
    <row r="990" spans="1:17" ht="18.95" customHeight="1">
      <c r="A990" s="265"/>
      <c r="B990" s="573" t="s">
        <v>273</v>
      </c>
      <c r="C990" s="659" t="s">
        <v>2845</v>
      </c>
      <c r="D990" s="660"/>
      <c r="E990" s="533">
        <v>4</v>
      </c>
      <c r="F990" s="30" t="s">
        <v>349</v>
      </c>
      <c r="G990" s="25">
        <v>6000</v>
      </c>
      <c r="H990" s="30">
        <f t="shared" si="257"/>
        <v>5609.4482819999994</v>
      </c>
      <c r="I990" s="67">
        <f t="shared" si="256"/>
        <v>22437.793127999998</v>
      </c>
      <c r="J990" s="25">
        <v>250</v>
      </c>
      <c r="K990" s="25">
        <f t="shared" si="251"/>
        <v>233.72701175</v>
      </c>
      <c r="L990" s="25">
        <f t="shared" si="258"/>
        <v>934.90804700000001</v>
      </c>
      <c r="M990" s="67">
        <f t="shared" si="255"/>
        <v>23372.701174999998</v>
      </c>
      <c r="N990" s="26"/>
      <c r="O990" s="663">
        <v>0.93490804699999996</v>
      </c>
      <c r="Q990" s="157"/>
    </row>
    <row r="991" spans="1:17" ht="18.95" customHeight="1">
      <c r="A991" s="265"/>
      <c r="B991" s="573" t="s">
        <v>273</v>
      </c>
      <c r="C991" s="659" t="s">
        <v>2846</v>
      </c>
      <c r="D991" s="660"/>
      <c r="E991" s="533">
        <v>2</v>
      </c>
      <c r="F991" s="30" t="s">
        <v>349</v>
      </c>
      <c r="G991" s="25">
        <v>130000</v>
      </c>
      <c r="H991" s="30">
        <f t="shared" si="257"/>
        <v>121538.04611</v>
      </c>
      <c r="I991" s="67">
        <f t="shared" si="256"/>
        <v>243076.09221999999</v>
      </c>
      <c r="J991" s="25">
        <v>500</v>
      </c>
      <c r="K991" s="25">
        <f t="shared" si="251"/>
        <v>467.45402350000001</v>
      </c>
      <c r="L991" s="25">
        <f t="shared" si="258"/>
        <v>934.90804700000001</v>
      </c>
      <c r="M991" s="67">
        <f t="shared" si="255"/>
        <v>244011.000267</v>
      </c>
      <c r="N991" s="26"/>
      <c r="O991" s="663">
        <v>0.93490804699999996</v>
      </c>
      <c r="Q991" s="157"/>
    </row>
    <row r="992" spans="1:17" ht="18.95" customHeight="1">
      <c r="A992" s="265"/>
      <c r="B992" s="573" t="s">
        <v>273</v>
      </c>
      <c r="C992" s="659" t="s">
        <v>2797</v>
      </c>
      <c r="D992" s="660"/>
      <c r="E992" s="533">
        <v>2</v>
      </c>
      <c r="F992" s="30" t="s">
        <v>349</v>
      </c>
      <c r="G992" s="25">
        <v>22500</v>
      </c>
      <c r="H992" s="30">
        <f t="shared" si="257"/>
        <v>21035.431057499998</v>
      </c>
      <c r="I992" s="67">
        <f t="shared" si="256"/>
        <v>42070.862114999996</v>
      </c>
      <c r="J992" s="25">
        <v>500</v>
      </c>
      <c r="K992" s="25">
        <f t="shared" si="251"/>
        <v>467.45402350000001</v>
      </c>
      <c r="L992" s="25">
        <f t="shared" si="258"/>
        <v>934.90804700000001</v>
      </c>
      <c r="M992" s="67">
        <f t="shared" si="255"/>
        <v>43005.770161999993</v>
      </c>
      <c r="N992" s="26"/>
      <c r="O992" s="663">
        <v>0.93490804699999996</v>
      </c>
      <c r="Q992" s="157"/>
    </row>
    <row r="993" spans="1:17" ht="18.95" customHeight="1">
      <c r="A993" s="265"/>
      <c r="B993" s="573" t="s">
        <v>273</v>
      </c>
      <c r="C993" s="661" t="s">
        <v>2847</v>
      </c>
      <c r="D993" s="693"/>
      <c r="E993" s="533">
        <v>30</v>
      </c>
      <c r="F993" s="30" t="s">
        <v>349</v>
      </c>
      <c r="G993" s="67">
        <v>13500</v>
      </c>
      <c r="H993" s="30">
        <f t="shared" si="257"/>
        <v>12621.2586345</v>
      </c>
      <c r="I993" s="67">
        <f t="shared" si="256"/>
        <v>378637.759035</v>
      </c>
      <c r="J993" s="67">
        <v>500</v>
      </c>
      <c r="K993" s="25">
        <f t="shared" si="251"/>
        <v>467.45402350000001</v>
      </c>
      <c r="L993" s="25">
        <f t="shared" si="258"/>
        <v>14023.620704999999</v>
      </c>
      <c r="M993" s="67">
        <f t="shared" si="255"/>
        <v>392661.37974</v>
      </c>
      <c r="N993" s="26"/>
      <c r="O993" s="663">
        <v>0.93490804699999996</v>
      </c>
      <c r="Q993" s="157"/>
    </row>
    <row r="994" spans="1:17" ht="18.95" customHeight="1">
      <c r="A994" s="265"/>
      <c r="B994" s="573" t="s">
        <v>273</v>
      </c>
      <c r="C994" s="661" t="s">
        <v>2848</v>
      </c>
      <c r="D994" s="693"/>
      <c r="E994" s="533">
        <v>8</v>
      </c>
      <c r="F994" s="30" t="s">
        <v>349</v>
      </c>
      <c r="G994" s="67">
        <v>14000</v>
      </c>
      <c r="H994" s="30">
        <f t="shared" si="257"/>
        <v>13088.712658</v>
      </c>
      <c r="I994" s="67">
        <f t="shared" si="256"/>
        <v>104709.701264</v>
      </c>
      <c r="J994" s="67">
        <v>500</v>
      </c>
      <c r="K994" s="25">
        <f t="shared" si="251"/>
        <v>467.45402350000001</v>
      </c>
      <c r="L994" s="25">
        <f t="shared" si="258"/>
        <v>3739.632188</v>
      </c>
      <c r="M994" s="67">
        <f t="shared" si="255"/>
        <v>108449.33345200001</v>
      </c>
      <c r="N994" s="26"/>
      <c r="O994" s="663">
        <v>0.93490804699999996</v>
      </c>
      <c r="Q994" s="157"/>
    </row>
    <row r="995" spans="1:17" ht="18.95" customHeight="1">
      <c r="A995" s="265"/>
      <c r="B995" s="573" t="s">
        <v>273</v>
      </c>
      <c r="C995" s="661" t="s">
        <v>2849</v>
      </c>
      <c r="D995" s="693"/>
      <c r="E995" s="533"/>
      <c r="F995" s="30" t="s">
        <v>349</v>
      </c>
      <c r="G995" s="67">
        <v>10000</v>
      </c>
      <c r="H995" s="30">
        <f t="shared" si="257"/>
        <v>9349.080469999999</v>
      </c>
      <c r="I995" s="67">
        <f t="shared" si="256"/>
        <v>0</v>
      </c>
      <c r="J995" s="67">
        <v>500</v>
      </c>
      <c r="K995" s="25">
        <f t="shared" si="251"/>
        <v>467.45402350000001</v>
      </c>
      <c r="L995" s="25">
        <f t="shared" si="258"/>
        <v>0</v>
      </c>
      <c r="M995" s="67">
        <f t="shared" si="255"/>
        <v>0</v>
      </c>
      <c r="N995" s="26"/>
      <c r="O995" s="663">
        <v>0.93490804699999996</v>
      </c>
      <c r="Q995" s="157"/>
    </row>
    <row r="996" spans="1:17" ht="18.95" customHeight="1">
      <c r="A996" s="265"/>
      <c r="B996" s="573" t="s">
        <v>273</v>
      </c>
      <c r="C996" s="659" t="s">
        <v>2850</v>
      </c>
      <c r="D996" s="660"/>
      <c r="E996" s="533">
        <v>0</v>
      </c>
      <c r="F996" s="30" t="s">
        <v>349</v>
      </c>
      <c r="G996" s="67">
        <v>10000</v>
      </c>
      <c r="H996" s="30">
        <f t="shared" si="257"/>
        <v>9349.080469999999</v>
      </c>
      <c r="I996" s="67">
        <f t="shared" si="256"/>
        <v>0</v>
      </c>
      <c r="J996" s="67">
        <v>500</v>
      </c>
      <c r="K996" s="25">
        <f t="shared" si="251"/>
        <v>467.45402350000001</v>
      </c>
      <c r="L996" s="25">
        <f t="shared" si="258"/>
        <v>0</v>
      </c>
      <c r="M996" s="67">
        <f t="shared" si="255"/>
        <v>0</v>
      </c>
      <c r="N996" s="26"/>
      <c r="O996" s="663">
        <v>0.93490804699999996</v>
      </c>
      <c r="Q996" s="157"/>
    </row>
    <row r="997" spans="1:17" ht="18.95" customHeight="1">
      <c r="A997" s="265"/>
      <c r="B997" s="573" t="s">
        <v>273</v>
      </c>
      <c r="C997" s="659" t="s">
        <v>2851</v>
      </c>
      <c r="D997" s="660"/>
      <c r="E997" s="533"/>
      <c r="F997" s="30" t="s">
        <v>349</v>
      </c>
      <c r="G997" s="67">
        <v>9500</v>
      </c>
      <c r="H997" s="30">
        <f t="shared" si="257"/>
        <v>8881.6264465000004</v>
      </c>
      <c r="I997" s="67">
        <f t="shared" si="256"/>
        <v>0</v>
      </c>
      <c r="J997" s="67">
        <v>500</v>
      </c>
      <c r="K997" s="25">
        <f t="shared" si="251"/>
        <v>467.45402350000001</v>
      </c>
      <c r="L997" s="25">
        <f t="shared" si="258"/>
        <v>0</v>
      </c>
      <c r="M997" s="67">
        <f t="shared" si="255"/>
        <v>0</v>
      </c>
      <c r="N997" s="26"/>
      <c r="O997" s="663">
        <v>0.93490804699999996</v>
      </c>
      <c r="Q997" s="157"/>
    </row>
    <row r="998" spans="1:17" ht="18.95" customHeight="1">
      <c r="A998" s="667" t="s">
        <v>2852</v>
      </c>
      <c r="B998" s="665" t="s">
        <v>2740</v>
      </c>
      <c r="C998" s="666"/>
      <c r="D998" s="660"/>
      <c r="E998" s="533"/>
      <c r="F998" s="30"/>
      <c r="G998" s="67"/>
      <c r="H998" s="30"/>
      <c r="I998" s="67"/>
      <c r="J998" s="67"/>
      <c r="K998" s="25"/>
      <c r="L998" s="25"/>
      <c r="M998" s="67"/>
      <c r="N998" s="26"/>
      <c r="O998" s="663">
        <v>0.93490804699999996</v>
      </c>
      <c r="Q998" s="157"/>
    </row>
    <row r="999" spans="1:17" ht="18.95" customHeight="1">
      <c r="A999" s="265"/>
      <c r="B999" s="573" t="s">
        <v>273</v>
      </c>
      <c r="C999" s="666" t="s">
        <v>2853</v>
      </c>
      <c r="D999" s="660"/>
      <c r="E999" s="533">
        <v>200</v>
      </c>
      <c r="F999" s="30" t="s">
        <v>286</v>
      </c>
      <c r="G999" s="30">
        <v>40</v>
      </c>
      <c r="H999" s="30">
        <f t="shared" si="257"/>
        <v>37.396321880000002</v>
      </c>
      <c r="I999" s="67">
        <f t="shared" si="256"/>
        <v>7479.2643760000001</v>
      </c>
      <c r="J999" s="25">
        <v>30</v>
      </c>
      <c r="K999" s="25">
        <f t="shared" si="251"/>
        <v>28.047241409999998</v>
      </c>
      <c r="L999" s="25">
        <f t="shared" si="258"/>
        <v>5609.4482819999994</v>
      </c>
      <c r="M999" s="25">
        <f>I999+L999</f>
        <v>13088.712658</v>
      </c>
      <c r="N999" s="26"/>
      <c r="O999" s="663">
        <v>0.93490804699999996</v>
      </c>
      <c r="Q999" s="157"/>
    </row>
    <row r="1000" spans="1:17" ht="18.95" customHeight="1">
      <c r="A1000" s="265"/>
      <c r="B1000" s="573" t="s">
        <v>273</v>
      </c>
      <c r="C1000" s="666" t="s">
        <v>2741</v>
      </c>
      <c r="D1000" s="660"/>
      <c r="E1000" s="533">
        <v>1850</v>
      </c>
      <c r="F1000" s="30" t="s">
        <v>286</v>
      </c>
      <c r="G1000" s="30">
        <v>16</v>
      </c>
      <c r="H1000" s="30">
        <f t="shared" si="257"/>
        <v>14.958528751999999</v>
      </c>
      <c r="I1000" s="67">
        <f t="shared" si="256"/>
        <v>27673.278191199999</v>
      </c>
      <c r="J1000" s="25">
        <v>10</v>
      </c>
      <c r="K1000" s="25">
        <f t="shared" si="251"/>
        <v>9.3490804700000005</v>
      </c>
      <c r="L1000" s="25">
        <f t="shared" si="258"/>
        <v>17295.798869500002</v>
      </c>
      <c r="M1000" s="25">
        <f>I1000+L1000</f>
        <v>44969.077060700001</v>
      </c>
      <c r="N1000" s="26"/>
      <c r="O1000" s="663">
        <v>0.93490804699999996</v>
      </c>
      <c r="Q1000" s="157"/>
    </row>
    <row r="1001" spans="1:17" ht="18.95" customHeight="1">
      <c r="A1001" s="667" t="s">
        <v>2854</v>
      </c>
      <c r="B1001" s="652" t="s">
        <v>2195</v>
      </c>
      <c r="C1001" s="657"/>
      <c r="D1001" s="412"/>
      <c r="E1001" s="533"/>
      <c r="F1001" s="30"/>
      <c r="G1001" s="67"/>
      <c r="H1001" s="30"/>
      <c r="I1001" s="67"/>
      <c r="J1001" s="67"/>
      <c r="K1001" s="25"/>
      <c r="L1001" s="25"/>
      <c r="M1001" s="67"/>
      <c r="N1001" s="26"/>
      <c r="O1001" s="663">
        <v>0.93490804699999996</v>
      </c>
      <c r="Q1001" s="157"/>
    </row>
    <row r="1002" spans="1:17" ht="18.95" customHeight="1">
      <c r="A1002" s="265"/>
      <c r="B1002" s="573" t="s">
        <v>273</v>
      </c>
      <c r="C1002" s="661" t="s">
        <v>2196</v>
      </c>
      <c r="D1002" s="660"/>
      <c r="E1002" s="533">
        <v>1850</v>
      </c>
      <c r="F1002" s="1181" t="s">
        <v>286</v>
      </c>
      <c r="G1002" s="30">
        <f>ROUND(93.1/3,2)</f>
        <v>31.03</v>
      </c>
      <c r="H1002" s="30">
        <f t="shared" si="257"/>
        <v>29.010196698409999</v>
      </c>
      <c r="I1002" s="67">
        <f t="shared" si="256"/>
        <v>53668.8638920585</v>
      </c>
      <c r="J1002" s="67">
        <v>22</v>
      </c>
      <c r="K1002" s="25">
        <f t="shared" ref="K1002:K1065" si="259">J1002*O1002</f>
        <v>20.567977033999998</v>
      </c>
      <c r="L1002" s="25">
        <f t="shared" si="258"/>
        <v>38050.757512899996</v>
      </c>
      <c r="M1002" s="67">
        <f>I1002+L1002</f>
        <v>91719.621404958496</v>
      </c>
      <c r="N1002" s="26"/>
      <c r="O1002" s="663">
        <v>0.93490804699999996</v>
      </c>
      <c r="Q1002" s="157"/>
    </row>
    <row r="1003" spans="1:17" ht="18.95" customHeight="1">
      <c r="A1003" s="667" t="s">
        <v>2855</v>
      </c>
      <c r="B1003" s="665" t="s">
        <v>2742</v>
      </c>
      <c r="C1003" s="666"/>
      <c r="D1003" s="660"/>
      <c r="E1003" s="533">
        <v>1</v>
      </c>
      <c r="F1003" s="30" t="s">
        <v>2193</v>
      </c>
      <c r="G1003" s="670">
        <f>(SUM(I999:I1000)*0.05)+(SUM(I1002*0.15)+(SUM(I978:I997)*0.02))</f>
        <v>56553.733025387563</v>
      </c>
      <c r="H1003" s="30">
        <f>G1003</f>
        <v>56553.733025387563</v>
      </c>
      <c r="I1003" s="67">
        <f t="shared" si="256"/>
        <v>56553.733025387563</v>
      </c>
      <c r="J1003" s="696">
        <f>G1003*0.3</f>
        <v>16966.119907616267</v>
      </c>
      <c r="K1003" s="25">
        <f>J1003</f>
        <v>16966.119907616267</v>
      </c>
      <c r="L1003" s="25">
        <f t="shared" si="258"/>
        <v>16966.119907616267</v>
      </c>
      <c r="M1003" s="67">
        <f>I1003+L1003</f>
        <v>73519.852933003829</v>
      </c>
      <c r="N1003" s="26"/>
      <c r="O1003" s="663">
        <v>0.93490804699999996</v>
      </c>
      <c r="Q1003" s="157"/>
    </row>
    <row r="1004" spans="1:17" ht="18.95" customHeight="1">
      <c r="A1004" s="265"/>
      <c r="B1004" s="667"/>
      <c r="C1004" s="666"/>
      <c r="D1004" s="660"/>
      <c r="E1004" s="533"/>
      <c r="F1004" s="30"/>
      <c r="G1004" s="67"/>
      <c r="H1004" s="30"/>
      <c r="I1004" s="67"/>
      <c r="J1004" s="67"/>
      <c r="K1004" s="25"/>
      <c r="L1004" s="25"/>
      <c r="M1004" s="67"/>
      <c r="N1004" s="26"/>
      <c r="O1004" s="663">
        <v>0.93490804699999996</v>
      </c>
      <c r="Q1004" s="157"/>
    </row>
    <row r="1005" spans="1:17" ht="18.95" customHeight="1">
      <c r="A1005" s="265">
        <v>16.2</v>
      </c>
      <c r="B1005" s="1353" t="s">
        <v>2770</v>
      </c>
      <c r="C1005" s="1354"/>
      <c r="D1005" s="1355"/>
      <c r="E1005" s="533"/>
      <c r="F1005" s="30"/>
      <c r="G1005" s="67"/>
      <c r="H1005" s="30"/>
      <c r="I1005" s="67"/>
      <c r="J1005" s="67"/>
      <c r="K1005" s="25"/>
      <c r="L1005" s="67"/>
      <c r="M1005" s="67"/>
      <c r="N1005" s="26"/>
      <c r="O1005" s="663">
        <v>0.93490804699999996</v>
      </c>
      <c r="Q1005" s="157"/>
    </row>
    <row r="1006" spans="1:17" ht="18.95" customHeight="1">
      <c r="A1006" s="651" t="s">
        <v>2856</v>
      </c>
      <c r="B1006" s="665" t="s">
        <v>2833</v>
      </c>
      <c r="C1006" s="666"/>
      <c r="D1006" s="660"/>
      <c r="E1006" s="533">
        <v>2</v>
      </c>
      <c r="F1006" s="30" t="s">
        <v>349</v>
      </c>
      <c r="G1006" s="67">
        <v>33000</v>
      </c>
      <c r="H1006" s="30">
        <f t="shared" si="257"/>
        <v>30851.965550999998</v>
      </c>
      <c r="I1006" s="67">
        <f t="shared" ref="I1006:I1023" si="260">E1006*H1006</f>
        <v>61703.931101999995</v>
      </c>
      <c r="J1006" s="67">
        <v>1000</v>
      </c>
      <c r="K1006" s="25">
        <f t="shared" si="259"/>
        <v>934.90804700000001</v>
      </c>
      <c r="L1006" s="25">
        <f t="shared" ref="L1006:L1069" si="261">E1006*K1006</f>
        <v>1869.816094</v>
      </c>
      <c r="M1006" s="67">
        <f t="shared" ref="M1006:M1017" si="262">I1006+L1006</f>
        <v>63573.747195999997</v>
      </c>
      <c r="N1006" s="26"/>
      <c r="O1006" s="663">
        <v>0.93490804699999996</v>
      </c>
      <c r="Q1006" s="157"/>
    </row>
    <row r="1007" spans="1:17" ht="18.95" customHeight="1">
      <c r="A1007" s="265"/>
      <c r="B1007" s="573" t="s">
        <v>273</v>
      </c>
      <c r="C1007" s="659" t="s">
        <v>2835</v>
      </c>
      <c r="D1007" s="660"/>
      <c r="E1007" s="533">
        <v>2</v>
      </c>
      <c r="F1007" s="30" t="s">
        <v>349</v>
      </c>
      <c r="G1007" s="25">
        <v>43000</v>
      </c>
      <c r="H1007" s="30">
        <f t="shared" si="257"/>
        <v>40201.046021000002</v>
      </c>
      <c r="I1007" s="67">
        <f t="shared" si="260"/>
        <v>80402.092042000004</v>
      </c>
      <c r="J1007" s="25">
        <v>1000</v>
      </c>
      <c r="K1007" s="25">
        <f t="shared" si="259"/>
        <v>934.90804700000001</v>
      </c>
      <c r="L1007" s="25">
        <f t="shared" si="261"/>
        <v>1869.816094</v>
      </c>
      <c r="M1007" s="67">
        <f t="shared" si="262"/>
        <v>82271.908135999998</v>
      </c>
      <c r="N1007" s="26"/>
      <c r="O1007" s="663">
        <v>0.93490804699999996</v>
      </c>
      <c r="Q1007" s="157"/>
    </row>
    <row r="1008" spans="1:17" ht="18.95" customHeight="1">
      <c r="A1008" s="265"/>
      <c r="B1008" s="573" t="s">
        <v>273</v>
      </c>
      <c r="C1008" s="659" t="s">
        <v>2842</v>
      </c>
      <c r="D1008" s="660"/>
      <c r="E1008" s="533">
        <v>2</v>
      </c>
      <c r="F1008" s="30" t="s">
        <v>349</v>
      </c>
      <c r="G1008" s="25">
        <v>4200</v>
      </c>
      <c r="H1008" s="30">
        <f t="shared" si="257"/>
        <v>3926.6137973999998</v>
      </c>
      <c r="I1008" s="67">
        <f t="shared" si="260"/>
        <v>7853.2275947999997</v>
      </c>
      <c r="J1008" s="25">
        <v>500</v>
      </c>
      <c r="K1008" s="25">
        <f t="shared" si="259"/>
        <v>467.45402350000001</v>
      </c>
      <c r="L1008" s="25">
        <f t="shared" si="261"/>
        <v>934.90804700000001</v>
      </c>
      <c r="M1008" s="67">
        <f t="shared" si="262"/>
        <v>8788.1356417999996</v>
      </c>
      <c r="N1008" s="26"/>
      <c r="O1008" s="663">
        <v>0.93490804699999996</v>
      </c>
      <c r="Q1008" s="157"/>
    </row>
    <row r="1009" spans="1:17" ht="18.95" customHeight="1">
      <c r="A1009" s="265"/>
      <c r="B1009" s="573" t="s">
        <v>273</v>
      </c>
      <c r="C1009" s="659" t="s">
        <v>2843</v>
      </c>
      <c r="D1009" s="660"/>
      <c r="E1009" s="533">
        <v>2</v>
      </c>
      <c r="F1009" s="30" t="s">
        <v>349</v>
      </c>
      <c r="G1009" s="25">
        <v>3000</v>
      </c>
      <c r="H1009" s="30">
        <f t="shared" si="257"/>
        <v>2804.7241409999997</v>
      </c>
      <c r="I1009" s="67">
        <f t="shared" si="260"/>
        <v>5609.4482819999994</v>
      </c>
      <c r="J1009" s="25">
        <v>500</v>
      </c>
      <c r="K1009" s="25">
        <f t="shared" si="259"/>
        <v>467.45402350000001</v>
      </c>
      <c r="L1009" s="25">
        <f t="shared" si="261"/>
        <v>934.90804700000001</v>
      </c>
      <c r="M1009" s="67">
        <f t="shared" si="262"/>
        <v>6544.3563289999993</v>
      </c>
      <c r="N1009" s="26"/>
      <c r="O1009" s="663">
        <v>0.93490804699999996</v>
      </c>
      <c r="Q1009" s="157"/>
    </row>
    <row r="1010" spans="1:17" ht="18.95" customHeight="1">
      <c r="A1010" s="265"/>
      <c r="B1010" s="573" t="s">
        <v>273</v>
      </c>
      <c r="C1010" s="659" t="s">
        <v>2844</v>
      </c>
      <c r="D1010" s="660"/>
      <c r="E1010" s="533">
        <v>48</v>
      </c>
      <c r="F1010" s="30" t="s">
        <v>349</v>
      </c>
      <c r="G1010" s="25">
        <v>150</v>
      </c>
      <c r="H1010" s="30">
        <f t="shared" si="257"/>
        <v>140.23620704999999</v>
      </c>
      <c r="I1010" s="67">
        <f t="shared" si="260"/>
        <v>6731.3379384</v>
      </c>
      <c r="J1010" s="25">
        <v>0</v>
      </c>
      <c r="K1010" s="25">
        <f t="shared" si="259"/>
        <v>0</v>
      </c>
      <c r="L1010" s="25">
        <f t="shared" si="261"/>
        <v>0</v>
      </c>
      <c r="M1010" s="67">
        <f t="shared" si="262"/>
        <v>6731.3379384</v>
      </c>
      <c r="N1010" s="26"/>
      <c r="O1010" s="663">
        <v>0.93490804699999996</v>
      </c>
      <c r="Q1010" s="157"/>
    </row>
    <row r="1011" spans="1:17" ht="18.95" customHeight="1">
      <c r="A1011" s="265"/>
      <c r="B1011" s="573" t="s">
        <v>273</v>
      </c>
      <c r="C1011" s="659" t="s">
        <v>2845</v>
      </c>
      <c r="D1011" s="660"/>
      <c r="E1011" s="533">
        <v>4</v>
      </c>
      <c r="F1011" s="30" t="s">
        <v>349</v>
      </c>
      <c r="G1011" s="25">
        <v>6000</v>
      </c>
      <c r="H1011" s="30">
        <f t="shared" si="257"/>
        <v>5609.4482819999994</v>
      </c>
      <c r="I1011" s="67">
        <f t="shared" si="260"/>
        <v>22437.793127999998</v>
      </c>
      <c r="J1011" s="25">
        <v>250</v>
      </c>
      <c r="K1011" s="25">
        <f t="shared" si="259"/>
        <v>233.72701175</v>
      </c>
      <c r="L1011" s="25">
        <f t="shared" si="261"/>
        <v>934.90804700000001</v>
      </c>
      <c r="M1011" s="67">
        <f t="shared" si="262"/>
        <v>23372.701174999998</v>
      </c>
      <c r="N1011" s="26"/>
      <c r="O1011" s="663">
        <v>0.93490804699999996</v>
      </c>
      <c r="Q1011" s="157"/>
    </row>
    <row r="1012" spans="1:17" ht="18.95" customHeight="1">
      <c r="A1012" s="265"/>
      <c r="B1012" s="573" t="s">
        <v>273</v>
      </c>
      <c r="C1012" s="659" t="s">
        <v>2797</v>
      </c>
      <c r="D1012" s="660"/>
      <c r="E1012" s="533">
        <v>2</v>
      </c>
      <c r="F1012" s="30" t="s">
        <v>349</v>
      </c>
      <c r="G1012" s="25">
        <v>22500</v>
      </c>
      <c r="H1012" s="30">
        <f t="shared" si="257"/>
        <v>21035.431057499998</v>
      </c>
      <c r="I1012" s="67">
        <f t="shared" si="260"/>
        <v>42070.862114999996</v>
      </c>
      <c r="J1012" s="25">
        <v>500</v>
      </c>
      <c r="K1012" s="25">
        <f t="shared" si="259"/>
        <v>467.45402350000001</v>
      </c>
      <c r="L1012" s="25">
        <f t="shared" si="261"/>
        <v>934.90804700000001</v>
      </c>
      <c r="M1012" s="67">
        <f t="shared" si="262"/>
        <v>43005.770161999993</v>
      </c>
      <c r="N1012" s="26"/>
      <c r="O1012" s="663">
        <v>0.93490804699999996</v>
      </c>
      <c r="Q1012" s="157"/>
    </row>
    <row r="1013" spans="1:17" ht="18.95" customHeight="1">
      <c r="A1013" s="265"/>
      <c r="B1013" s="573" t="s">
        <v>273</v>
      </c>
      <c r="C1013" s="661" t="s">
        <v>2847</v>
      </c>
      <c r="D1013" s="693"/>
      <c r="E1013" s="533">
        <v>29</v>
      </c>
      <c r="F1013" s="30" t="s">
        <v>349</v>
      </c>
      <c r="G1013" s="67">
        <v>13500</v>
      </c>
      <c r="H1013" s="30">
        <f t="shared" si="257"/>
        <v>12621.2586345</v>
      </c>
      <c r="I1013" s="67">
        <f t="shared" si="260"/>
        <v>366016.50040050002</v>
      </c>
      <c r="J1013" s="67">
        <v>500</v>
      </c>
      <c r="K1013" s="25">
        <f t="shared" si="259"/>
        <v>467.45402350000001</v>
      </c>
      <c r="L1013" s="25">
        <f t="shared" si="261"/>
        <v>13556.166681500001</v>
      </c>
      <c r="M1013" s="67">
        <f t="shared" si="262"/>
        <v>379572.667082</v>
      </c>
      <c r="N1013" s="26"/>
      <c r="O1013" s="663">
        <v>0.93490804699999996</v>
      </c>
      <c r="Q1013" s="157"/>
    </row>
    <row r="1014" spans="1:17" ht="18.95" customHeight="1">
      <c r="A1014" s="265"/>
      <c r="B1014" s="573" t="s">
        <v>273</v>
      </c>
      <c r="C1014" s="661" t="s">
        <v>2848</v>
      </c>
      <c r="D1014" s="693"/>
      <c r="E1014" s="533">
        <v>12</v>
      </c>
      <c r="F1014" s="30" t="s">
        <v>349</v>
      </c>
      <c r="G1014" s="67">
        <v>14000</v>
      </c>
      <c r="H1014" s="30">
        <f t="shared" si="257"/>
        <v>13088.712658</v>
      </c>
      <c r="I1014" s="67">
        <f t="shared" si="260"/>
        <v>157064.55189599999</v>
      </c>
      <c r="J1014" s="67">
        <v>500</v>
      </c>
      <c r="K1014" s="25">
        <f t="shared" si="259"/>
        <v>467.45402350000001</v>
      </c>
      <c r="L1014" s="25">
        <f t="shared" si="261"/>
        <v>5609.4482820000003</v>
      </c>
      <c r="M1014" s="67">
        <f t="shared" si="262"/>
        <v>162674.00017799999</v>
      </c>
      <c r="N1014" s="26"/>
      <c r="O1014" s="663">
        <v>0.93490804699999996</v>
      </c>
      <c r="Q1014" s="157"/>
    </row>
    <row r="1015" spans="1:17" ht="18.95" customHeight="1">
      <c r="A1015" s="265"/>
      <c r="B1015" s="573" t="s">
        <v>273</v>
      </c>
      <c r="C1015" s="661" t="s">
        <v>2849</v>
      </c>
      <c r="D1015" s="693"/>
      <c r="E1015" s="533">
        <v>1</v>
      </c>
      <c r="F1015" s="30" t="s">
        <v>349</v>
      </c>
      <c r="G1015" s="67">
        <v>10000</v>
      </c>
      <c r="H1015" s="30">
        <f t="shared" si="257"/>
        <v>9349.080469999999</v>
      </c>
      <c r="I1015" s="67">
        <f t="shared" si="260"/>
        <v>9349.080469999999</v>
      </c>
      <c r="J1015" s="67">
        <v>500</v>
      </c>
      <c r="K1015" s="25">
        <f t="shared" si="259"/>
        <v>467.45402350000001</v>
      </c>
      <c r="L1015" s="25">
        <f t="shared" si="261"/>
        <v>467.45402350000001</v>
      </c>
      <c r="M1015" s="67">
        <f t="shared" si="262"/>
        <v>9816.5344934999994</v>
      </c>
      <c r="N1015" s="26"/>
      <c r="O1015" s="663">
        <v>0.93490804699999996</v>
      </c>
      <c r="Q1015" s="157"/>
    </row>
    <row r="1016" spans="1:17" ht="18.95" customHeight="1">
      <c r="A1016" s="265"/>
      <c r="B1016" s="573" t="s">
        <v>273</v>
      </c>
      <c r="C1016" s="659" t="s">
        <v>2850</v>
      </c>
      <c r="D1016" s="660"/>
      <c r="E1016" s="533">
        <v>0</v>
      </c>
      <c r="F1016" s="30" t="s">
        <v>349</v>
      </c>
      <c r="G1016" s="67">
        <v>10000</v>
      </c>
      <c r="H1016" s="30">
        <f t="shared" si="257"/>
        <v>9349.080469999999</v>
      </c>
      <c r="I1016" s="67">
        <f t="shared" si="260"/>
        <v>0</v>
      </c>
      <c r="J1016" s="67">
        <v>500</v>
      </c>
      <c r="K1016" s="25">
        <f t="shared" si="259"/>
        <v>467.45402350000001</v>
      </c>
      <c r="L1016" s="25">
        <f t="shared" si="261"/>
        <v>0</v>
      </c>
      <c r="M1016" s="67">
        <f t="shared" si="262"/>
        <v>0</v>
      </c>
      <c r="N1016" s="26"/>
      <c r="O1016" s="663">
        <v>0.93490804699999996</v>
      </c>
      <c r="Q1016" s="157"/>
    </row>
    <row r="1017" spans="1:17" ht="18.95" customHeight="1">
      <c r="A1017" s="265"/>
      <c r="B1017" s="573" t="s">
        <v>273</v>
      </c>
      <c r="C1017" s="659" t="s">
        <v>2851</v>
      </c>
      <c r="D1017" s="660"/>
      <c r="E1017" s="533">
        <v>0</v>
      </c>
      <c r="F1017" s="30" t="s">
        <v>349</v>
      </c>
      <c r="G1017" s="67">
        <v>12300</v>
      </c>
      <c r="H1017" s="30">
        <f t="shared" si="257"/>
        <v>11499.368978099999</v>
      </c>
      <c r="I1017" s="67">
        <f t="shared" si="260"/>
        <v>0</v>
      </c>
      <c r="J1017" s="67">
        <v>500</v>
      </c>
      <c r="K1017" s="25">
        <f t="shared" si="259"/>
        <v>467.45402350000001</v>
      </c>
      <c r="L1017" s="25">
        <f t="shared" si="261"/>
        <v>0</v>
      </c>
      <c r="M1017" s="67">
        <f t="shared" si="262"/>
        <v>0</v>
      </c>
      <c r="N1017" s="26"/>
      <c r="O1017" s="663">
        <v>0.93490804699999996</v>
      </c>
      <c r="Q1017" s="157"/>
    </row>
    <row r="1018" spans="1:17" ht="18.95" customHeight="1">
      <c r="A1018" s="667" t="s">
        <v>2852</v>
      </c>
      <c r="B1018" s="665" t="s">
        <v>2740</v>
      </c>
      <c r="C1018" s="666" t="s">
        <v>2740</v>
      </c>
      <c r="D1018" s="660"/>
      <c r="E1018" s="533"/>
      <c r="F1018" s="30"/>
      <c r="G1018" s="67"/>
      <c r="H1018" s="30"/>
      <c r="I1018" s="67"/>
      <c r="J1018" s="67"/>
      <c r="K1018" s="25"/>
      <c r="L1018" s="25"/>
      <c r="M1018" s="67"/>
      <c r="N1018" s="26"/>
      <c r="O1018" s="663">
        <v>0.93490804699999996</v>
      </c>
      <c r="Q1018" s="157"/>
    </row>
    <row r="1019" spans="1:17" ht="18.95" customHeight="1">
      <c r="A1019" s="265"/>
      <c r="B1019" s="573" t="s">
        <v>273</v>
      </c>
      <c r="C1019" s="666" t="s">
        <v>2853</v>
      </c>
      <c r="D1019" s="660"/>
      <c r="E1019" s="533">
        <v>220</v>
      </c>
      <c r="F1019" s="30" t="s">
        <v>286</v>
      </c>
      <c r="G1019" s="30">
        <v>40</v>
      </c>
      <c r="H1019" s="30">
        <f t="shared" si="257"/>
        <v>37.396321880000002</v>
      </c>
      <c r="I1019" s="67">
        <f t="shared" si="260"/>
        <v>8227.1908136000002</v>
      </c>
      <c r="J1019" s="25">
        <v>30</v>
      </c>
      <c r="K1019" s="25">
        <f t="shared" si="259"/>
        <v>28.047241409999998</v>
      </c>
      <c r="L1019" s="25">
        <f t="shared" si="261"/>
        <v>6170.3931101999997</v>
      </c>
      <c r="M1019" s="25">
        <f>I1019+L1019</f>
        <v>14397.583923800001</v>
      </c>
      <c r="N1019" s="26"/>
      <c r="O1019" s="663">
        <v>0.93490804699999996</v>
      </c>
      <c r="Q1019" s="157"/>
    </row>
    <row r="1020" spans="1:17" ht="18.95" customHeight="1">
      <c r="A1020" s="265"/>
      <c r="B1020" s="573" t="s">
        <v>273</v>
      </c>
      <c r="C1020" s="666" t="s">
        <v>2741</v>
      </c>
      <c r="D1020" s="660"/>
      <c r="E1020" s="533">
        <v>2050</v>
      </c>
      <c r="F1020" s="30" t="s">
        <v>286</v>
      </c>
      <c r="G1020" s="30">
        <v>16</v>
      </c>
      <c r="H1020" s="30">
        <f t="shared" si="257"/>
        <v>14.958528751999999</v>
      </c>
      <c r="I1020" s="67">
        <f t="shared" si="260"/>
        <v>30664.9839416</v>
      </c>
      <c r="J1020" s="25">
        <v>10</v>
      </c>
      <c r="K1020" s="25">
        <f t="shared" si="259"/>
        <v>9.3490804700000005</v>
      </c>
      <c r="L1020" s="25">
        <f t="shared" si="261"/>
        <v>19165.6149635</v>
      </c>
      <c r="M1020" s="25">
        <f>I1020+L1020</f>
        <v>49830.5989051</v>
      </c>
      <c r="N1020" s="26"/>
      <c r="O1020" s="663">
        <v>0.93490804699999996</v>
      </c>
      <c r="Q1020" s="157"/>
    </row>
    <row r="1021" spans="1:17" ht="18.95" customHeight="1">
      <c r="A1021" s="667" t="s">
        <v>2854</v>
      </c>
      <c r="B1021" s="652" t="s">
        <v>2195</v>
      </c>
      <c r="C1021" s="657" t="s">
        <v>2195</v>
      </c>
      <c r="D1021" s="412"/>
      <c r="E1021" s="533"/>
      <c r="F1021" s="30"/>
      <c r="G1021" s="67"/>
      <c r="H1021" s="30"/>
      <c r="I1021" s="67"/>
      <c r="J1021" s="67"/>
      <c r="K1021" s="25"/>
      <c r="L1021" s="25"/>
      <c r="M1021" s="67"/>
      <c r="N1021" s="26"/>
      <c r="O1021" s="663">
        <v>0.93490804699999996</v>
      </c>
      <c r="Q1021" s="157"/>
    </row>
    <row r="1022" spans="1:17" ht="18.95" customHeight="1">
      <c r="A1022" s="265"/>
      <c r="B1022" s="573" t="s">
        <v>273</v>
      </c>
      <c r="C1022" s="661" t="s">
        <v>2196</v>
      </c>
      <c r="D1022" s="660"/>
      <c r="E1022" s="533">
        <v>2050</v>
      </c>
      <c r="F1022" s="1181" t="s">
        <v>286</v>
      </c>
      <c r="G1022" s="30">
        <f>ROUND(93.1/3,2)</f>
        <v>31.03</v>
      </c>
      <c r="H1022" s="30">
        <f t="shared" si="257"/>
        <v>29.010196698409999</v>
      </c>
      <c r="I1022" s="67">
        <f t="shared" si="260"/>
        <v>59470.9032317405</v>
      </c>
      <c r="J1022" s="67">
        <v>22</v>
      </c>
      <c r="K1022" s="25">
        <f t="shared" si="259"/>
        <v>20.567977033999998</v>
      </c>
      <c r="L1022" s="25">
        <f t="shared" si="261"/>
        <v>42164.352919699995</v>
      </c>
      <c r="M1022" s="67">
        <f>I1022+L1022</f>
        <v>101635.2561514405</v>
      </c>
      <c r="N1022" s="26"/>
      <c r="O1022" s="663">
        <v>0.93490804699999996</v>
      </c>
      <c r="Q1022" s="157"/>
    </row>
    <row r="1023" spans="1:17" ht="18.95" customHeight="1">
      <c r="A1023" s="667" t="s">
        <v>2855</v>
      </c>
      <c r="B1023" s="665" t="s">
        <v>2742</v>
      </c>
      <c r="C1023" s="666" t="s">
        <v>2742</v>
      </c>
      <c r="D1023" s="660"/>
      <c r="E1023" s="533">
        <v>1</v>
      </c>
      <c r="F1023" s="30" t="s">
        <v>2193</v>
      </c>
      <c r="G1023" s="670">
        <f>(SUM(I1019:I1020)*0.05)+(SUM(I1022*0.15)+(SUM(I1006:I1017)*0.02))-0.1</f>
        <v>26049.920721895076</v>
      </c>
      <c r="H1023" s="30">
        <f>G1023</f>
        <v>26049.920721895076</v>
      </c>
      <c r="I1023" s="67">
        <f t="shared" si="260"/>
        <v>26049.920721895076</v>
      </c>
      <c r="J1023" s="696">
        <f>G1023*0.3</f>
        <v>7814.9762165685224</v>
      </c>
      <c r="K1023" s="25">
        <f>J1023</f>
        <v>7814.9762165685224</v>
      </c>
      <c r="L1023" s="25">
        <f t="shared" si="261"/>
        <v>7814.9762165685224</v>
      </c>
      <c r="M1023" s="67">
        <f>I1023+L1023</f>
        <v>33864.8969384636</v>
      </c>
      <c r="N1023" s="26"/>
      <c r="O1023" s="663">
        <v>0.93490804699999996</v>
      </c>
      <c r="Q1023" s="157"/>
    </row>
    <row r="1024" spans="1:17" ht="18.95" customHeight="1">
      <c r="A1024" s="265"/>
      <c r="B1024" s="667"/>
      <c r="C1024" s="666"/>
      <c r="D1024" s="660"/>
      <c r="E1024" s="533"/>
      <c r="F1024" s="30"/>
      <c r="G1024" s="67"/>
      <c r="H1024" s="30"/>
      <c r="I1024" s="67"/>
      <c r="J1024" s="67"/>
      <c r="K1024" s="25"/>
      <c r="L1024" s="25"/>
      <c r="M1024" s="67"/>
      <c r="N1024" s="26"/>
      <c r="O1024" s="663">
        <v>0.93490804699999996</v>
      </c>
      <c r="Q1024" s="157"/>
    </row>
    <row r="1025" spans="1:17" ht="18.95" customHeight="1">
      <c r="A1025" s="265">
        <v>16.3</v>
      </c>
      <c r="B1025" s="1353" t="s">
        <v>2775</v>
      </c>
      <c r="C1025" s="1354"/>
      <c r="D1025" s="1355"/>
      <c r="E1025" s="533"/>
      <c r="F1025" s="30"/>
      <c r="G1025" s="67"/>
      <c r="H1025" s="30"/>
      <c r="I1025" s="67"/>
      <c r="J1025" s="67"/>
      <c r="K1025" s="25"/>
      <c r="L1025" s="25"/>
      <c r="M1025" s="67"/>
      <c r="N1025" s="26"/>
      <c r="O1025" s="663">
        <v>0.93490804699999996</v>
      </c>
      <c r="Q1025" s="157"/>
    </row>
    <row r="1026" spans="1:17" ht="18.95" customHeight="1">
      <c r="A1026" s="651" t="s">
        <v>2857</v>
      </c>
      <c r="B1026" s="665" t="s">
        <v>2833</v>
      </c>
      <c r="C1026" s="666"/>
      <c r="D1026" s="660"/>
      <c r="E1026" s="533">
        <v>2</v>
      </c>
      <c r="F1026" s="30" t="s">
        <v>349</v>
      </c>
      <c r="G1026" s="67">
        <v>33000</v>
      </c>
      <c r="H1026" s="30">
        <f t="shared" si="257"/>
        <v>30851.965550999998</v>
      </c>
      <c r="I1026" s="67">
        <f t="shared" ref="I1026:I1042" si="263">E1026*H1026</f>
        <v>61703.931101999995</v>
      </c>
      <c r="J1026" s="67">
        <v>1000</v>
      </c>
      <c r="K1026" s="25">
        <f t="shared" si="259"/>
        <v>934.90804700000001</v>
      </c>
      <c r="L1026" s="25">
        <f t="shared" si="261"/>
        <v>1869.816094</v>
      </c>
      <c r="M1026" s="67">
        <f t="shared" ref="M1026:M1036" si="264">I1026+L1026</f>
        <v>63573.747195999997</v>
      </c>
      <c r="N1026" s="26"/>
      <c r="O1026" s="663">
        <v>0.93490804699999996</v>
      </c>
      <c r="Q1026" s="157"/>
    </row>
    <row r="1027" spans="1:17" ht="18.95" customHeight="1">
      <c r="A1027" s="265"/>
      <c r="B1027" s="573" t="s">
        <v>273</v>
      </c>
      <c r="C1027" s="659" t="s">
        <v>2835</v>
      </c>
      <c r="D1027" s="660"/>
      <c r="E1027" s="533">
        <v>2</v>
      </c>
      <c r="F1027" s="30" t="s">
        <v>349</v>
      </c>
      <c r="G1027" s="25">
        <v>43000</v>
      </c>
      <c r="H1027" s="30">
        <f t="shared" si="257"/>
        <v>40201.046021000002</v>
      </c>
      <c r="I1027" s="67">
        <f t="shared" si="263"/>
        <v>80402.092042000004</v>
      </c>
      <c r="J1027" s="25">
        <v>1000</v>
      </c>
      <c r="K1027" s="25">
        <f t="shared" si="259"/>
        <v>934.90804700000001</v>
      </c>
      <c r="L1027" s="25">
        <f t="shared" si="261"/>
        <v>1869.816094</v>
      </c>
      <c r="M1027" s="67">
        <f t="shared" si="264"/>
        <v>82271.908135999998</v>
      </c>
      <c r="N1027" s="26"/>
      <c r="O1027" s="663">
        <v>0.93490804699999996</v>
      </c>
      <c r="Q1027" s="157"/>
    </row>
    <row r="1028" spans="1:17" ht="18.95" customHeight="1">
      <c r="A1028" s="265"/>
      <c r="B1028" s="573" t="s">
        <v>273</v>
      </c>
      <c r="C1028" s="659" t="s">
        <v>2842</v>
      </c>
      <c r="D1028" s="660"/>
      <c r="E1028" s="533">
        <v>2</v>
      </c>
      <c r="F1028" s="30" t="s">
        <v>349</v>
      </c>
      <c r="G1028" s="25">
        <v>4200</v>
      </c>
      <c r="H1028" s="30">
        <f t="shared" si="257"/>
        <v>3926.6137973999998</v>
      </c>
      <c r="I1028" s="67">
        <f t="shared" si="263"/>
        <v>7853.2275947999997</v>
      </c>
      <c r="J1028" s="25">
        <v>500</v>
      </c>
      <c r="K1028" s="25">
        <f t="shared" si="259"/>
        <v>467.45402350000001</v>
      </c>
      <c r="L1028" s="25">
        <f t="shared" si="261"/>
        <v>934.90804700000001</v>
      </c>
      <c r="M1028" s="67">
        <f t="shared" si="264"/>
        <v>8788.1356417999996</v>
      </c>
      <c r="N1028" s="26"/>
      <c r="O1028" s="663">
        <v>0.93490804699999996</v>
      </c>
      <c r="Q1028" s="157"/>
    </row>
    <row r="1029" spans="1:17" ht="18.95" customHeight="1">
      <c r="A1029" s="265"/>
      <c r="B1029" s="573" t="s">
        <v>273</v>
      </c>
      <c r="C1029" s="659" t="s">
        <v>2843</v>
      </c>
      <c r="D1029" s="660"/>
      <c r="E1029" s="533">
        <v>2</v>
      </c>
      <c r="F1029" s="30" t="s">
        <v>349</v>
      </c>
      <c r="G1029" s="25">
        <v>3000</v>
      </c>
      <c r="H1029" s="30">
        <f t="shared" si="257"/>
        <v>2804.7241409999997</v>
      </c>
      <c r="I1029" s="67">
        <f t="shared" si="263"/>
        <v>5609.4482819999994</v>
      </c>
      <c r="J1029" s="25">
        <v>500</v>
      </c>
      <c r="K1029" s="25">
        <f t="shared" si="259"/>
        <v>467.45402350000001</v>
      </c>
      <c r="L1029" s="25">
        <f t="shared" si="261"/>
        <v>934.90804700000001</v>
      </c>
      <c r="M1029" s="67">
        <f t="shared" si="264"/>
        <v>6544.3563289999993</v>
      </c>
      <c r="N1029" s="26"/>
      <c r="O1029" s="663">
        <v>0.93490804699999996</v>
      </c>
      <c r="Q1029" s="157"/>
    </row>
    <row r="1030" spans="1:17" ht="18.95" customHeight="1">
      <c r="A1030" s="265"/>
      <c r="B1030" s="573" t="s">
        <v>273</v>
      </c>
      <c r="C1030" s="659" t="s">
        <v>2844</v>
      </c>
      <c r="D1030" s="660"/>
      <c r="E1030" s="533">
        <v>48</v>
      </c>
      <c r="F1030" s="30" t="s">
        <v>349</v>
      </c>
      <c r="G1030" s="25">
        <v>150</v>
      </c>
      <c r="H1030" s="30">
        <f t="shared" si="257"/>
        <v>140.23620704999999</v>
      </c>
      <c r="I1030" s="67">
        <f t="shared" si="263"/>
        <v>6731.3379384</v>
      </c>
      <c r="J1030" s="25">
        <v>0</v>
      </c>
      <c r="K1030" s="25">
        <f t="shared" si="259"/>
        <v>0</v>
      </c>
      <c r="L1030" s="25">
        <f t="shared" si="261"/>
        <v>0</v>
      </c>
      <c r="M1030" s="67">
        <f t="shared" si="264"/>
        <v>6731.3379384</v>
      </c>
      <c r="N1030" s="26"/>
      <c r="O1030" s="663">
        <v>0.93490804699999996</v>
      </c>
      <c r="Q1030" s="157"/>
    </row>
    <row r="1031" spans="1:17" ht="18.95" customHeight="1">
      <c r="A1031" s="265"/>
      <c r="B1031" s="573" t="s">
        <v>273</v>
      </c>
      <c r="C1031" s="659" t="s">
        <v>2845</v>
      </c>
      <c r="D1031" s="660"/>
      <c r="E1031" s="533">
        <v>4</v>
      </c>
      <c r="F1031" s="30" t="s">
        <v>349</v>
      </c>
      <c r="G1031" s="25">
        <v>6000</v>
      </c>
      <c r="H1031" s="30">
        <f t="shared" si="257"/>
        <v>5609.4482819999994</v>
      </c>
      <c r="I1031" s="67">
        <f t="shared" si="263"/>
        <v>22437.793127999998</v>
      </c>
      <c r="J1031" s="25">
        <v>250</v>
      </c>
      <c r="K1031" s="25">
        <f t="shared" si="259"/>
        <v>233.72701175</v>
      </c>
      <c r="L1031" s="25">
        <f t="shared" si="261"/>
        <v>934.90804700000001</v>
      </c>
      <c r="M1031" s="67">
        <f t="shared" si="264"/>
        <v>23372.701174999998</v>
      </c>
      <c r="N1031" s="26"/>
      <c r="O1031" s="663">
        <v>0.93490804699999996</v>
      </c>
      <c r="Q1031" s="157"/>
    </row>
    <row r="1032" spans="1:17" ht="18.95" customHeight="1">
      <c r="A1032" s="265"/>
      <c r="B1032" s="573" t="s">
        <v>273</v>
      </c>
      <c r="C1032" s="659" t="s">
        <v>2858</v>
      </c>
      <c r="D1032" s="660"/>
      <c r="E1032" s="533">
        <v>2</v>
      </c>
      <c r="F1032" s="30" t="s">
        <v>349</v>
      </c>
      <c r="G1032" s="25">
        <v>22500</v>
      </c>
      <c r="H1032" s="30">
        <f t="shared" si="257"/>
        <v>21035.431057499998</v>
      </c>
      <c r="I1032" s="67">
        <f t="shared" si="263"/>
        <v>42070.862114999996</v>
      </c>
      <c r="J1032" s="25">
        <v>500</v>
      </c>
      <c r="K1032" s="25">
        <f t="shared" si="259"/>
        <v>467.45402350000001</v>
      </c>
      <c r="L1032" s="25">
        <f t="shared" si="261"/>
        <v>934.90804700000001</v>
      </c>
      <c r="M1032" s="67">
        <f t="shared" si="264"/>
        <v>43005.770161999993</v>
      </c>
      <c r="N1032" s="26"/>
      <c r="O1032" s="663">
        <v>0.93490804699999996</v>
      </c>
      <c r="Q1032" s="157"/>
    </row>
    <row r="1033" spans="1:17" ht="18.95" customHeight="1">
      <c r="A1033" s="265"/>
      <c r="B1033" s="573" t="s">
        <v>273</v>
      </c>
      <c r="C1033" s="661" t="s">
        <v>2847</v>
      </c>
      <c r="D1033" s="693"/>
      <c r="E1033" s="533">
        <v>31</v>
      </c>
      <c r="F1033" s="30" t="s">
        <v>349</v>
      </c>
      <c r="G1033" s="67">
        <v>14000</v>
      </c>
      <c r="H1033" s="30">
        <f t="shared" si="257"/>
        <v>13088.712658</v>
      </c>
      <c r="I1033" s="67">
        <f t="shared" si="263"/>
        <v>405750.09239800001</v>
      </c>
      <c r="J1033" s="67">
        <v>50</v>
      </c>
      <c r="K1033" s="25">
        <f t="shared" si="259"/>
        <v>46.745402349999999</v>
      </c>
      <c r="L1033" s="25">
        <f t="shared" si="261"/>
        <v>1449.10747285</v>
      </c>
      <c r="M1033" s="67">
        <f t="shared" si="264"/>
        <v>407199.19987085002</v>
      </c>
      <c r="N1033" s="26"/>
      <c r="O1033" s="663">
        <v>0.93490804699999996</v>
      </c>
      <c r="Q1033" s="157"/>
    </row>
    <row r="1034" spans="1:17" ht="18.95" customHeight="1">
      <c r="A1034" s="265"/>
      <c r="B1034" s="573" t="s">
        <v>273</v>
      </c>
      <c r="C1034" s="661" t="s">
        <v>2849</v>
      </c>
      <c r="D1034" s="693"/>
      <c r="E1034" s="533">
        <v>2</v>
      </c>
      <c r="F1034" s="30" t="s">
        <v>349</v>
      </c>
      <c r="G1034" s="67">
        <v>10000</v>
      </c>
      <c r="H1034" s="30">
        <f t="shared" si="257"/>
        <v>9349.080469999999</v>
      </c>
      <c r="I1034" s="67">
        <f t="shared" si="263"/>
        <v>18698.160939999998</v>
      </c>
      <c r="J1034" s="67">
        <v>500</v>
      </c>
      <c r="K1034" s="25">
        <f t="shared" si="259"/>
        <v>467.45402350000001</v>
      </c>
      <c r="L1034" s="25">
        <f t="shared" si="261"/>
        <v>934.90804700000001</v>
      </c>
      <c r="M1034" s="67">
        <f t="shared" si="264"/>
        <v>19633.068986999999</v>
      </c>
      <c r="N1034" s="26"/>
      <c r="O1034" s="663">
        <v>0.93490804699999996</v>
      </c>
      <c r="Q1034" s="157"/>
    </row>
    <row r="1035" spans="1:17" ht="18.95" customHeight="1">
      <c r="A1035" s="265"/>
      <c r="B1035" s="573" t="s">
        <v>273</v>
      </c>
      <c r="C1035" s="659" t="s">
        <v>2850</v>
      </c>
      <c r="D1035" s="660"/>
      <c r="E1035" s="533"/>
      <c r="F1035" s="30" t="s">
        <v>349</v>
      </c>
      <c r="G1035" s="67">
        <v>10000</v>
      </c>
      <c r="H1035" s="30">
        <f t="shared" si="257"/>
        <v>9349.080469999999</v>
      </c>
      <c r="I1035" s="67">
        <f t="shared" si="263"/>
        <v>0</v>
      </c>
      <c r="J1035" s="67">
        <v>500</v>
      </c>
      <c r="K1035" s="25">
        <f t="shared" si="259"/>
        <v>467.45402350000001</v>
      </c>
      <c r="L1035" s="25">
        <f t="shared" si="261"/>
        <v>0</v>
      </c>
      <c r="M1035" s="67">
        <f t="shared" si="264"/>
        <v>0</v>
      </c>
      <c r="N1035" s="26"/>
      <c r="O1035" s="663">
        <v>0.93490804699999996</v>
      </c>
      <c r="Q1035" s="157"/>
    </row>
    <row r="1036" spans="1:17" ht="18.95" customHeight="1">
      <c r="A1036" s="265"/>
      <c r="B1036" s="573" t="s">
        <v>273</v>
      </c>
      <c r="C1036" s="659" t="s">
        <v>2851</v>
      </c>
      <c r="D1036" s="660"/>
      <c r="E1036" s="533">
        <v>0</v>
      </c>
      <c r="F1036" s="30" t="s">
        <v>349</v>
      </c>
      <c r="G1036" s="67">
        <v>12300</v>
      </c>
      <c r="H1036" s="30">
        <f t="shared" si="257"/>
        <v>11499.368978099999</v>
      </c>
      <c r="I1036" s="67">
        <f t="shared" si="263"/>
        <v>0</v>
      </c>
      <c r="J1036" s="67">
        <v>500</v>
      </c>
      <c r="K1036" s="25">
        <f t="shared" si="259"/>
        <v>467.45402350000001</v>
      </c>
      <c r="L1036" s="25">
        <f t="shared" si="261"/>
        <v>0</v>
      </c>
      <c r="M1036" s="67">
        <f t="shared" si="264"/>
        <v>0</v>
      </c>
      <c r="N1036" s="26"/>
      <c r="O1036" s="663">
        <v>0.93490804699999996</v>
      </c>
      <c r="Q1036" s="157"/>
    </row>
    <row r="1037" spans="1:17" ht="18.95" customHeight="1">
      <c r="A1037" s="667" t="s">
        <v>2859</v>
      </c>
      <c r="B1037" s="665" t="s">
        <v>2740</v>
      </c>
      <c r="C1037" s="666"/>
      <c r="D1037" s="660"/>
      <c r="E1037" s="533"/>
      <c r="F1037" s="30"/>
      <c r="G1037" s="67"/>
      <c r="H1037" s="30"/>
      <c r="I1037" s="67"/>
      <c r="J1037" s="67"/>
      <c r="K1037" s="25"/>
      <c r="L1037" s="25"/>
      <c r="M1037" s="67"/>
      <c r="N1037" s="26"/>
      <c r="O1037" s="663">
        <v>0.93490804699999996</v>
      </c>
      <c r="Q1037" s="157"/>
    </row>
    <row r="1038" spans="1:17" ht="18.95" customHeight="1">
      <c r="A1038" s="265"/>
      <c r="B1038" s="573" t="s">
        <v>273</v>
      </c>
      <c r="C1038" s="666" t="s">
        <v>2853</v>
      </c>
      <c r="D1038" s="660"/>
      <c r="E1038" s="533">
        <v>240</v>
      </c>
      <c r="F1038" s="30" t="s">
        <v>286</v>
      </c>
      <c r="G1038" s="30">
        <v>40</v>
      </c>
      <c r="H1038" s="30">
        <f t="shared" si="257"/>
        <v>37.396321880000002</v>
      </c>
      <c r="I1038" s="67">
        <f t="shared" si="263"/>
        <v>8975.1172512000012</v>
      </c>
      <c r="J1038" s="25">
        <v>30</v>
      </c>
      <c r="K1038" s="25">
        <f t="shared" si="259"/>
        <v>28.047241409999998</v>
      </c>
      <c r="L1038" s="25">
        <f t="shared" si="261"/>
        <v>6731.3379384</v>
      </c>
      <c r="M1038" s="25">
        <f>I1038+L1038</f>
        <v>15706.455189600001</v>
      </c>
      <c r="N1038" s="26"/>
      <c r="O1038" s="663">
        <v>0.93490804699999996</v>
      </c>
      <c r="Q1038" s="157"/>
    </row>
    <row r="1039" spans="1:17" ht="18.95" customHeight="1">
      <c r="A1039" s="265"/>
      <c r="B1039" s="573" t="s">
        <v>273</v>
      </c>
      <c r="C1039" s="666" t="s">
        <v>2741</v>
      </c>
      <c r="D1039" s="660"/>
      <c r="E1039" s="533">
        <v>1550</v>
      </c>
      <c r="F1039" s="30" t="s">
        <v>286</v>
      </c>
      <c r="G1039" s="30">
        <v>16</v>
      </c>
      <c r="H1039" s="30">
        <f t="shared" si="257"/>
        <v>14.958528751999999</v>
      </c>
      <c r="I1039" s="67">
        <f t="shared" si="263"/>
        <v>23185.7195656</v>
      </c>
      <c r="J1039" s="25">
        <v>10</v>
      </c>
      <c r="K1039" s="25">
        <f t="shared" si="259"/>
        <v>9.3490804700000005</v>
      </c>
      <c r="L1039" s="25">
        <f t="shared" si="261"/>
        <v>14491.074728500002</v>
      </c>
      <c r="M1039" s="25">
        <f>I1039+L1039</f>
        <v>37676.7942941</v>
      </c>
      <c r="N1039" s="26"/>
      <c r="O1039" s="663">
        <v>0.93490804699999996</v>
      </c>
      <c r="Q1039" s="157"/>
    </row>
    <row r="1040" spans="1:17" ht="18.95" customHeight="1">
      <c r="A1040" s="667" t="s">
        <v>2860</v>
      </c>
      <c r="B1040" s="652" t="s">
        <v>2195</v>
      </c>
      <c r="C1040" s="657"/>
      <c r="D1040" s="412"/>
      <c r="E1040" s="533"/>
      <c r="F1040" s="30"/>
      <c r="G1040" s="67"/>
      <c r="H1040" s="30">
        <f t="shared" si="257"/>
        <v>0</v>
      </c>
      <c r="I1040" s="67">
        <f t="shared" si="263"/>
        <v>0</v>
      </c>
      <c r="J1040" s="67"/>
      <c r="K1040" s="25">
        <f t="shared" si="259"/>
        <v>0</v>
      </c>
      <c r="L1040" s="25">
        <f t="shared" si="261"/>
        <v>0</v>
      </c>
      <c r="M1040" s="67"/>
      <c r="N1040" s="26"/>
      <c r="O1040" s="663">
        <v>0.93490804699999996</v>
      </c>
      <c r="Q1040" s="157"/>
    </row>
    <row r="1041" spans="1:17" ht="18.95" customHeight="1">
      <c r="A1041" s="265"/>
      <c r="B1041" s="573" t="s">
        <v>273</v>
      </c>
      <c r="C1041" s="661" t="s">
        <v>2196</v>
      </c>
      <c r="D1041" s="660"/>
      <c r="E1041" s="533">
        <v>1550</v>
      </c>
      <c r="F1041" s="1181" t="s">
        <v>286</v>
      </c>
      <c r="G1041" s="30">
        <f>ROUND(93.1/3,2)</f>
        <v>31.03</v>
      </c>
      <c r="H1041" s="30">
        <f t="shared" si="257"/>
        <v>29.010196698409999</v>
      </c>
      <c r="I1041" s="67">
        <f t="shared" si="263"/>
        <v>44965.8048825355</v>
      </c>
      <c r="J1041" s="67">
        <v>22</v>
      </c>
      <c r="K1041" s="25">
        <f t="shared" si="259"/>
        <v>20.567977033999998</v>
      </c>
      <c r="L1041" s="25">
        <f t="shared" si="261"/>
        <v>31880.364402699997</v>
      </c>
      <c r="M1041" s="67">
        <f>I1041+L1041</f>
        <v>76846.16928523549</v>
      </c>
      <c r="N1041" s="26"/>
      <c r="O1041" s="663">
        <v>0.93490804699999996</v>
      </c>
      <c r="Q1041" s="157"/>
    </row>
    <row r="1042" spans="1:17" ht="18.95" customHeight="1">
      <c r="A1042" s="667" t="s">
        <v>2861</v>
      </c>
      <c r="B1042" s="665" t="s">
        <v>2742</v>
      </c>
      <c r="C1042" s="666"/>
      <c r="D1042" s="660"/>
      <c r="E1042" s="533">
        <v>1</v>
      </c>
      <c r="F1042" s="30" t="s">
        <v>2193</v>
      </c>
      <c r="G1042" s="670">
        <f>(SUM(I1038:I1039)*0.05)+(SUM(I1041*0.15)+(SUM(I1025:I1036)*0.02))</f>
        <v>21378.051484024327</v>
      </c>
      <c r="H1042" s="30">
        <f>G1042</f>
        <v>21378.051484024327</v>
      </c>
      <c r="I1042" s="67">
        <f t="shared" si="263"/>
        <v>21378.051484024327</v>
      </c>
      <c r="J1042" s="696">
        <f>G1042*0.3</f>
        <v>6413.415445207298</v>
      </c>
      <c r="K1042" s="25">
        <f>J1042</f>
        <v>6413.415445207298</v>
      </c>
      <c r="L1042" s="25">
        <f t="shared" si="261"/>
        <v>6413.415445207298</v>
      </c>
      <c r="M1042" s="67">
        <f>I1042+L1042</f>
        <v>27791.466929231625</v>
      </c>
      <c r="N1042" s="26"/>
      <c r="O1042" s="663">
        <v>0.93490804699999996</v>
      </c>
      <c r="Q1042" s="157"/>
    </row>
    <row r="1043" spans="1:17" ht="18.95" customHeight="1">
      <c r="A1043" s="265"/>
      <c r="B1043" s="667"/>
      <c r="C1043" s="666"/>
      <c r="D1043" s="660"/>
      <c r="E1043" s="533"/>
      <c r="F1043" s="30"/>
      <c r="G1043" s="67"/>
      <c r="H1043" s="30"/>
      <c r="I1043" s="67"/>
      <c r="J1043" s="67"/>
      <c r="K1043" s="25"/>
      <c r="L1043" s="25"/>
      <c r="M1043" s="67"/>
      <c r="N1043" s="26"/>
      <c r="O1043" s="663">
        <v>0.93490804699999996</v>
      </c>
      <c r="Q1043" s="157"/>
    </row>
    <row r="1044" spans="1:17" ht="18.95" customHeight="1">
      <c r="A1044" s="265">
        <v>16.399999999999999</v>
      </c>
      <c r="B1044" s="1353" t="s">
        <v>2780</v>
      </c>
      <c r="C1044" s="1354"/>
      <c r="D1044" s="1355"/>
      <c r="E1044" s="533"/>
      <c r="F1044" s="30"/>
      <c r="G1044" s="67"/>
      <c r="H1044" s="30"/>
      <c r="I1044" s="67"/>
      <c r="J1044" s="67"/>
      <c r="K1044" s="25"/>
      <c r="L1044" s="25"/>
      <c r="M1044" s="67"/>
      <c r="N1044" s="26"/>
      <c r="O1044" s="663">
        <v>0.93490804699999996</v>
      </c>
      <c r="Q1044" s="157"/>
    </row>
    <row r="1045" spans="1:17" ht="18.95" customHeight="1">
      <c r="A1045" s="651" t="s">
        <v>2862</v>
      </c>
      <c r="B1045" s="665" t="s">
        <v>2833</v>
      </c>
      <c r="C1045" s="666"/>
      <c r="D1045" s="660"/>
      <c r="E1045" s="533">
        <v>2</v>
      </c>
      <c r="F1045" s="30" t="s">
        <v>349</v>
      </c>
      <c r="G1045" s="67">
        <v>33000</v>
      </c>
      <c r="H1045" s="30">
        <f t="shared" si="257"/>
        <v>30851.965550999998</v>
      </c>
      <c r="I1045" s="67">
        <f>E1045*H1045</f>
        <v>61703.931101999995</v>
      </c>
      <c r="J1045" s="67">
        <v>1000</v>
      </c>
      <c r="K1045" s="25">
        <f t="shared" si="259"/>
        <v>934.90804700000001</v>
      </c>
      <c r="L1045" s="25">
        <f t="shared" si="261"/>
        <v>1869.816094</v>
      </c>
      <c r="M1045" s="67">
        <f t="shared" ref="M1045:M1055" si="265">I1045+L1045</f>
        <v>63573.747195999997</v>
      </c>
      <c r="N1045" s="26"/>
      <c r="O1045" s="663">
        <v>0.93490804699999996</v>
      </c>
      <c r="Q1045" s="157"/>
    </row>
    <row r="1046" spans="1:17" ht="18.95" customHeight="1">
      <c r="A1046" s="265"/>
      <c r="B1046" s="573" t="s">
        <v>273</v>
      </c>
      <c r="C1046" s="659" t="s">
        <v>2835</v>
      </c>
      <c r="D1046" s="660"/>
      <c r="E1046" s="533">
        <v>2</v>
      </c>
      <c r="F1046" s="30" t="s">
        <v>349</v>
      </c>
      <c r="G1046" s="25">
        <v>43000</v>
      </c>
      <c r="H1046" s="30">
        <f t="shared" si="257"/>
        <v>40201.046021000002</v>
      </c>
      <c r="I1046" s="67">
        <f t="shared" ref="I1046:I1061" si="266">E1046*H1046</f>
        <v>80402.092042000004</v>
      </c>
      <c r="J1046" s="25">
        <v>1000</v>
      </c>
      <c r="K1046" s="25">
        <f t="shared" si="259"/>
        <v>934.90804700000001</v>
      </c>
      <c r="L1046" s="25">
        <f t="shared" si="261"/>
        <v>1869.816094</v>
      </c>
      <c r="M1046" s="67">
        <f t="shared" si="265"/>
        <v>82271.908135999998</v>
      </c>
      <c r="N1046" s="26"/>
      <c r="O1046" s="663">
        <v>0.93490804699999996</v>
      </c>
      <c r="Q1046" s="157"/>
    </row>
    <row r="1047" spans="1:17" ht="18.95" customHeight="1">
      <c r="A1047" s="265"/>
      <c r="B1047" s="573" t="s">
        <v>273</v>
      </c>
      <c r="C1047" s="659" t="s">
        <v>2842</v>
      </c>
      <c r="D1047" s="660"/>
      <c r="E1047" s="533">
        <v>2</v>
      </c>
      <c r="F1047" s="30" t="s">
        <v>349</v>
      </c>
      <c r="G1047" s="25">
        <v>4200</v>
      </c>
      <c r="H1047" s="30">
        <f t="shared" ref="H1047:H1110" si="267">G1047*O1047</f>
        <v>3926.6137973999998</v>
      </c>
      <c r="I1047" s="67">
        <f t="shared" si="266"/>
        <v>7853.2275947999997</v>
      </c>
      <c r="J1047" s="25">
        <v>500</v>
      </c>
      <c r="K1047" s="25">
        <f t="shared" si="259"/>
        <v>467.45402350000001</v>
      </c>
      <c r="L1047" s="25">
        <f t="shared" si="261"/>
        <v>934.90804700000001</v>
      </c>
      <c r="M1047" s="67">
        <f t="shared" si="265"/>
        <v>8788.1356417999996</v>
      </c>
      <c r="N1047" s="26"/>
      <c r="O1047" s="663">
        <v>0.93490804699999996</v>
      </c>
      <c r="Q1047" s="157"/>
    </row>
    <row r="1048" spans="1:17" ht="18.95" customHeight="1">
      <c r="A1048" s="265"/>
      <c r="B1048" s="573" t="s">
        <v>273</v>
      </c>
      <c r="C1048" s="659" t="s">
        <v>2843</v>
      </c>
      <c r="D1048" s="660"/>
      <c r="E1048" s="533">
        <v>2</v>
      </c>
      <c r="F1048" s="30" t="s">
        <v>349</v>
      </c>
      <c r="G1048" s="25">
        <v>3000</v>
      </c>
      <c r="H1048" s="30">
        <f t="shared" si="267"/>
        <v>2804.7241409999997</v>
      </c>
      <c r="I1048" s="67">
        <f t="shared" si="266"/>
        <v>5609.4482819999994</v>
      </c>
      <c r="J1048" s="25">
        <v>500</v>
      </c>
      <c r="K1048" s="25">
        <f t="shared" si="259"/>
        <v>467.45402350000001</v>
      </c>
      <c r="L1048" s="25">
        <f t="shared" si="261"/>
        <v>934.90804700000001</v>
      </c>
      <c r="M1048" s="67">
        <f t="shared" si="265"/>
        <v>6544.3563289999993</v>
      </c>
      <c r="N1048" s="26"/>
      <c r="O1048" s="663">
        <v>0.93490804699999996</v>
      </c>
      <c r="Q1048" s="157"/>
    </row>
    <row r="1049" spans="1:17" ht="18.95" customHeight="1">
      <c r="A1049" s="265"/>
      <c r="B1049" s="573" t="s">
        <v>273</v>
      </c>
      <c r="C1049" s="659" t="s">
        <v>2844</v>
      </c>
      <c r="D1049" s="660"/>
      <c r="E1049" s="533">
        <v>48</v>
      </c>
      <c r="F1049" s="30" t="s">
        <v>349</v>
      </c>
      <c r="G1049" s="25">
        <v>150</v>
      </c>
      <c r="H1049" s="30">
        <f t="shared" si="267"/>
        <v>140.23620704999999</v>
      </c>
      <c r="I1049" s="67">
        <f t="shared" si="266"/>
        <v>6731.3379384</v>
      </c>
      <c r="J1049" s="25">
        <v>0</v>
      </c>
      <c r="K1049" s="25">
        <f t="shared" si="259"/>
        <v>0</v>
      </c>
      <c r="L1049" s="25">
        <f t="shared" si="261"/>
        <v>0</v>
      </c>
      <c r="M1049" s="67">
        <f t="shared" si="265"/>
        <v>6731.3379384</v>
      </c>
      <c r="N1049" s="26"/>
      <c r="O1049" s="663">
        <v>0.93490804699999996</v>
      </c>
      <c r="Q1049" s="157"/>
    </row>
    <row r="1050" spans="1:17" ht="18.95" customHeight="1">
      <c r="A1050" s="265"/>
      <c r="B1050" s="573" t="s">
        <v>273</v>
      </c>
      <c r="C1050" s="659" t="s">
        <v>2845</v>
      </c>
      <c r="D1050" s="660"/>
      <c r="E1050" s="533">
        <v>4</v>
      </c>
      <c r="F1050" s="30" t="s">
        <v>349</v>
      </c>
      <c r="G1050" s="25">
        <v>6000</v>
      </c>
      <c r="H1050" s="30">
        <f t="shared" si="267"/>
        <v>5609.4482819999994</v>
      </c>
      <c r="I1050" s="67">
        <f t="shared" si="266"/>
        <v>22437.793127999998</v>
      </c>
      <c r="J1050" s="25">
        <v>250</v>
      </c>
      <c r="K1050" s="25">
        <f t="shared" si="259"/>
        <v>233.72701175</v>
      </c>
      <c r="L1050" s="25">
        <f t="shared" si="261"/>
        <v>934.90804700000001</v>
      </c>
      <c r="M1050" s="67">
        <f t="shared" si="265"/>
        <v>23372.701174999998</v>
      </c>
      <c r="N1050" s="26"/>
      <c r="O1050" s="663">
        <v>0.93490804699999996</v>
      </c>
      <c r="Q1050" s="157"/>
    </row>
    <row r="1051" spans="1:17" ht="18.95" customHeight="1">
      <c r="A1051" s="265"/>
      <c r="B1051" s="573" t="s">
        <v>273</v>
      </c>
      <c r="C1051" s="659" t="s">
        <v>2797</v>
      </c>
      <c r="D1051" s="660"/>
      <c r="E1051" s="533">
        <v>2</v>
      </c>
      <c r="F1051" s="30" t="s">
        <v>349</v>
      </c>
      <c r="G1051" s="25">
        <v>22500</v>
      </c>
      <c r="H1051" s="30">
        <f t="shared" si="267"/>
        <v>21035.431057499998</v>
      </c>
      <c r="I1051" s="67">
        <f t="shared" si="266"/>
        <v>42070.862114999996</v>
      </c>
      <c r="J1051" s="25">
        <v>500</v>
      </c>
      <c r="K1051" s="25">
        <f t="shared" si="259"/>
        <v>467.45402350000001</v>
      </c>
      <c r="L1051" s="25">
        <f t="shared" si="261"/>
        <v>934.90804700000001</v>
      </c>
      <c r="M1051" s="67">
        <f t="shared" si="265"/>
        <v>43005.770161999993</v>
      </c>
      <c r="N1051" s="26"/>
      <c r="O1051" s="663">
        <v>0.93490804699999996</v>
      </c>
      <c r="Q1051" s="157"/>
    </row>
    <row r="1052" spans="1:17" ht="18.95" customHeight="1">
      <c r="A1052" s="265"/>
      <c r="B1052" s="573" t="s">
        <v>273</v>
      </c>
      <c r="C1052" s="661" t="s">
        <v>2847</v>
      </c>
      <c r="D1052" s="693"/>
      <c r="E1052" s="533">
        <v>20</v>
      </c>
      <c r="F1052" s="30" t="s">
        <v>349</v>
      </c>
      <c r="G1052" s="67">
        <v>14000</v>
      </c>
      <c r="H1052" s="30">
        <f t="shared" si="267"/>
        <v>13088.712658</v>
      </c>
      <c r="I1052" s="67">
        <f t="shared" si="266"/>
        <v>261774.25316000002</v>
      </c>
      <c r="J1052" s="67">
        <v>50</v>
      </c>
      <c r="K1052" s="25">
        <f t="shared" si="259"/>
        <v>46.745402349999999</v>
      </c>
      <c r="L1052" s="25">
        <f t="shared" si="261"/>
        <v>934.90804700000001</v>
      </c>
      <c r="M1052" s="67">
        <f t="shared" si="265"/>
        <v>262709.16120700003</v>
      </c>
      <c r="N1052" s="26"/>
      <c r="O1052" s="663">
        <v>0.93490804699999996</v>
      </c>
      <c r="Q1052" s="157"/>
    </row>
    <row r="1053" spans="1:17" ht="18.95" customHeight="1">
      <c r="A1053" s="265"/>
      <c r="B1053" s="573" t="s">
        <v>273</v>
      </c>
      <c r="C1053" s="661" t="s">
        <v>2849</v>
      </c>
      <c r="D1053" s="693"/>
      <c r="E1053" s="533">
        <v>1</v>
      </c>
      <c r="F1053" s="30" t="s">
        <v>349</v>
      </c>
      <c r="G1053" s="67">
        <v>10000</v>
      </c>
      <c r="H1053" s="30">
        <f t="shared" si="267"/>
        <v>9349.080469999999</v>
      </c>
      <c r="I1053" s="67">
        <f t="shared" si="266"/>
        <v>9349.080469999999</v>
      </c>
      <c r="J1053" s="67">
        <v>500</v>
      </c>
      <c r="K1053" s="25">
        <f t="shared" si="259"/>
        <v>467.45402350000001</v>
      </c>
      <c r="L1053" s="25">
        <f t="shared" si="261"/>
        <v>467.45402350000001</v>
      </c>
      <c r="M1053" s="67">
        <f t="shared" si="265"/>
        <v>9816.5344934999994</v>
      </c>
      <c r="N1053" s="26"/>
      <c r="O1053" s="663">
        <v>0.93490804699999996</v>
      </c>
      <c r="Q1053" s="157"/>
    </row>
    <row r="1054" spans="1:17" ht="18.95" customHeight="1">
      <c r="A1054" s="265"/>
      <c r="B1054" s="573" t="s">
        <v>273</v>
      </c>
      <c r="C1054" s="659" t="s">
        <v>2850</v>
      </c>
      <c r="D1054" s="660"/>
      <c r="E1054" s="533"/>
      <c r="F1054" s="30" t="s">
        <v>349</v>
      </c>
      <c r="G1054" s="67">
        <v>10000</v>
      </c>
      <c r="H1054" s="30">
        <f t="shared" si="267"/>
        <v>9349.080469999999</v>
      </c>
      <c r="I1054" s="67">
        <f t="shared" si="266"/>
        <v>0</v>
      </c>
      <c r="J1054" s="67">
        <v>500</v>
      </c>
      <c r="K1054" s="25">
        <f t="shared" si="259"/>
        <v>467.45402350000001</v>
      </c>
      <c r="L1054" s="25">
        <f t="shared" si="261"/>
        <v>0</v>
      </c>
      <c r="M1054" s="67">
        <f t="shared" si="265"/>
        <v>0</v>
      </c>
      <c r="N1054" s="26"/>
      <c r="O1054" s="663">
        <v>0.93490804699999996</v>
      </c>
      <c r="Q1054" s="157"/>
    </row>
    <row r="1055" spans="1:17" ht="18.95" customHeight="1">
      <c r="A1055" s="265"/>
      <c r="B1055" s="573" t="s">
        <v>273</v>
      </c>
      <c r="C1055" s="659" t="s">
        <v>2851</v>
      </c>
      <c r="D1055" s="660"/>
      <c r="E1055" s="533">
        <v>1</v>
      </c>
      <c r="F1055" s="30" t="s">
        <v>349</v>
      </c>
      <c r="G1055" s="67">
        <v>12300</v>
      </c>
      <c r="H1055" s="30">
        <f t="shared" si="267"/>
        <v>11499.368978099999</v>
      </c>
      <c r="I1055" s="67">
        <f t="shared" si="266"/>
        <v>11499.368978099999</v>
      </c>
      <c r="J1055" s="67">
        <v>500</v>
      </c>
      <c r="K1055" s="25">
        <f t="shared" si="259"/>
        <v>467.45402350000001</v>
      </c>
      <c r="L1055" s="25">
        <f t="shared" si="261"/>
        <v>467.45402350000001</v>
      </c>
      <c r="M1055" s="67">
        <f t="shared" si="265"/>
        <v>11966.8230016</v>
      </c>
      <c r="N1055" s="26"/>
      <c r="O1055" s="663">
        <v>0.93490804699999996</v>
      </c>
      <c r="Q1055" s="157"/>
    </row>
    <row r="1056" spans="1:17" ht="18.95" customHeight="1">
      <c r="A1056" s="667" t="s">
        <v>2863</v>
      </c>
      <c r="B1056" s="665" t="s">
        <v>2740</v>
      </c>
      <c r="C1056" s="666"/>
      <c r="D1056" s="660"/>
      <c r="E1056" s="533"/>
      <c r="F1056" s="30"/>
      <c r="G1056" s="67"/>
      <c r="H1056" s="30"/>
      <c r="I1056" s="67"/>
      <c r="J1056" s="67"/>
      <c r="K1056" s="25"/>
      <c r="L1056" s="25"/>
      <c r="M1056" s="67"/>
      <c r="N1056" s="26"/>
      <c r="O1056" s="663">
        <v>0.93490804699999996</v>
      </c>
      <c r="Q1056" s="157"/>
    </row>
    <row r="1057" spans="1:17" ht="18.95" customHeight="1">
      <c r="A1057" s="265"/>
      <c r="B1057" s="573" t="s">
        <v>273</v>
      </c>
      <c r="C1057" s="666" t="s">
        <v>2853</v>
      </c>
      <c r="D1057" s="660"/>
      <c r="E1057" s="533">
        <v>260</v>
      </c>
      <c r="F1057" s="30" t="s">
        <v>286</v>
      </c>
      <c r="G1057" s="30">
        <v>40</v>
      </c>
      <c r="H1057" s="30">
        <f t="shared" si="267"/>
        <v>37.396321880000002</v>
      </c>
      <c r="I1057" s="67">
        <f t="shared" si="266"/>
        <v>9723.0436888000004</v>
      </c>
      <c r="J1057" s="25">
        <v>30</v>
      </c>
      <c r="K1057" s="25">
        <f t="shared" si="259"/>
        <v>28.047241409999998</v>
      </c>
      <c r="L1057" s="25">
        <f t="shared" si="261"/>
        <v>7292.2827665999994</v>
      </c>
      <c r="M1057" s="25">
        <f>I1057+L1057</f>
        <v>17015.326455399998</v>
      </c>
      <c r="N1057" s="26"/>
      <c r="O1057" s="663">
        <v>0.93490804699999996</v>
      </c>
      <c r="Q1057" s="157"/>
    </row>
    <row r="1058" spans="1:17" ht="18.95" customHeight="1">
      <c r="A1058" s="265"/>
      <c r="B1058" s="573" t="s">
        <v>273</v>
      </c>
      <c r="C1058" s="666" t="s">
        <v>2741</v>
      </c>
      <c r="D1058" s="660"/>
      <c r="E1058" s="533">
        <v>1100</v>
      </c>
      <c r="F1058" s="30" t="s">
        <v>286</v>
      </c>
      <c r="G1058" s="30">
        <v>16</v>
      </c>
      <c r="H1058" s="30">
        <f t="shared" si="267"/>
        <v>14.958528751999999</v>
      </c>
      <c r="I1058" s="67">
        <f t="shared" si="266"/>
        <v>16454.3816272</v>
      </c>
      <c r="J1058" s="25">
        <v>10</v>
      </c>
      <c r="K1058" s="25">
        <f t="shared" si="259"/>
        <v>9.3490804700000005</v>
      </c>
      <c r="L1058" s="25">
        <f t="shared" si="261"/>
        <v>10283.988517</v>
      </c>
      <c r="M1058" s="25">
        <f>I1058+L1058</f>
        <v>26738.370144200002</v>
      </c>
      <c r="N1058" s="26"/>
      <c r="O1058" s="663">
        <v>0.93490804699999996</v>
      </c>
      <c r="Q1058" s="157"/>
    </row>
    <row r="1059" spans="1:17" ht="18.95" customHeight="1">
      <c r="A1059" s="667" t="s">
        <v>2864</v>
      </c>
      <c r="B1059" s="652" t="s">
        <v>2195</v>
      </c>
      <c r="C1059" s="657"/>
      <c r="D1059" s="412"/>
      <c r="E1059" s="533"/>
      <c r="F1059" s="30"/>
      <c r="G1059" s="67"/>
      <c r="H1059" s="30"/>
      <c r="I1059" s="67"/>
      <c r="J1059" s="67"/>
      <c r="K1059" s="25"/>
      <c r="L1059" s="25"/>
      <c r="M1059" s="67"/>
      <c r="N1059" s="26"/>
      <c r="O1059" s="663">
        <v>0.93490804699999996</v>
      </c>
      <c r="Q1059" s="157"/>
    </row>
    <row r="1060" spans="1:17" ht="18.95" customHeight="1">
      <c r="A1060" s="265"/>
      <c r="B1060" s="573" t="s">
        <v>273</v>
      </c>
      <c r="C1060" s="661" t="s">
        <v>2196</v>
      </c>
      <c r="D1060" s="660"/>
      <c r="E1060" s="533">
        <v>1100</v>
      </c>
      <c r="F1060" s="1181" t="s">
        <v>286</v>
      </c>
      <c r="G1060" s="30">
        <f>ROUND(93.1/3,2)</f>
        <v>31.03</v>
      </c>
      <c r="H1060" s="30">
        <f t="shared" si="267"/>
        <v>29.010196698409999</v>
      </c>
      <c r="I1060" s="67">
        <f t="shared" si="266"/>
        <v>31911.216368251</v>
      </c>
      <c r="J1060" s="67">
        <v>22</v>
      </c>
      <c r="K1060" s="25">
        <f t="shared" si="259"/>
        <v>20.567977033999998</v>
      </c>
      <c r="L1060" s="25">
        <f t="shared" si="261"/>
        <v>22624.774737399999</v>
      </c>
      <c r="M1060" s="67">
        <f>I1060+L1060</f>
        <v>54535.991105651003</v>
      </c>
      <c r="N1060" s="26"/>
      <c r="O1060" s="663">
        <v>0.93490804699999996</v>
      </c>
      <c r="Q1060" s="157"/>
    </row>
    <row r="1061" spans="1:17" ht="18.95" customHeight="1">
      <c r="A1061" s="667" t="s">
        <v>2865</v>
      </c>
      <c r="B1061" s="665" t="s">
        <v>2742</v>
      </c>
      <c r="C1061" s="666"/>
      <c r="D1061" s="660"/>
      <c r="E1061" s="533">
        <v>1</v>
      </c>
      <c r="F1061" s="30" t="s">
        <v>2193</v>
      </c>
      <c r="G1061" s="670">
        <f>(SUM(I1057:I1058)*0.05)+(SUM(I1060*0.15)+(SUM(I1044:I1055)*0.02))</f>
        <v>16284.181617243652</v>
      </c>
      <c r="H1061" s="30">
        <f>G1061</f>
        <v>16284.181617243652</v>
      </c>
      <c r="I1061" s="67">
        <f t="shared" si="266"/>
        <v>16284.181617243652</v>
      </c>
      <c r="J1061" s="696">
        <f>G1061*0.3</f>
        <v>4885.2544851730954</v>
      </c>
      <c r="K1061" s="25">
        <f>J1061</f>
        <v>4885.2544851730954</v>
      </c>
      <c r="L1061" s="25">
        <f t="shared" si="261"/>
        <v>4885.2544851730954</v>
      </c>
      <c r="M1061" s="67">
        <f>I1061+L1061</f>
        <v>21169.436102416748</v>
      </c>
      <c r="N1061" s="26"/>
      <c r="O1061" s="663">
        <v>0.93490804699999996</v>
      </c>
      <c r="Q1061" s="157"/>
    </row>
    <row r="1062" spans="1:17" ht="18.95" customHeight="1">
      <c r="A1062" s="667"/>
      <c r="B1062" s="665"/>
      <c r="C1062" s="666"/>
      <c r="D1062" s="660"/>
      <c r="E1062" s="533"/>
      <c r="F1062" s="30"/>
      <c r="G1062" s="30"/>
      <c r="H1062" s="30"/>
      <c r="I1062" s="67"/>
      <c r="J1062" s="67"/>
      <c r="K1062" s="25"/>
      <c r="L1062" s="25"/>
      <c r="M1062" s="67"/>
      <c r="N1062" s="26"/>
      <c r="O1062" s="663">
        <v>0.93490804699999996</v>
      </c>
      <c r="Q1062" s="157"/>
    </row>
    <row r="1063" spans="1:17" ht="18.95" customHeight="1">
      <c r="A1063" s="265">
        <v>16.5</v>
      </c>
      <c r="B1063" s="1353" t="s">
        <v>2786</v>
      </c>
      <c r="C1063" s="1354"/>
      <c r="D1063" s="1355"/>
      <c r="E1063" s="533"/>
      <c r="F1063" s="30"/>
      <c r="G1063" s="67"/>
      <c r="H1063" s="30"/>
      <c r="I1063" s="67"/>
      <c r="J1063" s="67"/>
      <c r="K1063" s="25"/>
      <c r="L1063" s="25"/>
      <c r="M1063" s="67"/>
      <c r="N1063" s="26"/>
      <c r="O1063" s="663">
        <v>0.93490804699999996</v>
      </c>
      <c r="Q1063" s="157"/>
    </row>
    <row r="1064" spans="1:17" ht="18.95" customHeight="1">
      <c r="A1064" s="651" t="s">
        <v>2866</v>
      </c>
      <c r="B1064" s="665" t="s">
        <v>2833</v>
      </c>
      <c r="C1064" s="666"/>
      <c r="D1064" s="660"/>
      <c r="E1064" s="533">
        <v>1</v>
      </c>
      <c r="F1064" s="30" t="s">
        <v>349</v>
      </c>
      <c r="G1064" s="67">
        <v>33000</v>
      </c>
      <c r="H1064" s="30">
        <f t="shared" si="267"/>
        <v>30851.965550999998</v>
      </c>
      <c r="I1064" s="67">
        <f>E1064*H1064</f>
        <v>30851.965550999998</v>
      </c>
      <c r="J1064" s="67">
        <v>1000</v>
      </c>
      <c r="K1064" s="25">
        <f t="shared" si="259"/>
        <v>934.90804700000001</v>
      </c>
      <c r="L1064" s="25">
        <f t="shared" si="261"/>
        <v>934.90804700000001</v>
      </c>
      <c r="M1064" s="67">
        <f t="shared" ref="M1064:M1075" si="268">I1064+L1064</f>
        <v>31786.873597999998</v>
      </c>
      <c r="N1064" s="26"/>
      <c r="O1064" s="663">
        <v>0.93490804699999996</v>
      </c>
      <c r="Q1064" s="157"/>
    </row>
    <row r="1065" spans="1:17" ht="18.95" customHeight="1">
      <c r="A1065" s="265"/>
      <c r="B1065" s="573" t="s">
        <v>273</v>
      </c>
      <c r="C1065" s="659" t="s">
        <v>2835</v>
      </c>
      <c r="D1065" s="660"/>
      <c r="E1065" s="533">
        <v>1</v>
      </c>
      <c r="F1065" s="30" t="s">
        <v>349</v>
      </c>
      <c r="G1065" s="25">
        <v>43000</v>
      </c>
      <c r="H1065" s="30">
        <f t="shared" si="267"/>
        <v>40201.046021000002</v>
      </c>
      <c r="I1065" s="67">
        <f t="shared" ref="I1065:I1081" si="269">E1065*H1065</f>
        <v>40201.046021000002</v>
      </c>
      <c r="J1065" s="25">
        <v>1000</v>
      </c>
      <c r="K1065" s="25">
        <f t="shared" si="259"/>
        <v>934.90804700000001</v>
      </c>
      <c r="L1065" s="25">
        <f t="shared" si="261"/>
        <v>934.90804700000001</v>
      </c>
      <c r="M1065" s="67">
        <f t="shared" si="268"/>
        <v>41135.954067999999</v>
      </c>
      <c r="N1065" s="26"/>
      <c r="O1065" s="663">
        <v>0.93490804699999996</v>
      </c>
      <c r="Q1065" s="157"/>
    </row>
    <row r="1066" spans="1:17" ht="18.95" customHeight="1">
      <c r="A1066" s="265"/>
      <c r="B1066" s="573" t="s">
        <v>273</v>
      </c>
      <c r="C1066" s="659" t="s">
        <v>2842</v>
      </c>
      <c r="D1066" s="660"/>
      <c r="E1066" s="533">
        <v>1</v>
      </c>
      <c r="F1066" s="30" t="s">
        <v>349</v>
      </c>
      <c r="G1066" s="25">
        <v>4200</v>
      </c>
      <c r="H1066" s="30">
        <f t="shared" si="267"/>
        <v>3926.6137973999998</v>
      </c>
      <c r="I1066" s="67">
        <f t="shared" si="269"/>
        <v>3926.6137973999998</v>
      </c>
      <c r="J1066" s="25">
        <v>500</v>
      </c>
      <c r="K1066" s="25">
        <f t="shared" ref="K1066:K1129" si="270">J1066*O1066</f>
        <v>467.45402350000001</v>
      </c>
      <c r="L1066" s="25">
        <f t="shared" si="261"/>
        <v>467.45402350000001</v>
      </c>
      <c r="M1066" s="67">
        <f t="shared" si="268"/>
        <v>4394.0678208999998</v>
      </c>
      <c r="N1066" s="26"/>
      <c r="O1066" s="663">
        <v>0.93490804699999996</v>
      </c>
      <c r="Q1066" s="157"/>
    </row>
    <row r="1067" spans="1:17" ht="18.95" customHeight="1">
      <c r="A1067" s="265"/>
      <c r="B1067" s="573" t="s">
        <v>273</v>
      </c>
      <c r="C1067" s="659" t="s">
        <v>2843</v>
      </c>
      <c r="D1067" s="660"/>
      <c r="E1067" s="533">
        <v>1</v>
      </c>
      <c r="F1067" s="30" t="s">
        <v>349</v>
      </c>
      <c r="G1067" s="25">
        <v>3000</v>
      </c>
      <c r="H1067" s="30">
        <f t="shared" si="267"/>
        <v>2804.7241409999997</v>
      </c>
      <c r="I1067" s="67">
        <f t="shared" si="269"/>
        <v>2804.7241409999997</v>
      </c>
      <c r="J1067" s="25">
        <v>500</v>
      </c>
      <c r="K1067" s="25">
        <f t="shared" si="270"/>
        <v>467.45402350000001</v>
      </c>
      <c r="L1067" s="25">
        <f t="shared" si="261"/>
        <v>467.45402350000001</v>
      </c>
      <c r="M1067" s="67">
        <f t="shared" si="268"/>
        <v>3272.1781644999996</v>
      </c>
      <c r="N1067" s="26"/>
      <c r="O1067" s="663">
        <v>0.93490804699999996</v>
      </c>
      <c r="Q1067" s="157"/>
    </row>
    <row r="1068" spans="1:17" ht="18.95" customHeight="1">
      <c r="A1068" s="265"/>
      <c r="B1068" s="573" t="s">
        <v>273</v>
      </c>
      <c r="C1068" s="659" t="s">
        <v>2844</v>
      </c>
      <c r="D1068" s="660"/>
      <c r="E1068" s="533">
        <v>24</v>
      </c>
      <c r="F1068" s="30" t="s">
        <v>349</v>
      </c>
      <c r="G1068" s="25">
        <v>150</v>
      </c>
      <c r="H1068" s="30">
        <f t="shared" si="267"/>
        <v>140.23620704999999</v>
      </c>
      <c r="I1068" s="67">
        <f t="shared" si="269"/>
        <v>3365.6689692</v>
      </c>
      <c r="J1068" s="25">
        <v>0</v>
      </c>
      <c r="K1068" s="25">
        <f t="shared" si="270"/>
        <v>0</v>
      </c>
      <c r="L1068" s="25">
        <f t="shared" si="261"/>
        <v>0</v>
      </c>
      <c r="M1068" s="67">
        <f t="shared" si="268"/>
        <v>3365.6689692</v>
      </c>
      <c r="N1068" s="26"/>
      <c r="O1068" s="663">
        <v>0.93490804699999996</v>
      </c>
      <c r="Q1068" s="157"/>
    </row>
    <row r="1069" spans="1:17" ht="18.95" customHeight="1">
      <c r="A1069" s="265"/>
      <c r="B1069" s="573" t="s">
        <v>273</v>
      </c>
      <c r="C1069" s="659" t="s">
        <v>2845</v>
      </c>
      <c r="D1069" s="660"/>
      <c r="E1069" s="533">
        <v>2</v>
      </c>
      <c r="F1069" s="30" t="s">
        <v>349</v>
      </c>
      <c r="G1069" s="25">
        <v>6000</v>
      </c>
      <c r="H1069" s="30">
        <f t="shared" si="267"/>
        <v>5609.4482819999994</v>
      </c>
      <c r="I1069" s="67">
        <f t="shared" si="269"/>
        <v>11218.896563999999</v>
      </c>
      <c r="J1069" s="25">
        <v>250</v>
      </c>
      <c r="K1069" s="25">
        <f t="shared" si="270"/>
        <v>233.72701175</v>
      </c>
      <c r="L1069" s="25">
        <f t="shared" si="261"/>
        <v>467.45402350000001</v>
      </c>
      <c r="M1069" s="67">
        <f t="shared" si="268"/>
        <v>11686.350587499999</v>
      </c>
      <c r="N1069" s="26"/>
      <c r="O1069" s="663">
        <v>0.93490804699999996</v>
      </c>
      <c r="Q1069" s="157"/>
    </row>
    <row r="1070" spans="1:17" ht="18.95" customHeight="1">
      <c r="A1070" s="265"/>
      <c r="B1070" s="573" t="s">
        <v>273</v>
      </c>
      <c r="C1070" s="659" t="s">
        <v>2797</v>
      </c>
      <c r="D1070" s="660"/>
      <c r="E1070" s="533">
        <v>1</v>
      </c>
      <c r="F1070" s="30" t="s">
        <v>349</v>
      </c>
      <c r="G1070" s="25">
        <v>22500</v>
      </c>
      <c r="H1070" s="30">
        <f t="shared" si="267"/>
        <v>21035.431057499998</v>
      </c>
      <c r="I1070" s="67">
        <f t="shared" si="269"/>
        <v>21035.431057499998</v>
      </c>
      <c r="J1070" s="25">
        <v>500</v>
      </c>
      <c r="K1070" s="25">
        <f t="shared" si="270"/>
        <v>467.45402350000001</v>
      </c>
      <c r="L1070" s="25">
        <f t="shared" ref="L1070:L1091" si="271">E1070*K1070</f>
        <v>467.45402350000001</v>
      </c>
      <c r="M1070" s="67">
        <f t="shared" si="268"/>
        <v>21502.885080999997</v>
      </c>
      <c r="N1070" s="26"/>
      <c r="O1070" s="663">
        <v>0.93490804699999996</v>
      </c>
      <c r="Q1070" s="157"/>
    </row>
    <row r="1071" spans="1:17" ht="18.95" customHeight="1">
      <c r="A1071" s="265"/>
      <c r="B1071" s="573" t="s">
        <v>273</v>
      </c>
      <c r="C1071" s="661" t="s">
        <v>2847</v>
      </c>
      <c r="D1071" s="693"/>
      <c r="E1071" s="533">
        <v>15</v>
      </c>
      <c r="F1071" s="30" t="s">
        <v>349</v>
      </c>
      <c r="G1071" s="67">
        <v>13500</v>
      </c>
      <c r="H1071" s="30">
        <f t="shared" si="267"/>
        <v>12621.2586345</v>
      </c>
      <c r="I1071" s="67">
        <f t="shared" si="269"/>
        <v>189318.8795175</v>
      </c>
      <c r="J1071" s="25">
        <v>500</v>
      </c>
      <c r="K1071" s="25">
        <f t="shared" si="270"/>
        <v>467.45402350000001</v>
      </c>
      <c r="L1071" s="25">
        <f t="shared" si="271"/>
        <v>7011.8103524999997</v>
      </c>
      <c r="M1071" s="67">
        <f t="shared" si="268"/>
        <v>196330.68987</v>
      </c>
      <c r="N1071" s="26"/>
      <c r="O1071" s="663">
        <v>0.93490804699999996</v>
      </c>
      <c r="Q1071" s="157"/>
    </row>
    <row r="1072" spans="1:17" ht="18.95" customHeight="1">
      <c r="A1072" s="265"/>
      <c r="B1072" s="573" t="s">
        <v>273</v>
      </c>
      <c r="C1072" s="661" t="s">
        <v>2848</v>
      </c>
      <c r="D1072" s="693"/>
      <c r="E1072" s="533">
        <v>6</v>
      </c>
      <c r="F1072" s="30" t="s">
        <v>349</v>
      </c>
      <c r="G1072" s="67">
        <v>14000</v>
      </c>
      <c r="H1072" s="30">
        <f t="shared" si="267"/>
        <v>13088.712658</v>
      </c>
      <c r="I1072" s="67">
        <f t="shared" si="269"/>
        <v>78532.275947999995</v>
      </c>
      <c r="J1072" s="25">
        <v>500</v>
      </c>
      <c r="K1072" s="25">
        <f t="shared" si="270"/>
        <v>467.45402350000001</v>
      </c>
      <c r="L1072" s="25">
        <f t="shared" si="271"/>
        <v>2804.7241410000001</v>
      </c>
      <c r="M1072" s="67">
        <f t="shared" si="268"/>
        <v>81337.000088999994</v>
      </c>
      <c r="N1072" s="26"/>
      <c r="O1072" s="663">
        <v>0.93490804699999996</v>
      </c>
      <c r="Q1072" s="157"/>
    </row>
    <row r="1073" spans="1:17" ht="18.95" customHeight="1">
      <c r="A1073" s="265"/>
      <c r="B1073" s="573" t="s">
        <v>273</v>
      </c>
      <c r="C1073" s="661" t="s">
        <v>2849</v>
      </c>
      <c r="D1073" s="693"/>
      <c r="E1073" s="533">
        <v>3</v>
      </c>
      <c r="F1073" s="30" t="s">
        <v>349</v>
      </c>
      <c r="G1073" s="67">
        <v>10000</v>
      </c>
      <c r="H1073" s="30">
        <f t="shared" si="267"/>
        <v>9349.080469999999</v>
      </c>
      <c r="I1073" s="67">
        <f t="shared" si="269"/>
        <v>28047.241409999995</v>
      </c>
      <c r="J1073" s="25">
        <v>500</v>
      </c>
      <c r="K1073" s="25">
        <f t="shared" si="270"/>
        <v>467.45402350000001</v>
      </c>
      <c r="L1073" s="25">
        <f t="shared" si="271"/>
        <v>1402.3620705000001</v>
      </c>
      <c r="M1073" s="67">
        <f t="shared" si="268"/>
        <v>29449.603480499994</v>
      </c>
      <c r="N1073" s="26"/>
      <c r="O1073" s="663">
        <v>0.93490804699999996</v>
      </c>
      <c r="Q1073" s="157"/>
    </row>
    <row r="1074" spans="1:17" ht="18.95" customHeight="1">
      <c r="A1074" s="265"/>
      <c r="B1074" s="573" t="s">
        <v>273</v>
      </c>
      <c r="C1074" s="659" t="s">
        <v>2850</v>
      </c>
      <c r="D1074" s="660"/>
      <c r="E1074" s="533">
        <v>0</v>
      </c>
      <c r="F1074" s="30" t="s">
        <v>349</v>
      </c>
      <c r="G1074" s="67">
        <v>10000</v>
      </c>
      <c r="H1074" s="30">
        <f t="shared" si="267"/>
        <v>9349.080469999999</v>
      </c>
      <c r="I1074" s="67">
        <f t="shared" si="269"/>
        <v>0</v>
      </c>
      <c r="J1074" s="25">
        <v>500</v>
      </c>
      <c r="K1074" s="25">
        <f t="shared" si="270"/>
        <v>467.45402350000001</v>
      </c>
      <c r="L1074" s="25">
        <f t="shared" si="271"/>
        <v>0</v>
      </c>
      <c r="M1074" s="67">
        <f t="shared" si="268"/>
        <v>0</v>
      </c>
      <c r="N1074" s="26"/>
      <c r="O1074" s="663">
        <v>0.93490804699999996</v>
      </c>
      <c r="Q1074" s="157"/>
    </row>
    <row r="1075" spans="1:17" ht="18.95" customHeight="1">
      <c r="A1075" s="265"/>
      <c r="B1075" s="573" t="s">
        <v>273</v>
      </c>
      <c r="C1075" s="659" t="s">
        <v>2851</v>
      </c>
      <c r="D1075" s="660"/>
      <c r="E1075" s="533">
        <v>3</v>
      </c>
      <c r="F1075" s="30" t="s">
        <v>349</v>
      </c>
      <c r="G1075" s="67">
        <v>12300</v>
      </c>
      <c r="H1075" s="30">
        <f t="shared" si="267"/>
        <v>11499.368978099999</v>
      </c>
      <c r="I1075" s="67">
        <f t="shared" si="269"/>
        <v>34498.106934299998</v>
      </c>
      <c r="J1075" s="67">
        <v>500</v>
      </c>
      <c r="K1075" s="25">
        <f t="shared" si="270"/>
        <v>467.45402350000001</v>
      </c>
      <c r="L1075" s="25">
        <f t="shared" si="271"/>
        <v>1402.3620705000001</v>
      </c>
      <c r="M1075" s="67">
        <f t="shared" si="268"/>
        <v>35900.469004799997</v>
      </c>
      <c r="N1075" s="26"/>
      <c r="O1075" s="663">
        <v>0.93490804699999996</v>
      </c>
      <c r="Q1075" s="157"/>
    </row>
    <row r="1076" spans="1:17" ht="18.95" customHeight="1">
      <c r="A1076" s="667" t="s">
        <v>2867</v>
      </c>
      <c r="B1076" s="665" t="s">
        <v>2740</v>
      </c>
      <c r="C1076" s="666"/>
      <c r="D1076" s="660"/>
      <c r="E1076" s="533"/>
      <c r="F1076" s="30"/>
      <c r="G1076" s="67"/>
      <c r="H1076" s="30"/>
      <c r="I1076" s="67"/>
      <c r="J1076" s="67"/>
      <c r="K1076" s="25"/>
      <c r="L1076" s="25"/>
      <c r="M1076" s="67"/>
      <c r="N1076" s="26"/>
      <c r="O1076" s="663">
        <v>0.93490804699999996</v>
      </c>
      <c r="Q1076" s="157"/>
    </row>
    <row r="1077" spans="1:17" ht="18.95" customHeight="1">
      <c r="A1077" s="265"/>
      <c r="B1077" s="573" t="s">
        <v>273</v>
      </c>
      <c r="C1077" s="666" t="s">
        <v>2853</v>
      </c>
      <c r="D1077" s="660"/>
      <c r="E1077" s="533">
        <v>200</v>
      </c>
      <c r="F1077" s="30" t="s">
        <v>286</v>
      </c>
      <c r="G1077" s="30">
        <v>40</v>
      </c>
      <c r="H1077" s="30">
        <f t="shared" si="267"/>
        <v>37.396321880000002</v>
      </c>
      <c r="I1077" s="67">
        <f t="shared" si="269"/>
        <v>7479.2643760000001</v>
      </c>
      <c r="J1077" s="25">
        <v>30</v>
      </c>
      <c r="K1077" s="25">
        <f t="shared" si="270"/>
        <v>28.047241409999998</v>
      </c>
      <c r="L1077" s="25">
        <f t="shared" si="271"/>
        <v>5609.4482819999994</v>
      </c>
      <c r="M1077" s="25">
        <f>I1077+L1077</f>
        <v>13088.712658</v>
      </c>
      <c r="N1077" s="26"/>
      <c r="O1077" s="663">
        <v>0.93490804699999996</v>
      </c>
      <c r="Q1077" s="157"/>
    </row>
    <row r="1078" spans="1:17" ht="18.95" customHeight="1">
      <c r="A1078" s="265"/>
      <c r="B1078" s="573" t="s">
        <v>273</v>
      </c>
      <c r="C1078" s="666" t="s">
        <v>2741</v>
      </c>
      <c r="D1078" s="660"/>
      <c r="E1078" s="533">
        <v>420</v>
      </c>
      <c r="F1078" s="30" t="s">
        <v>286</v>
      </c>
      <c r="G1078" s="30">
        <v>16</v>
      </c>
      <c r="H1078" s="30">
        <f t="shared" si="267"/>
        <v>14.958528751999999</v>
      </c>
      <c r="I1078" s="67">
        <f t="shared" si="269"/>
        <v>6282.5820758399996</v>
      </c>
      <c r="J1078" s="25">
        <v>10</v>
      </c>
      <c r="K1078" s="25">
        <f t="shared" si="270"/>
        <v>9.3490804700000005</v>
      </c>
      <c r="L1078" s="25">
        <f t="shared" si="271"/>
        <v>3926.6137974000003</v>
      </c>
      <c r="M1078" s="25">
        <f>I1078+L1078</f>
        <v>10209.19587324</v>
      </c>
      <c r="N1078" s="26"/>
      <c r="O1078" s="663">
        <v>0.93490804699999996</v>
      </c>
      <c r="Q1078" s="157"/>
    </row>
    <row r="1079" spans="1:17" ht="18.95" customHeight="1">
      <c r="A1079" s="667" t="s">
        <v>2868</v>
      </c>
      <c r="B1079" s="652" t="s">
        <v>2195</v>
      </c>
      <c r="C1079" s="657"/>
      <c r="D1079" s="412"/>
      <c r="E1079" s="533"/>
      <c r="F1079" s="30"/>
      <c r="G1079" s="67"/>
      <c r="H1079" s="30"/>
      <c r="I1079" s="67"/>
      <c r="J1079" s="67"/>
      <c r="K1079" s="25"/>
      <c r="L1079" s="25"/>
      <c r="M1079" s="67"/>
      <c r="N1079" s="26"/>
      <c r="O1079" s="663">
        <v>0.93490804699999996</v>
      </c>
      <c r="Q1079" s="157"/>
    </row>
    <row r="1080" spans="1:17" ht="18.95" customHeight="1">
      <c r="A1080" s="265"/>
      <c r="B1080" s="573" t="s">
        <v>273</v>
      </c>
      <c r="C1080" s="661" t="s">
        <v>2196</v>
      </c>
      <c r="D1080" s="660"/>
      <c r="E1080" s="533">
        <v>420</v>
      </c>
      <c r="F1080" s="1181" t="s">
        <v>286</v>
      </c>
      <c r="G1080" s="30">
        <f>ROUND(93.1/3,2)</f>
        <v>31.03</v>
      </c>
      <c r="H1080" s="30">
        <f t="shared" si="267"/>
        <v>29.010196698409999</v>
      </c>
      <c r="I1080" s="67">
        <f t="shared" si="269"/>
        <v>12184.2826133322</v>
      </c>
      <c r="J1080" s="67">
        <v>22</v>
      </c>
      <c r="K1080" s="25">
        <f t="shared" si="270"/>
        <v>20.567977033999998</v>
      </c>
      <c r="L1080" s="25">
        <f t="shared" si="271"/>
        <v>8638.5503542799997</v>
      </c>
      <c r="M1080" s="67">
        <f>I1080+L1080</f>
        <v>20822.832967612201</v>
      </c>
      <c r="N1080" s="26"/>
      <c r="O1080" s="663">
        <v>0.93490804699999996</v>
      </c>
      <c r="Q1080" s="157"/>
    </row>
    <row r="1081" spans="1:17" ht="18.95" customHeight="1">
      <c r="A1081" s="667" t="s">
        <v>2869</v>
      </c>
      <c r="B1081" s="665" t="s">
        <v>2742</v>
      </c>
      <c r="C1081" s="666"/>
      <c r="D1081" s="660"/>
      <c r="E1081" s="533">
        <v>1</v>
      </c>
      <c r="F1081" s="30" t="s">
        <v>2193</v>
      </c>
      <c r="G1081" s="670">
        <f>(SUM(I1077:I1078)*0.05)+(SUM(I1080*0.15)+(SUM(I1064:I1075)*0.02))</f>
        <v>11391.75171280983</v>
      </c>
      <c r="H1081" s="30">
        <f>G1081</f>
        <v>11391.75171280983</v>
      </c>
      <c r="I1081" s="67">
        <f t="shared" si="269"/>
        <v>11391.75171280983</v>
      </c>
      <c r="J1081" s="696">
        <f>G1081*0.3</f>
        <v>3417.5255138429488</v>
      </c>
      <c r="K1081" s="25">
        <f>J1081</f>
        <v>3417.5255138429488</v>
      </c>
      <c r="L1081" s="25">
        <f t="shared" si="271"/>
        <v>3417.5255138429488</v>
      </c>
      <c r="M1081" s="67">
        <f>I1081+L1081</f>
        <v>14809.277226652779</v>
      </c>
      <c r="N1081" s="26"/>
      <c r="O1081" s="663">
        <v>0.93490804699999996</v>
      </c>
      <c r="Q1081" s="157"/>
    </row>
    <row r="1082" spans="1:17" ht="18.95" customHeight="1">
      <c r="A1082" s="265"/>
      <c r="B1082" s="1275" t="s">
        <v>2870</v>
      </c>
      <c r="C1082" s="1276"/>
      <c r="D1082" s="1277"/>
      <c r="E1082" s="646"/>
      <c r="F1082" s="102"/>
      <c r="G1082" s="101"/>
      <c r="H1082" s="30"/>
      <c r="I1082" s="101">
        <f>SUM(I978:I1081)</f>
        <v>5181020.3663473576</v>
      </c>
      <c r="J1082" s="101"/>
      <c r="K1082" s="25"/>
      <c r="L1082" s="101">
        <f>SUM(L978:L1081)</f>
        <v>408122.18542003806</v>
      </c>
      <c r="M1082" s="101">
        <f>SUM(M978:M1081)</f>
        <v>5589142.5517673949</v>
      </c>
      <c r="N1082" s="35"/>
      <c r="O1082" s="663">
        <v>0.93490804699999996</v>
      </c>
      <c r="Q1082" s="157"/>
    </row>
    <row r="1083" spans="1:17" ht="18.95" customHeight="1">
      <c r="A1083" s="265"/>
      <c r="B1083" s="256"/>
      <c r="C1083" s="647"/>
      <c r="D1083" s="258"/>
      <c r="E1083" s="646"/>
      <c r="F1083" s="102"/>
      <c r="G1083" s="101"/>
      <c r="H1083" s="30"/>
      <c r="I1083" s="101"/>
      <c r="J1083" s="101"/>
      <c r="K1083" s="25"/>
      <c r="L1083" s="25"/>
      <c r="M1083" s="101"/>
      <c r="N1083" s="35"/>
      <c r="O1083" s="663">
        <v>0.93490804699999996</v>
      </c>
      <c r="Q1083" s="157"/>
    </row>
    <row r="1084" spans="1:17" ht="18.95" customHeight="1">
      <c r="A1084" s="648">
        <v>17</v>
      </c>
      <c r="B1084" s="1182" t="s">
        <v>1988</v>
      </c>
      <c r="C1084" s="650"/>
      <c r="D1084" s="412"/>
      <c r="E1084" s="646"/>
      <c r="F1084" s="102"/>
      <c r="G1084" s="34"/>
      <c r="H1084" s="30"/>
      <c r="I1084" s="34"/>
      <c r="J1084" s="102"/>
      <c r="K1084" s="25"/>
      <c r="L1084" s="25"/>
      <c r="M1084" s="102"/>
      <c r="N1084" s="35"/>
      <c r="O1084" s="663">
        <v>0.93490804699999996</v>
      </c>
      <c r="Q1084" s="157"/>
    </row>
    <row r="1085" spans="1:17" ht="18.95" customHeight="1">
      <c r="A1085" s="651">
        <v>17.100000000000001</v>
      </c>
      <c r="B1085" s="658" t="s">
        <v>2871</v>
      </c>
      <c r="C1085" s="661"/>
      <c r="D1085" s="693"/>
      <c r="E1085" s="533"/>
      <c r="F1085" s="30"/>
      <c r="G1085" s="30"/>
      <c r="H1085" s="30"/>
      <c r="I1085" s="30"/>
      <c r="J1085" s="25"/>
      <c r="K1085" s="25"/>
      <c r="L1085" s="25"/>
      <c r="M1085" s="25"/>
      <c r="N1085" s="26"/>
      <c r="O1085" s="663">
        <v>0.93490804699999996</v>
      </c>
      <c r="Q1085" s="157"/>
    </row>
    <row r="1086" spans="1:17" ht="18.95" customHeight="1">
      <c r="A1086" s="573"/>
      <c r="B1086" s="573" t="s">
        <v>273</v>
      </c>
      <c r="C1086" s="655" t="s">
        <v>1998</v>
      </c>
      <c r="D1086" s="656"/>
      <c r="E1086" s="533">
        <v>50</v>
      </c>
      <c r="F1086" s="1181" t="s">
        <v>286</v>
      </c>
      <c r="G1086" s="30">
        <v>4500</v>
      </c>
      <c r="H1086" s="30">
        <f t="shared" si="267"/>
        <v>4207.0862115</v>
      </c>
      <c r="I1086" s="67">
        <f t="shared" ref="I1086:I1113" si="272">E1086*H1086</f>
        <v>210354.31057500001</v>
      </c>
      <c r="J1086" s="25">
        <v>1200</v>
      </c>
      <c r="K1086" s="25">
        <f t="shared" si="270"/>
        <v>1121.8896563999999</v>
      </c>
      <c r="L1086" s="25">
        <f t="shared" si="271"/>
        <v>56094.482819999997</v>
      </c>
      <c r="M1086" s="25">
        <f t="shared" ref="M1086:M1091" si="273">I1086+L1086</f>
        <v>266448.79339499999</v>
      </c>
      <c r="N1086" s="26"/>
      <c r="O1086" s="663">
        <v>0.93490804699999996</v>
      </c>
      <c r="Q1086" s="157"/>
    </row>
    <row r="1087" spans="1:17" ht="18.95" customHeight="1">
      <c r="A1087" s="573"/>
      <c r="B1087" s="573" t="s">
        <v>273</v>
      </c>
      <c r="C1087" s="655" t="s">
        <v>2872</v>
      </c>
      <c r="D1087" s="656"/>
      <c r="E1087" s="533">
        <v>2</v>
      </c>
      <c r="F1087" s="30" t="s">
        <v>349</v>
      </c>
      <c r="G1087" s="30">
        <v>158460</v>
      </c>
      <c r="H1087" s="30">
        <f t="shared" si="267"/>
        <v>148145.52912761999</v>
      </c>
      <c r="I1087" s="67">
        <f t="shared" si="272"/>
        <v>296291.05825523997</v>
      </c>
      <c r="J1087" s="25">
        <v>35195</v>
      </c>
      <c r="K1087" s="25">
        <f t="shared" si="270"/>
        <v>32904.088714165002</v>
      </c>
      <c r="L1087" s="25">
        <f t="shared" si="271"/>
        <v>65808.177428330004</v>
      </c>
      <c r="M1087" s="25">
        <f t="shared" si="273"/>
        <v>362099.23568356998</v>
      </c>
      <c r="N1087" s="26"/>
      <c r="O1087" s="663">
        <v>0.93490804699999996</v>
      </c>
      <c r="Q1087" s="157"/>
    </row>
    <row r="1088" spans="1:17" ht="18.95" customHeight="1">
      <c r="A1088" s="651">
        <v>17.2</v>
      </c>
      <c r="B1088" s="658" t="s">
        <v>2873</v>
      </c>
      <c r="C1088" s="661"/>
      <c r="D1088" s="660"/>
      <c r="E1088" s="533"/>
      <c r="F1088" s="30" t="s">
        <v>349</v>
      </c>
      <c r="G1088" s="67"/>
      <c r="H1088" s="30">
        <f t="shared" si="267"/>
        <v>0</v>
      </c>
      <c r="I1088" s="67">
        <f t="shared" si="272"/>
        <v>0</v>
      </c>
      <c r="J1088" s="67"/>
      <c r="K1088" s="25">
        <f t="shared" si="270"/>
        <v>0</v>
      </c>
      <c r="L1088" s="25">
        <f t="shared" si="271"/>
        <v>0</v>
      </c>
      <c r="M1088" s="67">
        <f t="shared" si="273"/>
        <v>0</v>
      </c>
      <c r="N1088" s="26"/>
      <c r="O1088" s="663">
        <v>0.93490804699999996</v>
      </c>
      <c r="Q1088" s="157"/>
    </row>
    <row r="1089" spans="1:17" ht="18.95" customHeight="1">
      <c r="A1089" s="667">
        <v>17.3</v>
      </c>
      <c r="B1089" s="690" t="s">
        <v>2874</v>
      </c>
      <c r="C1089" s="659"/>
      <c r="D1089" s="660"/>
      <c r="E1089" s="533"/>
      <c r="F1089" s="30" t="s">
        <v>349</v>
      </c>
      <c r="G1089" s="67"/>
      <c r="H1089" s="30">
        <f t="shared" si="267"/>
        <v>0</v>
      </c>
      <c r="I1089" s="67">
        <f t="shared" si="272"/>
        <v>0</v>
      </c>
      <c r="J1089" s="67"/>
      <c r="K1089" s="25">
        <f t="shared" si="270"/>
        <v>0</v>
      </c>
      <c r="L1089" s="25">
        <f t="shared" si="271"/>
        <v>0</v>
      </c>
      <c r="M1089" s="67">
        <f t="shared" si="273"/>
        <v>0</v>
      </c>
      <c r="N1089" s="26"/>
      <c r="O1089" s="663">
        <v>0.93490804699999996</v>
      </c>
      <c r="Q1089" s="157"/>
    </row>
    <row r="1090" spans="1:17" ht="18.95" customHeight="1">
      <c r="A1090" s="667">
        <v>17.399999999999999</v>
      </c>
      <c r="B1090" s="690" t="s">
        <v>2875</v>
      </c>
      <c r="C1090" s="659"/>
      <c r="D1090" s="660"/>
      <c r="E1090" s="533">
        <v>312</v>
      </c>
      <c r="F1090" s="30" t="s">
        <v>349</v>
      </c>
      <c r="G1090" s="67">
        <v>134</v>
      </c>
      <c r="H1090" s="30">
        <f t="shared" si="267"/>
        <v>125.277678298</v>
      </c>
      <c r="I1090" s="67">
        <f t="shared" si="272"/>
        <v>39086.635628976001</v>
      </c>
      <c r="J1090" s="67">
        <v>110</v>
      </c>
      <c r="K1090" s="25">
        <f t="shared" si="270"/>
        <v>102.83988517</v>
      </c>
      <c r="L1090" s="25">
        <f t="shared" si="271"/>
        <v>32086.044173040002</v>
      </c>
      <c r="M1090" s="67">
        <f t="shared" si="273"/>
        <v>71172.679802016006</v>
      </c>
      <c r="N1090" s="26"/>
      <c r="O1090" s="663">
        <v>0.93490804699999996</v>
      </c>
      <c r="Q1090" s="157"/>
    </row>
    <row r="1091" spans="1:17" ht="18.95" customHeight="1">
      <c r="A1091" s="667"/>
      <c r="B1091" s="690" t="s">
        <v>2876</v>
      </c>
      <c r="C1091" s="659"/>
      <c r="D1091" s="660"/>
      <c r="E1091" s="533">
        <v>33</v>
      </c>
      <c r="F1091" s="30" t="s">
        <v>349</v>
      </c>
      <c r="G1091" s="67">
        <v>1315</v>
      </c>
      <c r="H1091" s="30">
        <f t="shared" si="267"/>
        <v>1229.404081805</v>
      </c>
      <c r="I1091" s="67">
        <f t="shared" si="272"/>
        <v>40570.334699564999</v>
      </c>
      <c r="J1091" s="67">
        <v>265</v>
      </c>
      <c r="K1091" s="25">
        <f t="shared" si="270"/>
        <v>247.75063245499999</v>
      </c>
      <c r="L1091" s="25">
        <f t="shared" si="271"/>
        <v>8175.770871015</v>
      </c>
      <c r="M1091" s="67">
        <f t="shared" si="273"/>
        <v>48746.105570579995</v>
      </c>
      <c r="N1091" s="26"/>
      <c r="O1091" s="663">
        <v>0.93490804699999996</v>
      </c>
      <c r="Q1091" s="157"/>
    </row>
    <row r="1092" spans="1:17" ht="18.95" customHeight="1">
      <c r="A1092" s="667">
        <v>17.5</v>
      </c>
      <c r="B1092" s="690" t="s">
        <v>2877</v>
      </c>
      <c r="C1092" s="659"/>
      <c r="D1092" s="660"/>
      <c r="E1092" s="533"/>
      <c r="F1092" s="30"/>
      <c r="G1092" s="67"/>
      <c r="H1092" s="30"/>
      <c r="I1092" s="67"/>
      <c r="J1092" s="67"/>
      <c r="K1092" s="25"/>
      <c r="L1092" s="67"/>
      <c r="M1092" s="67"/>
      <c r="N1092" s="26"/>
      <c r="O1092" s="663">
        <v>0.93490804699999996</v>
      </c>
      <c r="Q1092" s="157"/>
    </row>
    <row r="1093" spans="1:17" ht="18.95" customHeight="1">
      <c r="A1093" s="573" t="s">
        <v>2878</v>
      </c>
      <c r="B1093" s="665" t="s">
        <v>2879</v>
      </c>
      <c r="C1093" s="666"/>
      <c r="D1093" s="660"/>
      <c r="E1093" s="533"/>
      <c r="F1093" s="30"/>
      <c r="G1093" s="67"/>
      <c r="H1093" s="30"/>
      <c r="I1093" s="67"/>
      <c r="J1093" s="67"/>
      <c r="K1093" s="25"/>
      <c r="L1093" s="67"/>
      <c r="M1093" s="67"/>
      <c r="N1093" s="26"/>
      <c r="O1093" s="663">
        <v>0.93490804699999996</v>
      </c>
      <c r="Q1093" s="157"/>
    </row>
    <row r="1094" spans="1:17" ht="18.95" customHeight="1">
      <c r="A1094" s="573"/>
      <c r="B1094" s="573" t="s">
        <v>273</v>
      </c>
      <c r="C1094" s="666" t="s">
        <v>2880</v>
      </c>
      <c r="D1094" s="660"/>
      <c r="E1094" s="533">
        <v>14</v>
      </c>
      <c r="F1094" s="30" t="s">
        <v>349</v>
      </c>
      <c r="G1094" s="67">
        <v>5600</v>
      </c>
      <c r="H1094" s="30">
        <f t="shared" si="267"/>
        <v>5235.4850631999998</v>
      </c>
      <c r="I1094" s="67">
        <f t="shared" si="272"/>
        <v>73296.790884799993</v>
      </c>
      <c r="J1094" s="67">
        <v>500</v>
      </c>
      <c r="K1094" s="25">
        <f t="shared" si="270"/>
        <v>467.45402350000001</v>
      </c>
      <c r="L1094" s="25">
        <f t="shared" ref="L1094:L1157" si="274">E1094*K1094</f>
        <v>6544.3563290000002</v>
      </c>
      <c r="M1094" s="67">
        <f>I1094+L1094</f>
        <v>79841.147213799995</v>
      </c>
      <c r="N1094" s="288"/>
      <c r="O1094" s="663">
        <v>0.93490804699999996</v>
      </c>
      <c r="Q1094" s="157"/>
    </row>
    <row r="1095" spans="1:17" ht="18.95" customHeight="1">
      <c r="A1095" s="573" t="s">
        <v>2881</v>
      </c>
      <c r="B1095" s="665" t="s">
        <v>2879</v>
      </c>
      <c r="C1095" s="666"/>
      <c r="D1095" s="660"/>
      <c r="E1095" s="533"/>
      <c r="F1095" s="30"/>
      <c r="G1095" s="67"/>
      <c r="H1095" s="30"/>
      <c r="I1095" s="67"/>
      <c r="J1095" s="67"/>
      <c r="K1095" s="25"/>
      <c r="L1095" s="25"/>
      <c r="M1095" s="67"/>
      <c r="N1095" s="26"/>
      <c r="O1095" s="663">
        <v>0.93490804699999996</v>
      </c>
      <c r="Q1095" s="157"/>
    </row>
    <row r="1096" spans="1:17" ht="18.95" customHeight="1">
      <c r="A1096" s="573"/>
      <c r="B1096" s="573" t="s">
        <v>273</v>
      </c>
      <c r="C1096" s="666" t="s">
        <v>2882</v>
      </c>
      <c r="D1096" s="660"/>
      <c r="E1096" s="533">
        <v>0</v>
      </c>
      <c r="F1096" s="30" t="s">
        <v>349</v>
      </c>
      <c r="G1096" s="67">
        <v>4100</v>
      </c>
      <c r="H1096" s="30">
        <f t="shared" si="267"/>
        <v>3833.1229926999999</v>
      </c>
      <c r="I1096" s="67">
        <f t="shared" si="272"/>
        <v>0</v>
      </c>
      <c r="J1096" s="67">
        <v>500</v>
      </c>
      <c r="K1096" s="25">
        <f t="shared" si="270"/>
        <v>467.45402350000001</v>
      </c>
      <c r="L1096" s="25">
        <f t="shared" si="274"/>
        <v>0</v>
      </c>
      <c r="M1096" s="67">
        <f>I1096+L1096</f>
        <v>0</v>
      </c>
      <c r="N1096" s="26"/>
      <c r="O1096" s="663">
        <v>0.93490804699999996</v>
      </c>
      <c r="Q1096" s="157"/>
    </row>
    <row r="1097" spans="1:17" ht="18.95" customHeight="1">
      <c r="A1097" s="573" t="s">
        <v>2883</v>
      </c>
      <c r="B1097" s="665" t="s">
        <v>2884</v>
      </c>
      <c r="C1097" s="666" t="s">
        <v>2884</v>
      </c>
      <c r="D1097" s="660"/>
      <c r="E1097" s="533"/>
      <c r="F1097" s="30"/>
      <c r="G1097" s="67"/>
      <c r="H1097" s="30"/>
      <c r="I1097" s="67"/>
      <c r="J1097" s="67"/>
      <c r="K1097" s="25"/>
      <c r="L1097" s="25"/>
      <c r="M1097" s="67"/>
      <c r="N1097" s="26"/>
      <c r="O1097" s="663">
        <v>0.93490804699999996</v>
      </c>
      <c r="Q1097" s="157"/>
    </row>
    <row r="1098" spans="1:17" ht="18.95" customHeight="1">
      <c r="A1098" s="573"/>
      <c r="B1098" s="573" t="s">
        <v>273</v>
      </c>
      <c r="C1098" s="666" t="s">
        <v>2885</v>
      </c>
      <c r="D1098" s="660"/>
      <c r="E1098" s="533">
        <v>2</v>
      </c>
      <c r="F1098" s="30" t="s">
        <v>349</v>
      </c>
      <c r="G1098" s="67">
        <v>29750</v>
      </c>
      <c r="H1098" s="30">
        <f t="shared" si="267"/>
        <v>27813.514398249998</v>
      </c>
      <c r="I1098" s="67">
        <f t="shared" si="272"/>
        <v>55627.028796499995</v>
      </c>
      <c r="J1098" s="67">
        <v>5000</v>
      </c>
      <c r="K1098" s="25">
        <f t="shared" si="270"/>
        <v>4674.5402349999995</v>
      </c>
      <c r="L1098" s="25">
        <f t="shared" si="274"/>
        <v>9349.080469999999</v>
      </c>
      <c r="M1098" s="67">
        <f>I1098+L1098</f>
        <v>64976.109266499996</v>
      </c>
      <c r="N1098" s="26"/>
      <c r="O1098" s="663">
        <v>0.93490804699999996</v>
      </c>
      <c r="Q1098" s="157"/>
    </row>
    <row r="1099" spans="1:17" ht="18.95" customHeight="1">
      <c r="A1099" s="667">
        <v>17.600000000000001</v>
      </c>
      <c r="B1099" s="665" t="s">
        <v>2886</v>
      </c>
      <c r="C1099" s="666"/>
      <c r="D1099" s="660"/>
      <c r="E1099" s="533">
        <v>50</v>
      </c>
      <c r="F1099" s="30" t="s">
        <v>349</v>
      </c>
      <c r="G1099" s="67">
        <v>110</v>
      </c>
      <c r="H1099" s="30">
        <f t="shared" si="267"/>
        <v>102.83988517</v>
      </c>
      <c r="I1099" s="67">
        <f t="shared" si="272"/>
        <v>5141.9942584999999</v>
      </c>
      <c r="J1099" s="67">
        <v>12</v>
      </c>
      <c r="K1099" s="25">
        <f t="shared" si="270"/>
        <v>11.218896564</v>
      </c>
      <c r="L1099" s="25">
        <f t="shared" si="274"/>
        <v>560.94482819999996</v>
      </c>
      <c r="M1099" s="67">
        <f t="shared" ref="M1099:M1104" si="275">I1099+L1099</f>
        <v>5702.9390867000002</v>
      </c>
      <c r="N1099" s="26"/>
      <c r="O1099" s="663">
        <v>0.93490804699999996</v>
      </c>
      <c r="Q1099" s="157"/>
    </row>
    <row r="1100" spans="1:17" ht="18.95" customHeight="1">
      <c r="A1100" s="667">
        <v>17.7</v>
      </c>
      <c r="B1100" s="665" t="s">
        <v>2887</v>
      </c>
      <c r="C1100" s="666"/>
      <c r="D1100" s="660"/>
      <c r="E1100" s="533">
        <v>50</v>
      </c>
      <c r="F1100" s="30" t="s">
        <v>349</v>
      </c>
      <c r="G1100" s="67">
        <v>125</v>
      </c>
      <c r="H1100" s="30">
        <f t="shared" si="267"/>
        <v>116.863505875</v>
      </c>
      <c r="I1100" s="67">
        <f t="shared" si="272"/>
        <v>5843.1752937500005</v>
      </c>
      <c r="J1100" s="67">
        <v>12</v>
      </c>
      <c r="K1100" s="25">
        <f t="shared" si="270"/>
        <v>11.218896564</v>
      </c>
      <c r="L1100" s="25">
        <f t="shared" si="274"/>
        <v>560.94482819999996</v>
      </c>
      <c r="M1100" s="67">
        <f t="shared" si="275"/>
        <v>6404.1201219500008</v>
      </c>
      <c r="N1100" s="26"/>
      <c r="O1100" s="663">
        <v>0.93490804699999996</v>
      </c>
      <c r="Q1100" s="157"/>
    </row>
    <row r="1101" spans="1:17" ht="18.95" customHeight="1">
      <c r="A1101" s="667">
        <v>17.8</v>
      </c>
      <c r="B1101" s="665" t="s">
        <v>2888</v>
      </c>
      <c r="C1101" s="666"/>
      <c r="D1101" s="660"/>
      <c r="E1101" s="533">
        <v>1</v>
      </c>
      <c r="F1101" s="30" t="s">
        <v>349</v>
      </c>
      <c r="G1101" s="67">
        <v>240</v>
      </c>
      <c r="H1101" s="30">
        <f t="shared" si="267"/>
        <v>224.37793127999998</v>
      </c>
      <c r="I1101" s="67">
        <f t="shared" si="272"/>
        <v>224.37793127999998</v>
      </c>
      <c r="J1101" s="67">
        <v>50</v>
      </c>
      <c r="K1101" s="25">
        <f t="shared" si="270"/>
        <v>46.745402349999999</v>
      </c>
      <c r="L1101" s="25">
        <f t="shared" si="274"/>
        <v>46.745402349999999</v>
      </c>
      <c r="M1101" s="67">
        <f t="shared" si="275"/>
        <v>271.12333362999999</v>
      </c>
      <c r="N1101" s="26"/>
      <c r="O1101" s="663">
        <v>0.93490804699999996</v>
      </c>
      <c r="Q1101" s="157"/>
    </row>
    <row r="1102" spans="1:17" ht="18.95" customHeight="1">
      <c r="A1102" s="667">
        <v>17.899999999999999</v>
      </c>
      <c r="B1102" s="665" t="s">
        <v>2889</v>
      </c>
      <c r="C1102" s="666"/>
      <c r="D1102" s="660"/>
      <c r="E1102" s="533">
        <v>0</v>
      </c>
      <c r="F1102" s="30" t="s">
        <v>349</v>
      </c>
      <c r="G1102" s="67">
        <v>580</v>
      </c>
      <c r="H1102" s="30">
        <f t="shared" si="267"/>
        <v>542.24666725999998</v>
      </c>
      <c r="I1102" s="67">
        <f t="shared" si="272"/>
        <v>0</v>
      </c>
      <c r="J1102" s="67">
        <v>50</v>
      </c>
      <c r="K1102" s="25">
        <f t="shared" si="270"/>
        <v>46.745402349999999</v>
      </c>
      <c r="L1102" s="25">
        <f t="shared" si="274"/>
        <v>0</v>
      </c>
      <c r="M1102" s="67">
        <f t="shared" si="275"/>
        <v>0</v>
      </c>
      <c r="N1102" s="26"/>
      <c r="O1102" s="663">
        <v>0.93490804699999996</v>
      </c>
      <c r="Q1102" s="157"/>
    </row>
    <row r="1103" spans="1:17" ht="18.95" customHeight="1">
      <c r="A1103" s="573">
        <v>17.100000000000001</v>
      </c>
      <c r="B1103" s="665" t="s">
        <v>2890</v>
      </c>
      <c r="C1103" s="666"/>
      <c r="D1103" s="660"/>
      <c r="E1103" s="533">
        <v>1</v>
      </c>
      <c r="F1103" s="30" t="s">
        <v>349</v>
      </c>
      <c r="G1103" s="67">
        <v>12000</v>
      </c>
      <c r="H1103" s="30">
        <f t="shared" si="267"/>
        <v>11218.896563999999</v>
      </c>
      <c r="I1103" s="67">
        <f t="shared" si="272"/>
        <v>11218.896563999999</v>
      </c>
      <c r="J1103" s="67">
        <v>500</v>
      </c>
      <c r="K1103" s="25">
        <f t="shared" si="270"/>
        <v>467.45402350000001</v>
      </c>
      <c r="L1103" s="25">
        <f t="shared" si="274"/>
        <v>467.45402350000001</v>
      </c>
      <c r="M1103" s="67">
        <f t="shared" si="275"/>
        <v>11686.350587499999</v>
      </c>
      <c r="N1103" s="26"/>
      <c r="O1103" s="663">
        <v>0.93490804699999996</v>
      </c>
      <c r="Q1103" s="157"/>
    </row>
    <row r="1104" spans="1:17" ht="18.95" customHeight="1">
      <c r="A1104" s="573">
        <v>17.11</v>
      </c>
      <c r="B1104" s="665" t="s">
        <v>2891</v>
      </c>
      <c r="C1104" s="666"/>
      <c r="D1104" s="660"/>
      <c r="E1104" s="533">
        <v>0</v>
      </c>
      <c r="F1104" s="30" t="s">
        <v>349</v>
      </c>
      <c r="G1104" s="67">
        <v>79200</v>
      </c>
      <c r="H1104" s="30">
        <f t="shared" si="267"/>
        <v>74044.7173224</v>
      </c>
      <c r="I1104" s="67">
        <f t="shared" si="272"/>
        <v>0</v>
      </c>
      <c r="J1104" s="67">
        <v>500</v>
      </c>
      <c r="K1104" s="25">
        <f t="shared" si="270"/>
        <v>467.45402350000001</v>
      </c>
      <c r="L1104" s="25">
        <f t="shared" si="274"/>
        <v>0</v>
      </c>
      <c r="M1104" s="67">
        <f t="shared" si="275"/>
        <v>0</v>
      </c>
      <c r="N1104" s="26"/>
      <c r="O1104" s="663">
        <v>0.93490804699999996</v>
      </c>
      <c r="Q1104" s="157"/>
    </row>
    <row r="1105" spans="1:17" ht="18.95" customHeight="1">
      <c r="A1105" s="573">
        <v>17.12</v>
      </c>
      <c r="B1105" s="665" t="s">
        <v>2892</v>
      </c>
      <c r="C1105" s="666"/>
      <c r="D1105" s="660"/>
      <c r="E1105" s="533"/>
      <c r="F1105" s="30"/>
      <c r="G1105" s="67"/>
      <c r="H1105" s="30"/>
      <c r="I1105" s="67"/>
      <c r="J1105" s="67"/>
      <c r="K1105" s="25"/>
      <c r="L1105" s="25"/>
      <c r="M1105" s="67"/>
      <c r="N1105" s="26"/>
      <c r="O1105" s="663">
        <v>0.93490804699999996</v>
      </c>
      <c r="Q1105" s="157"/>
    </row>
    <row r="1106" spans="1:17" ht="18.95" customHeight="1">
      <c r="A1106" s="573"/>
      <c r="B1106" s="573" t="s">
        <v>273</v>
      </c>
      <c r="C1106" s="666" t="s">
        <v>2893</v>
      </c>
      <c r="D1106" s="660"/>
      <c r="E1106" s="533">
        <v>1000</v>
      </c>
      <c r="F1106" s="30" t="s">
        <v>286</v>
      </c>
      <c r="G1106" s="30">
        <v>40</v>
      </c>
      <c r="H1106" s="30">
        <f t="shared" si="267"/>
        <v>37.396321880000002</v>
      </c>
      <c r="I1106" s="67">
        <f t="shared" si="272"/>
        <v>37396.321880000003</v>
      </c>
      <c r="J1106" s="25">
        <v>30</v>
      </c>
      <c r="K1106" s="25">
        <f t="shared" si="270"/>
        <v>28.047241409999998</v>
      </c>
      <c r="L1106" s="25">
        <f t="shared" si="274"/>
        <v>28047.241409999999</v>
      </c>
      <c r="M1106" s="25">
        <f>I1106+L1106</f>
        <v>65443.563290000006</v>
      </c>
      <c r="N1106" s="26"/>
      <c r="O1106" s="663">
        <v>0.93490804699999996</v>
      </c>
      <c r="Q1106" s="157"/>
    </row>
    <row r="1107" spans="1:17" ht="18.95" customHeight="1">
      <c r="A1107" s="573"/>
      <c r="B1107" s="573" t="s">
        <v>273</v>
      </c>
      <c r="C1107" s="666" t="s">
        <v>2894</v>
      </c>
      <c r="D1107" s="660"/>
      <c r="E1107" s="533">
        <v>22500</v>
      </c>
      <c r="F1107" s="30" t="s">
        <v>286</v>
      </c>
      <c r="G1107" s="30">
        <v>16</v>
      </c>
      <c r="H1107" s="30">
        <f t="shared" si="267"/>
        <v>14.958528751999999</v>
      </c>
      <c r="I1107" s="67">
        <f t="shared" si="272"/>
        <v>336566.89691999997</v>
      </c>
      <c r="J1107" s="25">
        <v>10</v>
      </c>
      <c r="K1107" s="25">
        <f t="shared" si="270"/>
        <v>9.3490804700000005</v>
      </c>
      <c r="L1107" s="25">
        <f t="shared" si="274"/>
        <v>210354.31057500001</v>
      </c>
      <c r="M1107" s="25">
        <f>I1107+L1107</f>
        <v>546921.20749499998</v>
      </c>
      <c r="N1107" s="26"/>
      <c r="O1107" s="663">
        <v>0.93490804699999996</v>
      </c>
      <c r="Q1107" s="157"/>
    </row>
    <row r="1108" spans="1:17" ht="18.95" customHeight="1">
      <c r="A1108" s="697">
        <v>17.13</v>
      </c>
      <c r="B1108" s="652" t="s">
        <v>2195</v>
      </c>
      <c r="C1108" s="657"/>
      <c r="D1108" s="412"/>
      <c r="E1108" s="533"/>
      <c r="F1108" s="30"/>
      <c r="G1108" s="30"/>
      <c r="H1108" s="30"/>
      <c r="I1108" s="67"/>
      <c r="J1108" s="25"/>
      <c r="K1108" s="25"/>
      <c r="L1108" s="25"/>
      <c r="M1108" s="25"/>
      <c r="N1108" s="26"/>
      <c r="O1108" s="663">
        <v>0.93490804699999996</v>
      </c>
      <c r="Q1108" s="157"/>
    </row>
    <row r="1109" spans="1:17" ht="18.95" customHeight="1">
      <c r="A1109" s="573"/>
      <c r="B1109" s="573" t="s">
        <v>273</v>
      </c>
      <c r="C1109" s="661" t="s">
        <v>2196</v>
      </c>
      <c r="D1109" s="660"/>
      <c r="E1109" s="533">
        <v>18350</v>
      </c>
      <c r="F1109" s="1181" t="s">
        <v>286</v>
      </c>
      <c r="G1109" s="30">
        <f>ROUND(93.1/3,2)</f>
        <v>31.03</v>
      </c>
      <c r="H1109" s="30">
        <f t="shared" si="267"/>
        <v>29.010196698409999</v>
      </c>
      <c r="I1109" s="67">
        <f t="shared" si="272"/>
        <v>532337.10941582348</v>
      </c>
      <c r="J1109" s="25">
        <v>22</v>
      </c>
      <c r="K1109" s="25">
        <f t="shared" si="270"/>
        <v>20.567977033999998</v>
      </c>
      <c r="L1109" s="25">
        <f t="shared" si="274"/>
        <v>377422.37857389997</v>
      </c>
      <c r="M1109" s="25">
        <f>I1109+L1109</f>
        <v>909759.48798972345</v>
      </c>
      <c r="N1109" s="26"/>
      <c r="O1109" s="663">
        <v>0.93490804699999996</v>
      </c>
      <c r="Q1109" s="157"/>
    </row>
    <row r="1110" spans="1:17" ht="18.95" customHeight="1">
      <c r="A1110" s="573"/>
      <c r="B1110" s="573" t="s">
        <v>273</v>
      </c>
      <c r="C1110" s="661" t="s">
        <v>2197</v>
      </c>
      <c r="D1110" s="660"/>
      <c r="E1110" s="533">
        <v>1500</v>
      </c>
      <c r="F1110" s="1181" t="s">
        <v>286</v>
      </c>
      <c r="G1110" s="30">
        <f>ROUND(134.4/3,2)</f>
        <v>44.8</v>
      </c>
      <c r="H1110" s="30">
        <f t="shared" si="267"/>
        <v>41.883880505599997</v>
      </c>
      <c r="I1110" s="67">
        <f t="shared" si="272"/>
        <v>62825.820758399997</v>
      </c>
      <c r="J1110" s="25">
        <v>24</v>
      </c>
      <c r="K1110" s="25">
        <f t="shared" si="270"/>
        <v>22.437793127999999</v>
      </c>
      <c r="L1110" s="25">
        <f t="shared" si="274"/>
        <v>33656.689692</v>
      </c>
      <c r="M1110" s="25">
        <f>I1110+L1110</f>
        <v>96482.510450400005</v>
      </c>
      <c r="N1110" s="26"/>
      <c r="O1110" s="663">
        <v>0.93490804699999996</v>
      </c>
      <c r="Q1110" s="157"/>
    </row>
    <row r="1111" spans="1:17" ht="18.95" customHeight="1">
      <c r="A1111" s="697">
        <v>17.14</v>
      </c>
      <c r="B1111" s="665" t="s">
        <v>2211</v>
      </c>
      <c r="C1111" s="666"/>
      <c r="D1111" s="660"/>
      <c r="E1111" s="533"/>
      <c r="F1111" s="30"/>
      <c r="G1111" s="30"/>
      <c r="H1111" s="30"/>
      <c r="I1111" s="67"/>
      <c r="J1111" s="25"/>
      <c r="K1111" s="25"/>
      <c r="L1111" s="25"/>
      <c r="M1111" s="25"/>
      <c r="N1111" s="26"/>
      <c r="O1111" s="663">
        <v>0.93490804699999996</v>
      </c>
      <c r="Q1111" s="157"/>
    </row>
    <row r="1112" spans="1:17" ht="18.95" customHeight="1">
      <c r="A1112" s="573"/>
      <c r="B1112" s="573" t="s">
        <v>273</v>
      </c>
      <c r="C1112" s="661" t="s">
        <v>2214</v>
      </c>
      <c r="D1112" s="660"/>
      <c r="E1112" s="533">
        <v>1800</v>
      </c>
      <c r="F1112" s="1181" t="s">
        <v>286</v>
      </c>
      <c r="G1112" s="30">
        <v>237</v>
      </c>
      <c r="H1112" s="30">
        <f t="shared" ref="H1112:H1171" si="276">G1112*O1112</f>
        <v>221.573207139</v>
      </c>
      <c r="I1112" s="67">
        <f t="shared" si="272"/>
        <v>398831.77285020001</v>
      </c>
      <c r="J1112" s="25">
        <v>80</v>
      </c>
      <c r="K1112" s="25">
        <f t="shared" si="270"/>
        <v>74.792643760000004</v>
      </c>
      <c r="L1112" s="25">
        <f t="shared" si="274"/>
        <v>134626.758768</v>
      </c>
      <c r="M1112" s="25">
        <f>I1112+L1112</f>
        <v>533458.53161820001</v>
      </c>
      <c r="N1112" s="26"/>
      <c r="O1112" s="663">
        <v>0.93490804699999996</v>
      </c>
      <c r="Q1112" s="157"/>
    </row>
    <row r="1113" spans="1:17" ht="18.95" customHeight="1">
      <c r="A1113" s="573">
        <v>17.149999999999999</v>
      </c>
      <c r="B1113" s="665" t="s">
        <v>2742</v>
      </c>
      <c r="C1113" s="666"/>
      <c r="D1113" s="660"/>
      <c r="E1113" s="533">
        <v>1</v>
      </c>
      <c r="F1113" s="30" t="s">
        <v>2193</v>
      </c>
      <c r="G1113" s="670">
        <f t="array" ref="G1113">(SUM(I1106:I1107)*0.05)+(SUM(I1109:I1112*0.15)+(SUM(I1090:I1104)*0.02))</f>
        <v>172417.55107481094</v>
      </c>
      <c r="H1113" s="30">
        <f>G1113</f>
        <v>172417.55107481094</v>
      </c>
      <c r="I1113" s="67">
        <f t="shared" si="272"/>
        <v>172417.55107481094</v>
      </c>
      <c r="J1113" s="676">
        <f>G1113*0.3</f>
        <v>51725.26532244328</v>
      </c>
      <c r="K1113" s="25">
        <f>J1113</f>
        <v>51725.26532244328</v>
      </c>
      <c r="L1113" s="25">
        <f t="shared" si="274"/>
        <v>51725.26532244328</v>
      </c>
      <c r="M1113" s="25">
        <f>I1113+L1113</f>
        <v>224142.81639725421</v>
      </c>
      <c r="N1113" s="26"/>
      <c r="O1113" s="663">
        <v>0.93490804699999996</v>
      </c>
      <c r="Q1113" s="157"/>
    </row>
    <row r="1114" spans="1:17" ht="18.95" customHeight="1">
      <c r="A1114" s="265"/>
      <c r="B1114" s="1275" t="s">
        <v>2895</v>
      </c>
      <c r="C1114" s="1276"/>
      <c r="D1114" s="1277"/>
      <c r="E1114" s="646"/>
      <c r="F1114" s="102"/>
      <c r="G1114" s="101"/>
      <c r="H1114" s="30"/>
      <c r="I1114" s="101">
        <f>SUM(I1085:I1113)</f>
        <v>2278030.0757868453</v>
      </c>
      <c r="J1114" s="101"/>
      <c r="K1114" s="25"/>
      <c r="L1114" s="101">
        <f>SUM(L1085:L1113)</f>
        <v>1015526.6455149783</v>
      </c>
      <c r="M1114" s="101">
        <f>SUM(M1085:M1113)</f>
        <v>3293556.7213018239</v>
      </c>
      <c r="N1114" s="35"/>
      <c r="O1114" s="663">
        <v>0.93490804699999996</v>
      </c>
      <c r="Q1114" s="157"/>
    </row>
    <row r="1115" spans="1:17" ht="18.95" customHeight="1">
      <c r="A1115" s="265"/>
      <c r="B1115" s="256"/>
      <c r="C1115" s="647"/>
      <c r="D1115" s="258"/>
      <c r="E1115" s="646"/>
      <c r="F1115" s="102"/>
      <c r="G1115" s="101"/>
      <c r="H1115" s="30"/>
      <c r="I1115" s="101"/>
      <c r="J1115" s="101"/>
      <c r="K1115" s="25"/>
      <c r="L1115" s="25"/>
      <c r="M1115" s="101"/>
      <c r="N1115" s="35"/>
      <c r="O1115" s="663">
        <v>0.93490804699999996</v>
      </c>
      <c r="Q1115" s="157"/>
    </row>
    <row r="1116" spans="1:17" ht="18.95" customHeight="1">
      <c r="A1116" s="265"/>
      <c r="B1116" s="256"/>
      <c r="C1116" s="647"/>
      <c r="D1116" s="258"/>
      <c r="E1116" s="646"/>
      <c r="F1116" s="102"/>
      <c r="G1116" s="101"/>
      <c r="H1116" s="30"/>
      <c r="I1116" s="101"/>
      <c r="J1116" s="101"/>
      <c r="K1116" s="25"/>
      <c r="L1116" s="25"/>
      <c r="M1116" s="101"/>
      <c r="N1116" s="35"/>
      <c r="O1116" s="663">
        <v>0.93490804699999996</v>
      </c>
      <c r="Q1116" s="157"/>
    </row>
    <row r="1117" spans="1:17" ht="18.95" customHeight="1">
      <c r="A1117" s="648">
        <v>18</v>
      </c>
      <c r="B1117" s="1182" t="s">
        <v>1989</v>
      </c>
      <c r="C1117" s="650"/>
      <c r="D1117" s="412"/>
      <c r="E1117" s="646"/>
      <c r="F1117" s="102"/>
      <c r="G1117" s="34"/>
      <c r="H1117" s="30"/>
      <c r="I1117" s="34"/>
      <c r="J1117" s="102"/>
      <c r="K1117" s="25"/>
      <c r="L1117" s="25"/>
      <c r="M1117" s="102"/>
      <c r="N1117" s="35"/>
      <c r="O1117" s="663">
        <v>0.93490804699999996</v>
      </c>
      <c r="Q1117" s="157"/>
    </row>
    <row r="1118" spans="1:17" ht="18.95" customHeight="1">
      <c r="A1118" s="651"/>
      <c r="B1118" s="698" t="s">
        <v>2896</v>
      </c>
      <c r="C1118" s="699"/>
      <c r="D1118" s="693"/>
      <c r="E1118" s="533"/>
      <c r="F1118" s="30"/>
      <c r="G1118" s="30"/>
      <c r="H1118" s="30"/>
      <c r="I1118" s="30"/>
      <c r="J1118" s="25"/>
      <c r="K1118" s="25"/>
      <c r="L1118" s="25"/>
      <c r="M1118" s="25"/>
      <c r="N1118" s="26"/>
      <c r="O1118" s="663">
        <v>0.93490804699999996</v>
      </c>
      <c r="Q1118" s="157"/>
    </row>
    <row r="1119" spans="1:17" ht="18.95" customHeight="1">
      <c r="A1119" s="651">
        <v>18.100000000000001</v>
      </c>
      <c r="B1119" s="658" t="s">
        <v>2897</v>
      </c>
      <c r="C1119" s="661"/>
      <c r="D1119" s="693"/>
      <c r="E1119" s="533">
        <v>1</v>
      </c>
      <c r="F1119" s="30" t="s">
        <v>349</v>
      </c>
      <c r="G1119" s="67">
        <v>145000</v>
      </c>
      <c r="H1119" s="30">
        <f t="shared" si="276"/>
        <v>135561.666815</v>
      </c>
      <c r="I1119" s="67">
        <f t="shared" ref="I1119:I1171" si="277">E1119*H1119</f>
        <v>135561.666815</v>
      </c>
      <c r="J1119" s="67">
        <v>1000</v>
      </c>
      <c r="K1119" s="25">
        <f t="shared" si="270"/>
        <v>934.90804700000001</v>
      </c>
      <c r="L1119" s="25">
        <f t="shared" si="274"/>
        <v>934.90804700000001</v>
      </c>
      <c r="M1119" s="67">
        <f>I1119+L1119</f>
        <v>136496.57486200001</v>
      </c>
      <c r="N1119" s="26"/>
      <c r="O1119" s="663">
        <v>0.93490804699999996</v>
      </c>
      <c r="Q1119" s="157"/>
    </row>
    <row r="1120" spans="1:17" ht="18.95" customHeight="1">
      <c r="A1120" s="651">
        <v>18.2</v>
      </c>
      <c r="B1120" s="665" t="s">
        <v>2898</v>
      </c>
      <c r="C1120" s="666"/>
      <c r="D1120" s="660"/>
      <c r="E1120" s="533">
        <v>1</v>
      </c>
      <c r="F1120" s="30" t="s">
        <v>349</v>
      </c>
      <c r="G1120" s="67">
        <v>115000</v>
      </c>
      <c r="H1120" s="30">
        <f t="shared" si="276"/>
        <v>107514.425405</v>
      </c>
      <c r="I1120" s="67">
        <f t="shared" si="277"/>
        <v>107514.425405</v>
      </c>
      <c r="J1120" s="67">
        <v>1000</v>
      </c>
      <c r="K1120" s="25">
        <f t="shared" si="270"/>
        <v>934.90804700000001</v>
      </c>
      <c r="L1120" s="25">
        <f t="shared" si="274"/>
        <v>934.90804700000001</v>
      </c>
      <c r="M1120" s="67">
        <f>I1120+L1120</f>
        <v>108449.33345200001</v>
      </c>
      <c r="N1120" s="26"/>
      <c r="O1120" s="663">
        <v>0.93490804699999996</v>
      </c>
      <c r="Q1120" s="157"/>
    </row>
    <row r="1121" spans="1:17" ht="18.95" customHeight="1">
      <c r="A1121" s="651">
        <v>18.3</v>
      </c>
      <c r="B1121" s="665" t="s">
        <v>2899</v>
      </c>
      <c r="C1121" s="666"/>
      <c r="D1121" s="660"/>
      <c r="E1121" s="533">
        <v>2</v>
      </c>
      <c r="F1121" s="30" t="s">
        <v>349</v>
      </c>
      <c r="G1121" s="67">
        <v>14500</v>
      </c>
      <c r="H1121" s="30">
        <f t="shared" si="276"/>
        <v>13556.166681499999</v>
      </c>
      <c r="I1121" s="67">
        <f t="shared" si="277"/>
        <v>27112.333362999998</v>
      </c>
      <c r="J1121" s="67">
        <v>500</v>
      </c>
      <c r="K1121" s="25">
        <f t="shared" si="270"/>
        <v>467.45402350000001</v>
      </c>
      <c r="L1121" s="25">
        <f t="shared" si="274"/>
        <v>934.90804700000001</v>
      </c>
      <c r="M1121" s="67">
        <f t="shared" ref="M1121:M1127" si="278">I1121+L1121</f>
        <v>28047.241409999999</v>
      </c>
      <c r="N1121" s="26"/>
      <c r="O1121" s="663">
        <v>0.93490804699999996</v>
      </c>
      <c r="Q1121" s="157"/>
    </row>
    <row r="1122" spans="1:17" ht="18.95" customHeight="1">
      <c r="A1122" s="651">
        <v>18.399999999999999</v>
      </c>
      <c r="B1122" s="665" t="s">
        <v>2900</v>
      </c>
      <c r="C1122" s="666"/>
      <c r="D1122" s="660"/>
      <c r="E1122" s="533">
        <v>1</v>
      </c>
      <c r="F1122" s="30" t="s">
        <v>349</v>
      </c>
      <c r="G1122" s="25">
        <v>31500</v>
      </c>
      <c r="H1122" s="30">
        <f t="shared" si="276"/>
        <v>29449.603480499998</v>
      </c>
      <c r="I1122" s="67">
        <f t="shared" si="277"/>
        <v>29449.603480499998</v>
      </c>
      <c r="J1122" s="67">
        <v>500</v>
      </c>
      <c r="K1122" s="25">
        <f t="shared" si="270"/>
        <v>467.45402350000001</v>
      </c>
      <c r="L1122" s="25">
        <f t="shared" si="274"/>
        <v>467.45402350000001</v>
      </c>
      <c r="M1122" s="25">
        <f t="shared" si="278"/>
        <v>29917.057503999997</v>
      </c>
      <c r="N1122" s="26"/>
      <c r="O1122" s="663">
        <v>0.93490804699999996</v>
      </c>
      <c r="Q1122" s="157"/>
    </row>
    <row r="1123" spans="1:17" ht="18.95" customHeight="1">
      <c r="A1123" s="651">
        <v>18.5</v>
      </c>
      <c r="B1123" s="665" t="s">
        <v>2901</v>
      </c>
      <c r="C1123" s="666"/>
      <c r="D1123" s="660"/>
      <c r="E1123" s="533">
        <v>1</v>
      </c>
      <c r="F1123" s="30" t="s">
        <v>349</v>
      </c>
      <c r="G1123" s="25">
        <v>31500</v>
      </c>
      <c r="H1123" s="30">
        <f t="shared" si="276"/>
        <v>29449.603480499998</v>
      </c>
      <c r="I1123" s="67">
        <f t="shared" si="277"/>
        <v>29449.603480499998</v>
      </c>
      <c r="J1123" s="67">
        <v>500</v>
      </c>
      <c r="K1123" s="25">
        <f t="shared" si="270"/>
        <v>467.45402350000001</v>
      </c>
      <c r="L1123" s="25">
        <f t="shared" si="274"/>
        <v>467.45402350000001</v>
      </c>
      <c r="M1123" s="25">
        <f t="shared" si="278"/>
        <v>29917.057503999997</v>
      </c>
      <c r="N1123" s="26"/>
      <c r="O1123" s="663">
        <v>0.93490804699999996</v>
      </c>
      <c r="Q1123" s="157"/>
    </row>
    <row r="1124" spans="1:17" ht="18.95" customHeight="1">
      <c r="A1124" s="651">
        <v>18.600000000000001</v>
      </c>
      <c r="B1124" s="665" t="s">
        <v>2902</v>
      </c>
      <c r="C1124" s="666"/>
      <c r="D1124" s="660"/>
      <c r="E1124" s="533">
        <v>1</v>
      </c>
      <c r="F1124" s="30" t="s">
        <v>349</v>
      </c>
      <c r="G1124" s="25">
        <v>36000</v>
      </c>
      <c r="H1124" s="30">
        <f t="shared" si="276"/>
        <v>33656.689692</v>
      </c>
      <c r="I1124" s="67">
        <f t="shared" si="277"/>
        <v>33656.689692</v>
      </c>
      <c r="J1124" s="67">
        <v>500</v>
      </c>
      <c r="K1124" s="25">
        <f t="shared" si="270"/>
        <v>467.45402350000001</v>
      </c>
      <c r="L1124" s="25">
        <f t="shared" si="274"/>
        <v>467.45402350000001</v>
      </c>
      <c r="M1124" s="25">
        <f t="shared" si="278"/>
        <v>34124.143715500002</v>
      </c>
      <c r="N1124" s="26"/>
      <c r="O1124" s="663">
        <v>0.93490804699999996</v>
      </c>
      <c r="Q1124" s="157"/>
    </row>
    <row r="1125" spans="1:17" ht="18.95" customHeight="1">
      <c r="A1125" s="651">
        <v>18.7</v>
      </c>
      <c r="B1125" s="665" t="s">
        <v>2903</v>
      </c>
      <c r="C1125" s="666"/>
      <c r="D1125" s="660"/>
      <c r="E1125" s="533">
        <v>1</v>
      </c>
      <c r="F1125" s="30" t="s">
        <v>349</v>
      </c>
      <c r="G1125" s="25">
        <v>25500</v>
      </c>
      <c r="H1125" s="30">
        <f t="shared" si="276"/>
        <v>23840.155198500001</v>
      </c>
      <c r="I1125" s="67">
        <f t="shared" si="277"/>
        <v>23840.155198500001</v>
      </c>
      <c r="J1125" s="67">
        <v>500</v>
      </c>
      <c r="K1125" s="25">
        <f t="shared" si="270"/>
        <v>467.45402350000001</v>
      </c>
      <c r="L1125" s="25">
        <f t="shared" si="274"/>
        <v>467.45402350000001</v>
      </c>
      <c r="M1125" s="25">
        <f t="shared" si="278"/>
        <v>24307.609221999999</v>
      </c>
      <c r="N1125" s="26"/>
      <c r="O1125" s="663">
        <v>0.93490804699999996</v>
      </c>
      <c r="Q1125" s="157"/>
    </row>
    <row r="1126" spans="1:17" ht="18.95" customHeight="1">
      <c r="A1126" s="265"/>
      <c r="B1126" s="700" t="s">
        <v>2904</v>
      </c>
      <c r="C1126" s="701"/>
      <c r="D1126" s="660"/>
      <c r="E1126" s="533"/>
      <c r="F1126" s="30"/>
      <c r="G1126" s="25"/>
      <c r="H1126" s="30"/>
      <c r="I1126" s="67"/>
      <c r="J1126" s="25"/>
      <c r="K1126" s="25"/>
      <c r="L1126" s="25"/>
      <c r="M1126" s="25"/>
      <c r="N1126" s="26"/>
      <c r="O1126" s="663">
        <v>0.93490804699999996</v>
      </c>
      <c r="Q1126" s="157"/>
    </row>
    <row r="1127" spans="1:17" ht="18.95" customHeight="1">
      <c r="A1127" s="667">
        <v>18.8</v>
      </c>
      <c r="B1127" s="665" t="s">
        <v>2905</v>
      </c>
      <c r="C1127" s="666"/>
      <c r="D1127" s="660"/>
      <c r="E1127" s="533">
        <v>1</v>
      </c>
      <c r="F1127" s="30" t="s">
        <v>349</v>
      </c>
      <c r="G1127" s="25"/>
      <c r="H1127" s="30"/>
      <c r="I1127" s="67">
        <f t="shared" si="277"/>
        <v>0</v>
      </c>
      <c r="J1127" s="25">
        <v>300000</v>
      </c>
      <c r="K1127" s="25">
        <f t="shared" si="270"/>
        <v>280472.41409999999</v>
      </c>
      <c r="L1127" s="25">
        <f t="shared" si="274"/>
        <v>280472.41409999999</v>
      </c>
      <c r="M1127" s="25">
        <f t="shared" si="278"/>
        <v>280472.41409999999</v>
      </c>
      <c r="N1127" s="26"/>
      <c r="O1127" s="663">
        <v>0.93490804699999996</v>
      </c>
      <c r="Q1127" s="157"/>
    </row>
    <row r="1128" spans="1:17" ht="18.95" customHeight="1">
      <c r="A1128" s="667"/>
      <c r="B1128" s="700" t="s">
        <v>2906</v>
      </c>
      <c r="C1128" s="701"/>
      <c r="D1128" s="660"/>
      <c r="E1128" s="533"/>
      <c r="F1128" s="30"/>
      <c r="G1128" s="25"/>
      <c r="H1128" s="30"/>
      <c r="I1128" s="67"/>
      <c r="J1128" s="25"/>
      <c r="K1128" s="25"/>
      <c r="L1128" s="25"/>
      <c r="M1128" s="25"/>
      <c r="N1128" s="26"/>
      <c r="O1128" s="663">
        <v>0.93490804699999996</v>
      </c>
      <c r="Q1128" s="157"/>
    </row>
    <row r="1129" spans="1:17" ht="18.95" customHeight="1">
      <c r="A1129" s="667">
        <v>18.899999999999999</v>
      </c>
      <c r="B1129" s="665" t="s">
        <v>2907</v>
      </c>
      <c r="C1129" s="666"/>
      <c r="D1129" s="660"/>
      <c r="E1129" s="533">
        <v>2</v>
      </c>
      <c r="F1129" s="30" t="s">
        <v>349</v>
      </c>
      <c r="G1129" s="25">
        <v>15000</v>
      </c>
      <c r="H1129" s="30">
        <f t="shared" si="276"/>
        <v>14023.620704999999</v>
      </c>
      <c r="I1129" s="67">
        <f t="shared" si="277"/>
        <v>28047.241409999999</v>
      </c>
      <c r="J1129" s="25">
        <v>1000</v>
      </c>
      <c r="K1129" s="25">
        <f t="shared" si="270"/>
        <v>934.90804700000001</v>
      </c>
      <c r="L1129" s="25">
        <f t="shared" si="274"/>
        <v>1869.816094</v>
      </c>
      <c r="M1129" s="25">
        <f>I1129+L1129</f>
        <v>29917.057504</v>
      </c>
      <c r="N1129" s="26"/>
      <c r="O1129" s="663">
        <v>0.93490804699999996</v>
      </c>
      <c r="Q1129" s="157"/>
    </row>
    <row r="1130" spans="1:17" ht="18.95" customHeight="1">
      <c r="A1130" s="573">
        <v>18.100000000000001</v>
      </c>
      <c r="B1130" s="665" t="s">
        <v>2908</v>
      </c>
      <c r="C1130" s="666"/>
      <c r="D1130" s="660"/>
      <c r="E1130" s="533">
        <v>1</v>
      </c>
      <c r="F1130" s="30" t="s">
        <v>349</v>
      </c>
      <c r="G1130" s="25">
        <v>400000</v>
      </c>
      <c r="H1130" s="30">
        <f t="shared" si="276"/>
        <v>373963.21879999997</v>
      </c>
      <c r="I1130" s="67">
        <f t="shared" si="277"/>
        <v>373963.21879999997</v>
      </c>
      <c r="J1130" s="25">
        <v>1000</v>
      </c>
      <c r="K1130" s="25">
        <f t="shared" ref="K1130:K1171" si="279">J1130*O1130</f>
        <v>934.90804700000001</v>
      </c>
      <c r="L1130" s="25">
        <f t="shared" si="274"/>
        <v>934.90804700000001</v>
      </c>
      <c r="M1130" s="25">
        <f>I1130+L1130</f>
        <v>374898.12684699998</v>
      </c>
      <c r="N1130" s="26"/>
      <c r="O1130" s="663">
        <v>0.93490804699999996</v>
      </c>
      <c r="Q1130" s="157"/>
    </row>
    <row r="1131" spans="1:17" ht="18.95" customHeight="1">
      <c r="A1131" s="573">
        <v>18.11</v>
      </c>
      <c r="B1131" s="665" t="s">
        <v>2909</v>
      </c>
      <c r="C1131" s="666"/>
      <c r="D1131" s="660"/>
      <c r="E1131" s="533">
        <v>10</v>
      </c>
      <c r="F1131" s="30" t="s">
        <v>349</v>
      </c>
      <c r="G1131" s="25">
        <v>65000</v>
      </c>
      <c r="H1131" s="30">
        <f t="shared" si="276"/>
        <v>60769.023054999998</v>
      </c>
      <c r="I1131" s="67">
        <f t="shared" si="277"/>
        <v>607690.23054999998</v>
      </c>
      <c r="J1131" s="25">
        <v>1000</v>
      </c>
      <c r="K1131" s="25">
        <f t="shared" si="279"/>
        <v>934.90804700000001</v>
      </c>
      <c r="L1131" s="25">
        <f t="shared" si="274"/>
        <v>9349.0804700000008</v>
      </c>
      <c r="M1131" s="25">
        <f>I1131+L1131</f>
        <v>617039.31102000002</v>
      </c>
      <c r="N1131" s="26"/>
      <c r="O1131" s="663">
        <v>0.93490804699999996</v>
      </c>
      <c r="Q1131" s="157"/>
    </row>
    <row r="1132" spans="1:17" ht="18.95" customHeight="1">
      <c r="A1132" s="573">
        <v>18.12</v>
      </c>
      <c r="B1132" s="665" t="s">
        <v>2910</v>
      </c>
      <c r="C1132" s="666"/>
      <c r="D1132" s="660"/>
      <c r="E1132" s="533">
        <v>1</v>
      </c>
      <c r="F1132" s="30" t="s">
        <v>349</v>
      </c>
      <c r="G1132" s="25">
        <v>300000</v>
      </c>
      <c r="H1132" s="30">
        <f t="shared" si="276"/>
        <v>280472.41409999999</v>
      </c>
      <c r="I1132" s="67">
        <f t="shared" si="277"/>
        <v>280472.41409999999</v>
      </c>
      <c r="J1132" s="25">
        <v>1000</v>
      </c>
      <c r="K1132" s="25">
        <f t="shared" si="279"/>
        <v>934.90804700000001</v>
      </c>
      <c r="L1132" s="25">
        <f t="shared" si="274"/>
        <v>934.90804700000001</v>
      </c>
      <c r="M1132" s="25">
        <f>I1132+L1132</f>
        <v>281407.322147</v>
      </c>
      <c r="N1132" s="26"/>
      <c r="O1132" s="663">
        <v>0.93490804699999996</v>
      </c>
      <c r="Q1132" s="157"/>
    </row>
    <row r="1133" spans="1:17" ht="18.95" customHeight="1">
      <c r="A1133" s="667"/>
      <c r="B1133" s="700" t="s">
        <v>2911</v>
      </c>
      <c r="C1133" s="701"/>
      <c r="D1133" s="660"/>
      <c r="E1133" s="533"/>
      <c r="F1133" s="30"/>
      <c r="G1133" s="25"/>
      <c r="H1133" s="30"/>
      <c r="I1133" s="67"/>
      <c r="J1133" s="25"/>
      <c r="K1133" s="25"/>
      <c r="L1133" s="25"/>
      <c r="M1133" s="25"/>
      <c r="N1133" s="26"/>
      <c r="O1133" s="663">
        <v>0.93490804699999996</v>
      </c>
      <c r="Q1133" s="157"/>
    </row>
    <row r="1134" spans="1:17" ht="18.95" customHeight="1">
      <c r="A1134" s="573">
        <v>18.13</v>
      </c>
      <c r="B1134" s="665" t="s">
        <v>2912</v>
      </c>
      <c r="C1134" s="666"/>
      <c r="D1134" s="660"/>
      <c r="E1134" s="533">
        <v>1</v>
      </c>
      <c r="F1134" s="30" t="s">
        <v>349</v>
      </c>
      <c r="G1134" s="25">
        <v>15000</v>
      </c>
      <c r="H1134" s="30">
        <f t="shared" si="276"/>
        <v>14023.620704999999</v>
      </c>
      <c r="I1134" s="67">
        <f t="shared" si="277"/>
        <v>14023.620704999999</v>
      </c>
      <c r="J1134" s="25">
        <v>1000</v>
      </c>
      <c r="K1134" s="25">
        <f t="shared" si="279"/>
        <v>934.90804700000001</v>
      </c>
      <c r="L1134" s="25">
        <f t="shared" si="274"/>
        <v>934.90804700000001</v>
      </c>
      <c r="M1134" s="25">
        <f>I1134+L1134</f>
        <v>14958.528752</v>
      </c>
      <c r="N1134" s="26"/>
      <c r="O1134" s="663">
        <v>0.93490804699999996</v>
      </c>
      <c r="Q1134" s="157"/>
    </row>
    <row r="1135" spans="1:17" ht="18.95" customHeight="1">
      <c r="A1135" s="573"/>
      <c r="B1135" s="573" t="s">
        <v>273</v>
      </c>
      <c r="C1135" s="666" t="s">
        <v>2913</v>
      </c>
      <c r="D1135" s="660"/>
      <c r="E1135" s="533">
        <v>1</v>
      </c>
      <c r="F1135" s="30" t="s">
        <v>349</v>
      </c>
      <c r="G1135" s="25">
        <v>60000</v>
      </c>
      <c r="H1135" s="30">
        <f t="shared" si="276"/>
        <v>56094.482819999997</v>
      </c>
      <c r="I1135" s="67">
        <f t="shared" si="277"/>
        <v>56094.482819999997</v>
      </c>
      <c r="J1135" s="25">
        <v>1000</v>
      </c>
      <c r="K1135" s="25">
        <f t="shared" si="279"/>
        <v>934.90804700000001</v>
      </c>
      <c r="L1135" s="25">
        <f t="shared" si="274"/>
        <v>934.90804700000001</v>
      </c>
      <c r="M1135" s="25">
        <f t="shared" ref="M1135:M1157" si="280">I1135+L1135</f>
        <v>57029.390866999995</v>
      </c>
      <c r="N1135" s="26"/>
      <c r="O1135" s="663">
        <v>0.93490804699999996</v>
      </c>
      <c r="Q1135" s="157"/>
    </row>
    <row r="1136" spans="1:17" ht="18.95" customHeight="1">
      <c r="A1136" s="573">
        <v>18.14</v>
      </c>
      <c r="B1136" s="665" t="s">
        <v>2914</v>
      </c>
      <c r="C1136" s="666"/>
      <c r="D1136" s="660"/>
      <c r="E1136" s="533">
        <v>2</v>
      </c>
      <c r="F1136" s="30" t="s">
        <v>349</v>
      </c>
      <c r="G1136" s="25">
        <v>15000</v>
      </c>
      <c r="H1136" s="30">
        <f t="shared" si="276"/>
        <v>14023.620704999999</v>
      </c>
      <c r="I1136" s="67">
        <f t="shared" si="277"/>
        <v>28047.241409999999</v>
      </c>
      <c r="J1136" s="25">
        <v>1000</v>
      </c>
      <c r="K1136" s="25">
        <f t="shared" si="279"/>
        <v>934.90804700000001</v>
      </c>
      <c r="L1136" s="25">
        <f t="shared" si="274"/>
        <v>1869.816094</v>
      </c>
      <c r="M1136" s="25">
        <f t="shared" si="280"/>
        <v>29917.057504</v>
      </c>
      <c r="N1136" s="26"/>
      <c r="O1136" s="663">
        <v>0.93490804699999996</v>
      </c>
      <c r="Q1136" s="157"/>
    </row>
    <row r="1137" spans="1:17" ht="18.95" customHeight="1">
      <c r="A1137" s="573"/>
      <c r="B1137" s="573" t="s">
        <v>273</v>
      </c>
      <c r="C1137" s="666" t="s">
        <v>2913</v>
      </c>
      <c r="D1137" s="660"/>
      <c r="E1137" s="533">
        <v>2</v>
      </c>
      <c r="F1137" s="30" t="s">
        <v>349</v>
      </c>
      <c r="G1137" s="25">
        <v>75000</v>
      </c>
      <c r="H1137" s="30">
        <f t="shared" si="276"/>
        <v>70118.103524999999</v>
      </c>
      <c r="I1137" s="67">
        <f t="shared" si="277"/>
        <v>140236.20705</v>
      </c>
      <c r="J1137" s="25">
        <v>1000</v>
      </c>
      <c r="K1137" s="25">
        <f t="shared" si="279"/>
        <v>934.90804700000001</v>
      </c>
      <c r="L1137" s="25">
        <f t="shared" si="274"/>
        <v>1869.816094</v>
      </c>
      <c r="M1137" s="25">
        <f t="shared" si="280"/>
        <v>142106.02314400001</v>
      </c>
      <c r="N1137" s="26"/>
      <c r="O1137" s="663">
        <v>0.93490804699999996</v>
      </c>
      <c r="Q1137" s="157"/>
    </row>
    <row r="1138" spans="1:17" ht="18.95" customHeight="1">
      <c r="A1138" s="573"/>
      <c r="B1138" s="573" t="s">
        <v>273</v>
      </c>
      <c r="C1138" s="666" t="s">
        <v>2915</v>
      </c>
      <c r="D1138" s="660"/>
      <c r="E1138" s="533">
        <v>8</v>
      </c>
      <c r="F1138" s="30" t="s">
        <v>349</v>
      </c>
      <c r="G1138" s="25">
        <v>18000</v>
      </c>
      <c r="H1138" s="30">
        <f t="shared" si="276"/>
        <v>16828.344846</v>
      </c>
      <c r="I1138" s="67">
        <f t="shared" si="277"/>
        <v>134626.758768</v>
      </c>
      <c r="J1138" s="25">
        <v>1000</v>
      </c>
      <c r="K1138" s="25">
        <f t="shared" si="279"/>
        <v>934.90804700000001</v>
      </c>
      <c r="L1138" s="25">
        <f t="shared" si="274"/>
        <v>7479.2643760000001</v>
      </c>
      <c r="M1138" s="25">
        <f t="shared" si="280"/>
        <v>142106.02314400001</v>
      </c>
      <c r="N1138" s="26"/>
      <c r="O1138" s="663">
        <v>0.93490804699999996</v>
      </c>
      <c r="Q1138" s="157"/>
    </row>
    <row r="1139" spans="1:17" ht="18.95" customHeight="1">
      <c r="A1139" s="573"/>
      <c r="B1139" s="573" t="s">
        <v>273</v>
      </c>
      <c r="C1139" s="666" t="s">
        <v>2915</v>
      </c>
      <c r="D1139" s="660"/>
      <c r="E1139" s="533">
        <v>3</v>
      </c>
      <c r="F1139" s="30" t="s">
        <v>349</v>
      </c>
      <c r="G1139" s="25">
        <v>18000</v>
      </c>
      <c r="H1139" s="30">
        <f t="shared" si="276"/>
        <v>16828.344846</v>
      </c>
      <c r="I1139" s="67">
        <f t="shared" si="277"/>
        <v>50485.034538</v>
      </c>
      <c r="J1139" s="25">
        <v>1000</v>
      </c>
      <c r="K1139" s="25">
        <f t="shared" si="279"/>
        <v>934.90804700000001</v>
      </c>
      <c r="L1139" s="25">
        <f t="shared" si="274"/>
        <v>2804.7241410000001</v>
      </c>
      <c r="M1139" s="25">
        <f t="shared" si="280"/>
        <v>53289.758678999999</v>
      </c>
      <c r="N1139" s="26"/>
      <c r="O1139" s="663">
        <v>0.93490804699999996</v>
      </c>
      <c r="Q1139" s="157"/>
    </row>
    <row r="1140" spans="1:17" ht="18.95" customHeight="1">
      <c r="A1140" s="573">
        <v>18.149999999999999</v>
      </c>
      <c r="B1140" s="665" t="s">
        <v>2916</v>
      </c>
      <c r="C1140" s="666"/>
      <c r="D1140" s="660"/>
      <c r="E1140" s="533">
        <v>1</v>
      </c>
      <c r="F1140" s="30" t="s">
        <v>349</v>
      </c>
      <c r="G1140" s="25">
        <v>15000</v>
      </c>
      <c r="H1140" s="30">
        <f t="shared" si="276"/>
        <v>14023.620704999999</v>
      </c>
      <c r="I1140" s="67">
        <f t="shared" si="277"/>
        <v>14023.620704999999</v>
      </c>
      <c r="J1140" s="25">
        <v>1000</v>
      </c>
      <c r="K1140" s="25">
        <f t="shared" si="279"/>
        <v>934.90804700000001</v>
      </c>
      <c r="L1140" s="25">
        <f t="shared" si="274"/>
        <v>934.90804700000001</v>
      </c>
      <c r="M1140" s="25">
        <f t="shared" si="280"/>
        <v>14958.528752</v>
      </c>
      <c r="N1140" s="26"/>
      <c r="O1140" s="663">
        <v>0.93490804699999996</v>
      </c>
      <c r="Q1140" s="157"/>
    </row>
    <row r="1141" spans="1:17" ht="18.95" customHeight="1">
      <c r="A1141" s="573"/>
      <c r="B1141" s="573" t="s">
        <v>273</v>
      </c>
      <c r="C1141" s="666" t="s">
        <v>2913</v>
      </c>
      <c r="D1141" s="660"/>
      <c r="E1141" s="533">
        <v>1</v>
      </c>
      <c r="F1141" s="30" t="s">
        <v>349</v>
      </c>
      <c r="G1141" s="25">
        <v>60000</v>
      </c>
      <c r="H1141" s="30">
        <f t="shared" si="276"/>
        <v>56094.482819999997</v>
      </c>
      <c r="I1141" s="67">
        <f t="shared" si="277"/>
        <v>56094.482819999997</v>
      </c>
      <c r="J1141" s="25">
        <v>1000</v>
      </c>
      <c r="K1141" s="25">
        <f t="shared" si="279"/>
        <v>934.90804700000001</v>
      </c>
      <c r="L1141" s="25">
        <f t="shared" si="274"/>
        <v>934.90804700000001</v>
      </c>
      <c r="M1141" s="25">
        <f t="shared" si="280"/>
        <v>57029.390866999995</v>
      </c>
      <c r="N1141" s="26"/>
      <c r="O1141" s="663">
        <v>0.93490804699999996</v>
      </c>
      <c r="Q1141" s="157"/>
    </row>
    <row r="1142" spans="1:17" ht="18.95" customHeight="1">
      <c r="A1142" s="573">
        <v>18.16</v>
      </c>
      <c r="B1142" s="665" t="s">
        <v>2917</v>
      </c>
      <c r="C1142" s="666"/>
      <c r="D1142" s="660"/>
      <c r="E1142" s="533">
        <v>1</v>
      </c>
      <c r="F1142" s="30" t="s">
        <v>349</v>
      </c>
      <c r="G1142" s="25">
        <v>15000</v>
      </c>
      <c r="H1142" s="30">
        <f t="shared" si="276"/>
        <v>14023.620704999999</v>
      </c>
      <c r="I1142" s="67">
        <f t="shared" si="277"/>
        <v>14023.620704999999</v>
      </c>
      <c r="J1142" s="25">
        <v>1000</v>
      </c>
      <c r="K1142" s="25">
        <f t="shared" si="279"/>
        <v>934.90804700000001</v>
      </c>
      <c r="L1142" s="25">
        <f t="shared" si="274"/>
        <v>934.90804700000001</v>
      </c>
      <c r="M1142" s="25">
        <f t="shared" si="280"/>
        <v>14958.528752</v>
      </c>
      <c r="N1142" s="26"/>
      <c r="O1142" s="663">
        <v>0.93490804699999996</v>
      </c>
      <c r="Q1142" s="157"/>
    </row>
    <row r="1143" spans="1:17" ht="18.95" customHeight="1">
      <c r="A1143" s="573"/>
      <c r="B1143" s="573" t="s">
        <v>273</v>
      </c>
      <c r="C1143" s="666" t="s">
        <v>2913</v>
      </c>
      <c r="D1143" s="660"/>
      <c r="E1143" s="533">
        <v>1</v>
      </c>
      <c r="F1143" s="30" t="s">
        <v>349</v>
      </c>
      <c r="G1143" s="25">
        <v>60000</v>
      </c>
      <c r="H1143" s="30">
        <f t="shared" si="276"/>
        <v>56094.482819999997</v>
      </c>
      <c r="I1143" s="67">
        <f t="shared" si="277"/>
        <v>56094.482819999997</v>
      </c>
      <c r="J1143" s="25">
        <v>1000</v>
      </c>
      <c r="K1143" s="25">
        <f t="shared" si="279"/>
        <v>934.90804700000001</v>
      </c>
      <c r="L1143" s="25">
        <f t="shared" si="274"/>
        <v>934.90804700000001</v>
      </c>
      <c r="M1143" s="25">
        <f t="shared" si="280"/>
        <v>57029.390866999995</v>
      </c>
      <c r="N1143" s="26"/>
      <c r="O1143" s="663">
        <v>0.93490804699999996</v>
      </c>
      <c r="Q1143" s="157"/>
    </row>
    <row r="1144" spans="1:17" ht="18.95" customHeight="1">
      <c r="A1144" s="573"/>
      <c r="B1144" s="573"/>
      <c r="C1144" s="666"/>
      <c r="D1144" s="660"/>
      <c r="E1144" s="533"/>
      <c r="F1144" s="30"/>
      <c r="G1144" s="25"/>
      <c r="H1144" s="30"/>
      <c r="I1144" s="67"/>
      <c r="J1144" s="25"/>
      <c r="K1144" s="25"/>
      <c r="L1144" s="25"/>
      <c r="M1144" s="25"/>
      <c r="N1144" s="26"/>
      <c r="O1144" s="663">
        <v>0.93490804699999996</v>
      </c>
      <c r="Q1144" s="157"/>
    </row>
    <row r="1145" spans="1:17" ht="18.95" customHeight="1">
      <c r="A1145" s="573">
        <v>18.170000000000002</v>
      </c>
      <c r="B1145" s="665" t="s">
        <v>2918</v>
      </c>
      <c r="C1145" s="666"/>
      <c r="D1145" s="660"/>
      <c r="E1145" s="533">
        <v>1</v>
      </c>
      <c r="F1145" s="30" t="s">
        <v>349</v>
      </c>
      <c r="G1145" s="25">
        <v>15000</v>
      </c>
      <c r="H1145" s="30">
        <f t="shared" si="276"/>
        <v>14023.620704999999</v>
      </c>
      <c r="I1145" s="67">
        <f t="shared" si="277"/>
        <v>14023.620704999999</v>
      </c>
      <c r="J1145" s="25">
        <v>1000</v>
      </c>
      <c r="K1145" s="25">
        <f t="shared" si="279"/>
        <v>934.90804700000001</v>
      </c>
      <c r="L1145" s="25">
        <f t="shared" si="274"/>
        <v>934.90804700000001</v>
      </c>
      <c r="M1145" s="25">
        <f t="shared" si="280"/>
        <v>14958.528752</v>
      </c>
      <c r="N1145" s="26"/>
      <c r="O1145" s="663">
        <v>0.93490804699999996</v>
      </c>
      <c r="Q1145" s="157"/>
    </row>
    <row r="1146" spans="1:17" ht="18.95" customHeight="1">
      <c r="A1146" s="573"/>
      <c r="B1146" s="573" t="s">
        <v>273</v>
      </c>
      <c r="C1146" s="666" t="s">
        <v>2913</v>
      </c>
      <c r="D1146" s="660"/>
      <c r="E1146" s="533">
        <v>1</v>
      </c>
      <c r="F1146" s="30" t="s">
        <v>349</v>
      </c>
      <c r="G1146" s="25">
        <v>60000</v>
      </c>
      <c r="H1146" s="30">
        <f t="shared" si="276"/>
        <v>56094.482819999997</v>
      </c>
      <c r="I1146" s="67">
        <f t="shared" si="277"/>
        <v>56094.482819999997</v>
      </c>
      <c r="J1146" s="25">
        <v>1000</v>
      </c>
      <c r="K1146" s="25">
        <f t="shared" si="279"/>
        <v>934.90804700000001</v>
      </c>
      <c r="L1146" s="25">
        <f t="shared" si="274"/>
        <v>934.90804700000001</v>
      </c>
      <c r="M1146" s="25">
        <f t="shared" si="280"/>
        <v>57029.390866999995</v>
      </c>
      <c r="N1146" s="26"/>
      <c r="O1146" s="663">
        <v>0.93490804699999996</v>
      </c>
      <c r="Q1146" s="157"/>
    </row>
    <row r="1147" spans="1:17" ht="18.95" customHeight="1">
      <c r="A1147" s="573">
        <v>18.18</v>
      </c>
      <c r="B1147" s="665" t="s">
        <v>2919</v>
      </c>
      <c r="C1147" s="666"/>
      <c r="D1147" s="660"/>
      <c r="E1147" s="533">
        <v>1</v>
      </c>
      <c r="F1147" s="30" t="s">
        <v>349</v>
      </c>
      <c r="G1147" s="25">
        <v>15000</v>
      </c>
      <c r="H1147" s="30">
        <f t="shared" si="276"/>
        <v>14023.620704999999</v>
      </c>
      <c r="I1147" s="67">
        <f t="shared" si="277"/>
        <v>14023.620704999999</v>
      </c>
      <c r="J1147" s="25">
        <v>1000</v>
      </c>
      <c r="K1147" s="25">
        <f t="shared" si="279"/>
        <v>934.90804700000001</v>
      </c>
      <c r="L1147" s="25">
        <f t="shared" si="274"/>
        <v>934.90804700000001</v>
      </c>
      <c r="M1147" s="25">
        <f t="shared" si="280"/>
        <v>14958.528752</v>
      </c>
      <c r="N1147" s="26"/>
      <c r="O1147" s="663">
        <v>0.93490804699999996</v>
      </c>
      <c r="Q1147" s="157"/>
    </row>
    <row r="1148" spans="1:17" ht="18.95" customHeight="1">
      <c r="A1148" s="573"/>
      <c r="B1148" s="573" t="s">
        <v>273</v>
      </c>
      <c r="C1148" s="666" t="s">
        <v>2913</v>
      </c>
      <c r="D1148" s="660"/>
      <c r="E1148" s="533">
        <v>1</v>
      </c>
      <c r="F1148" s="30" t="s">
        <v>349</v>
      </c>
      <c r="G1148" s="25">
        <v>60000</v>
      </c>
      <c r="H1148" s="30">
        <f t="shared" si="276"/>
        <v>56094.482819999997</v>
      </c>
      <c r="I1148" s="67">
        <f t="shared" si="277"/>
        <v>56094.482819999997</v>
      </c>
      <c r="J1148" s="25">
        <v>1000</v>
      </c>
      <c r="K1148" s="25">
        <f t="shared" si="279"/>
        <v>934.90804700000001</v>
      </c>
      <c r="L1148" s="25">
        <f t="shared" si="274"/>
        <v>934.90804700000001</v>
      </c>
      <c r="M1148" s="25">
        <f t="shared" si="280"/>
        <v>57029.390866999995</v>
      </c>
      <c r="N1148" s="26"/>
      <c r="O1148" s="663">
        <v>0.93490804699999996</v>
      </c>
      <c r="Q1148" s="157"/>
    </row>
    <row r="1149" spans="1:17" ht="18.95" customHeight="1">
      <c r="A1149" s="573"/>
      <c r="B1149" s="573" t="s">
        <v>273</v>
      </c>
      <c r="C1149" s="666" t="s">
        <v>2915</v>
      </c>
      <c r="D1149" s="660"/>
      <c r="E1149" s="533">
        <v>1</v>
      </c>
      <c r="F1149" s="30" t="s">
        <v>349</v>
      </c>
      <c r="G1149" s="25">
        <v>18000</v>
      </c>
      <c r="H1149" s="30">
        <f t="shared" si="276"/>
        <v>16828.344846</v>
      </c>
      <c r="I1149" s="67">
        <f t="shared" si="277"/>
        <v>16828.344846</v>
      </c>
      <c r="J1149" s="25">
        <v>1000</v>
      </c>
      <c r="K1149" s="25">
        <f t="shared" si="279"/>
        <v>934.90804700000001</v>
      </c>
      <c r="L1149" s="25">
        <f t="shared" si="274"/>
        <v>934.90804700000001</v>
      </c>
      <c r="M1149" s="25">
        <f t="shared" si="280"/>
        <v>17763.252893000001</v>
      </c>
      <c r="N1149" s="26"/>
      <c r="O1149" s="663">
        <v>0.93490804699999996</v>
      </c>
      <c r="Q1149" s="157"/>
    </row>
    <row r="1150" spans="1:17" ht="18.95" customHeight="1">
      <c r="A1150" s="573">
        <v>18.190000000000001</v>
      </c>
      <c r="B1150" s="665" t="s">
        <v>2920</v>
      </c>
      <c r="C1150" s="666"/>
      <c r="D1150" s="660"/>
      <c r="E1150" s="533">
        <v>1</v>
      </c>
      <c r="F1150" s="30" t="s">
        <v>349</v>
      </c>
      <c r="G1150" s="25">
        <v>15000</v>
      </c>
      <c r="H1150" s="30">
        <f t="shared" si="276"/>
        <v>14023.620704999999</v>
      </c>
      <c r="I1150" s="67">
        <f t="shared" si="277"/>
        <v>14023.620704999999</v>
      </c>
      <c r="J1150" s="25">
        <v>1000</v>
      </c>
      <c r="K1150" s="25">
        <f t="shared" si="279"/>
        <v>934.90804700000001</v>
      </c>
      <c r="L1150" s="25">
        <f t="shared" si="274"/>
        <v>934.90804700000001</v>
      </c>
      <c r="M1150" s="25">
        <f t="shared" si="280"/>
        <v>14958.528752</v>
      </c>
      <c r="N1150" s="26"/>
      <c r="O1150" s="663">
        <v>0.93490804699999996</v>
      </c>
      <c r="Q1150" s="157"/>
    </row>
    <row r="1151" spans="1:17" ht="18.95" customHeight="1">
      <c r="A1151" s="573"/>
      <c r="B1151" s="573" t="s">
        <v>273</v>
      </c>
      <c r="C1151" s="666" t="s">
        <v>2913</v>
      </c>
      <c r="D1151" s="660"/>
      <c r="E1151" s="533">
        <v>1</v>
      </c>
      <c r="F1151" s="30" t="s">
        <v>349</v>
      </c>
      <c r="G1151" s="25">
        <v>60000</v>
      </c>
      <c r="H1151" s="30">
        <f t="shared" si="276"/>
        <v>56094.482819999997</v>
      </c>
      <c r="I1151" s="67">
        <f t="shared" si="277"/>
        <v>56094.482819999997</v>
      </c>
      <c r="J1151" s="25">
        <v>1000</v>
      </c>
      <c r="K1151" s="25">
        <f t="shared" si="279"/>
        <v>934.90804700000001</v>
      </c>
      <c r="L1151" s="25">
        <f t="shared" si="274"/>
        <v>934.90804700000001</v>
      </c>
      <c r="M1151" s="25">
        <f t="shared" si="280"/>
        <v>57029.390866999995</v>
      </c>
      <c r="N1151" s="26"/>
      <c r="O1151" s="663">
        <v>0.93490804699999996</v>
      </c>
      <c r="Q1151" s="157"/>
    </row>
    <row r="1152" spans="1:17" ht="18.95" customHeight="1">
      <c r="A1152" s="573">
        <v>18.2</v>
      </c>
      <c r="B1152" s="665" t="s">
        <v>2921</v>
      </c>
      <c r="C1152" s="666"/>
      <c r="D1152" s="660"/>
      <c r="E1152" s="533">
        <v>1</v>
      </c>
      <c r="F1152" s="30" t="s">
        <v>349</v>
      </c>
      <c r="G1152" s="25">
        <v>15000</v>
      </c>
      <c r="H1152" s="30">
        <f t="shared" si="276"/>
        <v>14023.620704999999</v>
      </c>
      <c r="I1152" s="67">
        <f t="shared" si="277"/>
        <v>14023.620704999999</v>
      </c>
      <c r="J1152" s="25">
        <v>1000</v>
      </c>
      <c r="K1152" s="25">
        <f t="shared" si="279"/>
        <v>934.90804700000001</v>
      </c>
      <c r="L1152" s="25">
        <f t="shared" si="274"/>
        <v>934.90804700000001</v>
      </c>
      <c r="M1152" s="25">
        <f t="shared" si="280"/>
        <v>14958.528752</v>
      </c>
      <c r="N1152" s="26"/>
      <c r="O1152" s="663">
        <v>0.93490804699999996</v>
      </c>
      <c r="Q1152" s="157"/>
    </row>
    <row r="1153" spans="1:17" ht="18.95" customHeight="1">
      <c r="A1153" s="573"/>
      <c r="B1153" s="573" t="s">
        <v>273</v>
      </c>
      <c r="C1153" s="666" t="s">
        <v>2913</v>
      </c>
      <c r="D1153" s="660"/>
      <c r="E1153" s="533">
        <v>1</v>
      </c>
      <c r="F1153" s="30" t="s">
        <v>349</v>
      </c>
      <c r="G1153" s="25">
        <v>60000</v>
      </c>
      <c r="H1153" s="30">
        <f t="shared" si="276"/>
        <v>56094.482819999997</v>
      </c>
      <c r="I1153" s="67">
        <f t="shared" si="277"/>
        <v>56094.482819999997</v>
      </c>
      <c r="J1153" s="25">
        <v>1000</v>
      </c>
      <c r="K1153" s="25">
        <f t="shared" si="279"/>
        <v>934.90804700000001</v>
      </c>
      <c r="L1153" s="25">
        <f t="shared" si="274"/>
        <v>934.90804700000001</v>
      </c>
      <c r="M1153" s="25">
        <f t="shared" si="280"/>
        <v>57029.390866999995</v>
      </c>
      <c r="N1153" s="26"/>
      <c r="O1153" s="663">
        <v>0.93490804699999996</v>
      </c>
      <c r="Q1153" s="157"/>
    </row>
    <row r="1154" spans="1:17" ht="18.95" customHeight="1">
      <c r="A1154" s="573">
        <v>18.21</v>
      </c>
      <c r="B1154" s="665" t="s">
        <v>2922</v>
      </c>
      <c r="C1154" s="666"/>
      <c r="D1154" s="660"/>
      <c r="E1154" s="533">
        <v>1</v>
      </c>
      <c r="F1154" s="30" t="s">
        <v>349</v>
      </c>
      <c r="G1154" s="25">
        <v>15000</v>
      </c>
      <c r="H1154" s="30">
        <f t="shared" si="276"/>
        <v>14023.620704999999</v>
      </c>
      <c r="I1154" s="67">
        <f t="shared" si="277"/>
        <v>14023.620704999999</v>
      </c>
      <c r="J1154" s="25">
        <v>1000</v>
      </c>
      <c r="K1154" s="25">
        <f t="shared" si="279"/>
        <v>934.90804700000001</v>
      </c>
      <c r="L1154" s="25">
        <f t="shared" si="274"/>
        <v>934.90804700000001</v>
      </c>
      <c r="M1154" s="25">
        <f t="shared" si="280"/>
        <v>14958.528752</v>
      </c>
      <c r="N1154" s="26"/>
      <c r="O1154" s="663">
        <v>0.93490804699999996</v>
      </c>
      <c r="Q1154" s="157"/>
    </row>
    <row r="1155" spans="1:17" ht="18.95" customHeight="1">
      <c r="A1155" s="573"/>
      <c r="B1155" s="573" t="s">
        <v>273</v>
      </c>
      <c r="C1155" s="666" t="s">
        <v>2913</v>
      </c>
      <c r="D1155" s="660"/>
      <c r="E1155" s="533">
        <v>1</v>
      </c>
      <c r="F1155" s="30" t="s">
        <v>349</v>
      </c>
      <c r="G1155" s="25">
        <v>60000</v>
      </c>
      <c r="H1155" s="30">
        <f t="shared" si="276"/>
        <v>56094.482819999997</v>
      </c>
      <c r="I1155" s="67">
        <f t="shared" si="277"/>
        <v>56094.482819999997</v>
      </c>
      <c r="J1155" s="25">
        <v>1000</v>
      </c>
      <c r="K1155" s="25">
        <f t="shared" si="279"/>
        <v>934.90804700000001</v>
      </c>
      <c r="L1155" s="25">
        <f t="shared" si="274"/>
        <v>934.90804700000001</v>
      </c>
      <c r="M1155" s="25">
        <f t="shared" si="280"/>
        <v>57029.390866999995</v>
      </c>
      <c r="N1155" s="26"/>
      <c r="O1155" s="663">
        <v>0.93490804699999996</v>
      </c>
      <c r="Q1155" s="157"/>
    </row>
    <row r="1156" spans="1:17" ht="18.95" customHeight="1">
      <c r="A1156" s="573"/>
      <c r="B1156" s="573" t="s">
        <v>273</v>
      </c>
      <c r="C1156" s="666" t="s">
        <v>2915</v>
      </c>
      <c r="D1156" s="660"/>
      <c r="E1156" s="533">
        <v>3</v>
      </c>
      <c r="F1156" s="30" t="s">
        <v>349</v>
      </c>
      <c r="G1156" s="25">
        <v>18000</v>
      </c>
      <c r="H1156" s="30">
        <f t="shared" si="276"/>
        <v>16828.344846</v>
      </c>
      <c r="I1156" s="67">
        <f t="shared" si="277"/>
        <v>50485.034538</v>
      </c>
      <c r="J1156" s="25">
        <v>1000</v>
      </c>
      <c r="K1156" s="25">
        <f t="shared" si="279"/>
        <v>934.90804700000001</v>
      </c>
      <c r="L1156" s="25">
        <f t="shared" si="274"/>
        <v>2804.7241410000001</v>
      </c>
      <c r="M1156" s="25">
        <f t="shared" si="280"/>
        <v>53289.758678999999</v>
      </c>
      <c r="N1156" s="26"/>
      <c r="O1156" s="663">
        <v>0.93490804699999996</v>
      </c>
      <c r="Q1156" s="157"/>
    </row>
    <row r="1157" spans="1:17" ht="18.95" customHeight="1">
      <c r="A1157" s="573"/>
      <c r="B1157" s="573" t="s">
        <v>273</v>
      </c>
      <c r="C1157" s="666" t="s">
        <v>2915</v>
      </c>
      <c r="D1157" s="660"/>
      <c r="E1157" s="533">
        <v>2</v>
      </c>
      <c r="F1157" s="30" t="s">
        <v>349</v>
      </c>
      <c r="G1157" s="25">
        <v>18000</v>
      </c>
      <c r="H1157" s="30">
        <f t="shared" si="276"/>
        <v>16828.344846</v>
      </c>
      <c r="I1157" s="67">
        <f t="shared" si="277"/>
        <v>33656.689692</v>
      </c>
      <c r="J1157" s="25">
        <v>1000</v>
      </c>
      <c r="K1157" s="25">
        <f t="shared" si="279"/>
        <v>934.90804700000001</v>
      </c>
      <c r="L1157" s="25">
        <f t="shared" si="274"/>
        <v>1869.816094</v>
      </c>
      <c r="M1157" s="25">
        <f t="shared" si="280"/>
        <v>35526.505786000002</v>
      </c>
      <c r="N1157" s="26"/>
      <c r="O1157" s="663">
        <v>0.93490804699999996</v>
      </c>
      <c r="Q1157" s="157"/>
    </row>
    <row r="1158" spans="1:17" ht="18.95" customHeight="1">
      <c r="A1158" s="573"/>
      <c r="B1158" s="700" t="s">
        <v>2923</v>
      </c>
      <c r="C1158" s="701"/>
      <c r="D1158" s="660"/>
      <c r="E1158" s="533"/>
      <c r="F1158" s="30"/>
      <c r="G1158" s="25"/>
      <c r="H1158" s="30"/>
      <c r="I1158" s="67"/>
      <c r="J1158" s="25"/>
      <c r="K1158" s="25"/>
      <c r="L1158" s="25"/>
      <c r="M1158" s="25"/>
      <c r="N1158" s="26"/>
      <c r="O1158" s="663">
        <v>0.93490804699999996</v>
      </c>
      <c r="Q1158" s="157"/>
    </row>
    <row r="1159" spans="1:17" ht="18.95" customHeight="1">
      <c r="A1159" s="573">
        <v>18.22</v>
      </c>
      <c r="B1159" s="665" t="s">
        <v>2924</v>
      </c>
      <c r="C1159" s="666"/>
      <c r="D1159" s="660"/>
      <c r="E1159" s="533">
        <v>4</v>
      </c>
      <c r="F1159" s="30" t="s">
        <v>349</v>
      </c>
      <c r="G1159" s="25">
        <v>3500</v>
      </c>
      <c r="H1159" s="30">
        <f t="shared" si="276"/>
        <v>3272.1781645000001</v>
      </c>
      <c r="I1159" s="67">
        <f t="shared" si="277"/>
        <v>13088.712658</v>
      </c>
      <c r="J1159" s="25">
        <v>500</v>
      </c>
      <c r="K1159" s="25">
        <f t="shared" si="279"/>
        <v>467.45402350000001</v>
      </c>
      <c r="L1159" s="25">
        <f t="shared" ref="L1159:L1171" si="281">E1159*K1159</f>
        <v>1869.816094</v>
      </c>
      <c r="M1159" s="25">
        <f>I1159+L1159</f>
        <v>14958.528752</v>
      </c>
      <c r="N1159" s="26"/>
      <c r="O1159" s="663">
        <v>0.93490804699999996</v>
      </c>
      <c r="Q1159" s="157"/>
    </row>
    <row r="1160" spans="1:17" ht="18.95" customHeight="1">
      <c r="A1160" s="573">
        <v>18.23</v>
      </c>
      <c r="B1160" s="665" t="s">
        <v>2925</v>
      </c>
      <c r="C1160" s="666"/>
      <c r="D1160" s="660"/>
      <c r="E1160" s="533">
        <v>7</v>
      </c>
      <c r="F1160" s="30" t="s">
        <v>349</v>
      </c>
      <c r="G1160" s="25">
        <v>3000</v>
      </c>
      <c r="H1160" s="30">
        <f t="shared" si="276"/>
        <v>2804.7241409999997</v>
      </c>
      <c r="I1160" s="67">
        <f t="shared" si="277"/>
        <v>19633.068986999999</v>
      </c>
      <c r="J1160" s="25">
        <v>500</v>
      </c>
      <c r="K1160" s="25">
        <f t="shared" si="279"/>
        <v>467.45402350000001</v>
      </c>
      <c r="L1160" s="25">
        <f t="shared" si="281"/>
        <v>3272.1781645000001</v>
      </c>
      <c r="M1160" s="25">
        <f>I1160+L1160</f>
        <v>22905.2471515</v>
      </c>
      <c r="N1160" s="26"/>
      <c r="O1160" s="663">
        <v>0.93490804699999996</v>
      </c>
      <c r="Q1160" s="157"/>
    </row>
    <row r="1161" spans="1:17" ht="18.95" customHeight="1">
      <c r="A1161" s="573">
        <v>18.239999999999998</v>
      </c>
      <c r="B1161" s="665" t="s">
        <v>2926</v>
      </c>
      <c r="C1161" s="666"/>
      <c r="D1161" s="660"/>
      <c r="E1161" s="533">
        <v>6</v>
      </c>
      <c r="F1161" s="30" t="s">
        <v>349</v>
      </c>
      <c r="G1161" s="25">
        <v>5500</v>
      </c>
      <c r="H1161" s="30">
        <f t="shared" si="276"/>
        <v>5141.9942584999999</v>
      </c>
      <c r="I1161" s="67">
        <f t="shared" si="277"/>
        <v>30851.965551000001</v>
      </c>
      <c r="J1161" s="25">
        <v>500</v>
      </c>
      <c r="K1161" s="25">
        <f t="shared" si="279"/>
        <v>467.45402350000001</v>
      </c>
      <c r="L1161" s="25">
        <f t="shared" si="281"/>
        <v>2804.7241410000001</v>
      </c>
      <c r="M1161" s="25">
        <f>I1161+L1161</f>
        <v>33656.689692</v>
      </c>
      <c r="N1161" s="26"/>
      <c r="O1161" s="663">
        <v>0.93490804699999996</v>
      </c>
      <c r="Q1161" s="157"/>
    </row>
    <row r="1162" spans="1:17" ht="18.95" customHeight="1">
      <c r="A1162" s="573"/>
      <c r="B1162" s="700" t="s">
        <v>2927</v>
      </c>
      <c r="C1162" s="701"/>
      <c r="D1162" s="660"/>
      <c r="E1162" s="533"/>
      <c r="F1162" s="30"/>
      <c r="G1162" s="25"/>
      <c r="H1162" s="30"/>
      <c r="I1162" s="67"/>
      <c r="J1162" s="25"/>
      <c r="K1162" s="25"/>
      <c r="L1162" s="25"/>
      <c r="M1162" s="25"/>
      <c r="N1162" s="26"/>
      <c r="O1162" s="663">
        <v>0.93490804699999996</v>
      </c>
      <c r="Q1162" s="157"/>
    </row>
    <row r="1163" spans="1:17" ht="18.95" customHeight="1">
      <c r="A1163" s="573">
        <v>18.25</v>
      </c>
      <c r="B1163" s="665" t="s">
        <v>2928</v>
      </c>
      <c r="C1163" s="666"/>
      <c r="D1163" s="660"/>
      <c r="E1163" s="533">
        <v>1</v>
      </c>
      <c r="F1163" s="30" t="s">
        <v>2193</v>
      </c>
      <c r="G1163" s="25"/>
      <c r="H1163" s="30"/>
      <c r="I1163" s="67">
        <f t="shared" si="277"/>
        <v>0</v>
      </c>
      <c r="J1163" s="25">
        <v>300000</v>
      </c>
      <c r="K1163" s="25">
        <f t="shared" si="279"/>
        <v>280472.41409999999</v>
      </c>
      <c r="L1163" s="25">
        <f t="shared" si="281"/>
        <v>280472.41409999999</v>
      </c>
      <c r="M1163" s="25">
        <f>I1163+L1163</f>
        <v>280472.41409999999</v>
      </c>
      <c r="N1163" s="26"/>
      <c r="O1163" s="663">
        <v>0.93490804699999996</v>
      </c>
      <c r="Q1163" s="157"/>
    </row>
    <row r="1164" spans="1:17" ht="18.95" customHeight="1">
      <c r="A1164" s="573">
        <v>18.260000000000002</v>
      </c>
      <c r="B1164" s="665" t="s">
        <v>2740</v>
      </c>
      <c r="C1164" s="666"/>
      <c r="D1164" s="660"/>
      <c r="E1164" s="533"/>
      <c r="F1164" s="30"/>
      <c r="G1164" s="25"/>
      <c r="H1164" s="30"/>
      <c r="I1164" s="67"/>
      <c r="J1164" s="25"/>
      <c r="K1164" s="25"/>
      <c r="L1164" s="25"/>
      <c r="M1164" s="25"/>
      <c r="N1164" s="26"/>
      <c r="O1164" s="663">
        <v>0.93490804699999996</v>
      </c>
      <c r="Q1164" s="157"/>
    </row>
    <row r="1165" spans="1:17" ht="18.95" customHeight="1">
      <c r="A1165" s="573"/>
      <c r="B1165" s="573" t="s">
        <v>273</v>
      </c>
      <c r="C1165" s="1180" t="s">
        <v>2810</v>
      </c>
      <c r="D1165" s="660"/>
      <c r="E1165" s="533">
        <v>12500</v>
      </c>
      <c r="F1165" s="1181" t="s">
        <v>286</v>
      </c>
      <c r="G1165" s="30">
        <f>ROUND(900.6/100,2)</f>
        <v>9.01</v>
      </c>
      <c r="H1165" s="30">
        <f t="shared" si="276"/>
        <v>8.4235215034699991</v>
      </c>
      <c r="I1165" s="67">
        <f t="shared" si="277"/>
        <v>105294.01879337498</v>
      </c>
      <c r="J1165" s="25">
        <v>7</v>
      </c>
      <c r="K1165" s="25">
        <f t="shared" si="279"/>
        <v>6.5443563289999993</v>
      </c>
      <c r="L1165" s="25">
        <f t="shared" si="281"/>
        <v>81804.454112499996</v>
      </c>
      <c r="M1165" s="25">
        <f>I1165+L1165</f>
        <v>187098.47290587498</v>
      </c>
      <c r="N1165" s="26"/>
      <c r="O1165" s="663">
        <v>0.93490804699999996</v>
      </c>
      <c r="Q1165" s="157"/>
    </row>
    <row r="1166" spans="1:17" ht="18.95" customHeight="1">
      <c r="A1166" s="573"/>
      <c r="B1166" s="573" t="s">
        <v>273</v>
      </c>
      <c r="C1166" s="666" t="s">
        <v>2741</v>
      </c>
      <c r="D1166" s="660"/>
      <c r="E1166" s="533">
        <v>1500</v>
      </c>
      <c r="F1166" s="30" t="s">
        <v>286</v>
      </c>
      <c r="G1166" s="30">
        <v>16</v>
      </c>
      <c r="H1166" s="30">
        <f t="shared" si="276"/>
        <v>14.958528751999999</v>
      </c>
      <c r="I1166" s="67">
        <f t="shared" si="277"/>
        <v>22437.793127999998</v>
      </c>
      <c r="J1166" s="25">
        <v>10</v>
      </c>
      <c r="K1166" s="25">
        <f t="shared" si="279"/>
        <v>9.3490804700000005</v>
      </c>
      <c r="L1166" s="25">
        <f t="shared" si="281"/>
        <v>14023.620705000001</v>
      </c>
      <c r="M1166" s="25">
        <f>I1166+L1166</f>
        <v>36461.413832999999</v>
      </c>
      <c r="N1166" s="26"/>
      <c r="O1166" s="663">
        <v>0.93490804699999996</v>
      </c>
      <c r="Q1166" s="157"/>
    </row>
    <row r="1167" spans="1:17" ht="18.95" customHeight="1">
      <c r="A1167" s="573"/>
      <c r="B1167" s="573" t="s">
        <v>273</v>
      </c>
      <c r="C1167" s="666" t="s">
        <v>2812</v>
      </c>
      <c r="D1167" s="694"/>
      <c r="E1167" s="533">
        <v>1450</v>
      </c>
      <c r="F1167" s="1181" t="s">
        <v>286</v>
      </c>
      <c r="G1167" s="30">
        <v>100</v>
      </c>
      <c r="H1167" s="30">
        <f t="shared" si="276"/>
        <v>93.490804699999998</v>
      </c>
      <c r="I1167" s="67">
        <f t="shared" si="277"/>
        <v>135561.666815</v>
      </c>
      <c r="J1167" s="25">
        <v>30</v>
      </c>
      <c r="K1167" s="25">
        <f t="shared" si="279"/>
        <v>28.047241409999998</v>
      </c>
      <c r="L1167" s="25">
        <f t="shared" si="281"/>
        <v>40668.500044499997</v>
      </c>
      <c r="M1167" s="25">
        <f>I1167+L1167</f>
        <v>176230.16685949999</v>
      </c>
      <c r="N1167" s="26"/>
      <c r="O1167" s="663">
        <v>0.93490804699999996</v>
      </c>
      <c r="Q1167" s="157"/>
    </row>
    <row r="1168" spans="1:17" ht="18.95" customHeight="1">
      <c r="A1168" s="697">
        <v>18.27</v>
      </c>
      <c r="B1168" s="652" t="s">
        <v>2195</v>
      </c>
      <c r="C1168" s="657"/>
      <c r="D1168" s="412"/>
      <c r="E1168" s="533"/>
      <c r="F1168" s="30"/>
      <c r="G1168" s="30"/>
      <c r="H1168" s="30"/>
      <c r="I1168" s="67"/>
      <c r="J1168" s="25"/>
      <c r="K1168" s="25"/>
      <c r="L1168" s="25"/>
      <c r="M1168" s="25"/>
      <c r="N1168" s="26"/>
      <c r="O1168" s="663">
        <v>0.93490804699999996</v>
      </c>
      <c r="Q1168" s="157"/>
    </row>
    <row r="1169" spans="1:17" ht="18.95" customHeight="1">
      <c r="A1169" s="573"/>
      <c r="B1169" s="573" t="s">
        <v>273</v>
      </c>
      <c r="C1169" s="661" t="s">
        <v>2196</v>
      </c>
      <c r="D1169" s="660"/>
      <c r="E1169" s="533">
        <v>5200</v>
      </c>
      <c r="F1169" s="1181" t="s">
        <v>286</v>
      </c>
      <c r="G1169" s="30">
        <f>ROUND(93.1/3,2)</f>
        <v>31.03</v>
      </c>
      <c r="H1169" s="30">
        <f t="shared" si="276"/>
        <v>29.010196698409999</v>
      </c>
      <c r="I1169" s="67">
        <f t="shared" si="277"/>
        <v>150853.022831732</v>
      </c>
      <c r="J1169" s="25">
        <v>22</v>
      </c>
      <c r="K1169" s="25">
        <f t="shared" si="279"/>
        <v>20.567977033999998</v>
      </c>
      <c r="L1169" s="25">
        <f t="shared" si="281"/>
        <v>106953.48057679999</v>
      </c>
      <c r="M1169" s="25">
        <f>I1169+L1169</f>
        <v>257806.50340853201</v>
      </c>
      <c r="N1169" s="26"/>
      <c r="O1169" s="663">
        <v>0.93490804699999996</v>
      </c>
      <c r="Q1169" s="157"/>
    </row>
    <row r="1170" spans="1:17" ht="18.95" customHeight="1">
      <c r="A1170" s="573"/>
      <c r="B1170" s="573" t="s">
        <v>273</v>
      </c>
      <c r="C1170" s="661" t="s">
        <v>2197</v>
      </c>
      <c r="D1170" s="660"/>
      <c r="E1170" s="533">
        <v>800</v>
      </c>
      <c r="F1170" s="1181" t="s">
        <v>286</v>
      </c>
      <c r="G1170" s="30">
        <f>ROUND(134.4/3,2)</f>
        <v>44.8</v>
      </c>
      <c r="H1170" s="30">
        <f t="shared" si="276"/>
        <v>41.883880505599997</v>
      </c>
      <c r="I1170" s="67">
        <f t="shared" si="277"/>
        <v>33507.10440448</v>
      </c>
      <c r="J1170" s="25">
        <v>24</v>
      </c>
      <c r="K1170" s="25">
        <f t="shared" si="279"/>
        <v>22.437793127999999</v>
      </c>
      <c r="L1170" s="25">
        <f t="shared" si="281"/>
        <v>17950.234502399999</v>
      </c>
      <c r="M1170" s="25">
        <f>I1170+L1170</f>
        <v>51457.338906880002</v>
      </c>
      <c r="N1170" s="26"/>
      <c r="O1170" s="663">
        <v>0.93490804699999996</v>
      </c>
      <c r="Q1170" s="157"/>
    </row>
    <row r="1171" spans="1:17" ht="18.95" customHeight="1">
      <c r="A1171" s="573">
        <v>18.28</v>
      </c>
      <c r="B1171" s="665" t="s">
        <v>2742</v>
      </c>
      <c r="C1171" s="666"/>
      <c r="D1171" s="660"/>
      <c r="E1171" s="533">
        <v>1</v>
      </c>
      <c r="F1171" s="30" t="s">
        <v>2193</v>
      </c>
      <c r="G1171" s="30">
        <v>50000</v>
      </c>
      <c r="H1171" s="30">
        <f t="shared" si="276"/>
        <v>46745.402349999997</v>
      </c>
      <c r="I1171" s="67">
        <f t="shared" si="277"/>
        <v>46745.402349999997</v>
      </c>
      <c r="J1171" s="25">
        <v>10000</v>
      </c>
      <c r="K1171" s="25">
        <f t="shared" si="279"/>
        <v>9349.080469999999</v>
      </c>
      <c r="L1171" s="25">
        <f t="shared" si="281"/>
        <v>9349.080469999999</v>
      </c>
      <c r="M1171" s="25">
        <f>I1171+L1171</f>
        <v>56094.482819999997</v>
      </c>
      <c r="N1171" s="26"/>
      <c r="O1171" s="663">
        <v>0.93490804699999996</v>
      </c>
      <c r="Q1171" s="157"/>
    </row>
    <row r="1172" spans="1:17" ht="18.95" customHeight="1">
      <c r="A1172" s="265"/>
      <c r="B1172" s="1275" t="s">
        <v>2929</v>
      </c>
      <c r="C1172" s="1276"/>
      <c r="D1172" s="1277"/>
      <c r="E1172" s="646"/>
      <c r="F1172" s="102"/>
      <c r="G1172" s="101"/>
      <c r="H1172" s="30"/>
      <c r="I1172" s="101">
        <f>SUM(I1118:I1171)</f>
        <v>3250040.476855088</v>
      </c>
      <c r="J1172" s="101"/>
      <c r="K1172" s="25"/>
      <c r="L1172" s="101">
        <f>SUM(L1118:L1171)</f>
        <v>891995.76764270011</v>
      </c>
      <c r="M1172" s="101">
        <f>SUM(M1118:M1171)</f>
        <v>4142036.2444977886</v>
      </c>
      <c r="N1172" s="35"/>
      <c r="O1172" s="663">
        <v>0.93490804699999996</v>
      </c>
      <c r="Q1172" s="157"/>
    </row>
    <row r="1173" spans="1:17" ht="18.95" customHeight="1">
      <c r="A1173" s="265"/>
      <c r="B1173" s="256"/>
      <c r="C1173" s="257"/>
      <c r="D1173" s="258"/>
      <c r="E1173" s="646"/>
      <c r="F1173" s="102"/>
      <c r="G1173" s="101"/>
      <c r="H1173" s="30"/>
      <c r="I1173" s="101"/>
      <c r="J1173" s="101"/>
      <c r="K1173" s="25"/>
      <c r="L1173" s="25"/>
      <c r="M1173" s="101"/>
      <c r="N1173" s="35"/>
      <c r="O1173" s="663">
        <v>0.93490804699999996</v>
      </c>
      <c r="Q1173" s="157"/>
    </row>
    <row r="1174" spans="1:17" ht="18.95" customHeight="1">
      <c r="A1174" s="265"/>
      <c r="B1174" s="256"/>
      <c r="C1174" s="257"/>
      <c r="D1174" s="258"/>
      <c r="E1174" s="646"/>
      <c r="F1174" s="102"/>
      <c r="G1174" s="101"/>
      <c r="H1174" s="30"/>
      <c r="I1174" s="101"/>
      <c r="J1174" s="101"/>
      <c r="K1174" s="25"/>
      <c r="L1174" s="25"/>
      <c r="M1174" s="101"/>
      <c r="N1174" s="35"/>
      <c r="O1174" s="663">
        <v>0.93490804699999996</v>
      </c>
      <c r="Q1174" s="157"/>
    </row>
    <row r="1175" spans="1:17" ht="18.95" customHeight="1">
      <c r="A1175" s="265"/>
      <c r="B1175" s="256"/>
      <c r="C1175" s="257"/>
      <c r="D1175" s="258"/>
      <c r="E1175" s="646"/>
      <c r="F1175" s="102"/>
      <c r="G1175" s="101"/>
      <c r="H1175" s="30"/>
      <c r="I1175" s="101"/>
      <c r="J1175" s="101"/>
      <c r="K1175" s="25"/>
      <c r="L1175" s="25"/>
      <c r="M1175" s="101"/>
      <c r="N1175" s="35"/>
      <c r="O1175" s="663">
        <v>0.93490804699999996</v>
      </c>
      <c r="Q1175" s="157"/>
    </row>
    <row r="1176" spans="1:17" ht="18.95" customHeight="1">
      <c r="A1176" s="265"/>
      <c r="B1176" s="256"/>
      <c r="C1176" s="257"/>
      <c r="D1176" s="258"/>
      <c r="E1176" s="646"/>
      <c r="F1176" s="102"/>
      <c r="G1176" s="101"/>
      <c r="H1176" s="30"/>
      <c r="I1176" s="101"/>
      <c r="J1176" s="101"/>
      <c r="K1176" s="25"/>
      <c r="L1176" s="25"/>
      <c r="M1176" s="101"/>
      <c r="N1176" s="35"/>
      <c r="O1176" s="663">
        <v>0.93490804699999996</v>
      </c>
      <c r="Q1176" s="157"/>
    </row>
    <row r="1177" spans="1:17" ht="18.95" customHeight="1">
      <c r="A1177" s="265"/>
      <c r="B1177" s="256"/>
      <c r="C1177" s="257"/>
      <c r="D1177" s="258"/>
      <c r="E1177" s="646"/>
      <c r="F1177" s="102"/>
      <c r="G1177" s="101"/>
      <c r="H1177" s="30"/>
      <c r="I1177" s="101"/>
      <c r="J1177" s="101"/>
      <c r="K1177" s="25"/>
      <c r="L1177" s="25"/>
      <c r="M1177" s="101"/>
      <c r="N1177" s="35"/>
      <c r="O1177" s="663">
        <v>0.93490804699999996</v>
      </c>
      <c r="Q1177" s="157"/>
    </row>
    <row r="1178" spans="1:17" ht="18.95" customHeight="1">
      <c r="A1178" s="265"/>
      <c r="B1178" s="256"/>
      <c r="C1178" s="257"/>
      <c r="D1178" s="258"/>
      <c r="E1178" s="646"/>
      <c r="F1178" s="102"/>
      <c r="G1178" s="101"/>
      <c r="H1178" s="30"/>
      <c r="I1178" s="101"/>
      <c r="J1178" s="101"/>
      <c r="K1178" s="25"/>
      <c r="L1178" s="25"/>
      <c r="M1178" s="101"/>
      <c r="N1178" s="35"/>
      <c r="O1178" s="663">
        <v>0.93490804699999996</v>
      </c>
      <c r="Q1178" s="157"/>
    </row>
    <row r="1179" spans="1:17" ht="18.95" customHeight="1">
      <c r="A1179" s="265"/>
      <c r="B1179" s="256"/>
      <c r="C1179" s="257"/>
      <c r="D1179" s="258"/>
      <c r="E1179" s="646"/>
      <c r="F1179" s="102"/>
      <c r="G1179" s="101"/>
      <c r="H1179" s="30"/>
      <c r="I1179" s="101"/>
      <c r="J1179" s="101"/>
      <c r="K1179" s="25"/>
      <c r="L1179" s="25"/>
      <c r="M1179" s="101"/>
      <c r="N1179" s="35"/>
      <c r="O1179" s="663">
        <v>0.93490804699999996</v>
      </c>
      <c r="Q1179" s="157"/>
    </row>
    <row r="1180" spans="1:17" ht="18.95" customHeight="1">
      <c r="A1180" s="265"/>
      <c r="B1180" s="256"/>
      <c r="C1180" s="257"/>
      <c r="D1180" s="258"/>
      <c r="E1180" s="646"/>
      <c r="F1180" s="102"/>
      <c r="G1180" s="101"/>
      <c r="H1180" s="30"/>
      <c r="I1180" s="101"/>
      <c r="J1180" s="101"/>
      <c r="K1180" s="25"/>
      <c r="L1180" s="101"/>
      <c r="M1180" s="101"/>
      <c r="N1180" s="35"/>
      <c r="O1180" s="663">
        <v>0.93490804699999996</v>
      </c>
      <c r="Q1180" s="157"/>
    </row>
    <row r="1181" spans="1:17" ht="18.95" customHeight="1">
      <c r="A1181" s="265"/>
      <c r="B1181" s="256"/>
      <c r="C1181" s="257"/>
      <c r="D1181" s="258"/>
      <c r="E1181" s="646"/>
      <c r="F1181" s="102"/>
      <c r="G1181" s="101"/>
      <c r="H1181" s="30"/>
      <c r="I1181" s="101"/>
      <c r="J1181" s="101"/>
      <c r="K1181" s="25"/>
      <c r="L1181" s="101"/>
      <c r="M1181" s="101"/>
      <c r="N1181" s="35"/>
      <c r="O1181" s="663">
        <v>0.93490804699999996</v>
      </c>
      <c r="Q1181" s="157"/>
    </row>
    <row r="1182" spans="1:17" ht="18.95" customHeight="1">
      <c r="A1182" s="265"/>
      <c r="B1182" s="256"/>
      <c r="C1182" s="257"/>
      <c r="D1182" s="258"/>
      <c r="E1182" s="646"/>
      <c r="F1182" s="102"/>
      <c r="G1182" s="101"/>
      <c r="H1182" s="30"/>
      <c r="I1182" s="101"/>
      <c r="J1182" s="101"/>
      <c r="K1182" s="25"/>
      <c r="L1182" s="101"/>
      <c r="M1182" s="101"/>
      <c r="N1182" s="35"/>
      <c r="O1182" s="663">
        <v>0.93490804699999996</v>
      </c>
      <c r="Q1182" s="157"/>
    </row>
    <row r="1183" spans="1:17" ht="18.95" customHeight="1">
      <c r="A1183" s="265"/>
      <c r="B1183" s="256"/>
      <c r="C1183" s="257"/>
      <c r="D1183" s="258"/>
      <c r="E1183" s="646"/>
      <c r="F1183" s="102"/>
      <c r="G1183" s="101"/>
      <c r="H1183" s="30"/>
      <c r="I1183" s="101"/>
      <c r="J1183" s="101"/>
      <c r="K1183" s="25"/>
      <c r="L1183" s="101"/>
      <c r="M1183" s="101"/>
      <c r="N1183" s="35"/>
      <c r="O1183" s="663">
        <v>0.93490804699999996</v>
      </c>
      <c r="Q1183" s="157"/>
    </row>
    <row r="1184" spans="1:17" ht="18.95" customHeight="1">
      <c r="A1184" s="265"/>
      <c r="B1184" s="256"/>
      <c r="C1184" s="257"/>
      <c r="D1184" s="258"/>
      <c r="E1184" s="646"/>
      <c r="F1184" s="102"/>
      <c r="G1184" s="101"/>
      <c r="H1184" s="30"/>
      <c r="I1184" s="101"/>
      <c r="J1184" s="101"/>
      <c r="K1184" s="25"/>
      <c r="L1184" s="101"/>
      <c r="M1184" s="101"/>
      <c r="N1184" s="35"/>
      <c r="O1184" s="663">
        <v>0.93490804699999996</v>
      </c>
      <c r="Q1184" s="157"/>
    </row>
    <row r="1185" spans="1:17" ht="18.95" customHeight="1">
      <c r="A1185" s="265"/>
      <c r="B1185" s="256"/>
      <c r="C1185" s="257"/>
      <c r="D1185" s="258"/>
      <c r="E1185" s="646"/>
      <c r="F1185" s="102"/>
      <c r="G1185" s="101"/>
      <c r="H1185" s="30"/>
      <c r="I1185" s="101"/>
      <c r="J1185" s="101"/>
      <c r="K1185" s="25"/>
      <c r="L1185" s="101"/>
      <c r="M1185" s="101"/>
      <c r="N1185" s="35"/>
      <c r="O1185" s="663">
        <v>0.93490804699999996</v>
      </c>
      <c r="Q1185" s="157"/>
    </row>
    <row r="1186" spans="1:17" ht="18.95" customHeight="1">
      <c r="A1186" s="265"/>
      <c r="B1186" s="256"/>
      <c r="C1186" s="257"/>
      <c r="D1186" s="258"/>
      <c r="E1186" s="646"/>
      <c r="F1186" s="102"/>
      <c r="G1186" s="101"/>
      <c r="H1186" s="30"/>
      <c r="I1186" s="101"/>
      <c r="J1186" s="101"/>
      <c r="K1186" s="25"/>
      <c r="L1186" s="101"/>
      <c r="M1186" s="101"/>
      <c r="N1186" s="35"/>
      <c r="O1186" s="663">
        <v>0.93490804699999996</v>
      </c>
      <c r="Q1186" s="157"/>
    </row>
    <row r="1187" spans="1:17" ht="18.95" customHeight="1">
      <c r="A1187" s="265"/>
      <c r="B1187" s="256"/>
      <c r="C1187" s="257"/>
      <c r="D1187" s="258"/>
      <c r="E1187" s="646"/>
      <c r="F1187" s="102"/>
      <c r="G1187" s="101"/>
      <c r="H1187" s="30"/>
      <c r="I1187" s="101"/>
      <c r="J1187" s="101"/>
      <c r="K1187" s="25"/>
      <c r="L1187" s="101"/>
      <c r="M1187" s="101"/>
      <c r="N1187" s="35"/>
      <c r="O1187" s="663">
        <v>0.93490804699999996</v>
      </c>
      <c r="Q1187" s="157"/>
    </row>
    <row r="1188" spans="1:17" ht="18.95" customHeight="1">
      <c r="A1188" s="265"/>
      <c r="B1188" s="256"/>
      <c r="C1188" s="257"/>
      <c r="D1188" s="258"/>
      <c r="E1188" s="646"/>
      <c r="F1188" s="102"/>
      <c r="G1188" s="101"/>
      <c r="H1188" s="30"/>
      <c r="I1188" s="101"/>
      <c r="J1188" s="101"/>
      <c r="K1188" s="25"/>
      <c r="L1188" s="101"/>
      <c r="M1188" s="101"/>
      <c r="N1188" s="35"/>
      <c r="O1188" s="663">
        <v>0.93490804699999996</v>
      </c>
      <c r="Q1188" s="157"/>
    </row>
    <row r="1189" spans="1:17" ht="18.95" customHeight="1">
      <c r="A1189" s="265"/>
      <c r="B1189" s="256"/>
      <c r="C1189" s="257"/>
      <c r="D1189" s="258"/>
      <c r="E1189" s="646"/>
      <c r="F1189" s="102"/>
      <c r="G1189" s="101"/>
      <c r="H1189" s="30"/>
      <c r="I1189" s="101"/>
      <c r="J1189" s="101"/>
      <c r="K1189" s="25"/>
      <c r="L1189" s="101"/>
      <c r="M1189" s="101"/>
      <c r="N1189" s="35"/>
      <c r="O1189" s="663">
        <v>0.93490804699999996</v>
      </c>
      <c r="Q1189" s="157"/>
    </row>
    <row r="1190" spans="1:17" ht="18.95" customHeight="1">
      <c r="A1190" s="265"/>
      <c r="B1190" s="256"/>
      <c r="C1190" s="257"/>
      <c r="D1190" s="258"/>
      <c r="E1190" s="646"/>
      <c r="F1190" s="102"/>
      <c r="G1190" s="101"/>
      <c r="H1190" s="30"/>
      <c r="I1190" s="101"/>
      <c r="J1190" s="101"/>
      <c r="K1190" s="25"/>
      <c r="L1190" s="101"/>
      <c r="M1190" s="101"/>
      <c r="N1190" s="35"/>
      <c r="O1190" s="663">
        <v>0.93490804699999996</v>
      </c>
      <c r="Q1190" s="157"/>
    </row>
    <row r="1191" spans="1:17" ht="18.95" customHeight="1">
      <c r="A1191" s="265"/>
      <c r="B1191" s="256"/>
      <c r="C1191" s="257"/>
      <c r="D1191" s="258"/>
      <c r="E1191" s="646"/>
      <c r="F1191" s="102"/>
      <c r="G1191" s="101"/>
      <c r="H1191" s="30"/>
      <c r="I1191" s="101"/>
      <c r="J1191" s="101"/>
      <c r="K1191" s="25"/>
      <c r="L1191" s="101"/>
      <c r="M1191" s="101"/>
      <c r="N1191" s="35"/>
      <c r="O1191" s="663">
        <v>0.93490804699999996</v>
      </c>
      <c r="Q1191" s="157"/>
    </row>
    <row r="1192" spans="1:17" ht="18.95" customHeight="1">
      <c r="A1192" s="648">
        <v>19</v>
      </c>
      <c r="B1192" s="1182" t="s">
        <v>2930</v>
      </c>
      <c r="C1192" s="650"/>
      <c r="D1192" s="412"/>
      <c r="E1192" s="646"/>
      <c r="F1192" s="102"/>
      <c r="G1192" s="34"/>
      <c r="H1192" s="30"/>
      <c r="I1192" s="34"/>
      <c r="J1192" s="102"/>
      <c r="K1192" s="25"/>
      <c r="L1192" s="34"/>
      <c r="M1192" s="102"/>
      <c r="N1192" s="35"/>
      <c r="O1192" s="663">
        <v>0.93490804699999996</v>
      </c>
      <c r="Q1192" s="157"/>
    </row>
    <row r="1193" spans="1:17" ht="18.95" customHeight="1">
      <c r="A1193" s="702">
        <v>19.100000000000001</v>
      </c>
      <c r="B1193" s="658" t="s">
        <v>2931</v>
      </c>
      <c r="C1193" s="661"/>
      <c r="D1193" s="693"/>
      <c r="E1193" s="533">
        <v>1</v>
      </c>
      <c r="F1193" s="30" t="s">
        <v>349</v>
      </c>
      <c r="G1193" s="67">
        <v>249000</v>
      </c>
      <c r="H1193" s="30">
        <f t="shared" ref="H1193:H1238" si="282">G1193*O1193</f>
        <v>232792.103703</v>
      </c>
      <c r="I1193" s="67">
        <f>E1193*H1193</f>
        <v>232792.103703</v>
      </c>
      <c r="J1193" s="67"/>
      <c r="K1193" s="25"/>
      <c r="L1193" s="67">
        <f>E1193*J1193</f>
        <v>0</v>
      </c>
      <c r="M1193" s="67">
        <f>I1193+L1193</f>
        <v>232792.103703</v>
      </c>
      <c r="N1193" s="26"/>
      <c r="O1193" s="663">
        <v>0.93490804699999996</v>
      </c>
      <c r="Q1193" s="157"/>
    </row>
    <row r="1194" spans="1:17" ht="18.95" customHeight="1">
      <c r="A1194" s="265"/>
      <c r="B1194" s="573" t="s">
        <v>273</v>
      </c>
      <c r="C1194" s="703" t="s">
        <v>2932</v>
      </c>
      <c r="D1194" s="660"/>
      <c r="E1194" s="533"/>
      <c r="F1194" s="30"/>
      <c r="G1194" s="67" t="s">
        <v>2933</v>
      </c>
      <c r="H1194" s="67" t="s">
        <v>2933</v>
      </c>
      <c r="I1194" s="67"/>
      <c r="J1194" s="67"/>
      <c r="K1194" s="25"/>
      <c r="L1194" s="67"/>
      <c r="M1194" s="67"/>
      <c r="N1194" s="26"/>
      <c r="O1194" s="663">
        <v>0.93490804699999996</v>
      </c>
      <c r="Q1194" s="157"/>
    </row>
    <row r="1195" spans="1:17" ht="18.95" customHeight="1">
      <c r="A1195" s="265"/>
      <c r="B1195" s="573" t="s">
        <v>273</v>
      </c>
      <c r="C1195" s="1186" t="s">
        <v>2934</v>
      </c>
      <c r="D1195" s="660"/>
      <c r="E1195" s="533"/>
      <c r="F1195" s="30"/>
      <c r="G1195" s="67" t="s">
        <v>2933</v>
      </c>
      <c r="H1195" s="67" t="s">
        <v>2933</v>
      </c>
      <c r="I1195" s="67"/>
      <c r="J1195" s="67"/>
      <c r="K1195" s="25"/>
      <c r="L1195" s="67"/>
      <c r="M1195" s="67"/>
      <c r="N1195" s="26"/>
      <c r="O1195" s="663">
        <v>0.93490804699999996</v>
      </c>
      <c r="Q1195" s="157"/>
    </row>
    <row r="1196" spans="1:17" ht="18.95" customHeight="1">
      <c r="A1196" s="265"/>
      <c r="B1196" s="573" t="s">
        <v>273</v>
      </c>
      <c r="C1196" s="1186" t="s">
        <v>2935</v>
      </c>
      <c r="D1196" s="660"/>
      <c r="E1196" s="533"/>
      <c r="F1196" s="30"/>
      <c r="G1196" s="67" t="s">
        <v>2933</v>
      </c>
      <c r="H1196" s="67" t="s">
        <v>2933</v>
      </c>
      <c r="I1196" s="67"/>
      <c r="J1196" s="67"/>
      <c r="K1196" s="25"/>
      <c r="L1196" s="67"/>
      <c r="M1196" s="67"/>
      <c r="N1196" s="26"/>
      <c r="O1196" s="663">
        <v>0.93490804699999996</v>
      </c>
      <c r="Q1196" s="157"/>
    </row>
    <row r="1197" spans="1:17" ht="18.95" customHeight="1">
      <c r="A1197" s="265"/>
      <c r="B1197" s="573" t="s">
        <v>273</v>
      </c>
      <c r="C1197" s="1186" t="s">
        <v>2936</v>
      </c>
      <c r="D1197" s="660"/>
      <c r="E1197" s="533"/>
      <c r="F1197" s="30"/>
      <c r="G1197" s="67" t="s">
        <v>2933</v>
      </c>
      <c r="H1197" s="67" t="s">
        <v>2933</v>
      </c>
      <c r="I1197" s="67"/>
      <c r="J1197" s="67"/>
      <c r="K1197" s="25"/>
      <c r="L1197" s="67"/>
      <c r="M1197" s="67"/>
      <c r="N1197" s="26"/>
      <c r="O1197" s="663">
        <v>0.93490804699999996</v>
      </c>
      <c r="Q1197" s="157"/>
    </row>
    <row r="1198" spans="1:17" ht="18.95" customHeight="1">
      <c r="A1198" s="265"/>
      <c r="B1198" s="573" t="s">
        <v>273</v>
      </c>
      <c r="C1198" s="1186" t="s">
        <v>2937</v>
      </c>
      <c r="D1198" s="660"/>
      <c r="E1198" s="533"/>
      <c r="F1198" s="30"/>
      <c r="G1198" s="67" t="s">
        <v>2933</v>
      </c>
      <c r="H1198" s="67" t="s">
        <v>2933</v>
      </c>
      <c r="I1198" s="67"/>
      <c r="J1198" s="67"/>
      <c r="K1198" s="25"/>
      <c r="L1198" s="67"/>
      <c r="M1198" s="67"/>
      <c r="N1198" s="26"/>
      <c r="O1198" s="663">
        <v>0.93490804699999996</v>
      </c>
      <c r="Q1198" s="157"/>
    </row>
    <row r="1199" spans="1:17" ht="18.95" customHeight="1">
      <c r="A1199" s="265"/>
      <c r="B1199" s="573" t="s">
        <v>273</v>
      </c>
      <c r="C1199" s="1186" t="s">
        <v>2938</v>
      </c>
      <c r="D1199" s="660"/>
      <c r="E1199" s="533"/>
      <c r="F1199" s="30"/>
      <c r="G1199" s="67" t="s">
        <v>2933</v>
      </c>
      <c r="H1199" s="67" t="s">
        <v>2933</v>
      </c>
      <c r="I1199" s="67"/>
      <c r="J1199" s="67"/>
      <c r="K1199" s="25"/>
      <c r="L1199" s="67"/>
      <c r="M1199" s="67"/>
      <c r="N1199" s="26"/>
      <c r="O1199" s="663">
        <v>0.93490804699999996</v>
      </c>
      <c r="Q1199" s="157"/>
    </row>
    <row r="1200" spans="1:17" ht="18.95" customHeight="1">
      <c r="A1200" s="265"/>
      <c r="B1200" s="573" t="s">
        <v>273</v>
      </c>
      <c r="C1200" s="703" t="s">
        <v>2939</v>
      </c>
      <c r="D1200" s="660"/>
      <c r="E1200" s="533"/>
      <c r="F1200" s="30"/>
      <c r="G1200" s="67" t="s">
        <v>2933</v>
      </c>
      <c r="H1200" s="67" t="s">
        <v>2933</v>
      </c>
      <c r="I1200" s="67"/>
      <c r="J1200" s="67"/>
      <c r="K1200" s="25"/>
      <c r="L1200" s="67"/>
      <c r="M1200" s="67"/>
      <c r="N1200" s="26"/>
      <c r="O1200" s="663">
        <v>0.93490804699999996</v>
      </c>
      <c r="Q1200" s="157"/>
    </row>
    <row r="1201" spans="1:17" ht="18.95" customHeight="1">
      <c r="A1201" s="265"/>
      <c r="B1201" s="573" t="s">
        <v>273</v>
      </c>
      <c r="C1201" s="1186" t="s">
        <v>2940</v>
      </c>
      <c r="D1201" s="660"/>
      <c r="E1201" s="533"/>
      <c r="F1201" s="30"/>
      <c r="G1201" s="67" t="s">
        <v>2933</v>
      </c>
      <c r="H1201" s="67" t="s">
        <v>2933</v>
      </c>
      <c r="I1201" s="67"/>
      <c r="J1201" s="67"/>
      <c r="K1201" s="25"/>
      <c r="L1201" s="67"/>
      <c r="M1201" s="67"/>
      <c r="N1201" s="26"/>
      <c r="O1201" s="663">
        <v>0.93490804699999996</v>
      </c>
      <c r="Q1201" s="157"/>
    </row>
    <row r="1202" spans="1:17" ht="18.95" customHeight="1">
      <c r="A1202" s="265"/>
      <c r="B1202" s="573" t="s">
        <v>273</v>
      </c>
      <c r="C1202" s="1186" t="s">
        <v>2941</v>
      </c>
      <c r="D1202" s="660"/>
      <c r="E1202" s="533"/>
      <c r="F1202" s="30"/>
      <c r="G1202" s="67" t="s">
        <v>2933</v>
      </c>
      <c r="H1202" s="67" t="s">
        <v>2933</v>
      </c>
      <c r="I1202" s="67"/>
      <c r="J1202" s="67"/>
      <c r="K1202" s="25"/>
      <c r="L1202" s="67"/>
      <c r="M1202" s="67"/>
      <c r="N1202" s="26"/>
      <c r="O1202" s="663">
        <v>0.93490804699999996</v>
      </c>
      <c r="Q1202" s="157"/>
    </row>
    <row r="1203" spans="1:17" ht="18.95" customHeight="1">
      <c r="A1203" s="702" t="s">
        <v>2942</v>
      </c>
      <c r="B1203" s="665" t="s">
        <v>2943</v>
      </c>
      <c r="C1203" s="666"/>
      <c r="D1203" s="660"/>
      <c r="E1203" s="533">
        <v>1</v>
      </c>
      <c r="F1203" s="30" t="s">
        <v>349</v>
      </c>
      <c r="G1203" s="704">
        <v>52900</v>
      </c>
      <c r="H1203" s="30">
        <f t="shared" si="282"/>
        <v>49456.635686299996</v>
      </c>
      <c r="I1203" s="67">
        <f>E1203*H1203</f>
        <v>49456.635686299996</v>
      </c>
      <c r="J1203" s="25"/>
      <c r="K1203" s="25"/>
      <c r="L1203" s="25">
        <f t="shared" ref="L1203:L1210" si="283">ROUNDDOWN(E1203*J1203,2)</f>
        <v>0</v>
      </c>
      <c r="M1203" s="25">
        <f t="shared" ref="M1203:M1211" si="284">I1203+L1203</f>
        <v>49456.635686299996</v>
      </c>
      <c r="N1203" s="26"/>
      <c r="O1203" s="663">
        <v>0.93490804699999996</v>
      </c>
      <c r="Q1203" s="157"/>
    </row>
    <row r="1204" spans="1:17" ht="18.95" customHeight="1">
      <c r="A1204" s="705">
        <v>19.3</v>
      </c>
      <c r="B1204" s="706" t="s">
        <v>2944</v>
      </c>
      <c r="C1204" s="707"/>
      <c r="D1204" s="660"/>
      <c r="E1204" s="533">
        <v>1</v>
      </c>
      <c r="F1204" s="30" t="s">
        <v>349</v>
      </c>
      <c r="G1204" s="704">
        <v>12900</v>
      </c>
      <c r="H1204" s="30">
        <f t="shared" si="282"/>
        <v>12060.313806299999</v>
      </c>
      <c r="I1204" s="67">
        <f t="shared" ref="I1204:I1211" si="285">E1204*H1204</f>
        <v>12060.313806299999</v>
      </c>
      <c r="J1204" s="25"/>
      <c r="K1204" s="25"/>
      <c r="L1204" s="25">
        <f t="shared" si="283"/>
        <v>0</v>
      </c>
      <c r="M1204" s="25">
        <f t="shared" si="284"/>
        <v>12060.313806299999</v>
      </c>
      <c r="N1204" s="26"/>
      <c r="O1204" s="663">
        <v>0.93490804699999996</v>
      </c>
      <c r="Q1204" s="157"/>
    </row>
    <row r="1205" spans="1:17" ht="18.95" customHeight="1">
      <c r="A1205" s="702" t="s">
        <v>2945</v>
      </c>
      <c r="B1205" s="706" t="s">
        <v>2946</v>
      </c>
      <c r="C1205" s="707"/>
      <c r="D1205" s="660"/>
      <c r="E1205" s="533">
        <v>1</v>
      </c>
      <c r="F1205" s="30" t="s">
        <v>349</v>
      </c>
      <c r="G1205" s="704">
        <v>69900</v>
      </c>
      <c r="H1205" s="30">
        <f t="shared" si="282"/>
        <v>65350.072485299999</v>
      </c>
      <c r="I1205" s="67">
        <f t="shared" si="285"/>
        <v>65350.072485299999</v>
      </c>
      <c r="J1205" s="25"/>
      <c r="K1205" s="25"/>
      <c r="L1205" s="25">
        <f t="shared" si="283"/>
        <v>0</v>
      </c>
      <c r="M1205" s="25">
        <f t="shared" si="284"/>
        <v>65350.072485299999</v>
      </c>
      <c r="N1205" s="26"/>
      <c r="O1205" s="663">
        <v>0.93490804699999996</v>
      </c>
      <c r="Q1205" s="157"/>
    </row>
    <row r="1206" spans="1:17" ht="18.95" customHeight="1">
      <c r="A1206" s="705">
        <v>19.5</v>
      </c>
      <c r="B1206" s="706" t="s">
        <v>2947</v>
      </c>
      <c r="C1206" s="707"/>
      <c r="D1206" s="694"/>
      <c r="E1206" s="533">
        <v>3</v>
      </c>
      <c r="F1206" s="30" t="s">
        <v>349</v>
      </c>
      <c r="G1206" s="704">
        <v>12900</v>
      </c>
      <c r="H1206" s="30">
        <f t="shared" si="282"/>
        <v>12060.313806299999</v>
      </c>
      <c r="I1206" s="67">
        <f t="shared" si="285"/>
        <v>36180.941418899994</v>
      </c>
      <c r="J1206" s="25"/>
      <c r="K1206" s="25"/>
      <c r="L1206" s="25">
        <f t="shared" si="283"/>
        <v>0</v>
      </c>
      <c r="M1206" s="25">
        <f t="shared" si="284"/>
        <v>36180.941418899994</v>
      </c>
      <c r="N1206" s="26"/>
      <c r="O1206" s="663">
        <v>0.93490804699999996</v>
      </c>
      <c r="Q1206" s="157"/>
    </row>
    <row r="1207" spans="1:17" ht="18.95" customHeight="1">
      <c r="A1207" s="702" t="s">
        <v>2948</v>
      </c>
      <c r="B1207" s="706" t="s">
        <v>2949</v>
      </c>
      <c r="C1207" s="707"/>
      <c r="D1207" s="412"/>
      <c r="E1207" s="533">
        <v>2</v>
      </c>
      <c r="F1207" s="30" t="s">
        <v>349</v>
      </c>
      <c r="G1207" s="704">
        <v>8900</v>
      </c>
      <c r="H1207" s="30">
        <f t="shared" si="282"/>
        <v>8320.6816182999992</v>
      </c>
      <c r="I1207" s="67">
        <f t="shared" si="285"/>
        <v>16641.363236599998</v>
      </c>
      <c r="J1207" s="25"/>
      <c r="K1207" s="25"/>
      <c r="L1207" s="25">
        <f t="shared" si="283"/>
        <v>0</v>
      </c>
      <c r="M1207" s="25">
        <f t="shared" si="284"/>
        <v>16641.363236599998</v>
      </c>
      <c r="N1207" s="26"/>
      <c r="O1207" s="663">
        <v>0.93490804699999996</v>
      </c>
      <c r="Q1207" s="157"/>
    </row>
    <row r="1208" spans="1:17" ht="18.95" customHeight="1">
      <c r="A1208" s="705">
        <v>19.7</v>
      </c>
      <c r="B1208" s="706" t="s">
        <v>2950</v>
      </c>
      <c r="C1208" s="707"/>
      <c r="D1208" s="660"/>
      <c r="E1208" s="533">
        <v>2</v>
      </c>
      <c r="F1208" s="30" t="s">
        <v>349</v>
      </c>
      <c r="G1208" s="704">
        <v>7900</v>
      </c>
      <c r="H1208" s="30">
        <f t="shared" si="282"/>
        <v>7385.7735712999993</v>
      </c>
      <c r="I1208" s="67">
        <f t="shared" si="285"/>
        <v>14771.547142599999</v>
      </c>
      <c r="J1208" s="25"/>
      <c r="K1208" s="25"/>
      <c r="L1208" s="25">
        <f t="shared" si="283"/>
        <v>0</v>
      </c>
      <c r="M1208" s="25">
        <f t="shared" si="284"/>
        <v>14771.547142599999</v>
      </c>
      <c r="N1208" s="26"/>
      <c r="O1208" s="663">
        <v>0.93490804699999996</v>
      </c>
      <c r="Q1208" s="157"/>
    </row>
    <row r="1209" spans="1:17" ht="18.95" customHeight="1">
      <c r="A1209" s="702" t="s">
        <v>2951</v>
      </c>
      <c r="B1209" s="706" t="s">
        <v>2952</v>
      </c>
      <c r="C1209" s="707"/>
      <c r="D1209" s="660"/>
      <c r="E1209" s="533">
        <v>1</v>
      </c>
      <c r="F1209" s="30" t="s">
        <v>349</v>
      </c>
      <c r="G1209" s="704">
        <v>8900</v>
      </c>
      <c r="H1209" s="30">
        <f t="shared" si="282"/>
        <v>8320.6816182999992</v>
      </c>
      <c r="I1209" s="67">
        <f t="shared" si="285"/>
        <v>8320.6816182999992</v>
      </c>
      <c r="J1209" s="25"/>
      <c r="K1209" s="25"/>
      <c r="L1209" s="25">
        <f t="shared" si="283"/>
        <v>0</v>
      </c>
      <c r="M1209" s="25">
        <f t="shared" si="284"/>
        <v>8320.6816182999992</v>
      </c>
      <c r="N1209" s="26"/>
      <c r="O1209" s="663">
        <v>0.93490804699999996</v>
      </c>
      <c r="Q1209" s="157"/>
    </row>
    <row r="1210" spans="1:17" ht="18.95" customHeight="1">
      <c r="A1210" s="705">
        <v>19.899999999999999</v>
      </c>
      <c r="B1210" s="706" t="s">
        <v>2953</v>
      </c>
      <c r="C1210" s="707"/>
      <c r="D1210" s="660"/>
      <c r="E1210" s="533">
        <v>1</v>
      </c>
      <c r="F1210" s="30" t="s">
        <v>2193</v>
      </c>
      <c r="G1210" s="704">
        <v>19900</v>
      </c>
      <c r="H1210" s="30">
        <f t="shared" si="282"/>
        <v>18604.670135299999</v>
      </c>
      <c r="I1210" s="67">
        <f t="shared" si="285"/>
        <v>18604.670135299999</v>
      </c>
      <c r="J1210" s="25"/>
      <c r="K1210" s="25"/>
      <c r="L1210" s="25">
        <f t="shared" si="283"/>
        <v>0</v>
      </c>
      <c r="M1210" s="25">
        <f t="shared" si="284"/>
        <v>18604.670135299999</v>
      </c>
      <c r="N1210" s="26"/>
      <c r="O1210" s="663">
        <v>0.93490804699999996</v>
      </c>
      <c r="Q1210" s="157"/>
    </row>
    <row r="1211" spans="1:17" ht="18.95" customHeight="1">
      <c r="A1211" s="702" t="s">
        <v>2954</v>
      </c>
      <c r="B1211" s="658" t="s">
        <v>2955</v>
      </c>
      <c r="C1211" s="661"/>
      <c r="D1211" s="693"/>
      <c r="E1211" s="533">
        <v>1</v>
      </c>
      <c r="F1211" s="30" t="s">
        <v>349</v>
      </c>
      <c r="G1211" s="67">
        <v>142900</v>
      </c>
      <c r="H1211" s="30">
        <f t="shared" si="282"/>
        <v>133598.35991629999</v>
      </c>
      <c r="I1211" s="67">
        <f t="shared" si="285"/>
        <v>133598.35991629999</v>
      </c>
      <c r="J1211" s="67"/>
      <c r="K1211" s="25"/>
      <c r="L1211" s="67">
        <f>E1211*J1211</f>
        <v>0</v>
      </c>
      <c r="M1211" s="67">
        <f t="shared" si="284"/>
        <v>133598.35991629999</v>
      </c>
      <c r="N1211" s="26"/>
      <c r="O1211" s="663">
        <v>0.93490804699999996</v>
      </c>
      <c r="Q1211" s="157"/>
    </row>
    <row r="1212" spans="1:17" ht="18.95" customHeight="1">
      <c r="A1212" s="265"/>
      <c r="B1212" s="573" t="s">
        <v>273</v>
      </c>
      <c r="C1212" s="703" t="s">
        <v>2956</v>
      </c>
      <c r="D1212" s="660"/>
      <c r="E1212" s="533"/>
      <c r="F1212" s="30"/>
      <c r="G1212" s="67" t="s">
        <v>2933</v>
      </c>
      <c r="H1212" s="67" t="s">
        <v>2933</v>
      </c>
      <c r="I1212" s="67"/>
      <c r="J1212" s="67"/>
      <c r="K1212" s="25"/>
      <c r="L1212" s="67"/>
      <c r="M1212" s="67"/>
      <c r="N1212" s="26"/>
      <c r="O1212" s="663">
        <v>0.93490804699999996</v>
      </c>
      <c r="Q1212" s="157"/>
    </row>
    <row r="1213" spans="1:17" ht="18.95" customHeight="1">
      <c r="A1213" s="265"/>
      <c r="B1213" s="573" t="s">
        <v>273</v>
      </c>
      <c r="C1213" s="1186" t="s">
        <v>2936</v>
      </c>
      <c r="D1213" s="660"/>
      <c r="E1213" s="533"/>
      <c r="F1213" s="30"/>
      <c r="G1213" s="67" t="s">
        <v>2933</v>
      </c>
      <c r="H1213" s="67" t="s">
        <v>2933</v>
      </c>
      <c r="I1213" s="67"/>
      <c r="J1213" s="67"/>
      <c r="K1213" s="25"/>
      <c r="L1213" s="67"/>
      <c r="M1213" s="67"/>
      <c r="N1213" s="26"/>
      <c r="O1213" s="663">
        <v>0.93490804699999996</v>
      </c>
      <c r="Q1213" s="157"/>
    </row>
    <row r="1214" spans="1:17" ht="18.95" customHeight="1">
      <c r="A1214" s="265"/>
      <c r="B1214" s="573" t="s">
        <v>273</v>
      </c>
      <c r="C1214" s="1186" t="s">
        <v>2957</v>
      </c>
      <c r="D1214" s="660"/>
      <c r="E1214" s="533"/>
      <c r="F1214" s="30"/>
      <c r="G1214" s="67" t="s">
        <v>2933</v>
      </c>
      <c r="H1214" s="67" t="s">
        <v>2933</v>
      </c>
      <c r="I1214" s="67"/>
      <c r="J1214" s="67"/>
      <c r="K1214" s="25"/>
      <c r="L1214" s="67"/>
      <c r="M1214" s="67"/>
      <c r="N1214" s="26"/>
      <c r="O1214" s="663">
        <v>0.93490804699999996</v>
      </c>
      <c r="Q1214" s="157"/>
    </row>
    <row r="1215" spans="1:17" ht="18.95" customHeight="1">
      <c r="A1215" s="265"/>
      <c r="B1215" s="573" t="s">
        <v>273</v>
      </c>
      <c r="C1215" s="1186" t="s">
        <v>2958</v>
      </c>
      <c r="D1215" s="660"/>
      <c r="E1215" s="533"/>
      <c r="F1215" s="30"/>
      <c r="G1215" s="67" t="s">
        <v>2933</v>
      </c>
      <c r="H1215" s="67" t="s">
        <v>2933</v>
      </c>
      <c r="I1215" s="67"/>
      <c r="J1215" s="67"/>
      <c r="K1215" s="25"/>
      <c r="L1215" s="67"/>
      <c r="M1215" s="67"/>
      <c r="N1215" s="26"/>
      <c r="O1215" s="663">
        <v>0.93490804699999996</v>
      </c>
      <c r="Q1215" s="157"/>
    </row>
    <row r="1216" spans="1:17" ht="18.95" customHeight="1">
      <c r="A1216" s="265"/>
      <c r="B1216" s="573" t="s">
        <v>273</v>
      </c>
      <c r="C1216" s="1186" t="s">
        <v>2959</v>
      </c>
      <c r="D1216" s="660"/>
      <c r="E1216" s="533"/>
      <c r="F1216" s="30"/>
      <c r="G1216" s="67" t="s">
        <v>2933</v>
      </c>
      <c r="H1216" s="67" t="s">
        <v>2933</v>
      </c>
      <c r="I1216" s="67"/>
      <c r="J1216" s="67"/>
      <c r="K1216" s="25"/>
      <c r="L1216" s="67"/>
      <c r="M1216" s="67"/>
      <c r="N1216" s="26"/>
      <c r="O1216" s="663">
        <v>0.93490804699999996</v>
      </c>
      <c r="Q1216" s="157"/>
    </row>
    <row r="1217" spans="1:17" ht="18.95" customHeight="1">
      <c r="A1217" s="265"/>
      <c r="B1217" s="573" t="s">
        <v>273</v>
      </c>
      <c r="C1217" s="1186" t="s">
        <v>2941</v>
      </c>
      <c r="D1217" s="660"/>
      <c r="E1217" s="533"/>
      <c r="F1217" s="30"/>
      <c r="G1217" s="67" t="s">
        <v>2933</v>
      </c>
      <c r="H1217" s="67" t="s">
        <v>2933</v>
      </c>
      <c r="I1217" s="67"/>
      <c r="J1217" s="67"/>
      <c r="K1217" s="25"/>
      <c r="L1217" s="67"/>
      <c r="M1217" s="67"/>
      <c r="N1217" s="26"/>
      <c r="O1217" s="663">
        <v>0.93490804699999996</v>
      </c>
      <c r="Q1217" s="157"/>
    </row>
    <row r="1218" spans="1:17" ht="18.95" customHeight="1">
      <c r="A1218" s="265"/>
      <c r="B1218" s="573" t="s">
        <v>273</v>
      </c>
      <c r="C1218" s="1186" t="s">
        <v>2192</v>
      </c>
      <c r="D1218" s="660"/>
      <c r="E1218" s="533"/>
      <c r="F1218" s="30"/>
      <c r="G1218" s="67" t="s">
        <v>2933</v>
      </c>
      <c r="H1218" s="67" t="s">
        <v>2933</v>
      </c>
      <c r="I1218" s="67"/>
      <c r="J1218" s="67"/>
      <c r="K1218" s="25"/>
      <c r="L1218" s="67"/>
      <c r="M1218" s="67"/>
      <c r="N1218" s="26"/>
      <c r="O1218" s="663">
        <v>0.93490804699999996</v>
      </c>
      <c r="Q1218" s="157"/>
    </row>
    <row r="1219" spans="1:17" ht="18.95" customHeight="1">
      <c r="A1219" s="265"/>
      <c r="B1219" s="573"/>
      <c r="C1219" s="703"/>
      <c r="D1219" s="660"/>
      <c r="E1219" s="533"/>
      <c r="F1219" s="30"/>
      <c r="G1219" s="67"/>
      <c r="H1219" s="30">
        <f t="shared" si="282"/>
        <v>0</v>
      </c>
      <c r="I1219" s="81"/>
      <c r="J1219" s="67"/>
      <c r="K1219" s="25"/>
      <c r="L1219" s="67"/>
      <c r="M1219" s="67"/>
      <c r="N1219" s="26"/>
      <c r="O1219" s="663">
        <v>0.93490804699999996</v>
      </c>
      <c r="Q1219" s="157"/>
    </row>
    <row r="1220" spans="1:17" ht="18.95" customHeight="1">
      <c r="A1220" s="265">
        <v>19.11</v>
      </c>
      <c r="B1220" s="665" t="s">
        <v>2943</v>
      </c>
      <c r="C1220" s="666"/>
      <c r="D1220" s="660"/>
      <c r="E1220" s="533">
        <v>1</v>
      </c>
      <c r="F1220" s="30" t="s">
        <v>349</v>
      </c>
      <c r="G1220" s="106">
        <v>52900</v>
      </c>
      <c r="H1220" s="30">
        <f t="shared" si="282"/>
        <v>49456.635686299996</v>
      </c>
      <c r="I1220" s="67">
        <f t="shared" ref="I1220:I1245" si="286">E1220*H1220</f>
        <v>49456.635686299996</v>
      </c>
      <c r="J1220" s="25"/>
      <c r="K1220" s="25">
        <f t="shared" ref="K1220:K1256" si="287">J1220*O1220</f>
        <v>0</v>
      </c>
      <c r="L1220" s="25">
        <f t="shared" ref="L1220:L1227" si="288">ROUNDDOWN(E1220*J1220,2)</f>
        <v>0</v>
      </c>
      <c r="M1220" s="25">
        <f t="shared" ref="M1220:M1228" si="289">I1220+L1220</f>
        <v>49456.635686299996</v>
      </c>
      <c r="N1220" s="26"/>
      <c r="O1220" s="663">
        <v>0.93490804699999996</v>
      </c>
      <c r="Q1220" s="157"/>
    </row>
    <row r="1221" spans="1:17" ht="18.95" customHeight="1">
      <c r="A1221" s="265">
        <v>19.12</v>
      </c>
      <c r="B1221" s="706" t="s">
        <v>2944</v>
      </c>
      <c r="C1221" s="707"/>
      <c r="D1221" s="660"/>
      <c r="E1221" s="533">
        <v>1</v>
      </c>
      <c r="F1221" s="30" t="s">
        <v>349</v>
      </c>
      <c r="G1221" s="106">
        <v>10900</v>
      </c>
      <c r="H1221" s="30">
        <f t="shared" si="282"/>
        <v>10190.497712299999</v>
      </c>
      <c r="I1221" s="67">
        <f t="shared" si="286"/>
        <v>10190.497712299999</v>
      </c>
      <c r="J1221" s="25"/>
      <c r="K1221" s="25">
        <f t="shared" si="287"/>
        <v>0</v>
      </c>
      <c r="L1221" s="25">
        <f t="shared" si="288"/>
        <v>0</v>
      </c>
      <c r="M1221" s="25">
        <f t="shared" si="289"/>
        <v>10190.497712299999</v>
      </c>
      <c r="N1221" s="26"/>
      <c r="O1221" s="663">
        <v>0.93490804699999996</v>
      </c>
      <c r="Q1221" s="157"/>
    </row>
    <row r="1222" spans="1:17" ht="18.95" customHeight="1">
      <c r="A1222" s="265">
        <v>19.13</v>
      </c>
      <c r="B1222" s="706" t="s">
        <v>2946</v>
      </c>
      <c r="C1222" s="707"/>
      <c r="D1222" s="660"/>
      <c r="E1222" s="533">
        <v>1</v>
      </c>
      <c r="F1222" s="30" t="s">
        <v>349</v>
      </c>
      <c r="G1222" s="106">
        <v>69900</v>
      </c>
      <c r="H1222" s="30">
        <f t="shared" si="282"/>
        <v>65350.072485299999</v>
      </c>
      <c r="I1222" s="67">
        <f t="shared" si="286"/>
        <v>65350.072485299999</v>
      </c>
      <c r="J1222" s="25"/>
      <c r="K1222" s="25">
        <f t="shared" si="287"/>
        <v>0</v>
      </c>
      <c r="L1222" s="25">
        <f t="shared" si="288"/>
        <v>0</v>
      </c>
      <c r="M1222" s="25">
        <f t="shared" si="289"/>
        <v>65350.072485299999</v>
      </c>
      <c r="N1222" s="26"/>
      <c r="O1222" s="663">
        <v>0.93490804699999996</v>
      </c>
      <c r="Q1222" s="157"/>
    </row>
    <row r="1223" spans="1:17" ht="18.95" customHeight="1">
      <c r="A1223" s="265">
        <v>19.14</v>
      </c>
      <c r="B1223" s="706" t="s">
        <v>2947</v>
      </c>
      <c r="C1223" s="707"/>
      <c r="D1223" s="694"/>
      <c r="E1223" s="533">
        <v>3</v>
      </c>
      <c r="F1223" s="30" t="s">
        <v>349</v>
      </c>
      <c r="G1223" s="106">
        <v>12900</v>
      </c>
      <c r="H1223" s="30">
        <f t="shared" si="282"/>
        <v>12060.313806299999</v>
      </c>
      <c r="I1223" s="67">
        <f t="shared" si="286"/>
        <v>36180.941418899994</v>
      </c>
      <c r="J1223" s="25"/>
      <c r="K1223" s="25">
        <f t="shared" si="287"/>
        <v>0</v>
      </c>
      <c r="L1223" s="25">
        <f t="shared" si="288"/>
        <v>0</v>
      </c>
      <c r="M1223" s="25">
        <f t="shared" si="289"/>
        <v>36180.941418899994</v>
      </c>
      <c r="N1223" s="26"/>
      <c r="O1223" s="663">
        <v>0.93490804699999996</v>
      </c>
      <c r="Q1223" s="157"/>
    </row>
    <row r="1224" spans="1:17" ht="18.95" customHeight="1">
      <c r="A1224" s="265">
        <v>19.149999999999999</v>
      </c>
      <c r="B1224" s="706" t="s">
        <v>2949</v>
      </c>
      <c r="C1224" s="707"/>
      <c r="D1224" s="412"/>
      <c r="E1224" s="533">
        <v>2</v>
      </c>
      <c r="F1224" s="30" t="s">
        <v>349</v>
      </c>
      <c r="G1224" s="106">
        <v>8900</v>
      </c>
      <c r="H1224" s="30">
        <f t="shared" si="282"/>
        <v>8320.6816182999992</v>
      </c>
      <c r="I1224" s="67">
        <f t="shared" si="286"/>
        <v>16641.363236599998</v>
      </c>
      <c r="J1224" s="25"/>
      <c r="K1224" s="25">
        <f t="shared" si="287"/>
        <v>0</v>
      </c>
      <c r="L1224" s="25">
        <f t="shared" si="288"/>
        <v>0</v>
      </c>
      <c r="M1224" s="25">
        <f t="shared" si="289"/>
        <v>16641.363236599998</v>
      </c>
      <c r="N1224" s="26"/>
      <c r="O1224" s="663">
        <v>0.93490804699999996</v>
      </c>
      <c r="Q1224" s="157"/>
    </row>
    <row r="1225" spans="1:17" ht="18.95" customHeight="1">
      <c r="A1225" s="265">
        <v>19.16</v>
      </c>
      <c r="B1225" s="706" t="s">
        <v>2950</v>
      </c>
      <c r="C1225" s="707"/>
      <c r="D1225" s="660"/>
      <c r="E1225" s="533">
        <v>2</v>
      </c>
      <c r="F1225" s="30" t="s">
        <v>349</v>
      </c>
      <c r="G1225" s="106">
        <v>7900</v>
      </c>
      <c r="H1225" s="30">
        <f t="shared" si="282"/>
        <v>7385.7735712999993</v>
      </c>
      <c r="I1225" s="67">
        <f t="shared" si="286"/>
        <v>14771.547142599999</v>
      </c>
      <c r="J1225" s="25"/>
      <c r="K1225" s="25">
        <f t="shared" si="287"/>
        <v>0</v>
      </c>
      <c r="L1225" s="25">
        <f t="shared" si="288"/>
        <v>0</v>
      </c>
      <c r="M1225" s="25">
        <f t="shared" si="289"/>
        <v>14771.547142599999</v>
      </c>
      <c r="N1225" s="26"/>
      <c r="O1225" s="663">
        <v>0.93490804699999996</v>
      </c>
      <c r="Q1225" s="157"/>
    </row>
    <row r="1226" spans="1:17" ht="18.95" customHeight="1">
      <c r="A1226" s="265">
        <v>19.170000000000002</v>
      </c>
      <c r="B1226" s="706" t="s">
        <v>2952</v>
      </c>
      <c r="C1226" s="707"/>
      <c r="D1226" s="660"/>
      <c r="E1226" s="533">
        <v>1</v>
      </c>
      <c r="F1226" s="30" t="s">
        <v>349</v>
      </c>
      <c r="G1226" s="106">
        <v>8900</v>
      </c>
      <c r="H1226" s="30">
        <f t="shared" si="282"/>
        <v>8320.6816182999992</v>
      </c>
      <c r="I1226" s="67">
        <f t="shared" si="286"/>
        <v>8320.6816182999992</v>
      </c>
      <c r="J1226" s="25"/>
      <c r="K1226" s="25">
        <f t="shared" si="287"/>
        <v>0</v>
      </c>
      <c r="L1226" s="25">
        <f t="shared" si="288"/>
        <v>0</v>
      </c>
      <c r="M1226" s="25">
        <f t="shared" si="289"/>
        <v>8320.6816182999992</v>
      </c>
      <c r="N1226" s="26"/>
      <c r="O1226" s="663">
        <v>0.93490804699999996</v>
      </c>
      <c r="Q1226" s="157"/>
    </row>
    <row r="1227" spans="1:17" ht="18.95" customHeight="1">
      <c r="A1227" s="265">
        <v>19.18</v>
      </c>
      <c r="B1227" s="706" t="s">
        <v>2953</v>
      </c>
      <c r="C1227" s="707"/>
      <c r="D1227" s="660"/>
      <c r="E1227" s="533">
        <v>1</v>
      </c>
      <c r="F1227" s="30" t="s">
        <v>2193</v>
      </c>
      <c r="G1227" s="106">
        <v>19900</v>
      </c>
      <c r="H1227" s="30">
        <f t="shared" si="282"/>
        <v>18604.670135299999</v>
      </c>
      <c r="I1227" s="67">
        <f t="shared" si="286"/>
        <v>18604.670135299999</v>
      </c>
      <c r="J1227" s="25"/>
      <c r="K1227" s="25">
        <f t="shared" si="287"/>
        <v>0</v>
      </c>
      <c r="L1227" s="25">
        <f t="shared" si="288"/>
        <v>0</v>
      </c>
      <c r="M1227" s="25">
        <f t="shared" si="289"/>
        <v>18604.670135299999</v>
      </c>
      <c r="N1227" s="26"/>
      <c r="O1227" s="663">
        <v>0.93490804699999996</v>
      </c>
      <c r="Q1227" s="157"/>
    </row>
    <row r="1228" spans="1:17" ht="18.95" customHeight="1">
      <c r="A1228" s="265">
        <v>19.190000000000001</v>
      </c>
      <c r="B1228" s="706" t="s">
        <v>2960</v>
      </c>
      <c r="C1228" s="707"/>
      <c r="D1228" s="708"/>
      <c r="E1228" s="533">
        <v>1</v>
      </c>
      <c r="F1228" s="30" t="s">
        <v>349</v>
      </c>
      <c r="G1228" s="704">
        <v>76900</v>
      </c>
      <c r="H1228" s="30">
        <f t="shared" si="282"/>
        <v>71894.428814300001</v>
      </c>
      <c r="I1228" s="67">
        <f t="shared" si="286"/>
        <v>71894.428814300001</v>
      </c>
      <c r="J1228" s="67"/>
      <c r="K1228" s="25">
        <f t="shared" si="287"/>
        <v>0</v>
      </c>
      <c r="L1228" s="67">
        <f>E1228*J1228</f>
        <v>0</v>
      </c>
      <c r="M1228" s="67">
        <f t="shared" si="289"/>
        <v>71894.428814300001</v>
      </c>
      <c r="N1228" s="26"/>
      <c r="O1228" s="663">
        <v>0.93490804699999996</v>
      </c>
      <c r="Q1228" s="157"/>
    </row>
    <row r="1229" spans="1:17" ht="18.95" customHeight="1">
      <c r="A1229" s="573">
        <v>19.2</v>
      </c>
      <c r="B1229" s="706" t="s">
        <v>2961</v>
      </c>
      <c r="C1229" s="707"/>
      <c r="D1229" s="708"/>
      <c r="E1229" s="533">
        <v>1</v>
      </c>
      <c r="F1229" s="30" t="s">
        <v>349</v>
      </c>
      <c r="G1229" s="704">
        <v>10900</v>
      </c>
      <c r="H1229" s="30">
        <f t="shared" si="282"/>
        <v>10190.497712299999</v>
      </c>
      <c r="I1229" s="67">
        <f t="shared" si="286"/>
        <v>10190.497712299999</v>
      </c>
      <c r="J1229" s="67"/>
      <c r="K1229" s="25">
        <f t="shared" si="287"/>
        <v>0</v>
      </c>
      <c r="L1229" s="67">
        <f t="shared" ref="L1229:L1235" si="290">E1229*J1229</f>
        <v>0</v>
      </c>
      <c r="M1229" s="67">
        <f t="shared" ref="M1229:M1245" si="291">I1229+L1229</f>
        <v>10190.497712299999</v>
      </c>
      <c r="N1229" s="26"/>
      <c r="O1229" s="663">
        <v>0.93490804699999996</v>
      </c>
      <c r="Q1229" s="157"/>
    </row>
    <row r="1230" spans="1:17" ht="18.95" customHeight="1">
      <c r="A1230" s="265">
        <v>19.21</v>
      </c>
      <c r="B1230" s="706" t="s">
        <v>2962</v>
      </c>
      <c r="C1230" s="707"/>
      <c r="D1230" s="708"/>
      <c r="E1230" s="533">
        <v>1</v>
      </c>
      <c r="F1230" s="30" t="s">
        <v>349</v>
      </c>
      <c r="G1230" s="704">
        <v>7900</v>
      </c>
      <c r="H1230" s="30">
        <f t="shared" si="282"/>
        <v>7385.7735712999993</v>
      </c>
      <c r="I1230" s="67">
        <f t="shared" si="286"/>
        <v>7385.7735712999993</v>
      </c>
      <c r="J1230" s="67"/>
      <c r="K1230" s="25">
        <f t="shared" si="287"/>
        <v>0</v>
      </c>
      <c r="L1230" s="30">
        <f t="shared" si="290"/>
        <v>0</v>
      </c>
      <c r="M1230" s="25">
        <f t="shared" si="291"/>
        <v>7385.7735712999993</v>
      </c>
      <c r="N1230" s="26"/>
      <c r="O1230" s="663">
        <v>0.93490804699999996</v>
      </c>
      <c r="Q1230" s="157"/>
    </row>
    <row r="1231" spans="1:17" ht="18.95" customHeight="1">
      <c r="A1231" s="265">
        <v>19.22</v>
      </c>
      <c r="B1231" s="706" t="s">
        <v>2963</v>
      </c>
      <c r="C1231" s="707"/>
      <c r="D1231" s="708"/>
      <c r="E1231" s="533">
        <v>1</v>
      </c>
      <c r="F1231" s="30" t="s">
        <v>349</v>
      </c>
      <c r="G1231" s="704">
        <v>25900</v>
      </c>
      <c r="H1231" s="30">
        <f t="shared" si="282"/>
        <v>24214.1184173</v>
      </c>
      <c r="I1231" s="67">
        <f t="shared" si="286"/>
        <v>24214.1184173</v>
      </c>
      <c r="J1231" s="67"/>
      <c r="K1231" s="25">
        <f t="shared" si="287"/>
        <v>0</v>
      </c>
      <c r="L1231" s="30">
        <f t="shared" si="290"/>
        <v>0</v>
      </c>
      <c r="M1231" s="25">
        <f t="shared" si="291"/>
        <v>24214.1184173</v>
      </c>
      <c r="N1231" s="26"/>
      <c r="O1231" s="663">
        <v>0.93490804699999996</v>
      </c>
      <c r="Q1231" s="157"/>
    </row>
    <row r="1232" spans="1:17" ht="18.95" customHeight="1">
      <c r="A1232" s="265">
        <v>19.23</v>
      </c>
      <c r="B1232" s="706" t="s">
        <v>2964</v>
      </c>
      <c r="C1232" s="707"/>
      <c r="D1232" s="708"/>
      <c r="E1232" s="533">
        <v>1</v>
      </c>
      <c r="F1232" s="30" t="s">
        <v>349</v>
      </c>
      <c r="G1232" s="704">
        <v>11900</v>
      </c>
      <c r="H1232" s="30">
        <f t="shared" si="282"/>
        <v>11125.4057593</v>
      </c>
      <c r="I1232" s="67">
        <f t="shared" si="286"/>
        <v>11125.4057593</v>
      </c>
      <c r="J1232" s="67"/>
      <c r="K1232" s="25">
        <f t="shared" si="287"/>
        <v>0</v>
      </c>
      <c r="L1232" s="30">
        <f t="shared" si="290"/>
        <v>0</v>
      </c>
      <c r="M1232" s="25">
        <f t="shared" si="291"/>
        <v>11125.4057593</v>
      </c>
      <c r="N1232" s="26"/>
      <c r="O1232" s="663">
        <v>0.93490804699999996</v>
      </c>
      <c r="Q1232" s="157"/>
    </row>
    <row r="1233" spans="1:17" ht="18.95" customHeight="1">
      <c r="A1233" s="265">
        <v>19.239999999999998</v>
      </c>
      <c r="B1233" s="706" t="s">
        <v>2965</v>
      </c>
      <c r="C1233" s="707"/>
      <c r="D1233" s="708"/>
      <c r="E1233" s="533">
        <v>1</v>
      </c>
      <c r="F1233" s="30" t="s">
        <v>349</v>
      </c>
      <c r="G1233" s="704">
        <v>141900</v>
      </c>
      <c r="H1233" s="30">
        <f t="shared" si="282"/>
        <v>132663.45186929998</v>
      </c>
      <c r="I1233" s="67">
        <f t="shared" si="286"/>
        <v>132663.45186929998</v>
      </c>
      <c r="J1233" s="67"/>
      <c r="K1233" s="25">
        <f t="shared" si="287"/>
        <v>0</v>
      </c>
      <c r="L1233" s="30">
        <f t="shared" si="290"/>
        <v>0</v>
      </c>
      <c r="M1233" s="25">
        <f t="shared" si="291"/>
        <v>132663.45186929998</v>
      </c>
      <c r="N1233" s="26"/>
      <c r="O1233" s="663">
        <v>0.93490804699999996</v>
      </c>
      <c r="Q1233" s="157"/>
    </row>
    <row r="1234" spans="1:17" ht="18.95" customHeight="1">
      <c r="A1234" s="265">
        <v>19.25</v>
      </c>
      <c r="B1234" s="706" t="s">
        <v>2966</v>
      </c>
      <c r="C1234" s="707"/>
      <c r="D1234" s="708"/>
      <c r="E1234" s="533">
        <v>1</v>
      </c>
      <c r="F1234" s="30" t="s">
        <v>349</v>
      </c>
      <c r="G1234" s="704">
        <v>76900</v>
      </c>
      <c r="H1234" s="30">
        <f t="shared" si="282"/>
        <v>71894.428814300001</v>
      </c>
      <c r="I1234" s="67">
        <f t="shared" si="286"/>
        <v>71894.428814300001</v>
      </c>
      <c r="J1234" s="67"/>
      <c r="K1234" s="25">
        <f t="shared" si="287"/>
        <v>0</v>
      </c>
      <c r="L1234" s="30">
        <f t="shared" si="290"/>
        <v>0</v>
      </c>
      <c r="M1234" s="25">
        <f t="shared" si="291"/>
        <v>71894.428814300001</v>
      </c>
      <c r="N1234" s="26"/>
      <c r="O1234" s="663">
        <v>0.93490804699999996</v>
      </c>
      <c r="Q1234" s="157"/>
    </row>
    <row r="1235" spans="1:17" ht="18.95" customHeight="1">
      <c r="A1235" s="265">
        <v>19.260000000000002</v>
      </c>
      <c r="B1235" s="706" t="s">
        <v>2967</v>
      </c>
      <c r="C1235" s="707"/>
      <c r="D1235" s="708"/>
      <c r="E1235" s="533">
        <v>1</v>
      </c>
      <c r="F1235" s="30" t="s">
        <v>349</v>
      </c>
      <c r="G1235" s="704">
        <v>71900</v>
      </c>
      <c r="H1235" s="30">
        <f t="shared" si="282"/>
        <v>67219.888579299994</v>
      </c>
      <c r="I1235" s="67">
        <f t="shared" si="286"/>
        <v>67219.888579299994</v>
      </c>
      <c r="J1235" s="67"/>
      <c r="K1235" s="25">
        <f t="shared" si="287"/>
        <v>0</v>
      </c>
      <c r="L1235" s="30">
        <f t="shared" si="290"/>
        <v>0</v>
      </c>
      <c r="M1235" s="25">
        <f t="shared" si="291"/>
        <v>67219.888579299994</v>
      </c>
      <c r="N1235" s="26"/>
      <c r="O1235" s="663">
        <v>0.93490804699999996</v>
      </c>
      <c r="Q1235" s="157"/>
    </row>
    <row r="1236" spans="1:17" ht="18.95" customHeight="1">
      <c r="A1236" s="265">
        <v>19.27</v>
      </c>
      <c r="B1236" s="706" t="s">
        <v>2968</v>
      </c>
      <c r="C1236" s="707"/>
      <c r="D1236" s="708"/>
      <c r="E1236" s="533">
        <v>5</v>
      </c>
      <c r="F1236" s="30" t="s">
        <v>349</v>
      </c>
      <c r="G1236" s="704">
        <v>12900</v>
      </c>
      <c r="H1236" s="30">
        <f t="shared" si="282"/>
        <v>12060.313806299999</v>
      </c>
      <c r="I1236" s="67">
        <f t="shared" si="286"/>
        <v>60301.569031499996</v>
      </c>
      <c r="J1236" s="67"/>
      <c r="K1236" s="25">
        <f t="shared" si="287"/>
        <v>0</v>
      </c>
      <c r="L1236" s="25">
        <f>ROUNDDOWN(E1236*J1236,2)</f>
        <v>0</v>
      </c>
      <c r="M1236" s="25">
        <f t="shared" si="291"/>
        <v>60301.569031499996</v>
      </c>
      <c r="N1236" s="26"/>
      <c r="O1236" s="663">
        <v>0.93490804699999996</v>
      </c>
      <c r="Q1236" s="157"/>
    </row>
    <row r="1237" spans="1:17" ht="18.95" customHeight="1">
      <c r="A1237" s="265">
        <v>19.28</v>
      </c>
      <c r="B1237" s="706" t="s">
        <v>2969</v>
      </c>
      <c r="C1237" s="707"/>
      <c r="D1237" s="708"/>
      <c r="E1237" s="533">
        <v>1</v>
      </c>
      <c r="F1237" s="30" t="s">
        <v>349</v>
      </c>
      <c r="G1237" s="704">
        <v>33900</v>
      </c>
      <c r="H1237" s="30">
        <f t="shared" si="282"/>
        <v>31693.382793299999</v>
      </c>
      <c r="I1237" s="67">
        <f t="shared" si="286"/>
        <v>31693.382793299999</v>
      </c>
      <c r="J1237" s="67"/>
      <c r="K1237" s="25">
        <f t="shared" si="287"/>
        <v>0</v>
      </c>
      <c r="L1237" s="25">
        <f>ROUNDDOWN(E1237*J1237,2)</f>
        <v>0</v>
      </c>
      <c r="M1237" s="25">
        <f t="shared" si="291"/>
        <v>31693.382793299999</v>
      </c>
      <c r="N1237" s="26"/>
      <c r="O1237" s="663">
        <v>0.93490804699999996</v>
      </c>
      <c r="Q1237" s="157"/>
    </row>
    <row r="1238" spans="1:17" ht="18.95" customHeight="1">
      <c r="A1238" s="265">
        <v>19.29</v>
      </c>
      <c r="B1238" s="706" t="s">
        <v>2970</v>
      </c>
      <c r="C1238" s="707"/>
      <c r="D1238" s="708"/>
      <c r="E1238" s="533">
        <v>1</v>
      </c>
      <c r="F1238" s="30" t="s">
        <v>349</v>
      </c>
      <c r="G1238" s="704">
        <v>24900</v>
      </c>
      <c r="H1238" s="30">
        <f t="shared" si="282"/>
        <v>23279.210370299999</v>
      </c>
      <c r="I1238" s="67">
        <f t="shared" si="286"/>
        <v>23279.210370299999</v>
      </c>
      <c r="J1238" s="67"/>
      <c r="K1238" s="25">
        <f t="shared" si="287"/>
        <v>0</v>
      </c>
      <c r="L1238" s="25">
        <f>ROUNDDOWN(E1238*J1238,2)</f>
        <v>0</v>
      </c>
      <c r="M1238" s="25">
        <f t="shared" si="291"/>
        <v>23279.210370299999</v>
      </c>
      <c r="N1238" s="26"/>
      <c r="O1238" s="663">
        <v>0.93490804699999996</v>
      </c>
      <c r="Q1238" s="157"/>
    </row>
    <row r="1239" spans="1:17" ht="18.95" customHeight="1">
      <c r="A1239" s="573">
        <v>19.3</v>
      </c>
      <c r="B1239" s="706" t="s">
        <v>2971</v>
      </c>
      <c r="C1239" s="707"/>
      <c r="D1239" s="708"/>
      <c r="E1239" s="533">
        <v>1</v>
      </c>
      <c r="F1239" s="30" t="s">
        <v>349</v>
      </c>
      <c r="G1239" s="704">
        <v>41900</v>
      </c>
      <c r="H1239" s="30">
        <f t="shared" ref="H1239:H1299" si="292">G1239*O1239</f>
        <v>39172.647169299998</v>
      </c>
      <c r="I1239" s="67">
        <f t="shared" si="286"/>
        <v>39172.647169299998</v>
      </c>
      <c r="J1239" s="67"/>
      <c r="K1239" s="25">
        <f t="shared" si="287"/>
        <v>0</v>
      </c>
      <c r="L1239" s="25">
        <f>ROUNDDOWN(E1239*J1239,2)</f>
        <v>0</v>
      </c>
      <c r="M1239" s="25">
        <f t="shared" si="291"/>
        <v>39172.647169299998</v>
      </c>
      <c r="N1239" s="26"/>
      <c r="O1239" s="663">
        <v>0.93490804699999996</v>
      </c>
      <c r="Q1239" s="157"/>
    </row>
    <row r="1240" spans="1:17" ht="18.95" customHeight="1">
      <c r="A1240" s="265">
        <v>19.309999999999999</v>
      </c>
      <c r="B1240" s="706" t="s">
        <v>2972</v>
      </c>
      <c r="C1240" s="707"/>
      <c r="D1240" s="708"/>
      <c r="E1240" s="533">
        <v>1</v>
      </c>
      <c r="F1240" s="30" t="s">
        <v>349</v>
      </c>
      <c r="G1240" s="704">
        <v>12900</v>
      </c>
      <c r="H1240" s="30">
        <f t="shared" si="292"/>
        <v>12060.313806299999</v>
      </c>
      <c r="I1240" s="67">
        <f t="shared" si="286"/>
        <v>12060.313806299999</v>
      </c>
      <c r="J1240" s="67"/>
      <c r="K1240" s="25">
        <f t="shared" si="287"/>
        <v>0</v>
      </c>
      <c r="L1240" s="25">
        <f>ROUNDDOWN(E1240*J1240,2)</f>
        <v>0</v>
      </c>
      <c r="M1240" s="25">
        <f t="shared" si="291"/>
        <v>12060.313806299999</v>
      </c>
      <c r="N1240" s="26"/>
      <c r="O1240" s="663">
        <v>0.93490804699999996</v>
      </c>
      <c r="Q1240" s="157"/>
    </row>
    <row r="1241" spans="1:17" ht="18.95" customHeight="1">
      <c r="A1241" s="265">
        <v>19.32</v>
      </c>
      <c r="B1241" s="706" t="s">
        <v>2973</v>
      </c>
      <c r="C1241" s="707"/>
      <c r="D1241" s="708"/>
      <c r="E1241" s="533">
        <v>1</v>
      </c>
      <c r="F1241" s="30" t="s">
        <v>349</v>
      </c>
      <c r="G1241" s="704">
        <v>195000</v>
      </c>
      <c r="H1241" s="30">
        <f t="shared" si="292"/>
        <v>182307.06916499999</v>
      </c>
      <c r="I1241" s="67">
        <f t="shared" si="286"/>
        <v>182307.06916499999</v>
      </c>
      <c r="J1241" s="67"/>
      <c r="K1241" s="25">
        <f t="shared" si="287"/>
        <v>0</v>
      </c>
      <c r="L1241" s="30">
        <f>E1241*J1241</f>
        <v>0</v>
      </c>
      <c r="M1241" s="25">
        <f t="shared" si="291"/>
        <v>182307.06916499999</v>
      </c>
      <c r="N1241" s="26"/>
      <c r="O1241" s="663">
        <v>0.93490804699999996</v>
      </c>
      <c r="Q1241" s="157"/>
    </row>
    <row r="1242" spans="1:17" ht="18.95" customHeight="1">
      <c r="A1242" s="265">
        <v>19.329999999999998</v>
      </c>
      <c r="B1242" s="706" t="s">
        <v>2974</v>
      </c>
      <c r="C1242" s="707"/>
      <c r="D1242" s="708"/>
      <c r="E1242" s="533">
        <v>1</v>
      </c>
      <c r="F1242" s="30" t="s">
        <v>2193</v>
      </c>
      <c r="G1242" s="67"/>
      <c r="H1242" s="30">
        <f t="shared" si="292"/>
        <v>0</v>
      </c>
      <c r="I1242" s="67">
        <f t="shared" si="286"/>
        <v>0</v>
      </c>
      <c r="J1242" s="67">
        <v>390000</v>
      </c>
      <c r="K1242" s="25">
        <f t="shared" si="287"/>
        <v>364614.13832999999</v>
      </c>
      <c r="L1242" s="30">
        <f>E1242*K1242</f>
        <v>364614.13832999999</v>
      </c>
      <c r="M1242" s="25">
        <f t="shared" si="291"/>
        <v>364614.13832999999</v>
      </c>
      <c r="N1242" s="26"/>
      <c r="O1242" s="663">
        <v>0.93490804699999996</v>
      </c>
      <c r="Q1242" s="157"/>
    </row>
    <row r="1243" spans="1:17" ht="18.95" customHeight="1">
      <c r="A1243" s="265">
        <v>19.34</v>
      </c>
      <c r="B1243" s="706" t="s">
        <v>2975</v>
      </c>
      <c r="C1243" s="707"/>
      <c r="D1243" s="708"/>
      <c r="E1243" s="533">
        <v>1</v>
      </c>
      <c r="F1243" s="30" t="s">
        <v>2193</v>
      </c>
      <c r="G1243" s="704"/>
      <c r="H1243" s="30">
        <f t="shared" si="292"/>
        <v>0</v>
      </c>
      <c r="I1243" s="67">
        <f t="shared" si="286"/>
        <v>0</v>
      </c>
      <c r="J1243" s="704">
        <v>190000</v>
      </c>
      <c r="K1243" s="25">
        <f t="shared" si="287"/>
        <v>177632.52893</v>
      </c>
      <c r="L1243" s="30">
        <f t="shared" ref="L1243:L1245" si="293">E1243*K1243</f>
        <v>177632.52893</v>
      </c>
      <c r="M1243" s="25">
        <f t="shared" si="291"/>
        <v>177632.52893</v>
      </c>
      <c r="N1243" s="26"/>
      <c r="O1243" s="663">
        <v>0.93490804699999996</v>
      </c>
      <c r="Q1243" s="157"/>
    </row>
    <row r="1244" spans="1:17" ht="18.95" customHeight="1">
      <c r="A1244" s="265">
        <v>19.350000000000001</v>
      </c>
      <c r="B1244" s="706" t="s">
        <v>2976</v>
      </c>
      <c r="C1244" s="707"/>
      <c r="D1244" s="708"/>
      <c r="E1244" s="533">
        <v>2</v>
      </c>
      <c r="F1244" s="30" t="s">
        <v>2193</v>
      </c>
      <c r="G1244" s="704"/>
      <c r="H1244" s="30">
        <f t="shared" si="292"/>
        <v>0</v>
      </c>
      <c r="I1244" s="67">
        <f t="shared" si="286"/>
        <v>0</v>
      </c>
      <c r="J1244" s="704">
        <v>39000</v>
      </c>
      <c r="K1244" s="25">
        <f t="shared" si="287"/>
        <v>36461.413832999999</v>
      </c>
      <c r="L1244" s="30">
        <f t="shared" si="293"/>
        <v>72922.827665999997</v>
      </c>
      <c r="M1244" s="25">
        <f t="shared" si="291"/>
        <v>72922.827665999997</v>
      </c>
      <c r="N1244" s="26"/>
      <c r="O1244" s="663">
        <v>0.93490804699999996</v>
      </c>
      <c r="Q1244" s="157"/>
    </row>
    <row r="1245" spans="1:17" ht="18.95" customHeight="1">
      <c r="A1245" s="265">
        <v>19.36</v>
      </c>
      <c r="B1245" s="706" t="s">
        <v>2977</v>
      </c>
      <c r="C1245" s="707"/>
      <c r="D1245" s="708"/>
      <c r="E1245" s="533">
        <v>1</v>
      </c>
      <c r="F1245" s="30" t="s">
        <v>2193</v>
      </c>
      <c r="G1245" s="704"/>
      <c r="H1245" s="30">
        <f t="shared" si="292"/>
        <v>0</v>
      </c>
      <c r="I1245" s="67">
        <f t="shared" si="286"/>
        <v>0</v>
      </c>
      <c r="J1245" s="704">
        <v>9000</v>
      </c>
      <c r="K1245" s="25">
        <f t="shared" si="287"/>
        <v>8414.172423</v>
      </c>
      <c r="L1245" s="30">
        <f t="shared" si="293"/>
        <v>8414.172423</v>
      </c>
      <c r="M1245" s="25">
        <f t="shared" si="291"/>
        <v>8414.172423</v>
      </c>
      <c r="N1245" s="26"/>
      <c r="O1245" s="663">
        <v>0.93490804699999996</v>
      </c>
      <c r="Q1245" s="157"/>
    </row>
    <row r="1246" spans="1:17" ht="18.95" customHeight="1">
      <c r="A1246" s="265"/>
      <c r="B1246" s="1275" t="s">
        <v>2978</v>
      </c>
      <c r="C1246" s="1276"/>
      <c r="D1246" s="1277"/>
      <c r="E1246" s="646"/>
      <c r="F1246" s="102"/>
      <c r="G1246" s="30"/>
      <c r="H1246" s="30"/>
      <c r="I1246" s="101">
        <f>SUM(I1193:I1245)</f>
        <v>1552695.2844576002</v>
      </c>
      <c r="J1246" s="101"/>
      <c r="K1246" s="25">
        <f t="shared" si="287"/>
        <v>0</v>
      </c>
      <c r="L1246" s="101">
        <f>SUM(L1193:L1245)</f>
        <v>623583.667349</v>
      </c>
      <c r="M1246" s="101">
        <f>SUM(M1193:M1245)</f>
        <v>2176278.9518066002</v>
      </c>
      <c r="N1246" s="35"/>
      <c r="O1246" s="663">
        <v>0.93490804699999996</v>
      </c>
      <c r="Q1246" s="157"/>
    </row>
    <row r="1247" spans="1:17" ht="18.95" customHeight="1">
      <c r="A1247" s="265"/>
      <c r="B1247" s="256"/>
      <c r="C1247" s="647"/>
      <c r="D1247" s="258"/>
      <c r="E1247" s="646"/>
      <c r="F1247" s="102"/>
      <c r="G1247" s="30"/>
      <c r="H1247" s="30"/>
      <c r="I1247" s="101"/>
      <c r="J1247" s="101"/>
      <c r="K1247" s="25">
        <f t="shared" si="287"/>
        <v>0</v>
      </c>
      <c r="L1247" s="101"/>
      <c r="M1247" s="101"/>
      <c r="N1247" s="35"/>
      <c r="O1247" s="663">
        <v>0.93490804699999996</v>
      </c>
      <c r="Q1247" s="157"/>
    </row>
    <row r="1248" spans="1:17" ht="18.95" customHeight="1">
      <c r="A1248" s="648">
        <v>20</v>
      </c>
      <c r="B1248" s="1182" t="s">
        <v>2979</v>
      </c>
      <c r="C1248" s="650"/>
      <c r="D1248" s="412"/>
      <c r="E1248" s="646"/>
      <c r="F1248" s="102"/>
      <c r="G1248" s="34"/>
      <c r="H1248" s="30"/>
      <c r="I1248" s="34"/>
      <c r="J1248" s="102"/>
      <c r="K1248" s="25">
        <f t="shared" si="287"/>
        <v>0</v>
      </c>
      <c r="L1248" s="34"/>
      <c r="M1248" s="102"/>
      <c r="N1248" s="35"/>
      <c r="O1248" s="663">
        <v>0.93490804699999996</v>
      </c>
      <c r="Q1248" s="157"/>
    </row>
    <row r="1249" spans="1:17" ht="18.95" customHeight="1">
      <c r="A1249" s="651">
        <v>20.100000000000001</v>
      </c>
      <c r="B1249" s="658" t="s">
        <v>2980</v>
      </c>
      <c r="C1249" s="661"/>
      <c r="D1249" s="693"/>
      <c r="E1249" s="533">
        <v>16</v>
      </c>
      <c r="F1249" s="30" t="s">
        <v>349</v>
      </c>
      <c r="G1249" s="67">
        <v>44900</v>
      </c>
      <c r="H1249" s="30">
        <f t="shared" si="292"/>
        <v>41977.371310299997</v>
      </c>
      <c r="I1249" s="67">
        <f t="shared" ref="I1249" si="294">E1249*H1249</f>
        <v>671637.94096479996</v>
      </c>
      <c r="J1249" s="67">
        <v>18900</v>
      </c>
      <c r="K1249" s="25">
        <f t="shared" si="287"/>
        <v>17669.762088299998</v>
      </c>
      <c r="L1249" s="30">
        <f t="shared" ref="L1249" si="295">E1249*K1249</f>
        <v>282716.19341279997</v>
      </c>
      <c r="M1249" s="67">
        <f>I1249+L1249</f>
        <v>954354.13437759993</v>
      </c>
      <c r="N1249" s="26"/>
      <c r="O1249" s="663">
        <v>0.93490804699999996</v>
      </c>
      <c r="Q1249" s="157"/>
    </row>
    <row r="1250" spans="1:17" ht="18.95" customHeight="1">
      <c r="A1250" s="651"/>
      <c r="B1250" s="573" t="s">
        <v>273</v>
      </c>
      <c r="C1250" s="703" t="s">
        <v>2981</v>
      </c>
      <c r="D1250" s="693"/>
      <c r="E1250" s="533"/>
      <c r="F1250" s="30"/>
      <c r="G1250" s="67" t="s">
        <v>2933</v>
      </c>
      <c r="H1250" s="67" t="s">
        <v>2933</v>
      </c>
      <c r="I1250" s="67"/>
      <c r="J1250" s="67"/>
      <c r="K1250" s="25"/>
      <c r="L1250" s="67"/>
      <c r="M1250" s="67"/>
      <c r="N1250" s="26"/>
      <c r="O1250" s="663">
        <v>0.93490804699999996</v>
      </c>
      <c r="Q1250" s="157"/>
    </row>
    <row r="1251" spans="1:17" ht="18.95" customHeight="1">
      <c r="A1251" s="265"/>
      <c r="B1251" s="573" t="s">
        <v>273</v>
      </c>
      <c r="C1251" s="703" t="s">
        <v>2982</v>
      </c>
      <c r="D1251" s="660"/>
      <c r="E1251" s="533"/>
      <c r="F1251" s="30"/>
      <c r="G1251" s="67" t="s">
        <v>2933</v>
      </c>
      <c r="H1251" s="67" t="s">
        <v>2933</v>
      </c>
      <c r="I1251" s="67"/>
      <c r="J1251" s="67"/>
      <c r="K1251" s="25"/>
      <c r="L1251" s="67"/>
      <c r="M1251" s="67"/>
      <c r="N1251" s="26"/>
      <c r="O1251" s="663">
        <v>0.93490804699999996</v>
      </c>
      <c r="Q1251" s="157"/>
    </row>
    <row r="1252" spans="1:17" ht="18.95" customHeight="1">
      <c r="A1252" s="265"/>
      <c r="B1252" s="573" t="s">
        <v>273</v>
      </c>
      <c r="C1252" s="703" t="s">
        <v>2983</v>
      </c>
      <c r="D1252" s="660"/>
      <c r="E1252" s="533"/>
      <c r="F1252" s="30"/>
      <c r="G1252" s="67" t="s">
        <v>2933</v>
      </c>
      <c r="H1252" s="67" t="s">
        <v>2933</v>
      </c>
      <c r="I1252" s="67"/>
      <c r="J1252" s="67"/>
      <c r="K1252" s="25"/>
      <c r="L1252" s="67"/>
      <c r="M1252" s="67"/>
      <c r="N1252" s="26"/>
      <c r="O1252" s="663">
        <v>0.93490804699999996</v>
      </c>
      <c r="Q1252" s="157"/>
    </row>
    <row r="1253" spans="1:17" ht="18.95" customHeight="1">
      <c r="A1253" s="265"/>
      <c r="B1253" s="573" t="s">
        <v>273</v>
      </c>
      <c r="C1253" s="703" t="s">
        <v>2984</v>
      </c>
      <c r="D1253" s="660"/>
      <c r="E1253" s="533"/>
      <c r="F1253" s="30"/>
      <c r="G1253" s="67" t="s">
        <v>2933</v>
      </c>
      <c r="H1253" s="67" t="s">
        <v>2933</v>
      </c>
      <c r="I1253" s="67"/>
      <c r="J1253" s="67"/>
      <c r="K1253" s="25"/>
      <c r="L1253" s="67"/>
      <c r="M1253" s="67"/>
      <c r="N1253" s="26"/>
      <c r="O1253" s="663">
        <v>0.93490804699999996</v>
      </c>
      <c r="Q1253" s="157"/>
    </row>
    <row r="1254" spans="1:17" ht="18.95" customHeight="1">
      <c r="A1254" s="265"/>
      <c r="B1254" s="573" t="s">
        <v>273</v>
      </c>
      <c r="C1254" s="1186" t="s">
        <v>2985</v>
      </c>
      <c r="D1254" s="660"/>
      <c r="E1254" s="533"/>
      <c r="F1254" s="30"/>
      <c r="G1254" s="67" t="s">
        <v>2933</v>
      </c>
      <c r="H1254" s="67" t="s">
        <v>2933</v>
      </c>
      <c r="I1254" s="67"/>
      <c r="J1254" s="67"/>
      <c r="K1254" s="25"/>
      <c r="L1254" s="67"/>
      <c r="M1254" s="67"/>
      <c r="N1254" s="26"/>
      <c r="O1254" s="663">
        <v>0.93490804699999996</v>
      </c>
      <c r="Q1254" s="157"/>
    </row>
    <row r="1255" spans="1:17" ht="18.95" customHeight="1">
      <c r="A1255" s="265"/>
      <c r="B1255" s="573" t="s">
        <v>273</v>
      </c>
      <c r="C1255" s="1186" t="s">
        <v>2986</v>
      </c>
      <c r="D1255" s="660"/>
      <c r="E1255" s="533"/>
      <c r="F1255" s="30"/>
      <c r="G1255" s="67"/>
      <c r="H1255" s="30">
        <f t="shared" si="292"/>
        <v>0</v>
      </c>
      <c r="I1255" s="67"/>
      <c r="J1255" s="67"/>
      <c r="K1255" s="25"/>
      <c r="L1255" s="67"/>
      <c r="M1255" s="67"/>
      <c r="N1255" s="26"/>
      <c r="O1255" s="663">
        <v>0.93490804699999996</v>
      </c>
      <c r="Q1255" s="157"/>
    </row>
    <row r="1256" spans="1:17" ht="18.95" customHeight="1">
      <c r="A1256" s="651">
        <v>20.2</v>
      </c>
      <c r="B1256" s="658" t="s">
        <v>2987</v>
      </c>
      <c r="C1256" s="661" t="s">
        <v>2987</v>
      </c>
      <c r="D1256" s="693"/>
      <c r="E1256" s="533">
        <v>3</v>
      </c>
      <c r="F1256" s="30" t="s">
        <v>349</v>
      </c>
      <c r="G1256" s="67">
        <v>47900</v>
      </c>
      <c r="H1256" s="30">
        <f t="shared" si="292"/>
        <v>44782.095451299996</v>
      </c>
      <c r="I1256" s="67">
        <f t="shared" ref="I1256" si="296">E1256*H1256</f>
        <v>134346.28635389998</v>
      </c>
      <c r="J1256" s="67">
        <v>19900</v>
      </c>
      <c r="K1256" s="25">
        <f t="shared" si="287"/>
        <v>18604.670135299999</v>
      </c>
      <c r="L1256" s="30">
        <f t="shared" ref="L1256" si="297">E1256*K1256</f>
        <v>55814.0104059</v>
      </c>
      <c r="M1256" s="67">
        <f>I1256+L1256</f>
        <v>190160.2967598</v>
      </c>
      <c r="N1256" s="26"/>
      <c r="O1256" s="663">
        <v>0.93490804699999996</v>
      </c>
      <c r="Q1256" s="157"/>
    </row>
    <row r="1257" spans="1:17" ht="18.95" customHeight="1">
      <c r="A1257" s="265"/>
      <c r="B1257" s="573" t="s">
        <v>273</v>
      </c>
      <c r="C1257" s="703" t="s">
        <v>2981</v>
      </c>
      <c r="D1257" s="660"/>
      <c r="E1257" s="533"/>
      <c r="F1257" s="30"/>
      <c r="G1257" s="67" t="s">
        <v>2933</v>
      </c>
      <c r="H1257" s="67" t="s">
        <v>2933</v>
      </c>
      <c r="I1257" s="67"/>
      <c r="J1257" s="67"/>
      <c r="K1257" s="25"/>
      <c r="L1257" s="67"/>
      <c r="M1257" s="67"/>
      <c r="N1257" s="26"/>
      <c r="O1257" s="663">
        <v>0.93490804699999996</v>
      </c>
      <c r="Q1257" s="157"/>
    </row>
    <row r="1258" spans="1:17" ht="18.95" customHeight="1">
      <c r="A1258" s="265"/>
      <c r="B1258" s="573" t="s">
        <v>273</v>
      </c>
      <c r="C1258" s="703" t="s">
        <v>2982</v>
      </c>
      <c r="D1258" s="660"/>
      <c r="E1258" s="533"/>
      <c r="F1258" s="30"/>
      <c r="G1258" s="67" t="s">
        <v>2933</v>
      </c>
      <c r="H1258" s="67" t="s">
        <v>2933</v>
      </c>
      <c r="I1258" s="67"/>
      <c r="J1258" s="67"/>
      <c r="K1258" s="25"/>
      <c r="L1258" s="67"/>
      <c r="M1258" s="67"/>
      <c r="N1258" s="26"/>
      <c r="O1258" s="663">
        <v>0.93490804699999996</v>
      </c>
      <c r="Q1258" s="157"/>
    </row>
    <row r="1259" spans="1:17" ht="18.95" customHeight="1">
      <c r="A1259" s="265"/>
      <c r="B1259" s="573" t="s">
        <v>273</v>
      </c>
      <c r="C1259" s="703" t="s">
        <v>2983</v>
      </c>
      <c r="D1259" s="660"/>
      <c r="E1259" s="533"/>
      <c r="F1259" s="30"/>
      <c r="G1259" s="67" t="s">
        <v>2933</v>
      </c>
      <c r="H1259" s="67" t="s">
        <v>2933</v>
      </c>
      <c r="I1259" s="67"/>
      <c r="J1259" s="67"/>
      <c r="K1259" s="25"/>
      <c r="L1259" s="67"/>
      <c r="M1259" s="67"/>
      <c r="N1259" s="26"/>
      <c r="O1259" s="663">
        <v>0.93490804699999996</v>
      </c>
      <c r="Q1259" s="157"/>
    </row>
    <row r="1260" spans="1:17" ht="18.95" customHeight="1">
      <c r="A1260" s="265"/>
      <c r="B1260" s="573" t="s">
        <v>273</v>
      </c>
      <c r="C1260" s="703" t="s">
        <v>2988</v>
      </c>
      <c r="D1260" s="660"/>
      <c r="E1260" s="533"/>
      <c r="F1260" s="30"/>
      <c r="G1260" s="67" t="s">
        <v>2933</v>
      </c>
      <c r="H1260" s="67" t="s">
        <v>2933</v>
      </c>
      <c r="I1260" s="67"/>
      <c r="J1260" s="67"/>
      <c r="K1260" s="25"/>
      <c r="L1260" s="67"/>
      <c r="M1260" s="67"/>
      <c r="N1260" s="26"/>
      <c r="O1260" s="663">
        <v>0.93490804699999996</v>
      </c>
      <c r="Q1260" s="157"/>
    </row>
    <row r="1261" spans="1:17" ht="18.95" customHeight="1">
      <c r="A1261" s="265"/>
      <c r="B1261" s="573" t="s">
        <v>273</v>
      </c>
      <c r="C1261" s="1186" t="s">
        <v>2985</v>
      </c>
      <c r="D1261" s="660"/>
      <c r="E1261" s="533"/>
      <c r="F1261" s="30"/>
      <c r="G1261" s="67" t="s">
        <v>2933</v>
      </c>
      <c r="H1261" s="67" t="s">
        <v>2933</v>
      </c>
      <c r="I1261" s="67"/>
      <c r="J1261" s="67"/>
      <c r="K1261" s="25"/>
      <c r="L1261" s="67"/>
      <c r="M1261" s="67"/>
      <c r="N1261" s="26"/>
      <c r="O1261" s="663">
        <v>0.93490804699999996</v>
      </c>
      <c r="Q1261" s="157"/>
    </row>
    <row r="1262" spans="1:17" ht="18.95" customHeight="1">
      <c r="A1262" s="265"/>
      <c r="B1262" s="573" t="s">
        <v>273</v>
      </c>
      <c r="C1262" s="1186" t="s">
        <v>2986</v>
      </c>
      <c r="D1262" s="660"/>
      <c r="E1262" s="533"/>
      <c r="F1262" s="30"/>
      <c r="G1262" s="67"/>
      <c r="H1262" s="30">
        <f t="shared" si="292"/>
        <v>0</v>
      </c>
      <c r="I1262" s="67"/>
      <c r="J1262" s="67"/>
      <c r="K1262" s="67"/>
      <c r="L1262" s="67"/>
      <c r="M1262" s="67"/>
      <c r="N1262" s="26"/>
      <c r="O1262" s="663">
        <v>0.93490804699999996</v>
      </c>
      <c r="Q1262" s="157"/>
    </row>
    <row r="1263" spans="1:17" ht="18.95" customHeight="1">
      <c r="A1263" s="651">
        <v>20.3</v>
      </c>
      <c r="B1263" s="658" t="s">
        <v>2989</v>
      </c>
      <c r="C1263" s="661"/>
      <c r="D1263" s="693"/>
      <c r="E1263" s="533">
        <v>10</v>
      </c>
      <c r="F1263" s="30" t="s">
        <v>349</v>
      </c>
      <c r="G1263" s="67">
        <v>46900</v>
      </c>
      <c r="H1263" s="30">
        <f t="shared" si="292"/>
        <v>43847.187404299999</v>
      </c>
      <c r="I1263" s="67">
        <f t="shared" ref="I1263" si="298">E1263*H1263</f>
        <v>438471.87404299999</v>
      </c>
      <c r="J1263" s="67">
        <v>20900</v>
      </c>
      <c r="K1263" s="25">
        <f t="shared" ref="K1263" si="299">J1263*O1263</f>
        <v>19539.5781823</v>
      </c>
      <c r="L1263" s="30">
        <f t="shared" ref="L1263" si="300">E1263*K1263</f>
        <v>195395.781823</v>
      </c>
      <c r="M1263" s="67">
        <f>I1263+L1263</f>
        <v>633867.65586599999</v>
      </c>
      <c r="N1263" s="26"/>
      <c r="O1263" s="663">
        <v>0.93490804699999996</v>
      </c>
      <c r="Q1263" s="157"/>
    </row>
    <row r="1264" spans="1:17" ht="18.95" customHeight="1">
      <c r="A1264" s="265"/>
      <c r="B1264" s="573" t="s">
        <v>273</v>
      </c>
      <c r="C1264" s="703" t="s">
        <v>2981</v>
      </c>
      <c r="D1264" s="694"/>
      <c r="E1264" s="533"/>
      <c r="F1264" s="30"/>
      <c r="G1264" s="67" t="s">
        <v>2933</v>
      </c>
      <c r="H1264" s="67" t="s">
        <v>2933</v>
      </c>
      <c r="I1264" s="67"/>
      <c r="J1264" s="67"/>
      <c r="K1264" s="67"/>
      <c r="L1264" s="67"/>
      <c r="M1264" s="67"/>
      <c r="N1264" s="26"/>
      <c r="O1264" s="663">
        <v>0.93490804699999996</v>
      </c>
      <c r="Q1264" s="157"/>
    </row>
    <row r="1265" spans="1:17" ht="18.95" customHeight="1">
      <c r="A1265" s="265"/>
      <c r="B1265" s="573" t="s">
        <v>273</v>
      </c>
      <c r="C1265" s="703" t="s">
        <v>2982</v>
      </c>
      <c r="D1265" s="412"/>
      <c r="E1265" s="533"/>
      <c r="F1265" s="30"/>
      <c r="G1265" s="67" t="s">
        <v>2933</v>
      </c>
      <c r="H1265" s="67" t="s">
        <v>2933</v>
      </c>
      <c r="I1265" s="67"/>
      <c r="J1265" s="67"/>
      <c r="K1265" s="67"/>
      <c r="L1265" s="67"/>
      <c r="M1265" s="67"/>
      <c r="N1265" s="26"/>
      <c r="O1265" s="663">
        <v>0.93490804699999996</v>
      </c>
      <c r="Q1265" s="157"/>
    </row>
    <row r="1266" spans="1:17" ht="18.95" customHeight="1">
      <c r="A1266" s="265"/>
      <c r="B1266" s="573" t="s">
        <v>273</v>
      </c>
      <c r="C1266" s="703" t="s">
        <v>2983</v>
      </c>
      <c r="D1266" s="660"/>
      <c r="E1266" s="533"/>
      <c r="F1266" s="30"/>
      <c r="G1266" s="67" t="s">
        <v>2933</v>
      </c>
      <c r="H1266" s="67" t="s">
        <v>2933</v>
      </c>
      <c r="I1266" s="67"/>
      <c r="J1266" s="67"/>
      <c r="K1266" s="67"/>
      <c r="L1266" s="67"/>
      <c r="M1266" s="67"/>
      <c r="N1266" s="26"/>
      <c r="O1266" s="663">
        <v>0.93490804699999996</v>
      </c>
      <c r="Q1266" s="157"/>
    </row>
    <row r="1267" spans="1:17" ht="18.95" customHeight="1">
      <c r="A1267" s="265"/>
      <c r="B1267" s="573" t="s">
        <v>273</v>
      </c>
      <c r="C1267" s="703" t="s">
        <v>2990</v>
      </c>
      <c r="D1267" s="660"/>
      <c r="E1267" s="533"/>
      <c r="F1267" s="30"/>
      <c r="G1267" s="67" t="s">
        <v>2933</v>
      </c>
      <c r="H1267" s="67" t="s">
        <v>2933</v>
      </c>
      <c r="I1267" s="67"/>
      <c r="J1267" s="67"/>
      <c r="K1267" s="67"/>
      <c r="L1267" s="67"/>
      <c r="M1267" s="67"/>
      <c r="N1267" s="26"/>
      <c r="O1267" s="663">
        <v>0.93490804699999996</v>
      </c>
      <c r="Q1267" s="157"/>
    </row>
    <row r="1268" spans="1:17" ht="18.95" customHeight="1">
      <c r="A1268" s="265"/>
      <c r="B1268" s="573" t="s">
        <v>273</v>
      </c>
      <c r="C1268" s="1186" t="s">
        <v>2985</v>
      </c>
      <c r="D1268" s="660"/>
      <c r="E1268" s="533"/>
      <c r="F1268" s="30"/>
      <c r="G1268" s="67" t="s">
        <v>2933</v>
      </c>
      <c r="H1268" s="67" t="s">
        <v>2933</v>
      </c>
      <c r="I1268" s="67"/>
      <c r="J1268" s="67"/>
      <c r="K1268" s="67"/>
      <c r="L1268" s="67"/>
      <c r="M1268" s="67"/>
      <c r="N1268" s="26"/>
      <c r="O1268" s="663">
        <v>0.93490804699999996</v>
      </c>
      <c r="Q1268" s="157"/>
    </row>
    <row r="1269" spans="1:17" ht="18.95" customHeight="1">
      <c r="A1269" s="651"/>
      <c r="B1269" s="573" t="s">
        <v>273</v>
      </c>
      <c r="C1269" s="1186" t="s">
        <v>2986</v>
      </c>
      <c r="D1269" s="693"/>
      <c r="E1269" s="533"/>
      <c r="F1269" s="30"/>
      <c r="G1269" s="67"/>
      <c r="H1269" s="30">
        <f t="shared" si="292"/>
        <v>0</v>
      </c>
      <c r="I1269" s="67"/>
      <c r="J1269" s="67"/>
      <c r="K1269" s="67"/>
      <c r="L1269" s="67"/>
      <c r="M1269" s="67"/>
      <c r="N1269" s="26"/>
      <c r="O1269" s="663">
        <v>0.93490804699999996</v>
      </c>
      <c r="Q1269" s="157"/>
    </row>
    <row r="1270" spans="1:17" ht="18.95" customHeight="1">
      <c r="A1270" s="651">
        <v>20.399999999999999</v>
      </c>
      <c r="B1270" s="658" t="s">
        <v>2991</v>
      </c>
      <c r="C1270" s="661"/>
      <c r="D1270" s="693"/>
      <c r="E1270" s="533">
        <v>10</v>
      </c>
      <c r="F1270" s="30" t="s">
        <v>349</v>
      </c>
      <c r="G1270" s="67">
        <v>50900</v>
      </c>
      <c r="H1270" s="30">
        <f t="shared" si="292"/>
        <v>47586.819592299995</v>
      </c>
      <c r="I1270" s="67">
        <f t="shared" ref="I1270" si="301">E1270*H1270</f>
        <v>475868.19592299993</v>
      </c>
      <c r="J1270" s="67">
        <v>21900</v>
      </c>
      <c r="K1270" s="25">
        <f t="shared" ref="K1270" si="302">J1270*O1270</f>
        <v>20474.486229300001</v>
      </c>
      <c r="L1270" s="30">
        <f t="shared" ref="L1270" si="303">E1270*K1270</f>
        <v>204744.86229300001</v>
      </c>
      <c r="M1270" s="67">
        <f>I1270+L1270</f>
        <v>680613.05821599998</v>
      </c>
      <c r="N1270" s="26"/>
      <c r="O1270" s="663">
        <v>0.93490804699999996</v>
      </c>
      <c r="Q1270" s="157"/>
    </row>
    <row r="1271" spans="1:17" ht="18.95" customHeight="1">
      <c r="A1271" s="265"/>
      <c r="B1271" s="573" t="s">
        <v>273</v>
      </c>
      <c r="C1271" s="703" t="s">
        <v>2981</v>
      </c>
      <c r="D1271" s="660"/>
      <c r="E1271" s="533"/>
      <c r="F1271" s="30"/>
      <c r="G1271" s="67" t="s">
        <v>2933</v>
      </c>
      <c r="H1271" s="67" t="s">
        <v>2933</v>
      </c>
      <c r="I1271" s="67"/>
      <c r="J1271" s="67"/>
      <c r="K1271" s="67"/>
      <c r="L1271" s="67"/>
      <c r="M1271" s="67"/>
      <c r="N1271" s="26"/>
      <c r="O1271" s="663">
        <v>0.93490804699999996</v>
      </c>
      <c r="Q1271" s="157"/>
    </row>
    <row r="1272" spans="1:17" ht="18.95" customHeight="1">
      <c r="A1272" s="265"/>
      <c r="B1272" s="573" t="s">
        <v>273</v>
      </c>
      <c r="C1272" s="703" t="s">
        <v>2982</v>
      </c>
      <c r="D1272" s="660"/>
      <c r="E1272" s="533"/>
      <c r="F1272" s="30"/>
      <c r="G1272" s="67" t="s">
        <v>2933</v>
      </c>
      <c r="H1272" s="67" t="s">
        <v>2933</v>
      </c>
      <c r="I1272" s="67"/>
      <c r="J1272" s="67"/>
      <c r="K1272" s="67"/>
      <c r="L1272" s="67"/>
      <c r="M1272" s="67"/>
      <c r="N1272" s="26"/>
      <c r="O1272" s="663">
        <v>0.93490804699999996</v>
      </c>
      <c r="Q1272" s="157"/>
    </row>
    <row r="1273" spans="1:17" ht="18.95" customHeight="1">
      <c r="A1273" s="265"/>
      <c r="B1273" s="573" t="s">
        <v>273</v>
      </c>
      <c r="C1273" s="703" t="s">
        <v>2983</v>
      </c>
      <c r="D1273" s="660"/>
      <c r="E1273" s="533"/>
      <c r="F1273" s="30"/>
      <c r="G1273" s="67" t="s">
        <v>2933</v>
      </c>
      <c r="H1273" s="67" t="s">
        <v>2933</v>
      </c>
      <c r="I1273" s="67"/>
      <c r="J1273" s="67"/>
      <c r="K1273" s="67"/>
      <c r="L1273" s="67"/>
      <c r="M1273" s="67"/>
      <c r="N1273" s="26"/>
      <c r="O1273" s="663">
        <v>0.93490804699999996</v>
      </c>
      <c r="Q1273" s="157"/>
    </row>
    <row r="1274" spans="1:17" ht="18.95" customHeight="1">
      <c r="A1274" s="265"/>
      <c r="B1274" s="573" t="s">
        <v>273</v>
      </c>
      <c r="C1274" s="703" t="s">
        <v>2992</v>
      </c>
      <c r="D1274" s="660"/>
      <c r="E1274" s="533"/>
      <c r="F1274" s="30"/>
      <c r="G1274" s="67" t="s">
        <v>2933</v>
      </c>
      <c r="H1274" s="67" t="s">
        <v>2933</v>
      </c>
      <c r="I1274" s="67"/>
      <c r="J1274" s="67"/>
      <c r="K1274" s="67"/>
      <c r="L1274" s="67"/>
      <c r="M1274" s="67"/>
      <c r="N1274" s="26"/>
      <c r="O1274" s="663">
        <v>0.93490804699999996</v>
      </c>
      <c r="Q1274" s="157"/>
    </row>
    <row r="1275" spans="1:17" ht="18.95" customHeight="1">
      <c r="A1275" s="265"/>
      <c r="B1275" s="573" t="s">
        <v>273</v>
      </c>
      <c r="C1275" s="1186" t="s">
        <v>2993</v>
      </c>
      <c r="D1275" s="660"/>
      <c r="E1275" s="533"/>
      <c r="F1275" s="30"/>
      <c r="G1275" s="67" t="s">
        <v>2933</v>
      </c>
      <c r="H1275" s="67" t="s">
        <v>2933</v>
      </c>
      <c r="I1275" s="67"/>
      <c r="J1275" s="67"/>
      <c r="K1275" s="67"/>
      <c r="L1275" s="67"/>
      <c r="M1275" s="67"/>
      <c r="N1275" s="26"/>
      <c r="O1275" s="663">
        <v>0.93490804699999996</v>
      </c>
      <c r="Q1275" s="157"/>
    </row>
    <row r="1276" spans="1:17" ht="18.95" customHeight="1">
      <c r="A1276" s="265"/>
      <c r="B1276" s="573" t="s">
        <v>273</v>
      </c>
      <c r="C1276" s="1186" t="s">
        <v>2986</v>
      </c>
      <c r="D1276" s="660"/>
      <c r="E1276" s="533"/>
      <c r="F1276" s="30"/>
      <c r="G1276" s="67"/>
      <c r="H1276" s="30">
        <f t="shared" si="292"/>
        <v>0</v>
      </c>
      <c r="I1276" s="67"/>
      <c r="J1276" s="67"/>
      <c r="K1276" s="67"/>
      <c r="L1276" s="67"/>
      <c r="M1276" s="67"/>
      <c r="N1276" s="26"/>
      <c r="O1276" s="663">
        <v>0.93490804699999996</v>
      </c>
      <c r="Q1276" s="157"/>
    </row>
    <row r="1277" spans="1:17" ht="18.95" customHeight="1">
      <c r="A1277" s="651">
        <v>20.5</v>
      </c>
      <c r="B1277" s="658" t="s">
        <v>2994</v>
      </c>
      <c r="C1277" s="661"/>
      <c r="D1277" s="693"/>
      <c r="E1277" s="533">
        <v>5</v>
      </c>
      <c r="F1277" s="30" t="s">
        <v>349</v>
      </c>
      <c r="G1277" s="67">
        <v>42900</v>
      </c>
      <c r="H1277" s="30">
        <f t="shared" si="292"/>
        <v>40107.555216299996</v>
      </c>
      <c r="I1277" s="67">
        <f t="shared" ref="I1277" si="304">E1277*H1277</f>
        <v>200537.77608149999</v>
      </c>
      <c r="J1277" s="67">
        <v>17900</v>
      </c>
      <c r="K1277" s="25">
        <f t="shared" ref="K1277" si="305">J1277*O1277</f>
        <v>16734.854041300001</v>
      </c>
      <c r="L1277" s="30">
        <f t="shared" ref="L1277" si="306">E1277*K1277</f>
        <v>83674.270206500005</v>
      </c>
      <c r="M1277" s="67">
        <f>I1277+L1277</f>
        <v>284212.04628800001</v>
      </c>
      <c r="N1277" s="26"/>
      <c r="O1277" s="663">
        <v>0.93490804699999996</v>
      </c>
      <c r="Q1277" s="157"/>
    </row>
    <row r="1278" spans="1:17" ht="18.95" customHeight="1">
      <c r="A1278" s="265"/>
      <c r="B1278" s="573" t="s">
        <v>273</v>
      </c>
      <c r="C1278" s="703" t="s">
        <v>2981</v>
      </c>
      <c r="D1278" s="660"/>
      <c r="E1278" s="533"/>
      <c r="F1278" s="30"/>
      <c r="G1278" s="67" t="s">
        <v>2933</v>
      </c>
      <c r="H1278" s="67" t="s">
        <v>2933</v>
      </c>
      <c r="I1278" s="67"/>
      <c r="J1278" s="67"/>
      <c r="K1278" s="67"/>
      <c r="L1278" s="67"/>
      <c r="M1278" s="67"/>
      <c r="N1278" s="26"/>
      <c r="O1278" s="663">
        <v>0.93490804699999996</v>
      </c>
      <c r="Q1278" s="157"/>
    </row>
    <row r="1279" spans="1:17" ht="18.95" customHeight="1">
      <c r="A1279" s="265"/>
      <c r="B1279" s="573" t="s">
        <v>273</v>
      </c>
      <c r="C1279" s="703" t="s">
        <v>2982</v>
      </c>
      <c r="D1279" s="660"/>
      <c r="E1279" s="533"/>
      <c r="F1279" s="30"/>
      <c r="G1279" s="67" t="s">
        <v>2933</v>
      </c>
      <c r="H1279" s="67" t="s">
        <v>2933</v>
      </c>
      <c r="I1279" s="67"/>
      <c r="J1279" s="67"/>
      <c r="K1279" s="67"/>
      <c r="L1279" s="67"/>
      <c r="M1279" s="67"/>
      <c r="N1279" s="26"/>
      <c r="O1279" s="663">
        <v>0.93490804699999996</v>
      </c>
      <c r="Q1279" s="157"/>
    </row>
    <row r="1280" spans="1:17" ht="18.95" customHeight="1">
      <c r="A1280" s="265"/>
      <c r="B1280" s="573" t="s">
        <v>273</v>
      </c>
      <c r="C1280" s="703" t="s">
        <v>2983</v>
      </c>
      <c r="D1280" s="660"/>
      <c r="E1280" s="533"/>
      <c r="F1280" s="30"/>
      <c r="G1280" s="67" t="s">
        <v>2933</v>
      </c>
      <c r="H1280" s="67" t="s">
        <v>2933</v>
      </c>
      <c r="I1280" s="67"/>
      <c r="J1280" s="67"/>
      <c r="K1280" s="67"/>
      <c r="L1280" s="67"/>
      <c r="M1280" s="67"/>
      <c r="N1280" s="26"/>
      <c r="O1280" s="663">
        <v>0.93490804699999996</v>
      </c>
      <c r="Q1280" s="157"/>
    </row>
    <row r="1281" spans="1:17" ht="18.95" customHeight="1">
      <c r="A1281" s="265"/>
      <c r="B1281" s="573" t="s">
        <v>273</v>
      </c>
      <c r="C1281" s="703" t="s">
        <v>2994</v>
      </c>
      <c r="D1281" s="660"/>
      <c r="E1281" s="533"/>
      <c r="F1281" s="30"/>
      <c r="G1281" s="67" t="s">
        <v>2933</v>
      </c>
      <c r="H1281" s="67" t="s">
        <v>2933</v>
      </c>
      <c r="I1281" s="67"/>
      <c r="J1281" s="67"/>
      <c r="K1281" s="67"/>
      <c r="L1281" s="67"/>
      <c r="M1281" s="67"/>
      <c r="N1281" s="26"/>
      <c r="O1281" s="663">
        <v>0.93490804699999996</v>
      </c>
      <c r="Q1281" s="157"/>
    </row>
    <row r="1282" spans="1:17" ht="18.95" customHeight="1">
      <c r="A1282" s="265"/>
      <c r="B1282" s="573" t="s">
        <v>273</v>
      </c>
      <c r="C1282" s="1186" t="s">
        <v>2993</v>
      </c>
      <c r="D1282" s="660"/>
      <c r="E1282" s="533"/>
      <c r="F1282" s="30"/>
      <c r="G1282" s="67" t="s">
        <v>2933</v>
      </c>
      <c r="H1282" s="67" t="s">
        <v>2933</v>
      </c>
      <c r="I1282" s="67"/>
      <c r="J1282" s="67"/>
      <c r="K1282" s="67"/>
      <c r="L1282" s="67"/>
      <c r="M1282" s="67"/>
      <c r="N1282" s="26"/>
      <c r="O1282" s="663">
        <v>0.93490804699999996</v>
      </c>
      <c r="Q1282" s="157"/>
    </row>
    <row r="1283" spans="1:17" ht="18.95" customHeight="1">
      <c r="A1283" s="265"/>
      <c r="B1283" s="573" t="s">
        <v>273</v>
      </c>
      <c r="C1283" s="1186" t="s">
        <v>2986</v>
      </c>
      <c r="D1283" s="660"/>
      <c r="E1283" s="533"/>
      <c r="F1283" s="30"/>
      <c r="G1283" s="67"/>
      <c r="H1283" s="30">
        <f t="shared" si="292"/>
        <v>0</v>
      </c>
      <c r="I1283" s="67"/>
      <c r="J1283" s="67"/>
      <c r="K1283" s="67"/>
      <c r="L1283" s="67"/>
      <c r="M1283" s="67"/>
      <c r="N1283" s="26"/>
      <c r="O1283" s="663">
        <v>0.93490804699999996</v>
      </c>
      <c r="Q1283" s="157"/>
    </row>
    <row r="1284" spans="1:17" ht="18.95" customHeight="1">
      <c r="A1284" s="651">
        <v>20.6</v>
      </c>
      <c r="B1284" s="658" t="s">
        <v>2995</v>
      </c>
      <c r="C1284" s="661"/>
      <c r="D1284" s="693"/>
      <c r="E1284" s="533">
        <v>1</v>
      </c>
      <c r="F1284" s="30" t="s">
        <v>349</v>
      </c>
      <c r="G1284" s="106">
        <v>229000</v>
      </c>
      <c r="H1284" s="30">
        <f t="shared" si="292"/>
        <v>214093.942763</v>
      </c>
      <c r="I1284" s="67">
        <f t="shared" ref="I1284:I1285" si="307">E1284*H1284</f>
        <v>214093.942763</v>
      </c>
      <c r="J1284" s="25">
        <v>45000</v>
      </c>
      <c r="K1284" s="25">
        <f t="shared" ref="K1284:K1285" si="308">J1284*O1284</f>
        <v>42070.862114999996</v>
      </c>
      <c r="L1284" s="30">
        <f t="shared" ref="L1284:L1285" si="309">E1284*K1284</f>
        <v>42070.862114999996</v>
      </c>
      <c r="M1284" s="25">
        <f>I1284+L1284</f>
        <v>256164.804878</v>
      </c>
      <c r="N1284" s="26"/>
      <c r="O1284" s="663">
        <v>0.93490804699999996</v>
      </c>
      <c r="Q1284" s="157"/>
    </row>
    <row r="1285" spans="1:17" ht="18.95" customHeight="1">
      <c r="A1285" s="651">
        <v>20.73</v>
      </c>
      <c r="B1285" s="658" t="s">
        <v>2996</v>
      </c>
      <c r="C1285" s="661"/>
      <c r="D1285" s="693"/>
      <c r="E1285" s="533">
        <v>2</v>
      </c>
      <c r="F1285" s="30" t="s">
        <v>349</v>
      </c>
      <c r="G1285" s="67">
        <v>50900</v>
      </c>
      <c r="H1285" s="30">
        <f t="shared" si="292"/>
        <v>47586.819592299995</v>
      </c>
      <c r="I1285" s="67">
        <f t="shared" si="307"/>
        <v>95173.63918459999</v>
      </c>
      <c r="J1285" s="67">
        <v>21900</v>
      </c>
      <c r="K1285" s="25">
        <f t="shared" si="308"/>
        <v>20474.486229300001</v>
      </c>
      <c r="L1285" s="30">
        <f t="shared" si="309"/>
        <v>40948.972458600001</v>
      </c>
      <c r="M1285" s="67">
        <f>I1285+L1285</f>
        <v>136122.61164319998</v>
      </c>
      <c r="N1285" s="26"/>
      <c r="O1285" s="663">
        <v>0.93490804699999996</v>
      </c>
      <c r="Q1285" s="157"/>
    </row>
    <row r="1286" spans="1:17" ht="18.95" customHeight="1">
      <c r="A1286" s="265"/>
      <c r="B1286" s="573" t="s">
        <v>273</v>
      </c>
      <c r="C1286" s="703" t="s">
        <v>2981</v>
      </c>
      <c r="D1286" s="660"/>
      <c r="E1286" s="533"/>
      <c r="F1286" s="30"/>
      <c r="G1286" s="67" t="s">
        <v>2933</v>
      </c>
      <c r="H1286" s="67" t="s">
        <v>2933</v>
      </c>
      <c r="I1286" s="67"/>
      <c r="J1286" s="67"/>
      <c r="K1286" s="67"/>
      <c r="L1286" s="67"/>
      <c r="M1286" s="67"/>
      <c r="N1286" s="26"/>
      <c r="O1286" s="663">
        <v>0.93490804699999996</v>
      </c>
      <c r="Q1286" s="157"/>
    </row>
    <row r="1287" spans="1:17" ht="18.95" customHeight="1">
      <c r="A1287" s="265"/>
      <c r="B1287" s="573" t="s">
        <v>273</v>
      </c>
      <c r="C1287" s="703" t="s">
        <v>2982</v>
      </c>
      <c r="D1287" s="660"/>
      <c r="E1287" s="533"/>
      <c r="F1287" s="30"/>
      <c r="G1287" s="67" t="s">
        <v>2933</v>
      </c>
      <c r="H1287" s="67" t="s">
        <v>2933</v>
      </c>
      <c r="I1287" s="67"/>
      <c r="J1287" s="67"/>
      <c r="K1287" s="67"/>
      <c r="L1287" s="67"/>
      <c r="M1287" s="67"/>
      <c r="N1287" s="26"/>
      <c r="O1287" s="663">
        <v>0.93490804699999996</v>
      </c>
      <c r="Q1287" s="157"/>
    </row>
    <row r="1288" spans="1:17" ht="18.95" customHeight="1">
      <c r="A1288" s="265"/>
      <c r="B1288" s="573" t="s">
        <v>273</v>
      </c>
      <c r="C1288" s="703" t="s">
        <v>2983</v>
      </c>
      <c r="D1288" s="660"/>
      <c r="E1288" s="533"/>
      <c r="F1288" s="30"/>
      <c r="G1288" s="67" t="s">
        <v>2933</v>
      </c>
      <c r="H1288" s="67" t="s">
        <v>2933</v>
      </c>
      <c r="I1288" s="67"/>
      <c r="J1288" s="67"/>
      <c r="K1288" s="67"/>
      <c r="L1288" s="67"/>
      <c r="M1288" s="67"/>
      <c r="N1288" s="26"/>
      <c r="O1288" s="663">
        <v>0.93490804699999996</v>
      </c>
      <c r="Q1288" s="157"/>
    </row>
    <row r="1289" spans="1:17" ht="18.95" customHeight="1">
      <c r="A1289" s="265"/>
      <c r="B1289" s="573" t="s">
        <v>273</v>
      </c>
      <c r="C1289" s="661" t="s">
        <v>2996</v>
      </c>
      <c r="D1289" s="660"/>
      <c r="E1289" s="533"/>
      <c r="F1289" s="30"/>
      <c r="G1289" s="67" t="s">
        <v>2933</v>
      </c>
      <c r="H1289" s="67" t="s">
        <v>2933</v>
      </c>
      <c r="I1289" s="67"/>
      <c r="J1289" s="67"/>
      <c r="K1289" s="67"/>
      <c r="L1289" s="67"/>
      <c r="M1289" s="67"/>
      <c r="N1289" s="26"/>
      <c r="O1289" s="663">
        <v>0.93490804699999996</v>
      </c>
      <c r="Q1289" s="157"/>
    </row>
    <row r="1290" spans="1:17" ht="18.95" customHeight="1">
      <c r="A1290" s="265"/>
      <c r="B1290" s="573" t="s">
        <v>273</v>
      </c>
      <c r="C1290" s="1186" t="s">
        <v>2993</v>
      </c>
      <c r="D1290" s="660"/>
      <c r="E1290" s="533"/>
      <c r="F1290" s="30"/>
      <c r="G1290" s="67" t="s">
        <v>2933</v>
      </c>
      <c r="H1290" s="67" t="s">
        <v>2933</v>
      </c>
      <c r="I1290" s="67"/>
      <c r="J1290" s="67"/>
      <c r="K1290" s="67"/>
      <c r="L1290" s="67"/>
      <c r="M1290" s="67"/>
      <c r="N1290" s="26"/>
      <c r="O1290" s="663">
        <v>0.93490804699999996</v>
      </c>
      <c r="Q1290" s="157"/>
    </row>
    <row r="1291" spans="1:17" ht="18.95" customHeight="1">
      <c r="A1291" s="265"/>
      <c r="B1291" s="573" t="s">
        <v>273</v>
      </c>
      <c r="C1291" s="1186" t="s">
        <v>2986</v>
      </c>
      <c r="D1291" s="660"/>
      <c r="E1291" s="533"/>
      <c r="F1291" s="30"/>
      <c r="G1291" s="67"/>
      <c r="H1291" s="30">
        <f t="shared" si="292"/>
        <v>0</v>
      </c>
      <c r="I1291" s="67"/>
      <c r="J1291" s="67"/>
      <c r="K1291" s="67"/>
      <c r="L1291" s="67"/>
      <c r="M1291" s="67"/>
      <c r="N1291" s="26"/>
      <c r="O1291" s="663">
        <v>0.93490804699999996</v>
      </c>
      <c r="Q1291" s="157"/>
    </row>
    <row r="1292" spans="1:17" ht="18.95" customHeight="1">
      <c r="A1292" s="265">
        <v>20.8</v>
      </c>
      <c r="B1292" s="709" t="s">
        <v>2997</v>
      </c>
      <c r="C1292" s="710"/>
      <c r="D1292" s="694"/>
      <c r="E1292" s="533">
        <v>2</v>
      </c>
      <c r="F1292" s="30" t="s">
        <v>349</v>
      </c>
      <c r="G1292" s="106">
        <v>195000</v>
      </c>
      <c r="H1292" s="30">
        <f t="shared" si="292"/>
        <v>182307.06916499999</v>
      </c>
      <c r="I1292" s="67">
        <f t="shared" ref="I1292" si="310">E1292*H1292</f>
        <v>364614.13832999999</v>
      </c>
      <c r="J1292" s="25">
        <v>9000</v>
      </c>
      <c r="K1292" s="25">
        <f t="shared" ref="K1292:K1294" si="311">J1292*O1292</f>
        <v>8414.172423</v>
      </c>
      <c r="L1292" s="30">
        <f t="shared" ref="L1292:L1295" si="312">E1292*K1292</f>
        <v>16828.344846</v>
      </c>
      <c r="M1292" s="25">
        <f>I1292+L1292</f>
        <v>381442.48317600001</v>
      </c>
      <c r="N1292" s="26"/>
      <c r="O1292" s="663">
        <v>0.93490804699999996</v>
      </c>
      <c r="Q1292" s="157"/>
    </row>
    <row r="1293" spans="1:17" ht="18.95" customHeight="1">
      <c r="A1293" s="265">
        <v>20.9</v>
      </c>
      <c r="B1293" s="709" t="s">
        <v>2998</v>
      </c>
      <c r="C1293" s="710"/>
      <c r="D1293" s="694"/>
      <c r="E1293" s="533">
        <v>1</v>
      </c>
      <c r="F1293" s="30" t="s">
        <v>2193</v>
      </c>
      <c r="G1293" s="106"/>
      <c r="H1293" s="30">
        <f t="shared" si="292"/>
        <v>0</v>
      </c>
      <c r="I1293" s="533">
        <f>ROUNDDOWN(E1293*G1293,2)</f>
        <v>0</v>
      </c>
      <c r="J1293" s="25">
        <v>190000</v>
      </c>
      <c r="K1293" s="25">
        <f t="shared" si="311"/>
        <v>177632.52893</v>
      </c>
      <c r="L1293" s="30">
        <f t="shared" si="312"/>
        <v>177632.52893</v>
      </c>
      <c r="M1293" s="25">
        <f>I1293+L1293</f>
        <v>177632.52893</v>
      </c>
      <c r="N1293" s="26"/>
      <c r="O1293" s="663">
        <v>0.93490804699999996</v>
      </c>
      <c r="Q1293" s="157"/>
    </row>
    <row r="1294" spans="1:17" ht="18.95" customHeight="1">
      <c r="A1294" s="573">
        <v>20.100000000000001</v>
      </c>
      <c r="B1294" s="709" t="s">
        <v>2999</v>
      </c>
      <c r="C1294" s="710"/>
      <c r="D1294" s="694"/>
      <c r="E1294" s="533">
        <v>1</v>
      </c>
      <c r="F1294" s="30" t="s">
        <v>2193</v>
      </c>
      <c r="G1294" s="106"/>
      <c r="H1294" s="30">
        <f t="shared" si="292"/>
        <v>0</v>
      </c>
      <c r="I1294" s="533">
        <f>ROUNDDOWN(E1294*G1294,2)</f>
        <v>0</v>
      </c>
      <c r="J1294" s="25">
        <v>190000</v>
      </c>
      <c r="K1294" s="25">
        <f t="shared" si="311"/>
        <v>177632.52893</v>
      </c>
      <c r="L1294" s="30">
        <f t="shared" si="312"/>
        <v>177632.52893</v>
      </c>
      <c r="M1294" s="25">
        <f>I1294+L1294</f>
        <v>177632.52893</v>
      </c>
      <c r="N1294" s="26"/>
      <c r="O1294" s="663">
        <v>0.93490804699999996</v>
      </c>
      <c r="Q1294" s="157"/>
    </row>
    <row r="1295" spans="1:17" ht="18.95" customHeight="1">
      <c r="A1295" s="265">
        <v>20.11</v>
      </c>
      <c r="B1295" s="709" t="s">
        <v>3000</v>
      </c>
      <c r="C1295" s="710"/>
      <c r="D1295" s="694"/>
      <c r="E1295" s="533">
        <v>1</v>
      </c>
      <c r="F1295" s="30" t="s">
        <v>2193</v>
      </c>
      <c r="G1295" s="25">
        <v>390000</v>
      </c>
      <c r="H1295" s="30">
        <f t="shared" si="292"/>
        <v>364614.13832999999</v>
      </c>
      <c r="I1295" s="67">
        <f t="shared" ref="I1295" si="313">E1295*H1295</f>
        <v>364614.13832999999</v>
      </c>
      <c r="J1295" s="25"/>
      <c r="K1295" s="25"/>
      <c r="L1295" s="30">
        <f t="shared" si="312"/>
        <v>0</v>
      </c>
      <c r="M1295" s="25">
        <f>I1295+L1295</f>
        <v>364614.13832999999</v>
      </c>
      <c r="N1295" s="26"/>
      <c r="O1295" s="663">
        <v>0.93490804699999996</v>
      </c>
      <c r="Q1295" s="157"/>
    </row>
    <row r="1296" spans="1:17" ht="18.95" customHeight="1">
      <c r="A1296" s="265"/>
      <c r="B1296" s="1275" t="s">
        <v>3001</v>
      </c>
      <c r="C1296" s="1276"/>
      <c r="D1296" s="1277"/>
      <c r="E1296" s="646"/>
      <c r="F1296" s="102"/>
      <c r="G1296" s="30"/>
      <c r="H1296" s="30"/>
      <c r="I1296" s="101">
        <f>SUM(I1249:I1295)</f>
        <v>2959357.9319737996</v>
      </c>
      <c r="J1296" s="101"/>
      <c r="K1296" s="101"/>
      <c r="L1296" s="101">
        <f>SUM(L1249:L1295)</f>
        <v>1277458.3554207999</v>
      </c>
      <c r="M1296" s="101">
        <f>SUM(M1249:M1295)</f>
        <v>4236816.2873946</v>
      </c>
      <c r="N1296" s="35"/>
      <c r="O1296" s="663">
        <v>0.93490804699999996</v>
      </c>
      <c r="Q1296" s="157"/>
    </row>
    <row r="1297" spans="1:17" ht="18.95" customHeight="1">
      <c r="A1297" s="265"/>
      <c r="B1297" s="256"/>
      <c r="C1297" s="647"/>
      <c r="D1297" s="258"/>
      <c r="E1297" s="646"/>
      <c r="F1297" s="102"/>
      <c r="G1297" s="30"/>
      <c r="H1297" s="30"/>
      <c r="I1297" s="101"/>
      <c r="J1297" s="101"/>
      <c r="K1297" s="101"/>
      <c r="L1297" s="101"/>
      <c r="M1297" s="101"/>
      <c r="N1297" s="35"/>
      <c r="O1297" s="663">
        <v>0.93490804699999996</v>
      </c>
      <c r="Q1297" s="157"/>
    </row>
    <row r="1298" spans="1:17" ht="18.95" customHeight="1">
      <c r="A1298" s="648">
        <v>21</v>
      </c>
      <c r="B1298" s="1182" t="s">
        <v>3002</v>
      </c>
      <c r="C1298" s="650"/>
      <c r="D1298" s="412"/>
      <c r="E1298" s="646"/>
      <c r="F1298" s="102"/>
      <c r="G1298" s="34"/>
      <c r="H1298" s="30"/>
      <c r="I1298" s="34"/>
      <c r="J1298" s="102"/>
      <c r="K1298" s="102"/>
      <c r="L1298" s="34"/>
      <c r="M1298" s="102"/>
      <c r="N1298" s="35"/>
      <c r="O1298" s="663">
        <v>0.93490804699999996</v>
      </c>
      <c r="Q1298" s="157"/>
    </row>
    <row r="1299" spans="1:17" ht="18.95" customHeight="1">
      <c r="A1299" s="651">
        <v>21.1</v>
      </c>
      <c r="B1299" s="711" t="s">
        <v>3003</v>
      </c>
      <c r="C1299" s="661"/>
      <c r="D1299" s="712"/>
      <c r="E1299" s="533">
        <v>8</v>
      </c>
      <c r="F1299" s="30" t="s">
        <v>349</v>
      </c>
      <c r="G1299" s="67">
        <v>37900</v>
      </c>
      <c r="H1299" s="30">
        <f t="shared" si="292"/>
        <v>35433.014981299995</v>
      </c>
      <c r="I1299" s="67">
        <f t="shared" ref="I1299" si="314">E1299*H1299</f>
        <v>283464.11985039996</v>
      </c>
      <c r="J1299" s="67">
        <v>24900</v>
      </c>
      <c r="K1299" s="25">
        <f t="shared" ref="K1299" si="315">J1299*O1299</f>
        <v>23279.210370299999</v>
      </c>
      <c r="L1299" s="30">
        <f t="shared" ref="L1299" si="316">E1299*K1299</f>
        <v>186233.68296239999</v>
      </c>
      <c r="M1299" s="67">
        <f>I1299+L1299</f>
        <v>469697.80281279993</v>
      </c>
      <c r="N1299" s="26"/>
      <c r="O1299" s="663">
        <v>0.93490804699999996</v>
      </c>
      <c r="Q1299" s="157"/>
    </row>
    <row r="1300" spans="1:17" ht="18.95" customHeight="1">
      <c r="A1300" s="651"/>
      <c r="B1300" s="573" t="s">
        <v>273</v>
      </c>
      <c r="C1300" s="703" t="s">
        <v>3004</v>
      </c>
      <c r="D1300" s="713"/>
      <c r="E1300" s="119"/>
      <c r="F1300" s="30"/>
      <c r="G1300" s="67" t="s">
        <v>2933</v>
      </c>
      <c r="H1300" s="67" t="s">
        <v>2933</v>
      </c>
      <c r="I1300" s="67"/>
      <c r="J1300" s="67"/>
      <c r="K1300" s="67"/>
      <c r="L1300" s="67"/>
      <c r="M1300" s="67"/>
      <c r="N1300" s="26"/>
      <c r="O1300" s="663">
        <v>0.93490804699999996</v>
      </c>
      <c r="Q1300" s="157"/>
    </row>
    <row r="1301" spans="1:17" ht="18.95" customHeight="1">
      <c r="A1301" s="651"/>
      <c r="B1301" s="573" t="s">
        <v>273</v>
      </c>
      <c r="C1301" s="703" t="s">
        <v>3005</v>
      </c>
      <c r="D1301" s="713"/>
      <c r="E1301" s="119"/>
      <c r="F1301" s="30"/>
      <c r="G1301" s="67" t="s">
        <v>2933</v>
      </c>
      <c r="H1301" s="67" t="s">
        <v>2933</v>
      </c>
      <c r="I1301" s="67"/>
      <c r="J1301" s="67"/>
      <c r="K1301" s="67"/>
      <c r="L1301" s="67"/>
      <c r="M1301" s="67"/>
      <c r="N1301" s="26"/>
      <c r="O1301" s="663">
        <v>0.93490804699999996</v>
      </c>
      <c r="Q1301" s="157"/>
    </row>
    <row r="1302" spans="1:17" ht="18.95" customHeight="1">
      <c r="A1302" s="651"/>
      <c r="B1302" s="573" t="s">
        <v>273</v>
      </c>
      <c r="C1302" s="703" t="s">
        <v>3006</v>
      </c>
      <c r="D1302" s="713"/>
      <c r="E1302" s="119"/>
      <c r="F1302" s="30"/>
      <c r="G1302" s="67" t="s">
        <v>2933</v>
      </c>
      <c r="H1302" s="67" t="s">
        <v>2933</v>
      </c>
      <c r="I1302" s="67"/>
      <c r="J1302" s="67"/>
      <c r="K1302" s="67"/>
      <c r="L1302" s="67"/>
      <c r="M1302" s="67"/>
      <c r="N1302" s="26"/>
      <c r="O1302" s="663">
        <v>0.93490804699999996</v>
      </c>
      <c r="Q1302" s="157"/>
    </row>
    <row r="1303" spans="1:17" ht="18.95" customHeight="1">
      <c r="A1303" s="651"/>
      <c r="B1303" s="573" t="s">
        <v>273</v>
      </c>
      <c r="C1303" s="661" t="s">
        <v>3007</v>
      </c>
      <c r="D1303" s="713"/>
      <c r="E1303" s="119"/>
      <c r="F1303" s="30"/>
      <c r="G1303" s="67"/>
      <c r="H1303" s="30"/>
      <c r="I1303" s="67"/>
      <c r="J1303" s="67"/>
      <c r="K1303" s="67"/>
      <c r="L1303" s="67"/>
      <c r="M1303" s="67"/>
      <c r="N1303" s="26"/>
      <c r="O1303" s="663">
        <v>0.93490804699999996</v>
      </c>
      <c r="Q1303" s="157"/>
    </row>
    <row r="1304" spans="1:17" ht="18.95" customHeight="1">
      <c r="A1304" s="651">
        <v>21.2</v>
      </c>
      <c r="B1304" s="658" t="s">
        <v>3003</v>
      </c>
      <c r="C1304" s="661"/>
      <c r="D1304" s="693"/>
      <c r="E1304" s="533">
        <v>10</v>
      </c>
      <c r="F1304" s="30" t="s">
        <v>349</v>
      </c>
      <c r="G1304" s="67">
        <v>42900</v>
      </c>
      <c r="H1304" s="30">
        <f t="shared" ref="H1304:H1329" si="317">G1304*O1304</f>
        <v>40107.555216299996</v>
      </c>
      <c r="I1304" s="67">
        <f t="shared" ref="I1304" si="318">E1304*H1304</f>
        <v>401075.55216299999</v>
      </c>
      <c r="J1304" s="67">
        <v>25900</v>
      </c>
      <c r="K1304" s="25">
        <f t="shared" ref="K1304" si="319">J1304*O1304</f>
        <v>24214.1184173</v>
      </c>
      <c r="L1304" s="30">
        <f t="shared" ref="L1304" si="320">E1304*K1304</f>
        <v>242141.18417299999</v>
      </c>
      <c r="M1304" s="67">
        <f>I1304+L1304</f>
        <v>643216.73633600003</v>
      </c>
      <c r="N1304" s="26"/>
      <c r="O1304" s="663">
        <v>0.93490804699999996</v>
      </c>
      <c r="Q1304" s="157"/>
    </row>
    <row r="1305" spans="1:17" ht="18.95" customHeight="1">
      <c r="A1305" s="265"/>
      <c r="B1305" s="573" t="s">
        <v>273</v>
      </c>
      <c r="C1305" s="703" t="s">
        <v>3004</v>
      </c>
      <c r="D1305" s="660"/>
      <c r="E1305" s="533"/>
      <c r="F1305" s="30"/>
      <c r="G1305" s="67" t="s">
        <v>2933</v>
      </c>
      <c r="H1305" s="67" t="s">
        <v>2933</v>
      </c>
      <c r="I1305" s="67"/>
      <c r="J1305" s="67"/>
      <c r="K1305" s="67"/>
      <c r="L1305" s="67"/>
      <c r="M1305" s="67"/>
      <c r="N1305" s="26"/>
      <c r="O1305" s="663">
        <v>0.93490804699999996</v>
      </c>
      <c r="Q1305" s="157"/>
    </row>
    <row r="1306" spans="1:17" ht="18.95" customHeight="1">
      <c r="A1306" s="265"/>
      <c r="B1306" s="573" t="s">
        <v>273</v>
      </c>
      <c r="C1306" s="703" t="s">
        <v>3008</v>
      </c>
      <c r="D1306" s="660"/>
      <c r="E1306" s="533"/>
      <c r="F1306" s="30"/>
      <c r="G1306" s="67" t="s">
        <v>2933</v>
      </c>
      <c r="H1306" s="67" t="s">
        <v>2933</v>
      </c>
      <c r="I1306" s="67"/>
      <c r="J1306" s="67"/>
      <c r="K1306" s="67"/>
      <c r="L1306" s="67"/>
      <c r="M1306" s="67"/>
      <c r="N1306" s="26"/>
      <c r="O1306" s="663">
        <v>0.93490804699999996</v>
      </c>
      <c r="Q1306" s="157"/>
    </row>
    <row r="1307" spans="1:17" ht="18.95" customHeight="1">
      <c r="A1307" s="265"/>
      <c r="B1307" s="573" t="s">
        <v>273</v>
      </c>
      <c r="C1307" s="703" t="s">
        <v>3006</v>
      </c>
      <c r="D1307" s="660"/>
      <c r="E1307" s="533"/>
      <c r="F1307" s="30"/>
      <c r="G1307" s="67" t="s">
        <v>2933</v>
      </c>
      <c r="H1307" s="67" t="s">
        <v>2933</v>
      </c>
      <c r="I1307" s="67"/>
      <c r="J1307" s="67"/>
      <c r="K1307" s="67"/>
      <c r="L1307" s="67"/>
      <c r="M1307" s="67"/>
      <c r="N1307" s="26"/>
      <c r="O1307" s="663">
        <v>0.93490804699999996</v>
      </c>
      <c r="Q1307" s="157"/>
    </row>
    <row r="1308" spans="1:17" ht="18.95" customHeight="1">
      <c r="A1308" s="265"/>
      <c r="B1308" s="573" t="s">
        <v>273</v>
      </c>
      <c r="C1308" s="661" t="s">
        <v>3007</v>
      </c>
      <c r="D1308" s="660"/>
      <c r="E1308" s="533"/>
      <c r="F1308" s="30"/>
      <c r="G1308" s="67"/>
      <c r="H1308" s="30"/>
      <c r="I1308" s="67"/>
      <c r="J1308" s="67"/>
      <c r="K1308" s="67"/>
      <c r="L1308" s="67"/>
      <c r="M1308" s="67"/>
      <c r="N1308" s="26"/>
      <c r="O1308" s="663">
        <v>0.93490804699999996</v>
      </c>
      <c r="Q1308" s="157"/>
    </row>
    <row r="1309" spans="1:17" ht="18.95" customHeight="1">
      <c r="A1309" s="651">
        <v>21.3</v>
      </c>
      <c r="B1309" s="658" t="s">
        <v>3003</v>
      </c>
      <c r="C1309" s="661"/>
      <c r="D1309" s="693"/>
      <c r="E1309" s="119">
        <v>1</v>
      </c>
      <c r="F1309" s="30" t="s">
        <v>349</v>
      </c>
      <c r="G1309" s="67">
        <v>51900</v>
      </c>
      <c r="H1309" s="30">
        <f t="shared" si="317"/>
        <v>48521.727639299999</v>
      </c>
      <c r="I1309" s="67">
        <f t="shared" ref="I1309" si="321">E1309*H1309</f>
        <v>48521.727639299999</v>
      </c>
      <c r="J1309" s="67">
        <v>27900</v>
      </c>
      <c r="K1309" s="25">
        <f t="shared" ref="K1309" si="322">J1309*O1309</f>
        <v>26083.934511299998</v>
      </c>
      <c r="L1309" s="30">
        <f t="shared" ref="L1309" si="323">E1309*K1309</f>
        <v>26083.934511299998</v>
      </c>
      <c r="M1309" s="67">
        <f>I1309+L1309</f>
        <v>74605.662150599994</v>
      </c>
      <c r="N1309" s="26"/>
      <c r="O1309" s="663">
        <v>0.93490804699999996</v>
      </c>
      <c r="Q1309" s="157"/>
    </row>
    <row r="1310" spans="1:17" ht="18.95" customHeight="1">
      <c r="A1310" s="265"/>
      <c r="B1310" s="573" t="s">
        <v>273</v>
      </c>
      <c r="C1310" s="703" t="s">
        <v>3004</v>
      </c>
      <c r="D1310" s="660"/>
      <c r="E1310" s="533"/>
      <c r="F1310" s="30"/>
      <c r="G1310" s="67" t="s">
        <v>2933</v>
      </c>
      <c r="H1310" s="67" t="s">
        <v>2933</v>
      </c>
      <c r="I1310" s="67"/>
      <c r="J1310" s="67"/>
      <c r="K1310" s="67"/>
      <c r="L1310" s="67"/>
      <c r="M1310" s="67"/>
      <c r="N1310" s="26"/>
      <c r="O1310" s="663">
        <v>0.93490804699999996</v>
      </c>
      <c r="Q1310" s="157"/>
    </row>
    <row r="1311" spans="1:17" ht="18.95" customHeight="1">
      <c r="A1311" s="265"/>
      <c r="B1311" s="573" t="s">
        <v>273</v>
      </c>
      <c r="C1311" s="703" t="s">
        <v>3009</v>
      </c>
      <c r="D1311" s="660"/>
      <c r="E1311" s="533"/>
      <c r="F1311" s="30"/>
      <c r="G1311" s="67" t="s">
        <v>2933</v>
      </c>
      <c r="H1311" s="67" t="s">
        <v>2933</v>
      </c>
      <c r="I1311" s="67"/>
      <c r="J1311" s="67"/>
      <c r="K1311" s="67"/>
      <c r="L1311" s="67"/>
      <c r="M1311" s="67"/>
      <c r="N1311" s="26"/>
      <c r="O1311" s="663">
        <v>0.93490804699999996</v>
      </c>
      <c r="Q1311" s="157"/>
    </row>
    <row r="1312" spans="1:17" ht="18.95" customHeight="1">
      <c r="A1312" s="265"/>
      <c r="B1312" s="573" t="s">
        <v>273</v>
      </c>
      <c r="C1312" s="703" t="s">
        <v>3006</v>
      </c>
      <c r="D1312" s="660"/>
      <c r="E1312" s="533"/>
      <c r="F1312" s="30"/>
      <c r="G1312" s="67" t="s">
        <v>2933</v>
      </c>
      <c r="H1312" s="67" t="s">
        <v>2933</v>
      </c>
      <c r="I1312" s="67"/>
      <c r="J1312" s="67"/>
      <c r="K1312" s="67"/>
      <c r="L1312" s="67"/>
      <c r="M1312" s="67"/>
      <c r="N1312" s="26"/>
      <c r="O1312" s="663">
        <v>0.93490804699999996</v>
      </c>
      <c r="Q1312" s="157"/>
    </row>
    <row r="1313" spans="1:17" ht="18.95" customHeight="1">
      <c r="A1313" s="265"/>
      <c r="B1313" s="573" t="s">
        <v>273</v>
      </c>
      <c r="C1313" s="661" t="s">
        <v>3007</v>
      </c>
      <c r="D1313" s="660"/>
      <c r="E1313" s="533"/>
      <c r="F1313" s="30"/>
      <c r="G1313" s="67"/>
      <c r="H1313" s="30"/>
      <c r="I1313" s="67"/>
      <c r="J1313" s="67"/>
      <c r="K1313" s="67"/>
      <c r="L1313" s="67"/>
      <c r="M1313" s="67"/>
      <c r="N1313" s="26"/>
      <c r="O1313" s="663">
        <v>0.93490804699999996</v>
      </c>
      <c r="Q1313" s="157"/>
    </row>
    <row r="1314" spans="1:17" ht="18.95" customHeight="1">
      <c r="A1314" s="265">
        <v>21.4</v>
      </c>
      <c r="B1314" s="658" t="s">
        <v>3010</v>
      </c>
      <c r="C1314" s="661"/>
      <c r="D1314" s="693"/>
      <c r="E1314" s="119">
        <v>9</v>
      </c>
      <c r="F1314" s="30" t="s">
        <v>349</v>
      </c>
      <c r="G1314" s="67">
        <v>7900</v>
      </c>
      <c r="H1314" s="30">
        <f t="shared" si="317"/>
        <v>7385.7735712999993</v>
      </c>
      <c r="I1314" s="67">
        <f t="shared" ref="I1314" si="324">E1314*H1314</f>
        <v>66471.962141699987</v>
      </c>
      <c r="J1314" s="67">
        <v>2900</v>
      </c>
      <c r="K1314" s="25">
        <f t="shared" ref="K1314:K1315" si="325">J1314*O1314</f>
        <v>2711.2333362999998</v>
      </c>
      <c r="L1314" s="30">
        <f t="shared" ref="L1314:L1315" si="326">E1314*K1314</f>
        <v>24401.100026699998</v>
      </c>
      <c r="M1314" s="67">
        <f>I1314+L1314</f>
        <v>90873.062168399978</v>
      </c>
      <c r="N1314" s="26"/>
      <c r="O1314" s="663">
        <v>0.93490804699999996</v>
      </c>
      <c r="Q1314" s="157"/>
    </row>
    <row r="1315" spans="1:17" ht="18.95" customHeight="1">
      <c r="A1315" s="265">
        <v>21.5</v>
      </c>
      <c r="B1315" s="1187" t="s">
        <v>3011</v>
      </c>
      <c r="C1315" s="715"/>
      <c r="D1315" s="660"/>
      <c r="E1315" s="119">
        <v>1</v>
      </c>
      <c r="F1315" s="30" t="s">
        <v>2193</v>
      </c>
      <c r="G1315" s="67"/>
      <c r="H1315" s="30"/>
      <c r="I1315" s="67">
        <f>E1315*G1315</f>
        <v>0</v>
      </c>
      <c r="J1315" s="67">
        <v>190000</v>
      </c>
      <c r="K1315" s="25">
        <f t="shared" si="325"/>
        <v>177632.52893</v>
      </c>
      <c r="L1315" s="30">
        <f t="shared" si="326"/>
        <v>177632.52893</v>
      </c>
      <c r="M1315" s="67">
        <f>I1315+L1315</f>
        <v>177632.52893</v>
      </c>
      <c r="N1315" s="26"/>
      <c r="O1315" s="663">
        <v>0.93490804699999996</v>
      </c>
      <c r="Q1315" s="157"/>
    </row>
    <row r="1316" spans="1:17" ht="18.95" customHeight="1">
      <c r="A1316" s="265"/>
      <c r="B1316" s="1275" t="s">
        <v>3012</v>
      </c>
      <c r="C1316" s="1276"/>
      <c r="D1316" s="1277"/>
      <c r="E1316" s="646"/>
      <c r="F1316" s="102"/>
      <c r="G1316" s="30"/>
      <c r="H1316" s="30"/>
      <c r="I1316" s="101">
        <f>SUM(I1299:I1315)</f>
        <v>799533.36179439991</v>
      </c>
      <c r="J1316" s="101"/>
      <c r="K1316" s="101"/>
      <c r="L1316" s="101">
        <f>SUM(L1299:L1315)</f>
        <v>656492.43060339999</v>
      </c>
      <c r="M1316" s="101">
        <f>SUM(M1299:M1315)</f>
        <v>1456025.7923978001</v>
      </c>
      <c r="N1316" s="35"/>
      <c r="O1316" s="663">
        <v>0.93490804699999996</v>
      </c>
      <c r="Q1316" s="157"/>
    </row>
    <row r="1317" spans="1:17" ht="18.95" customHeight="1">
      <c r="A1317" s="265"/>
      <c r="B1317" s="256"/>
      <c r="C1317" s="647"/>
      <c r="D1317" s="258"/>
      <c r="E1317" s="646"/>
      <c r="F1317" s="102"/>
      <c r="G1317" s="30"/>
      <c r="H1317" s="30"/>
      <c r="I1317" s="101"/>
      <c r="J1317" s="101"/>
      <c r="K1317" s="101"/>
      <c r="L1317" s="101"/>
      <c r="M1317" s="101"/>
      <c r="N1317" s="35"/>
      <c r="O1317" s="663">
        <v>0.93490804699999996</v>
      </c>
      <c r="Q1317" s="157"/>
    </row>
    <row r="1318" spans="1:17" ht="18.95" customHeight="1">
      <c r="A1318" s="648">
        <v>22</v>
      </c>
      <c r="B1318" s="1182" t="s">
        <v>3013</v>
      </c>
      <c r="C1318" s="650"/>
      <c r="D1318" s="412"/>
      <c r="E1318" s="646"/>
      <c r="F1318" s="102"/>
      <c r="G1318" s="34"/>
      <c r="H1318" s="30"/>
      <c r="I1318" s="34"/>
      <c r="J1318" s="102"/>
      <c r="K1318" s="102"/>
      <c r="L1318" s="34"/>
      <c r="M1318" s="102"/>
      <c r="N1318" s="35"/>
      <c r="O1318" s="663">
        <v>0.93490804699999996</v>
      </c>
      <c r="Q1318" s="157"/>
    </row>
    <row r="1319" spans="1:17" ht="18.95" customHeight="1">
      <c r="A1319" s="651">
        <v>22.1</v>
      </c>
      <c r="B1319" s="658" t="s">
        <v>3014</v>
      </c>
      <c r="C1319" s="661"/>
      <c r="D1319" s="693"/>
      <c r="E1319" s="533">
        <v>4</v>
      </c>
      <c r="F1319" s="30" t="s">
        <v>349</v>
      </c>
      <c r="G1319" s="716">
        <v>45900</v>
      </c>
      <c r="H1319" s="30">
        <f t="shared" si="317"/>
        <v>42912.279357300002</v>
      </c>
      <c r="I1319" s="67">
        <f t="shared" ref="I1319:I1320" si="327">E1319*H1319</f>
        <v>171649.11742920001</v>
      </c>
      <c r="J1319" s="67">
        <v>7900</v>
      </c>
      <c r="K1319" s="25">
        <f t="shared" ref="K1319:K1321" si="328">J1319*O1319</f>
        <v>7385.7735712999993</v>
      </c>
      <c r="L1319" s="30">
        <f t="shared" ref="L1319" si="329">E1319*K1319</f>
        <v>29543.094285199997</v>
      </c>
      <c r="M1319" s="67">
        <f>I1319+L1319</f>
        <v>201192.21171440001</v>
      </c>
      <c r="N1319" s="26"/>
      <c r="O1319" s="663">
        <v>0.93490804699999996</v>
      </c>
      <c r="Q1319" s="157"/>
    </row>
    <row r="1320" spans="1:17" ht="18.95" customHeight="1">
      <c r="A1320" s="651">
        <v>22.2</v>
      </c>
      <c r="B1320" s="714" t="s">
        <v>3015</v>
      </c>
      <c r="C1320" s="715"/>
      <c r="D1320" s="693"/>
      <c r="E1320" s="533">
        <v>1</v>
      </c>
      <c r="F1320" s="30" t="s">
        <v>349</v>
      </c>
      <c r="G1320" s="716">
        <v>49000</v>
      </c>
      <c r="H1320" s="30">
        <f t="shared" si="317"/>
        <v>45810.494302999999</v>
      </c>
      <c r="I1320" s="67">
        <f t="shared" si="327"/>
        <v>45810.494302999999</v>
      </c>
      <c r="J1320" s="67"/>
      <c r="K1320" s="25">
        <f t="shared" si="328"/>
        <v>0</v>
      </c>
      <c r="L1320" s="67">
        <f>E1320*J1320</f>
        <v>0</v>
      </c>
      <c r="M1320" s="67">
        <f>I1320+L1320</f>
        <v>45810.494302999999</v>
      </c>
      <c r="N1320" s="26"/>
      <c r="O1320" s="663">
        <v>0.93490804699999996</v>
      </c>
      <c r="Q1320" s="157"/>
    </row>
    <row r="1321" spans="1:17" ht="18.95" customHeight="1">
      <c r="A1321" s="265">
        <v>22.3</v>
      </c>
      <c r="B1321" s="714" t="s">
        <v>3016</v>
      </c>
      <c r="C1321" s="715"/>
      <c r="D1321" s="660"/>
      <c r="E1321" s="533">
        <v>1</v>
      </c>
      <c r="F1321" s="30" t="s">
        <v>2193</v>
      </c>
      <c r="G1321" s="716"/>
      <c r="H1321" s="30"/>
      <c r="I1321" s="67">
        <f>E1321*G1321</f>
        <v>0</v>
      </c>
      <c r="J1321" s="67">
        <v>190000</v>
      </c>
      <c r="K1321" s="25">
        <f t="shared" si="328"/>
        <v>177632.52893</v>
      </c>
      <c r="L1321" s="30">
        <f t="shared" ref="L1321" si="330">E1321*K1321</f>
        <v>177632.52893</v>
      </c>
      <c r="M1321" s="67">
        <f>I1321+L1321</f>
        <v>177632.52893</v>
      </c>
      <c r="N1321" s="26"/>
      <c r="O1321" s="663">
        <v>0.93490804699999996</v>
      </c>
      <c r="Q1321" s="157"/>
    </row>
    <row r="1322" spans="1:17" ht="18.95" customHeight="1">
      <c r="A1322" s="265"/>
      <c r="B1322" s="1275" t="s">
        <v>3017</v>
      </c>
      <c r="C1322" s="1276"/>
      <c r="D1322" s="1277"/>
      <c r="E1322" s="646"/>
      <c r="F1322" s="102"/>
      <c r="G1322" s="30"/>
      <c r="H1322" s="30"/>
      <c r="I1322" s="101">
        <f>SUM(I1319:I1321)</f>
        <v>217459.61173220002</v>
      </c>
      <c r="J1322" s="101"/>
      <c r="K1322" s="101"/>
      <c r="L1322" s="101">
        <f>SUM(L1319:L1321)</f>
        <v>207175.6232152</v>
      </c>
      <c r="M1322" s="101">
        <f>SUM(M1319:M1321)</f>
        <v>424635.23494740005</v>
      </c>
      <c r="N1322" s="35"/>
      <c r="O1322" s="663">
        <v>0.93490804699999996</v>
      </c>
      <c r="Q1322" s="157"/>
    </row>
    <row r="1323" spans="1:17" ht="18.95" customHeight="1">
      <c r="A1323" s="265"/>
      <c r="B1323" s="256"/>
      <c r="C1323" s="647"/>
      <c r="D1323" s="258"/>
      <c r="E1323" s="646"/>
      <c r="F1323" s="102"/>
      <c r="G1323" s="30"/>
      <c r="H1323" s="30"/>
      <c r="I1323" s="101"/>
      <c r="J1323" s="101"/>
      <c r="K1323" s="101"/>
      <c r="L1323" s="101"/>
      <c r="M1323" s="101"/>
      <c r="N1323" s="35"/>
      <c r="O1323" s="663">
        <v>0.93490804699999996</v>
      </c>
      <c r="Q1323" s="157"/>
    </row>
    <row r="1324" spans="1:17" ht="18.95" customHeight="1">
      <c r="A1324" s="21">
        <v>23</v>
      </c>
      <c r="B1324" s="1182" t="s">
        <v>1990</v>
      </c>
      <c r="C1324" s="647"/>
      <c r="D1324" s="258"/>
      <c r="E1324" s="34"/>
      <c r="F1324" s="102"/>
      <c r="G1324" s="101"/>
      <c r="H1324" s="30"/>
      <c r="I1324" s="101"/>
      <c r="J1324" s="101"/>
      <c r="K1324" s="101"/>
      <c r="L1324" s="101"/>
      <c r="M1324" s="101"/>
      <c r="N1324" s="35"/>
      <c r="O1324" s="663">
        <v>0.93490804699999996</v>
      </c>
      <c r="Q1324" s="157"/>
    </row>
    <row r="1325" spans="1:17" ht="18.95" customHeight="1">
      <c r="A1325" s="21">
        <v>23.1</v>
      </c>
      <c r="B1325" s="717" t="s">
        <v>3018</v>
      </c>
      <c r="C1325" s="686"/>
      <c r="D1325" s="258"/>
      <c r="E1325" s="34">
        <v>2</v>
      </c>
      <c r="F1325" s="35" t="s">
        <v>788</v>
      </c>
      <c r="G1325" s="101">
        <v>0</v>
      </c>
      <c r="H1325" s="30">
        <f t="shared" si="317"/>
        <v>0</v>
      </c>
      <c r="I1325" s="30">
        <f>ROUNDDOWN(E1325*G1325,2)</f>
        <v>0</v>
      </c>
      <c r="J1325" s="25">
        <f>15000+(1250*400)</f>
        <v>515000</v>
      </c>
      <c r="K1325" s="25">
        <f t="shared" ref="K1325" si="331">J1325*O1325</f>
        <v>481477.64420499996</v>
      </c>
      <c r="L1325" s="30">
        <f t="shared" ref="L1325" si="332">E1325*K1325</f>
        <v>962955.28840999992</v>
      </c>
      <c r="M1325" s="72">
        <f>I1325+L1325</f>
        <v>962955.28840999992</v>
      </c>
      <c r="N1325" s="35"/>
      <c r="O1325" s="663">
        <v>0.93490804699999996</v>
      </c>
      <c r="Q1325" s="157"/>
    </row>
    <row r="1326" spans="1:17" ht="18.95" customHeight="1">
      <c r="A1326" s="21"/>
      <c r="B1326" s="651" t="s">
        <v>273</v>
      </c>
      <c r="C1326" s="661" t="s">
        <v>3019</v>
      </c>
      <c r="D1326" s="258"/>
      <c r="E1326" s="25">
        <v>2</v>
      </c>
      <c r="F1326" s="26" t="s">
        <v>788</v>
      </c>
      <c r="G1326" s="101">
        <v>0</v>
      </c>
      <c r="H1326" s="30">
        <f t="shared" si="317"/>
        <v>0</v>
      </c>
      <c r="I1326" s="30">
        <f t="shared" ref="I1326:I1329" si="333">ROUNDDOWN(E1326*G1326,2)</f>
        <v>0</v>
      </c>
      <c r="J1326" s="101">
        <v>0</v>
      </c>
      <c r="K1326" s="101"/>
      <c r="L1326" s="72">
        <f t="shared" ref="L1326:L1329" si="334">ROUNDDOWN(E1326*J1326,2)</f>
        <v>0</v>
      </c>
      <c r="M1326" s="72">
        <f t="shared" ref="M1326:M1329" si="335">I1326+L1326</f>
        <v>0</v>
      </c>
      <c r="N1326" s="35"/>
      <c r="O1326" s="663">
        <v>0.93490804699999996</v>
      </c>
      <c r="Q1326" s="157"/>
    </row>
    <row r="1327" spans="1:17" ht="18.95" customHeight="1">
      <c r="A1327" s="21"/>
      <c r="B1327" s="651" t="s">
        <v>273</v>
      </c>
      <c r="C1327" s="661" t="s">
        <v>3020</v>
      </c>
      <c r="D1327" s="258"/>
      <c r="E1327" s="25">
        <v>2</v>
      </c>
      <c r="F1327" s="26" t="s">
        <v>788</v>
      </c>
      <c r="G1327" s="101">
        <v>0</v>
      </c>
      <c r="H1327" s="30">
        <f t="shared" si="317"/>
        <v>0</v>
      </c>
      <c r="I1327" s="30">
        <f t="shared" si="333"/>
        <v>0</v>
      </c>
      <c r="J1327" s="101">
        <v>0</v>
      </c>
      <c r="K1327" s="101"/>
      <c r="L1327" s="72">
        <f t="shared" si="334"/>
        <v>0</v>
      </c>
      <c r="M1327" s="72">
        <f t="shared" si="335"/>
        <v>0</v>
      </c>
      <c r="N1327" s="35"/>
      <c r="O1327" s="663">
        <v>0.93490804699999996</v>
      </c>
      <c r="Q1327" s="157"/>
    </row>
    <row r="1328" spans="1:17" ht="18.95" customHeight="1">
      <c r="A1328" s="21"/>
      <c r="B1328" s="651" t="s">
        <v>273</v>
      </c>
      <c r="C1328" s="661" t="s">
        <v>3021</v>
      </c>
      <c r="D1328" s="258"/>
      <c r="E1328" s="25">
        <v>2</v>
      </c>
      <c r="F1328" s="26" t="s">
        <v>788</v>
      </c>
      <c r="G1328" s="101">
        <v>0</v>
      </c>
      <c r="H1328" s="30">
        <f t="shared" si="317"/>
        <v>0</v>
      </c>
      <c r="I1328" s="30">
        <f t="shared" si="333"/>
        <v>0</v>
      </c>
      <c r="J1328" s="101">
        <v>0</v>
      </c>
      <c r="K1328" s="101"/>
      <c r="L1328" s="72">
        <f t="shared" si="334"/>
        <v>0</v>
      </c>
      <c r="M1328" s="72">
        <f t="shared" si="335"/>
        <v>0</v>
      </c>
      <c r="N1328" s="35"/>
      <c r="O1328" s="663">
        <v>0.93490804699999996</v>
      </c>
      <c r="Q1328" s="157"/>
    </row>
    <row r="1329" spans="1:17" ht="18.95" customHeight="1">
      <c r="A1329" s="21"/>
      <c r="B1329" s="651" t="s">
        <v>273</v>
      </c>
      <c r="C1329" s="661" t="s">
        <v>3022</v>
      </c>
      <c r="D1329" s="258"/>
      <c r="E1329" s="25">
        <v>2</v>
      </c>
      <c r="F1329" s="26" t="s">
        <v>788</v>
      </c>
      <c r="G1329" s="101">
        <v>0</v>
      </c>
      <c r="H1329" s="30">
        <f t="shared" si="317"/>
        <v>0</v>
      </c>
      <c r="I1329" s="30">
        <f t="shared" si="333"/>
        <v>0</v>
      </c>
      <c r="J1329" s="101">
        <v>0</v>
      </c>
      <c r="K1329" s="101"/>
      <c r="L1329" s="72">
        <f t="shared" si="334"/>
        <v>0</v>
      </c>
      <c r="M1329" s="72">
        <f t="shared" si="335"/>
        <v>0</v>
      </c>
      <c r="N1329" s="35"/>
      <c r="O1329" s="663">
        <v>0.93490804699999996</v>
      </c>
      <c r="Q1329" s="157"/>
    </row>
    <row r="1330" spans="1:17" ht="18.95" customHeight="1">
      <c r="A1330" s="21"/>
      <c r="B1330" s="1275" t="s">
        <v>3023</v>
      </c>
      <c r="C1330" s="1276"/>
      <c r="D1330" s="1277"/>
      <c r="E1330" s="34"/>
      <c r="F1330" s="102"/>
      <c r="G1330" s="101"/>
      <c r="H1330" s="101"/>
      <c r="I1330" s="101">
        <f>SUM(I1325:I1329)</f>
        <v>0</v>
      </c>
      <c r="J1330" s="101"/>
      <c r="K1330" s="101"/>
      <c r="L1330" s="101">
        <f>SUM(L1325:L1329)</f>
        <v>962955.28840999992</v>
      </c>
      <c r="M1330" s="101">
        <f>SUM(M1325:M1329)</f>
        <v>962955.28840999992</v>
      </c>
      <c r="N1330" s="26"/>
      <c r="O1330" s="723"/>
      <c r="Q1330" s="157"/>
    </row>
    <row r="1331" spans="1:17" ht="18.95" customHeight="1">
      <c r="A1331" s="718"/>
      <c r="B1331" s="719"/>
      <c r="C1331" s="720"/>
      <c r="D1331" s="721"/>
      <c r="E1331" s="722"/>
      <c r="F1331" s="392"/>
      <c r="G1331" s="143"/>
      <c r="H1331" s="143"/>
      <c r="I1331" s="143"/>
      <c r="J1331" s="392"/>
      <c r="K1331" s="392"/>
      <c r="L1331" s="143"/>
      <c r="M1331" s="392"/>
      <c r="N1331" s="130"/>
      <c r="O1331" s="723"/>
      <c r="Q1331" s="157"/>
    </row>
  </sheetData>
  <mergeCells count="114">
    <mergeCell ref="B1330:D1330"/>
    <mergeCell ref="A5:A6"/>
    <mergeCell ref="E5:E6"/>
    <mergeCell ref="F5:F6"/>
    <mergeCell ref="N5:N6"/>
    <mergeCell ref="B5:D6"/>
    <mergeCell ref="B1044:D1044"/>
    <mergeCell ref="B1063:D1063"/>
    <mergeCell ref="B1082:D1082"/>
    <mergeCell ref="B1114:D1114"/>
    <mergeCell ref="B1172:D1172"/>
    <mergeCell ref="B1246:D1246"/>
    <mergeCell ref="B1296:D1296"/>
    <mergeCell ref="B1316:D1316"/>
    <mergeCell ref="B1322:D1322"/>
    <mergeCell ref="B873:D873"/>
    <mergeCell ref="B899:D899"/>
    <mergeCell ref="B918:D918"/>
    <mergeCell ref="B937:D937"/>
    <mergeCell ref="B956:D956"/>
    <mergeCell ref="B974:D974"/>
    <mergeCell ref="B977:D977"/>
    <mergeCell ref="B1005:D1005"/>
    <mergeCell ref="B1025:D1025"/>
    <mergeCell ref="B659:D659"/>
    <mergeCell ref="B663:D663"/>
    <mergeCell ref="B768:D768"/>
    <mergeCell ref="B770:D770"/>
    <mergeCell ref="B798:D798"/>
    <mergeCell ref="B817:D817"/>
    <mergeCell ref="B835:D835"/>
    <mergeCell ref="B852:D852"/>
    <mergeCell ref="B869:D869"/>
    <mergeCell ref="C574:D574"/>
    <mergeCell ref="C575:D575"/>
    <mergeCell ref="C576:D576"/>
    <mergeCell ref="C577:D577"/>
    <mergeCell ref="C578:D578"/>
    <mergeCell ref="C586:D586"/>
    <mergeCell ref="B610:D610"/>
    <mergeCell ref="B620:D620"/>
    <mergeCell ref="B640:D640"/>
    <mergeCell ref="C518:D518"/>
    <mergeCell ref="C519:D519"/>
    <mergeCell ref="C536:D536"/>
    <mergeCell ref="C537:D537"/>
    <mergeCell ref="C538:D538"/>
    <mergeCell ref="C539:D539"/>
    <mergeCell ref="C541:D541"/>
    <mergeCell ref="C562:D562"/>
    <mergeCell ref="C565:D565"/>
    <mergeCell ref="C459:D459"/>
    <mergeCell ref="C461:D461"/>
    <mergeCell ref="C462:D462"/>
    <mergeCell ref="C463:D463"/>
    <mergeCell ref="C465:D465"/>
    <mergeCell ref="C514:D514"/>
    <mergeCell ref="C515:D515"/>
    <mergeCell ref="C516:D516"/>
    <mergeCell ref="C517:D517"/>
    <mergeCell ref="C444:D444"/>
    <mergeCell ref="C445:D445"/>
    <mergeCell ref="C446:D446"/>
    <mergeCell ref="C447:D447"/>
    <mergeCell ref="C451:D451"/>
    <mergeCell ref="C452:D452"/>
    <mergeCell ref="C453:D453"/>
    <mergeCell ref="C454:D454"/>
    <mergeCell ref="C455:D455"/>
    <mergeCell ref="C431:D431"/>
    <mergeCell ref="C432:D432"/>
    <mergeCell ref="C434:D434"/>
    <mergeCell ref="C436:D436"/>
    <mergeCell ref="C437:D437"/>
    <mergeCell ref="C438:D438"/>
    <mergeCell ref="C441:D441"/>
    <mergeCell ref="C442:D442"/>
    <mergeCell ref="C443:D443"/>
    <mergeCell ref="C417:D417"/>
    <mergeCell ref="C418:D418"/>
    <mergeCell ref="C419:D419"/>
    <mergeCell ref="C420:D420"/>
    <mergeCell ref="C424:D424"/>
    <mergeCell ref="C427:D427"/>
    <mergeCell ref="C428:D428"/>
    <mergeCell ref="C429:D429"/>
    <mergeCell ref="C430:D430"/>
    <mergeCell ref="C403:D403"/>
    <mergeCell ref="C404:D404"/>
    <mergeCell ref="C405:D405"/>
    <mergeCell ref="C406:D406"/>
    <mergeCell ref="C411:D411"/>
    <mergeCell ref="C412:D412"/>
    <mergeCell ref="C414:D414"/>
    <mergeCell ref="C415:D415"/>
    <mergeCell ref="C416:D416"/>
    <mergeCell ref="B345:D345"/>
    <mergeCell ref="B378:D378"/>
    <mergeCell ref="C382:D382"/>
    <mergeCell ref="C383:D383"/>
    <mergeCell ref="C384:D384"/>
    <mergeCell ref="C388:D388"/>
    <mergeCell ref="C389:D389"/>
    <mergeCell ref="C401:D401"/>
    <mergeCell ref="C402:D402"/>
    <mergeCell ref="G5:I5"/>
    <mergeCell ref="J5:L5"/>
    <mergeCell ref="B32:D32"/>
    <mergeCell ref="B34:D34"/>
    <mergeCell ref="B50:D50"/>
    <mergeCell ref="B54:D54"/>
    <mergeCell ref="B64:D64"/>
    <mergeCell ref="B70:D70"/>
    <mergeCell ref="B280:D280"/>
  </mergeCells>
  <printOptions horizontalCentered="1"/>
  <pageMargins left="0.35433070866141703" right="0.196850393700787" top="0.69" bottom="0.26" header="0.44" footer="0"/>
  <pageSetup paperSize="9" scale="68" firstPageNumber="91" fitToHeight="1000" orientation="landscape" useFirstPageNumber="1"/>
  <headerFooter alignWithMargins="0">
    <oddHeader>&amp;C&amp;"Cordia New,Bold"&amp;14แบบแสดงรายการปริมาณงาน และราคา
&amp;R&amp;"Cordia New,Regular"&amp;14แบบปร.4(ก) แผ่นที่ &amp;P/166</oddHeader>
  </headerFooter>
  <rowBreaks count="31" manualBreakCount="31">
    <brk id="36" max="11" man="1"/>
    <brk id="71" max="11" man="1"/>
    <brk id="153" max="11" man="1"/>
    <brk id="184" max="11" man="1"/>
    <brk id="218" max="11" man="1"/>
    <brk id="250" max="11" man="1"/>
    <brk id="281" max="11" man="1"/>
    <brk id="320" max="11" man="1"/>
    <brk id="346" max="11" man="1"/>
    <brk id="379" max="11" man="1"/>
    <brk id="394" max="11" man="1"/>
    <brk id="425" max="11" man="1"/>
    <brk id="620" max="11" man="1"/>
    <brk id="660" max="11" man="1"/>
    <brk id="699" max="11" man="1"/>
    <brk id="737" max="11" man="1"/>
    <brk id="768" max="11" man="1"/>
    <brk id="797" max="11" man="1"/>
    <brk id="834" max="11" man="1"/>
    <brk id="870" max="11" man="1"/>
    <brk id="898" max="11" man="1"/>
    <brk id="936" max="11" man="1"/>
    <brk id="975" max="11" man="1"/>
    <brk id="1004" max="11" man="1"/>
    <brk id="1043" max="11" man="1"/>
    <brk id="1083" max="11" man="1"/>
    <brk id="1116" max="11" man="1"/>
    <brk id="1191" max="11" man="1"/>
    <brk id="1219" max="11" man="1"/>
    <brk id="1247" max="11" man="1"/>
    <brk id="1276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BF438"/>
  <sheetViews>
    <sheetView showGridLines="0" workbookViewId="0">
      <pane xSplit="6" ySplit="6" topLeftCell="G19" activePane="bottomRight" state="frozen"/>
      <selection pane="bottomRight" activeCell="H23" sqref="H23:H41"/>
      <selection pane="bottomLeft"/>
      <selection pane="topRight"/>
    </sheetView>
  </sheetViews>
  <sheetFormatPr defaultColWidth="10.453125" defaultRowHeight="18.95" customHeight="1"/>
  <cols>
    <col min="1" max="1" width="6.81640625" style="203" customWidth="1"/>
    <col min="2" max="2" width="6.453125" style="205" customWidth="1"/>
    <col min="3" max="3" width="24.453125" style="205" customWidth="1"/>
    <col min="4" max="4" width="50.7265625" style="203" customWidth="1"/>
    <col min="5" max="5" width="12.7265625" style="327" customWidth="1"/>
    <col min="6" max="6" width="9.54296875" style="327" customWidth="1"/>
    <col min="7" max="7" width="15.7265625" style="327" hidden="1" customWidth="1"/>
    <col min="8" max="9" width="15.7265625" style="327" customWidth="1"/>
    <col min="10" max="10" width="15.7265625" style="327" hidden="1" customWidth="1"/>
    <col min="11" max="13" width="15.7265625" style="327" customWidth="1"/>
    <col min="14" max="14" width="30.81640625" style="327" customWidth="1"/>
    <col min="15" max="15" width="18.453125" style="327" customWidth="1"/>
    <col min="16" max="16" width="17" style="205" customWidth="1"/>
    <col min="17" max="17" width="26" style="205" customWidth="1"/>
    <col min="18" max="18" width="16" style="205" customWidth="1"/>
    <col min="19" max="19" width="23.81640625" style="205" customWidth="1"/>
    <col min="20" max="21" width="12.81640625" style="205" customWidth="1"/>
    <col min="22" max="22" width="6.54296875" style="205" customWidth="1"/>
    <col min="23" max="23" width="17.7265625" style="203" customWidth="1"/>
    <col min="24" max="24" width="15.81640625" style="203" customWidth="1"/>
    <col min="25" max="25" width="8.1796875" style="203" customWidth="1"/>
    <col min="26" max="26" width="7" style="203" customWidth="1"/>
    <col min="27" max="27" width="10.453125" style="203" customWidth="1"/>
    <col min="28" max="28" width="16" style="203" customWidth="1"/>
    <col min="29" max="29" width="10.453125" style="203"/>
    <col min="30" max="30" width="8" style="203" customWidth="1"/>
    <col min="31" max="41" width="10.453125" style="203" customWidth="1"/>
    <col min="42" max="42" width="9.453125" style="203" customWidth="1"/>
    <col min="43" max="43" width="16.7265625" style="203" customWidth="1"/>
    <col min="44" max="44" width="12.54296875" style="203" customWidth="1"/>
    <col min="45" max="45" width="5.1796875" style="203" customWidth="1"/>
    <col min="46" max="46" width="12.1796875" style="203" customWidth="1"/>
    <col min="47" max="47" width="16.54296875" style="203" customWidth="1"/>
    <col min="48" max="48" width="8.7265625" style="203" customWidth="1"/>
    <col min="49" max="49" width="12.1796875" style="203" customWidth="1"/>
    <col min="50" max="50" width="16.54296875" style="203" customWidth="1"/>
    <col min="51" max="51" width="10.81640625" style="203" customWidth="1"/>
    <col min="52" max="53" width="16.54296875" style="203" customWidth="1"/>
    <col min="54" max="54" width="12.1796875" style="203" customWidth="1"/>
    <col min="55" max="58" width="10.453125" style="203" customWidth="1"/>
    <col min="59" max="16384" width="10.453125" style="203"/>
  </cols>
  <sheetData>
    <row r="1" spans="1:27" s="1" customFormat="1" ht="18.95" customHeight="1">
      <c r="A1" s="1229" t="s">
        <v>181</v>
      </c>
      <c r="B1" s="1229"/>
      <c r="C1" s="1229"/>
      <c r="D1" s="7" t="str">
        <f>+'RKCA1_ปร.5 (ก)'!C4</f>
        <v>โครงการจัดตั้งศูนย์การเรียนรู้แห่งชาติ OKMD : OKMD National Knowledge Center (Ratchadamnoen Center 1 และ 2)</v>
      </c>
      <c r="E1" s="581"/>
      <c r="F1" s="581"/>
      <c r="G1" s="341"/>
      <c r="H1" s="341"/>
      <c r="I1" s="340"/>
      <c r="J1" s="340" t="s">
        <v>182</v>
      </c>
      <c r="K1" s="340" t="s">
        <v>182</v>
      </c>
      <c r="L1" s="585" t="s">
        <v>1970</v>
      </c>
      <c r="M1" s="586"/>
      <c r="N1" s="581"/>
      <c r="O1" s="170"/>
      <c r="P1" s="2"/>
      <c r="Q1" s="2"/>
      <c r="R1" s="2"/>
      <c r="S1" s="2"/>
      <c r="T1" s="2"/>
      <c r="U1" s="2"/>
      <c r="V1" s="2"/>
    </row>
    <row r="2" spans="1:27" s="1" customFormat="1" ht="18.95" customHeight="1">
      <c r="A2" s="1231" t="s">
        <v>125</v>
      </c>
      <c r="B2" s="1231"/>
      <c r="C2" s="1231"/>
      <c r="D2" s="9" t="str">
        <f>+'RKCA1_ปร.5 (ก)'!C5</f>
        <v>แขวงตลาดยอด เขตพระนคร กรุงเทพมหานคร</v>
      </c>
      <c r="E2" s="127"/>
      <c r="F2" s="127"/>
      <c r="G2" s="127"/>
      <c r="H2" s="127"/>
      <c r="I2" s="127"/>
      <c r="J2" s="587" t="s">
        <v>184</v>
      </c>
      <c r="K2" s="587" t="s">
        <v>184</v>
      </c>
      <c r="L2" s="588" t="str">
        <f>+'RKCA1_ปร.5 (ก)'!C10</f>
        <v xml:space="preserve">  16 กรกฎาคม 2568</v>
      </c>
      <c r="M2" s="127"/>
      <c r="N2" s="127"/>
      <c r="O2" s="170"/>
      <c r="P2" s="2"/>
      <c r="Q2" s="2"/>
      <c r="R2" s="2"/>
      <c r="S2" s="2"/>
      <c r="T2" s="2"/>
      <c r="U2" s="2"/>
      <c r="V2" s="2"/>
    </row>
    <row r="3" spans="1:27" s="1" customFormat="1" ht="18.95" customHeight="1">
      <c r="A3" s="1231" t="s">
        <v>185</v>
      </c>
      <c r="B3" s="1231"/>
      <c r="C3" s="1231"/>
      <c r="D3" s="9" t="str">
        <f>+'RKCA1_ปร.5 (ก)'!C9</f>
        <v>คณะกรรมการกำหนดราคากลาง</v>
      </c>
      <c r="E3" s="127"/>
      <c r="F3" s="127"/>
      <c r="G3" s="127"/>
      <c r="H3" s="127"/>
      <c r="I3" s="587"/>
      <c r="J3" s="587"/>
      <c r="K3" s="587"/>
      <c r="L3" s="588"/>
      <c r="M3" s="127"/>
      <c r="N3" s="127"/>
      <c r="O3" s="170"/>
      <c r="P3" s="2"/>
      <c r="Q3" s="2"/>
      <c r="R3" s="2"/>
      <c r="S3" s="2"/>
      <c r="T3" s="2"/>
      <c r="U3" s="2"/>
      <c r="V3" s="2"/>
    </row>
    <row r="4" spans="1:27" s="1" customFormat="1" ht="18.95" customHeight="1">
      <c r="B4" s="2"/>
      <c r="C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2"/>
      <c r="Q4" s="2"/>
      <c r="R4" s="2"/>
      <c r="S4" s="2"/>
      <c r="T4" s="2"/>
      <c r="U4" s="205"/>
      <c r="V4" s="205"/>
      <c r="W4" s="205"/>
      <c r="X4" s="205"/>
      <c r="Y4" s="205"/>
      <c r="Z4" s="205"/>
      <c r="AA4" s="205"/>
    </row>
    <row r="5" spans="1:27" ht="18.95" customHeight="1">
      <c r="A5" s="1270" t="s">
        <v>186</v>
      </c>
      <c r="B5" s="1235" t="s">
        <v>138</v>
      </c>
      <c r="C5" s="1287"/>
      <c r="D5" s="1288"/>
      <c r="E5" s="1358" t="s">
        <v>187</v>
      </c>
      <c r="F5" s="1358" t="s">
        <v>188</v>
      </c>
      <c r="G5" s="1345" t="s">
        <v>189</v>
      </c>
      <c r="H5" s="1346"/>
      <c r="I5" s="1347"/>
      <c r="J5" s="1345" t="s">
        <v>190</v>
      </c>
      <c r="K5" s="1346"/>
      <c r="L5" s="1347"/>
      <c r="M5" s="99" t="s">
        <v>191</v>
      </c>
      <c r="N5" s="1358" t="s">
        <v>140</v>
      </c>
      <c r="O5" s="184"/>
      <c r="W5" s="205"/>
      <c r="X5" s="205"/>
      <c r="Y5" s="205"/>
      <c r="Z5" s="205"/>
      <c r="AA5" s="205"/>
    </row>
    <row r="6" spans="1:27" ht="18.95" customHeight="1">
      <c r="A6" s="1271"/>
      <c r="B6" s="1236"/>
      <c r="C6" s="1289"/>
      <c r="D6" s="1290"/>
      <c r="E6" s="1359"/>
      <c r="F6" s="1359"/>
      <c r="G6" s="13" t="s">
        <v>192</v>
      </c>
      <c r="H6" s="13" t="s">
        <v>192</v>
      </c>
      <c r="I6" s="13" t="s">
        <v>193</v>
      </c>
      <c r="J6" s="13" t="s">
        <v>192</v>
      </c>
      <c r="K6" s="13" t="s">
        <v>192</v>
      </c>
      <c r="L6" s="13" t="s">
        <v>193</v>
      </c>
      <c r="M6" s="13" t="s">
        <v>194</v>
      </c>
      <c r="N6" s="1359"/>
      <c r="O6" s="184"/>
    </row>
    <row r="7" spans="1:27" ht="18.95" customHeight="1">
      <c r="A7" s="14"/>
      <c r="B7" s="216" t="s">
        <v>3024</v>
      </c>
      <c r="C7" s="15"/>
      <c r="D7" s="17"/>
      <c r="E7" s="18"/>
      <c r="F7" s="20"/>
      <c r="G7" s="18"/>
      <c r="H7" s="18"/>
      <c r="I7" s="18"/>
      <c r="J7" s="20"/>
      <c r="K7" s="20"/>
      <c r="L7" s="218"/>
      <c r="M7" s="20"/>
      <c r="N7" s="14"/>
      <c r="O7" s="205"/>
      <c r="Q7" s="423"/>
      <c r="R7" s="423"/>
      <c r="S7" s="1363"/>
      <c r="T7" s="1363"/>
      <c r="U7" s="1363"/>
      <c r="V7" s="423"/>
      <c r="W7" s="1363"/>
      <c r="X7" s="1363"/>
      <c r="Y7" s="1363"/>
      <c r="Z7" s="205"/>
      <c r="AA7" s="205"/>
    </row>
    <row r="8" spans="1:27" ht="18.95" customHeight="1">
      <c r="A8" s="207"/>
      <c r="B8" s="22" t="s">
        <v>162</v>
      </c>
      <c r="C8" s="208"/>
      <c r="D8" s="24"/>
      <c r="E8" s="25"/>
      <c r="F8" s="30"/>
      <c r="G8" s="25"/>
      <c r="H8" s="25"/>
      <c r="I8" s="25"/>
      <c r="J8" s="30"/>
      <c r="K8" s="30"/>
      <c r="L8" s="30"/>
      <c r="M8" s="25"/>
      <c r="N8" s="21"/>
      <c r="O8" s="205"/>
      <c r="P8" s="589"/>
      <c r="Q8" s="597"/>
      <c r="R8" s="597"/>
      <c r="S8" s="423"/>
      <c r="T8" s="423"/>
      <c r="U8" s="423"/>
      <c r="V8" s="423"/>
      <c r="W8" s="423"/>
      <c r="X8" s="423"/>
      <c r="Y8" s="423"/>
      <c r="Z8" s="205"/>
      <c r="AA8" s="205"/>
    </row>
    <row r="9" spans="1:27" ht="18.95" customHeight="1">
      <c r="A9" s="207"/>
      <c r="B9" s="22"/>
      <c r="C9" s="208"/>
      <c r="D9" s="24"/>
      <c r="E9" s="25"/>
      <c r="F9" s="30"/>
      <c r="G9" s="25"/>
      <c r="H9" s="25"/>
      <c r="I9" s="25"/>
      <c r="J9" s="30"/>
      <c r="K9" s="30"/>
      <c r="L9" s="30"/>
      <c r="M9" s="25"/>
      <c r="N9" s="21"/>
      <c r="O9" s="205"/>
      <c r="P9" s="589"/>
      <c r="Q9" s="597"/>
      <c r="R9" s="597"/>
      <c r="S9" s="597"/>
      <c r="T9" s="597"/>
      <c r="U9" s="423"/>
      <c r="V9" s="423"/>
      <c r="W9" s="423"/>
      <c r="X9" s="597"/>
      <c r="Y9" s="423"/>
      <c r="Z9" s="205"/>
      <c r="AA9" s="205"/>
    </row>
    <row r="10" spans="1:27" ht="18.95" customHeight="1">
      <c r="A10" s="207">
        <v>1</v>
      </c>
      <c r="B10" s="41" t="s">
        <v>3025</v>
      </c>
      <c r="C10" s="29"/>
      <c r="D10" s="24"/>
      <c r="E10" s="25">
        <v>1</v>
      </c>
      <c r="F10" s="30" t="s">
        <v>788</v>
      </c>
      <c r="G10" s="25"/>
      <c r="H10" s="25"/>
      <c r="I10" s="25">
        <f>I96</f>
        <v>1462495.1691014308</v>
      </c>
      <c r="J10" s="30"/>
      <c r="K10" s="30"/>
      <c r="L10" s="30">
        <f>L96</f>
        <v>203507.04403877197</v>
      </c>
      <c r="M10" s="25">
        <f>I10+L10</f>
        <v>1666002.2131402027</v>
      </c>
      <c r="N10" s="21"/>
      <c r="O10" s="590">
        <f>P10*0.934908047</f>
        <v>1666002.2131402027</v>
      </c>
      <c r="P10" s="591">
        <v>1781995.8</v>
      </c>
      <c r="Q10" s="598">
        <f>M10-O10</f>
        <v>0</v>
      </c>
      <c r="R10" s="598"/>
      <c r="S10" s="598"/>
      <c r="T10" s="598"/>
      <c r="U10" s="428"/>
      <c r="V10" s="428"/>
      <c r="W10" s="428"/>
      <c r="X10" s="598"/>
      <c r="Y10" s="428"/>
      <c r="Z10" s="596"/>
      <c r="AA10" s="205"/>
    </row>
    <row r="11" spans="1:27" ht="18.95" customHeight="1">
      <c r="A11" s="207">
        <v>2</v>
      </c>
      <c r="B11" s="41" t="s">
        <v>3026</v>
      </c>
      <c r="C11" s="29"/>
      <c r="D11" s="24"/>
      <c r="E11" s="25">
        <v>1</v>
      </c>
      <c r="F11" s="30" t="s">
        <v>788</v>
      </c>
      <c r="G11" s="25"/>
      <c r="H11" s="25"/>
      <c r="I11" s="25">
        <f>I180</f>
        <v>2380895.4512247466</v>
      </c>
      <c r="J11" s="30"/>
      <c r="K11" s="30"/>
      <c r="L11" s="30">
        <f>L180</f>
        <v>176757.45499800803</v>
      </c>
      <c r="M11" s="25">
        <f>I11+L11</f>
        <v>2557652.9062227546</v>
      </c>
      <c r="N11" s="21"/>
      <c r="O11" s="590">
        <f t="shared" ref="O11:O14" si="0">P11*0.934908047</f>
        <v>2557652.9062227551</v>
      </c>
      <c r="P11" s="591">
        <v>2735726.7</v>
      </c>
      <c r="Q11" s="598">
        <f t="shared" ref="Q11:Q16" si="1">M11-O11</f>
        <v>0</v>
      </c>
      <c r="R11" s="598"/>
      <c r="S11" s="598"/>
      <c r="T11" s="598"/>
      <c r="U11" s="428"/>
      <c r="V11" s="428"/>
      <c r="W11" s="428"/>
      <c r="X11" s="598"/>
      <c r="Y11" s="428"/>
      <c r="Z11" s="596"/>
      <c r="AA11" s="205"/>
    </row>
    <row r="12" spans="1:27" ht="18.95" customHeight="1">
      <c r="A12" s="207">
        <v>3</v>
      </c>
      <c r="B12" s="41" t="s">
        <v>3027</v>
      </c>
      <c r="C12" s="29"/>
      <c r="D12" s="24"/>
      <c r="E12" s="25">
        <v>1</v>
      </c>
      <c r="F12" s="30" t="s">
        <v>788</v>
      </c>
      <c r="G12" s="25"/>
      <c r="H12" s="25"/>
      <c r="I12" s="25">
        <f>I271</f>
        <v>2916366.6575610684</v>
      </c>
      <c r="J12" s="30"/>
      <c r="K12" s="30"/>
      <c r="L12" s="30">
        <f>L271</f>
        <v>517763.29532516381</v>
      </c>
      <c r="M12" s="25">
        <f>I12+L12</f>
        <v>3434129.9528862322</v>
      </c>
      <c r="N12" s="21"/>
      <c r="O12" s="590">
        <f t="shared" si="0"/>
        <v>3434129.9575607725</v>
      </c>
      <c r="P12" s="591">
        <v>3673227.51</v>
      </c>
      <c r="Q12" s="598">
        <f t="shared" si="1"/>
        <v>-4.6745403669774532E-3</v>
      </c>
      <c r="R12" s="598"/>
      <c r="S12" s="598"/>
      <c r="T12" s="598"/>
      <c r="U12" s="428"/>
      <c r="V12" s="428"/>
      <c r="W12" s="428"/>
      <c r="X12" s="598"/>
      <c r="Y12" s="428"/>
      <c r="Z12" s="596"/>
      <c r="AA12" s="205"/>
    </row>
    <row r="13" spans="1:27" ht="18.95" customHeight="1">
      <c r="A13" s="207">
        <v>4</v>
      </c>
      <c r="B13" s="41" t="s">
        <v>3028</v>
      </c>
      <c r="C13" s="29"/>
      <c r="D13" s="24"/>
      <c r="E13" s="25">
        <v>1</v>
      </c>
      <c r="F13" s="30" t="s">
        <v>788</v>
      </c>
      <c r="G13" s="25"/>
      <c r="H13" s="25"/>
      <c r="I13" s="25">
        <f>I330</f>
        <v>2327575.9811680135</v>
      </c>
      <c r="J13" s="30"/>
      <c r="K13" s="30"/>
      <c r="L13" s="30">
        <f>L330</f>
        <v>547716.78619575559</v>
      </c>
      <c r="M13" s="25">
        <f>I13+L13</f>
        <v>2875292.767363769</v>
      </c>
      <c r="N13" s="21"/>
      <c r="O13" s="590">
        <f t="shared" si="0"/>
        <v>2875292.767363769</v>
      </c>
      <c r="P13" s="591">
        <v>3075481.89</v>
      </c>
      <c r="Q13" s="598">
        <f t="shared" si="1"/>
        <v>0</v>
      </c>
      <c r="R13" s="598"/>
      <c r="S13" s="598"/>
      <c r="T13" s="598"/>
      <c r="U13" s="428"/>
      <c r="V13" s="428"/>
      <c r="W13" s="428"/>
      <c r="X13" s="598"/>
      <c r="Y13" s="428"/>
      <c r="Z13" s="596"/>
      <c r="AA13" s="205"/>
    </row>
    <row r="14" spans="1:27" ht="18.95" customHeight="1">
      <c r="A14" s="207">
        <v>5</v>
      </c>
      <c r="B14" s="41" t="s">
        <v>3029</v>
      </c>
      <c r="C14" s="29"/>
      <c r="D14" s="24"/>
      <c r="E14" s="25">
        <v>1</v>
      </c>
      <c r="F14" s="30" t="s">
        <v>788</v>
      </c>
      <c r="G14" s="25"/>
      <c r="H14" s="25"/>
      <c r="I14" s="25">
        <f>I437</f>
        <v>10169033.097679906</v>
      </c>
      <c r="J14" s="30"/>
      <c r="K14" s="30"/>
      <c r="L14" s="30">
        <f>L437</f>
        <v>2613664.4626989844</v>
      </c>
      <c r="M14" s="25">
        <f>I14+L14</f>
        <v>12782697.56037889</v>
      </c>
      <c r="N14" s="21"/>
      <c r="O14" s="590">
        <f t="shared" si="0"/>
        <v>12782697.565053429</v>
      </c>
      <c r="P14" s="157">
        <v>13672678.939999999</v>
      </c>
      <c r="Q14" s="598">
        <f t="shared" si="1"/>
        <v>-4.6745389699935913E-3</v>
      </c>
      <c r="R14" s="422"/>
      <c r="S14" s="422"/>
      <c r="T14" s="598"/>
      <c r="U14" s="428"/>
      <c r="V14" s="428"/>
      <c r="W14" s="428"/>
      <c r="X14" s="598"/>
      <c r="Y14" s="428"/>
      <c r="Z14" s="596"/>
      <c r="AA14" s="205"/>
    </row>
    <row r="15" spans="1:27" ht="18.95" customHeight="1">
      <c r="A15" s="207"/>
      <c r="B15" s="223"/>
      <c r="C15" s="226"/>
      <c r="D15" s="24"/>
      <c r="E15" s="25"/>
      <c r="F15" s="30"/>
      <c r="G15" s="25"/>
      <c r="H15" s="25"/>
      <c r="I15" s="25"/>
      <c r="J15" s="30"/>
      <c r="K15" s="30"/>
      <c r="L15" s="30"/>
      <c r="M15" s="25"/>
      <c r="N15" s="21"/>
      <c r="O15" s="590"/>
      <c r="P15" s="591"/>
      <c r="Q15" s="598">
        <f t="shared" si="1"/>
        <v>0</v>
      </c>
      <c r="R15" s="598"/>
      <c r="S15" s="598"/>
      <c r="T15" s="598"/>
      <c r="U15" s="428"/>
      <c r="V15" s="428"/>
      <c r="W15" s="428"/>
      <c r="X15" s="423"/>
      <c r="Y15" s="423"/>
      <c r="Z15" s="205"/>
      <c r="AA15" s="205"/>
    </row>
    <row r="16" spans="1:27" ht="18.95" customHeight="1">
      <c r="A16" s="224"/>
      <c r="B16" s="1364" t="s">
        <v>3030</v>
      </c>
      <c r="C16" s="1365"/>
      <c r="D16" s="1366"/>
      <c r="E16" s="34"/>
      <c r="F16" s="102"/>
      <c r="G16" s="102"/>
      <c r="H16" s="102"/>
      <c r="I16" s="102"/>
      <c r="J16" s="102"/>
      <c r="K16" s="102"/>
      <c r="L16" s="102"/>
      <c r="M16" s="102">
        <f>SUM(M10:M15)</f>
        <v>23315775.399991848</v>
      </c>
      <c r="N16" s="21"/>
      <c r="O16" s="590">
        <f>SUM(O10:O15)</f>
        <v>23315775.409340929</v>
      </c>
      <c r="P16" s="592">
        <f>SUM(P10:P15)</f>
        <v>24939110.84</v>
      </c>
      <c r="Q16" s="598">
        <f t="shared" si="1"/>
        <v>-9.3490816652774811E-3</v>
      </c>
      <c r="R16" s="599"/>
      <c r="S16" s="599"/>
      <c r="T16" s="599"/>
      <c r="U16" s="428"/>
      <c r="V16" s="428"/>
      <c r="W16" s="428"/>
      <c r="X16" s="423"/>
      <c r="Y16" s="423"/>
      <c r="Z16" s="205"/>
      <c r="AA16" s="205"/>
    </row>
    <row r="17" spans="1:26" s="205" customFormat="1" ht="18.95" customHeight="1">
      <c r="A17" s="224"/>
      <c r="B17" s="553"/>
      <c r="C17" s="554"/>
      <c r="D17" s="555"/>
      <c r="E17" s="34"/>
      <c r="F17" s="102"/>
      <c r="G17" s="102"/>
      <c r="H17" s="102"/>
      <c r="I17" s="102"/>
      <c r="J17" s="102"/>
      <c r="K17" s="102"/>
      <c r="L17" s="102"/>
      <c r="M17" s="102"/>
      <c r="N17" s="21"/>
      <c r="O17" s="590"/>
      <c r="P17" s="592"/>
      <c r="Q17" s="599"/>
      <c r="R17" s="599"/>
      <c r="S17" s="599"/>
      <c r="T17" s="599"/>
      <c r="U17" s="428"/>
      <c r="V17" s="428"/>
      <c r="W17" s="428"/>
      <c r="X17" s="423"/>
      <c r="Y17" s="423"/>
    </row>
    <row r="18" spans="1:26" s="205" customFormat="1" ht="18.95" customHeight="1">
      <c r="A18" s="224"/>
      <c r="B18" s="553"/>
      <c r="C18" s="554"/>
      <c r="D18" s="555"/>
      <c r="E18" s="34"/>
      <c r="F18" s="102"/>
      <c r="G18" s="102"/>
      <c r="H18" s="102"/>
      <c r="I18" s="102"/>
      <c r="J18" s="102"/>
      <c r="K18" s="102"/>
      <c r="L18" s="102"/>
      <c r="M18" s="102"/>
      <c r="N18" s="21"/>
      <c r="P18" s="593"/>
      <c r="Q18" s="599"/>
      <c r="R18" s="599"/>
      <c r="S18" s="599"/>
      <c r="T18" s="599"/>
      <c r="U18" s="428"/>
      <c r="V18" s="428"/>
      <c r="W18" s="428"/>
      <c r="X18" s="423"/>
      <c r="Y18" s="423"/>
    </row>
    <row r="19" spans="1:26" s="205" customFormat="1" ht="18.95" customHeight="1">
      <c r="A19" s="268">
        <v>1</v>
      </c>
      <c r="B19" s="418" t="s">
        <v>3025</v>
      </c>
      <c r="C19" s="419"/>
      <c r="D19" s="267"/>
      <c r="E19" s="25"/>
      <c r="F19" s="30"/>
      <c r="G19" s="25"/>
      <c r="H19" s="25"/>
      <c r="I19" s="25"/>
      <c r="J19" s="25"/>
      <c r="K19" s="25"/>
      <c r="L19" s="25"/>
      <c r="M19" s="25"/>
      <c r="N19" s="21"/>
      <c r="Q19" s="423"/>
      <c r="R19" s="423"/>
      <c r="S19" s="423"/>
      <c r="T19" s="423"/>
      <c r="U19" s="423"/>
      <c r="V19" s="423"/>
      <c r="W19" s="423"/>
      <c r="X19" s="423"/>
      <c r="Y19" s="423"/>
    </row>
    <row r="20" spans="1:26" s="205" customFormat="1" ht="18.95" customHeight="1">
      <c r="A20" s="268"/>
      <c r="B20" s="418"/>
      <c r="C20" s="419"/>
      <c r="D20" s="267"/>
      <c r="E20" s="25"/>
      <c r="F20" s="30"/>
      <c r="G20" s="25"/>
      <c r="H20" s="25"/>
      <c r="I20" s="25"/>
      <c r="J20" s="25"/>
      <c r="K20" s="25"/>
      <c r="L20" s="25"/>
      <c r="M20" s="25"/>
      <c r="N20" s="21"/>
      <c r="Q20" s="423"/>
      <c r="R20" s="423"/>
      <c r="S20" s="423"/>
      <c r="T20" s="423"/>
      <c r="U20" s="423"/>
      <c r="V20" s="423"/>
      <c r="W20" s="423"/>
      <c r="X20" s="423"/>
      <c r="Y20" s="423"/>
    </row>
    <row r="21" spans="1:26" ht="18.95" customHeight="1">
      <c r="A21" s="268"/>
      <c r="B21" s="418" t="s">
        <v>2685</v>
      </c>
      <c r="C21" s="419"/>
      <c r="D21" s="267"/>
      <c r="E21" s="25"/>
      <c r="F21" s="30"/>
      <c r="G21" s="25"/>
      <c r="H21" s="25"/>
      <c r="I21" s="25"/>
      <c r="J21" s="25"/>
      <c r="K21" s="25"/>
      <c r="L21" s="25"/>
      <c r="M21" s="25"/>
      <c r="N21" s="21"/>
      <c r="O21" s="205"/>
      <c r="Q21" s="423"/>
      <c r="R21" s="423"/>
      <c r="S21" s="423"/>
      <c r="T21" s="423"/>
      <c r="U21" s="423"/>
      <c r="V21" s="423"/>
      <c r="W21" s="423"/>
      <c r="X21" s="423"/>
      <c r="Y21" s="423"/>
      <c r="Z21" s="205"/>
    </row>
    <row r="22" spans="1:26" ht="18.95" customHeight="1">
      <c r="A22" s="115"/>
      <c r="B22" s="420">
        <v>1.1000000000000001</v>
      </c>
      <c r="C22" s="285" t="s">
        <v>3031</v>
      </c>
      <c r="D22" s="267"/>
      <c r="E22" s="25"/>
      <c r="F22" s="30"/>
      <c r="G22" s="25"/>
      <c r="H22" s="25"/>
      <c r="I22" s="25"/>
      <c r="J22" s="25"/>
      <c r="K22" s="25"/>
      <c r="L22" s="25"/>
      <c r="M22" s="25"/>
      <c r="N22" s="21"/>
      <c r="O22" s="205"/>
      <c r="Q22" s="423"/>
      <c r="R22" s="423"/>
      <c r="S22" s="423"/>
      <c r="T22" s="422"/>
      <c r="U22" s="423"/>
      <c r="V22" s="423"/>
      <c r="W22" s="423"/>
      <c r="X22" s="423"/>
      <c r="Y22" s="423"/>
      <c r="Z22" s="205"/>
    </row>
    <row r="23" spans="1:26" ht="18.95" customHeight="1">
      <c r="A23" s="115"/>
      <c r="B23" s="582"/>
      <c r="C23" s="285" t="s">
        <v>3032</v>
      </c>
      <c r="D23" s="267"/>
      <c r="E23" s="25">
        <v>1</v>
      </c>
      <c r="F23" s="1181" t="s">
        <v>349</v>
      </c>
      <c r="G23" s="25">
        <v>713000</v>
      </c>
      <c r="H23" s="25">
        <f>G23*O23</f>
        <v>666589.43751099997</v>
      </c>
      <c r="I23" s="25">
        <f>E23*H23</f>
        <v>666589.43751099997</v>
      </c>
      <c r="J23" s="25">
        <v>10000</v>
      </c>
      <c r="K23" s="25">
        <f>J23*O23</f>
        <v>9349.080469999999</v>
      </c>
      <c r="L23" s="25">
        <f>E23*K23</f>
        <v>9349.080469999999</v>
      </c>
      <c r="M23" s="25">
        <f>I23+L23</f>
        <v>675938.51798100001</v>
      </c>
      <c r="N23" s="594"/>
      <c r="O23" s="595">
        <v>0.93490804699999996</v>
      </c>
      <c r="Q23" s="422"/>
      <c r="R23" s="422"/>
      <c r="S23" s="422"/>
      <c r="T23" s="598"/>
      <c r="U23" s="428"/>
      <c r="V23" s="426"/>
      <c r="W23" s="426"/>
      <c r="X23" s="423"/>
      <c r="Y23" s="423"/>
      <c r="Z23" s="205"/>
    </row>
    <row r="24" spans="1:26" ht="18.95" customHeight="1">
      <c r="A24" s="115"/>
      <c r="B24" s="582"/>
      <c r="C24" s="285"/>
      <c r="D24" s="267"/>
      <c r="E24" s="25"/>
      <c r="F24" s="30"/>
      <c r="G24" s="30"/>
      <c r="H24" s="30"/>
      <c r="I24" s="25"/>
      <c r="J24" s="25"/>
      <c r="K24" s="25"/>
      <c r="L24" s="25"/>
      <c r="M24" s="25"/>
      <c r="N24" s="594"/>
      <c r="O24" s="595">
        <v>0.93490804699999996</v>
      </c>
      <c r="Q24" s="423"/>
      <c r="R24" s="423"/>
      <c r="S24" s="423"/>
      <c r="T24" s="423"/>
      <c r="U24" s="426"/>
      <c r="V24" s="426"/>
      <c r="W24" s="426"/>
      <c r="X24" s="423"/>
      <c r="Y24" s="423"/>
      <c r="Z24" s="205"/>
    </row>
    <row r="25" spans="1:26" ht="18.95" customHeight="1">
      <c r="A25" s="115"/>
      <c r="B25" s="418" t="s">
        <v>3033</v>
      </c>
      <c r="C25" s="285"/>
      <c r="D25" s="267"/>
      <c r="E25" s="25"/>
      <c r="F25" s="30"/>
      <c r="G25" s="25"/>
      <c r="H25" s="25"/>
      <c r="I25" s="25"/>
      <c r="J25" s="25"/>
      <c r="K25" s="25"/>
      <c r="L25" s="25"/>
      <c r="M25" s="25"/>
      <c r="N25" s="594"/>
      <c r="O25" s="595">
        <v>0.93490804699999996</v>
      </c>
      <c r="Q25" s="423" t="s">
        <v>3034</v>
      </c>
      <c r="R25" s="423"/>
      <c r="S25" s="423"/>
      <c r="T25" s="423"/>
      <c r="U25" s="426"/>
      <c r="V25" s="426"/>
      <c r="W25" s="426"/>
      <c r="X25" s="423"/>
      <c r="Y25" s="423"/>
      <c r="Z25" s="205"/>
    </row>
    <row r="26" spans="1:26" ht="18.95" customHeight="1">
      <c r="A26" s="115"/>
      <c r="B26" s="420">
        <v>1.2</v>
      </c>
      <c r="C26" s="285" t="s">
        <v>3035</v>
      </c>
      <c r="D26" s="267"/>
      <c r="E26" s="25"/>
      <c r="F26" s="30"/>
      <c r="G26" s="25"/>
      <c r="H26" s="25"/>
      <c r="I26" s="25"/>
      <c r="J26" s="25"/>
      <c r="K26" s="25"/>
      <c r="L26" s="25"/>
      <c r="M26" s="25"/>
      <c r="N26" s="594"/>
      <c r="O26" s="595">
        <v>0.93490804699999996</v>
      </c>
      <c r="P26" s="596"/>
      <c r="Q26" s="428"/>
      <c r="R26" s="428"/>
      <c r="S26" s="428"/>
      <c r="T26" s="423"/>
      <c r="U26" s="423"/>
      <c r="V26" s="423"/>
      <c r="W26" s="423"/>
      <c r="X26" s="423"/>
      <c r="Y26" s="423"/>
      <c r="Z26" s="205"/>
    </row>
    <row r="27" spans="1:26" ht="18.95" customHeight="1">
      <c r="A27" s="115"/>
      <c r="B27" s="582"/>
      <c r="C27" s="285" t="s">
        <v>3036</v>
      </c>
      <c r="D27" s="267"/>
      <c r="E27" s="25">
        <v>230</v>
      </c>
      <c r="F27" s="1181" t="s">
        <v>286</v>
      </c>
      <c r="G27" s="30">
        <v>35</v>
      </c>
      <c r="H27" s="25">
        <f>G27*O27</f>
        <v>32.721781645</v>
      </c>
      <c r="I27" s="25">
        <f t="shared" ref="I27:I87" si="2">E27*H27</f>
        <v>7526.0097783499996</v>
      </c>
      <c r="J27" s="25">
        <v>30</v>
      </c>
      <c r="K27" s="25">
        <f t="shared" ref="K27:K87" si="3">J27*O27</f>
        <v>28.047241409999998</v>
      </c>
      <c r="L27" s="25">
        <f t="shared" ref="L27:L87" si="4">E27*K27</f>
        <v>6450.8655242999994</v>
      </c>
      <c r="M27" s="25">
        <f t="shared" ref="M27:M35" si="5">I27+L27</f>
        <v>13976.875302649998</v>
      </c>
      <c r="N27" s="594"/>
      <c r="O27" s="595">
        <v>0.93490804699999996</v>
      </c>
      <c r="Q27" s="422"/>
      <c r="R27" s="422"/>
      <c r="S27" s="422"/>
      <c r="T27" s="598"/>
      <c r="U27" s="428"/>
      <c r="V27" s="423"/>
      <c r="W27" s="423"/>
      <c r="X27" s="423"/>
      <c r="Y27" s="423"/>
      <c r="Z27" s="205"/>
    </row>
    <row r="28" spans="1:26" ht="18.95" customHeight="1">
      <c r="A28" s="115"/>
      <c r="B28" s="582"/>
      <c r="C28" s="285" t="s">
        <v>3037</v>
      </c>
      <c r="D28" s="267"/>
      <c r="E28" s="25">
        <v>594</v>
      </c>
      <c r="F28" s="1181" t="s">
        <v>286</v>
      </c>
      <c r="G28" s="30">
        <v>46</v>
      </c>
      <c r="H28" s="25">
        <f t="shared" ref="H28:H89" si="6">G28*O28</f>
        <v>43.005770161999997</v>
      </c>
      <c r="I28" s="25">
        <f t="shared" si="2"/>
        <v>25545.427476228</v>
      </c>
      <c r="J28" s="25">
        <v>30</v>
      </c>
      <c r="K28" s="25">
        <f t="shared" si="3"/>
        <v>28.047241409999998</v>
      </c>
      <c r="L28" s="25">
        <f t="shared" si="4"/>
        <v>16660.061397539997</v>
      </c>
      <c r="M28" s="25">
        <f t="shared" si="5"/>
        <v>42205.488873768001</v>
      </c>
      <c r="N28" s="594"/>
      <c r="O28" s="595">
        <v>0.93490804699999996</v>
      </c>
      <c r="Q28" s="422" t="s">
        <v>3038</v>
      </c>
      <c r="R28" s="566">
        <v>46</v>
      </c>
      <c r="S28" s="422"/>
      <c r="T28" s="598"/>
      <c r="U28" s="428"/>
      <c r="V28" s="423"/>
      <c r="W28" s="423"/>
      <c r="X28" s="423"/>
      <c r="Y28" s="423"/>
      <c r="Z28" s="205"/>
    </row>
    <row r="29" spans="1:26" ht="18.95" customHeight="1">
      <c r="A29" s="115"/>
      <c r="B29" s="582"/>
      <c r="C29" s="285" t="s">
        <v>3039</v>
      </c>
      <c r="D29" s="267"/>
      <c r="E29" s="25">
        <v>404</v>
      </c>
      <c r="F29" s="1181" t="s">
        <v>286</v>
      </c>
      <c r="G29" s="30">
        <v>76</v>
      </c>
      <c r="H29" s="25">
        <f t="shared" si="6"/>
        <v>71.053011572000003</v>
      </c>
      <c r="I29" s="25">
        <f t="shared" si="2"/>
        <v>28705.416675087999</v>
      </c>
      <c r="J29" s="25">
        <v>30</v>
      </c>
      <c r="K29" s="25">
        <f t="shared" si="3"/>
        <v>28.047241409999998</v>
      </c>
      <c r="L29" s="25">
        <f t="shared" si="4"/>
        <v>11331.085529639999</v>
      </c>
      <c r="M29" s="25">
        <f t="shared" si="5"/>
        <v>40036.502204728</v>
      </c>
      <c r="N29" s="594"/>
      <c r="O29" s="595">
        <v>0.93490804699999996</v>
      </c>
      <c r="Q29" s="422" t="s">
        <v>3038</v>
      </c>
      <c r="R29" s="566">
        <v>76</v>
      </c>
      <c r="S29" s="422"/>
      <c r="T29" s="598"/>
      <c r="U29" s="428"/>
      <c r="V29" s="423"/>
      <c r="W29" s="423"/>
      <c r="X29" s="423"/>
      <c r="Y29" s="423"/>
      <c r="Z29" s="205"/>
    </row>
    <row r="30" spans="1:26" ht="18.95" customHeight="1">
      <c r="A30" s="115"/>
      <c r="B30" s="582"/>
      <c r="C30" s="285" t="s">
        <v>3040</v>
      </c>
      <c r="D30" s="267"/>
      <c r="E30" s="25">
        <v>3</v>
      </c>
      <c r="F30" s="1181" t="s">
        <v>286</v>
      </c>
      <c r="G30" s="30">
        <v>113</v>
      </c>
      <c r="H30" s="25">
        <f t="shared" si="6"/>
        <v>105.644609311</v>
      </c>
      <c r="I30" s="25">
        <f t="shared" si="2"/>
        <v>316.93382793299998</v>
      </c>
      <c r="J30" s="25">
        <v>30</v>
      </c>
      <c r="K30" s="25">
        <f t="shared" si="3"/>
        <v>28.047241409999998</v>
      </c>
      <c r="L30" s="25">
        <f t="shared" si="4"/>
        <v>84.141724229999994</v>
      </c>
      <c r="M30" s="25">
        <f t="shared" si="5"/>
        <v>401.075552163</v>
      </c>
      <c r="N30" s="594"/>
      <c r="O30" s="595">
        <v>0.93490804699999996</v>
      </c>
      <c r="Q30" s="422" t="s">
        <v>3038</v>
      </c>
      <c r="R30" s="600">
        <v>113</v>
      </c>
      <c r="S30" s="422"/>
      <c r="T30" s="598"/>
      <c r="U30" s="428"/>
      <c r="V30" s="423"/>
      <c r="W30" s="423"/>
      <c r="X30" s="423"/>
      <c r="Y30" s="423"/>
      <c r="Z30" s="205"/>
    </row>
    <row r="31" spans="1:26" ht="18.95" customHeight="1">
      <c r="A31" s="115"/>
      <c r="B31" s="582"/>
      <c r="C31" s="285" t="s">
        <v>3041</v>
      </c>
      <c r="D31" s="267"/>
      <c r="E31" s="25">
        <v>76</v>
      </c>
      <c r="F31" s="1181" t="s">
        <v>286</v>
      </c>
      <c r="G31" s="30">
        <v>180</v>
      </c>
      <c r="H31" s="25">
        <f t="shared" si="6"/>
        <v>168.28344845999999</v>
      </c>
      <c r="I31" s="25">
        <f t="shared" si="2"/>
        <v>12789.542082959999</v>
      </c>
      <c r="J31" s="25">
        <v>50</v>
      </c>
      <c r="K31" s="25">
        <f t="shared" si="3"/>
        <v>46.745402349999999</v>
      </c>
      <c r="L31" s="25">
        <f t="shared" si="4"/>
        <v>3552.6505785999998</v>
      </c>
      <c r="M31" s="25">
        <f t="shared" si="5"/>
        <v>16342.192661559999</v>
      </c>
      <c r="N31" s="594"/>
      <c r="O31" s="595">
        <v>0.93490804699999996</v>
      </c>
      <c r="Q31" s="422" t="s">
        <v>3038</v>
      </c>
      <c r="R31" s="566">
        <v>180</v>
      </c>
      <c r="S31" s="422"/>
      <c r="T31" s="598"/>
      <c r="U31" s="428"/>
      <c r="V31" s="423"/>
      <c r="W31" s="423"/>
      <c r="X31" s="423"/>
      <c r="Y31" s="423"/>
      <c r="Z31" s="205"/>
    </row>
    <row r="32" spans="1:26" ht="18.95" customHeight="1">
      <c r="A32" s="115"/>
      <c r="B32" s="582"/>
      <c r="C32" s="285" t="s">
        <v>3042</v>
      </c>
      <c r="D32" s="267"/>
      <c r="E32" s="25">
        <v>134</v>
      </c>
      <c r="F32" s="1181" t="s">
        <v>286</v>
      </c>
      <c r="G32" s="30">
        <v>287</v>
      </c>
      <c r="H32" s="25">
        <f t="shared" si="6"/>
        <v>268.31860948899998</v>
      </c>
      <c r="I32" s="25">
        <f t="shared" si="2"/>
        <v>35954.693671525994</v>
      </c>
      <c r="J32" s="25">
        <v>75</v>
      </c>
      <c r="K32" s="25">
        <f t="shared" si="3"/>
        <v>70.118103524999995</v>
      </c>
      <c r="L32" s="25">
        <f t="shared" si="4"/>
        <v>9395.8258723499985</v>
      </c>
      <c r="M32" s="25">
        <f t="shared" si="5"/>
        <v>45350.519543875991</v>
      </c>
      <c r="N32" s="594"/>
      <c r="O32" s="595">
        <v>0.93490804699999996</v>
      </c>
      <c r="Q32" s="422" t="s">
        <v>3038</v>
      </c>
      <c r="R32" s="566">
        <v>287</v>
      </c>
      <c r="S32" s="422"/>
      <c r="T32" s="598"/>
      <c r="U32" s="428"/>
      <c r="V32" s="423"/>
      <c r="W32" s="423"/>
      <c r="X32" s="423"/>
      <c r="Y32" s="423"/>
      <c r="Z32" s="205"/>
    </row>
    <row r="33" spans="1:26" ht="18.95" customHeight="1">
      <c r="A33" s="115"/>
      <c r="B33" s="582"/>
      <c r="C33" s="285" t="s">
        <v>3043</v>
      </c>
      <c r="D33" s="267"/>
      <c r="E33" s="25">
        <v>91</v>
      </c>
      <c r="F33" s="1181" t="s">
        <v>286</v>
      </c>
      <c r="G33" s="30">
        <v>402</v>
      </c>
      <c r="H33" s="25">
        <f t="shared" si="6"/>
        <v>375.83303489399998</v>
      </c>
      <c r="I33" s="25">
        <f t="shared" si="2"/>
        <v>34200.806175353995</v>
      </c>
      <c r="J33" s="25">
        <v>100</v>
      </c>
      <c r="K33" s="25">
        <f t="shared" si="3"/>
        <v>93.490804699999998</v>
      </c>
      <c r="L33" s="25">
        <f t="shared" si="4"/>
        <v>8507.663227699999</v>
      </c>
      <c r="M33" s="25">
        <f t="shared" si="5"/>
        <v>42708.469403053998</v>
      </c>
      <c r="N33" s="594"/>
      <c r="O33" s="595">
        <v>0.93490804699999996</v>
      </c>
      <c r="Q33" s="422" t="s">
        <v>3038</v>
      </c>
      <c r="R33" s="600">
        <v>402</v>
      </c>
      <c r="S33" s="422"/>
      <c r="T33" s="598"/>
      <c r="U33" s="428"/>
      <c r="V33" s="423"/>
      <c r="W33" s="423"/>
      <c r="X33" s="423"/>
      <c r="Y33" s="423"/>
      <c r="Z33" s="205"/>
    </row>
    <row r="34" spans="1:26" ht="18.95" customHeight="1">
      <c r="A34" s="115"/>
      <c r="B34" s="582"/>
      <c r="C34" s="285" t="s">
        <v>3044</v>
      </c>
      <c r="D34" s="267"/>
      <c r="E34" s="25">
        <v>35</v>
      </c>
      <c r="F34" s="1181" t="s">
        <v>286</v>
      </c>
      <c r="G34" s="30">
        <v>562</v>
      </c>
      <c r="H34" s="25">
        <f t="shared" si="6"/>
        <v>525.41832241399993</v>
      </c>
      <c r="I34" s="25">
        <f t="shared" si="2"/>
        <v>18389.641284489997</v>
      </c>
      <c r="J34" s="25">
        <v>120</v>
      </c>
      <c r="K34" s="25">
        <f t="shared" si="3"/>
        <v>112.18896563999999</v>
      </c>
      <c r="L34" s="25">
        <f t="shared" si="4"/>
        <v>3926.6137973999998</v>
      </c>
      <c r="M34" s="25">
        <f t="shared" si="5"/>
        <v>22316.255081889998</v>
      </c>
      <c r="N34" s="594"/>
      <c r="O34" s="595">
        <v>0.93490804699999996</v>
      </c>
      <c r="Q34" s="422" t="s">
        <v>3038</v>
      </c>
      <c r="R34" s="566">
        <v>562</v>
      </c>
      <c r="S34" s="422"/>
      <c r="T34" s="598"/>
      <c r="U34" s="428"/>
      <c r="V34" s="423"/>
      <c r="W34" s="423"/>
      <c r="X34" s="423"/>
      <c r="Y34" s="423"/>
      <c r="Z34" s="205"/>
    </row>
    <row r="35" spans="1:26" ht="18.95" customHeight="1">
      <c r="A35" s="115"/>
      <c r="B35" s="582"/>
      <c r="C35" s="285" t="s">
        <v>3045</v>
      </c>
      <c r="D35" s="267"/>
      <c r="E35" s="25">
        <v>96</v>
      </c>
      <c r="F35" s="1181" t="s">
        <v>286</v>
      </c>
      <c r="G35" s="384">
        <v>834</v>
      </c>
      <c r="H35" s="25">
        <f t="shared" si="6"/>
        <v>779.71331119799993</v>
      </c>
      <c r="I35" s="25">
        <f t="shared" si="2"/>
        <v>74852.477875007986</v>
      </c>
      <c r="J35" s="25">
        <v>150</v>
      </c>
      <c r="K35" s="25">
        <f t="shared" si="3"/>
        <v>140.23620704999999</v>
      </c>
      <c r="L35" s="25">
        <f t="shared" si="4"/>
        <v>13462.6758768</v>
      </c>
      <c r="M35" s="25">
        <f t="shared" si="5"/>
        <v>88315.153751807986</v>
      </c>
      <c r="N35" s="594"/>
      <c r="O35" s="595">
        <v>0.93490804699999996</v>
      </c>
      <c r="P35" s="203"/>
      <c r="Q35" s="422" t="s">
        <v>3038</v>
      </c>
      <c r="R35" s="291">
        <v>834</v>
      </c>
      <c r="S35" s="422"/>
      <c r="T35" s="598"/>
      <c r="U35" s="428"/>
      <c r="V35" s="601"/>
      <c r="W35" s="601"/>
      <c r="X35" s="423"/>
      <c r="Y35" s="423"/>
      <c r="Z35" s="205"/>
    </row>
    <row r="36" spans="1:26" ht="18.95" customHeight="1">
      <c r="A36" s="115"/>
      <c r="B36" s="420">
        <v>1.3</v>
      </c>
      <c r="C36" s="285" t="s">
        <v>3046</v>
      </c>
      <c r="D36" s="267"/>
      <c r="E36" s="25"/>
      <c r="F36" s="30"/>
      <c r="G36" s="30"/>
      <c r="H36" s="25"/>
      <c r="I36" s="25"/>
      <c r="J36" s="25"/>
      <c r="K36" s="25"/>
      <c r="L36" s="25"/>
      <c r="M36" s="25"/>
      <c r="N36" s="594"/>
      <c r="O36" s="595">
        <v>0.93490804699999996</v>
      </c>
      <c r="P36" s="203"/>
      <c r="Q36" s="422"/>
      <c r="R36" s="422"/>
      <c r="S36" s="422"/>
      <c r="T36" s="423"/>
      <c r="U36" s="423"/>
      <c r="V36" s="423"/>
      <c r="W36" s="423"/>
      <c r="X36" s="423"/>
      <c r="Y36" s="423"/>
      <c r="Z36" s="205"/>
    </row>
    <row r="37" spans="1:26" ht="18.95" customHeight="1">
      <c r="A37" s="115"/>
      <c r="B37" s="582"/>
      <c r="C37" s="285" t="s">
        <v>3039</v>
      </c>
      <c r="D37" s="267"/>
      <c r="E37" s="25">
        <v>74</v>
      </c>
      <c r="F37" s="1181" t="s">
        <v>286</v>
      </c>
      <c r="G37" s="30">
        <v>33</v>
      </c>
      <c r="H37" s="25">
        <f t="shared" si="6"/>
        <v>30.851965550999999</v>
      </c>
      <c r="I37" s="25">
        <f t="shared" si="2"/>
        <v>2283.0454507740001</v>
      </c>
      <c r="J37" s="25">
        <v>30</v>
      </c>
      <c r="K37" s="25">
        <f t="shared" si="3"/>
        <v>28.047241409999998</v>
      </c>
      <c r="L37" s="25">
        <f t="shared" si="4"/>
        <v>2075.49586434</v>
      </c>
      <c r="M37" s="25">
        <f t="shared" ref="M37:M44" si="7">I37+L37</f>
        <v>4358.5413151140001</v>
      </c>
      <c r="N37" s="594"/>
      <c r="O37" s="595">
        <v>0.93490804699999996</v>
      </c>
      <c r="Q37" s="422" t="s">
        <v>3047</v>
      </c>
      <c r="R37" s="602">
        <v>33</v>
      </c>
      <c r="S37" s="422"/>
      <c r="T37" s="598"/>
      <c r="U37" s="428"/>
      <c r="V37" s="423"/>
      <c r="W37" s="423"/>
      <c r="X37" s="423"/>
      <c r="Y37" s="423"/>
      <c r="Z37" s="205"/>
    </row>
    <row r="38" spans="1:26" ht="18.95" customHeight="1">
      <c r="A38" s="115"/>
      <c r="B38" s="582"/>
      <c r="C38" s="285" t="s">
        <v>3042</v>
      </c>
      <c r="D38" s="267"/>
      <c r="E38" s="25">
        <v>0</v>
      </c>
      <c r="F38" s="1181" t="s">
        <v>286</v>
      </c>
      <c r="G38" s="30">
        <v>117.7</v>
      </c>
      <c r="H38" s="25">
        <f t="shared" si="6"/>
        <v>110.0386771319</v>
      </c>
      <c r="I38" s="25">
        <f t="shared" si="2"/>
        <v>0</v>
      </c>
      <c r="J38" s="25">
        <v>75</v>
      </c>
      <c r="K38" s="25">
        <f t="shared" si="3"/>
        <v>70.118103524999995</v>
      </c>
      <c r="L38" s="25">
        <f t="shared" si="4"/>
        <v>0</v>
      </c>
      <c r="M38" s="25">
        <f t="shared" si="7"/>
        <v>0</v>
      </c>
      <c r="N38" s="594"/>
      <c r="O38" s="595">
        <v>0.93490804699999996</v>
      </c>
      <c r="Q38" s="422" t="s">
        <v>3047</v>
      </c>
      <c r="R38" s="602">
        <v>117.7</v>
      </c>
      <c r="S38" s="422"/>
      <c r="T38" s="598"/>
      <c r="U38" s="428"/>
      <c r="V38" s="423"/>
      <c r="W38" s="423"/>
      <c r="X38" s="423"/>
      <c r="Y38" s="423"/>
      <c r="Z38" s="205"/>
    </row>
    <row r="39" spans="1:26" ht="18.95" customHeight="1">
      <c r="A39" s="115"/>
      <c r="B39" s="582"/>
      <c r="C39" s="285" t="s">
        <v>3043</v>
      </c>
      <c r="D39" s="267"/>
      <c r="E39" s="25">
        <v>0</v>
      </c>
      <c r="F39" s="1181" t="s">
        <v>286</v>
      </c>
      <c r="G39" s="30">
        <v>166.1</v>
      </c>
      <c r="H39" s="25">
        <f t="shared" si="6"/>
        <v>155.28822660669999</v>
      </c>
      <c r="I39" s="25">
        <f t="shared" si="2"/>
        <v>0</v>
      </c>
      <c r="J39" s="25">
        <v>100</v>
      </c>
      <c r="K39" s="25">
        <f t="shared" si="3"/>
        <v>93.490804699999998</v>
      </c>
      <c r="L39" s="25">
        <f t="shared" si="4"/>
        <v>0</v>
      </c>
      <c r="M39" s="25">
        <f t="shared" si="7"/>
        <v>0</v>
      </c>
      <c r="N39" s="594"/>
      <c r="O39" s="595">
        <v>0.93490804699999996</v>
      </c>
      <c r="Q39" s="422" t="s">
        <v>3047</v>
      </c>
      <c r="R39" s="602">
        <v>166.1</v>
      </c>
      <c r="S39" s="422"/>
      <c r="T39" s="598"/>
      <c r="U39" s="428"/>
      <c r="V39" s="423"/>
      <c r="W39" s="423"/>
      <c r="X39" s="423"/>
      <c r="Y39" s="423"/>
      <c r="Z39" s="205"/>
    </row>
    <row r="40" spans="1:26" ht="18.95" customHeight="1">
      <c r="A40" s="115"/>
      <c r="B40" s="582"/>
      <c r="C40" s="285" t="s">
        <v>3044</v>
      </c>
      <c r="D40" s="267"/>
      <c r="E40" s="25">
        <v>51</v>
      </c>
      <c r="F40" s="1181" t="s">
        <v>286</v>
      </c>
      <c r="G40" s="30">
        <v>228.8</v>
      </c>
      <c r="H40" s="25">
        <f t="shared" si="6"/>
        <v>213.90696115360001</v>
      </c>
      <c r="I40" s="25">
        <f t="shared" si="2"/>
        <v>10909.255018833601</v>
      </c>
      <c r="J40" s="25">
        <v>120</v>
      </c>
      <c r="K40" s="25">
        <f t="shared" si="3"/>
        <v>112.18896563999999</v>
      </c>
      <c r="L40" s="25">
        <f t="shared" si="4"/>
        <v>5721.6372476399993</v>
      </c>
      <c r="M40" s="25">
        <f t="shared" si="7"/>
        <v>16630.892266473602</v>
      </c>
      <c r="N40" s="594"/>
      <c r="O40" s="595">
        <v>0.93490804699999996</v>
      </c>
      <c r="Q40" s="422" t="s">
        <v>3047</v>
      </c>
      <c r="R40" s="602">
        <v>228.8</v>
      </c>
      <c r="S40" s="422"/>
      <c r="T40" s="598"/>
      <c r="U40" s="428"/>
      <c r="V40" s="423"/>
      <c r="W40" s="423"/>
      <c r="X40" s="423"/>
      <c r="Y40" s="423"/>
      <c r="Z40" s="205"/>
    </row>
    <row r="41" spans="1:26" ht="18.95" customHeight="1">
      <c r="A41" s="115"/>
      <c r="B41" s="582"/>
      <c r="C41" s="285" t="s">
        <v>3045</v>
      </c>
      <c r="D41" s="267"/>
      <c r="E41" s="25">
        <v>0</v>
      </c>
      <c r="F41" s="1181" t="s">
        <v>286</v>
      </c>
      <c r="G41" s="30">
        <v>341</v>
      </c>
      <c r="H41" s="25">
        <f t="shared" si="6"/>
        <v>318.80364402699996</v>
      </c>
      <c r="I41" s="25">
        <f t="shared" si="2"/>
        <v>0</v>
      </c>
      <c r="J41" s="25">
        <v>150</v>
      </c>
      <c r="K41" s="25">
        <f t="shared" si="3"/>
        <v>140.23620704999999</v>
      </c>
      <c r="L41" s="25">
        <f t="shared" si="4"/>
        <v>0</v>
      </c>
      <c r="M41" s="25">
        <f t="shared" si="7"/>
        <v>0</v>
      </c>
      <c r="N41" s="594"/>
      <c r="O41" s="595">
        <v>0.93490804699999996</v>
      </c>
      <c r="Q41" s="422" t="s">
        <v>3047</v>
      </c>
      <c r="R41" s="602">
        <v>341</v>
      </c>
      <c r="S41" s="422"/>
      <c r="T41" s="598"/>
      <c r="U41" s="428"/>
      <c r="V41" s="423"/>
      <c r="W41" s="423"/>
      <c r="X41" s="423"/>
      <c r="Y41" s="423"/>
      <c r="Z41" s="205"/>
    </row>
    <row r="42" spans="1:26" ht="18.95" customHeight="1">
      <c r="A42" s="525"/>
      <c r="B42" s="420">
        <v>1.4</v>
      </c>
      <c r="C42" s="285" t="s">
        <v>3048</v>
      </c>
      <c r="D42" s="267"/>
      <c r="E42" s="25">
        <v>1</v>
      </c>
      <c r="F42" s="1181" t="s">
        <v>2193</v>
      </c>
      <c r="G42" s="25">
        <v>125323</v>
      </c>
      <c r="H42" s="25">
        <f t="shared" si="6"/>
        <v>117165.481174181</v>
      </c>
      <c r="I42" s="25">
        <f t="shared" si="2"/>
        <v>117165.481174181</v>
      </c>
      <c r="J42" s="25">
        <v>37597</v>
      </c>
      <c r="K42" s="25">
        <f t="shared" si="3"/>
        <v>35149.737843058996</v>
      </c>
      <c r="L42" s="25">
        <f t="shared" si="4"/>
        <v>35149.737843058996</v>
      </c>
      <c r="M42" s="25">
        <f t="shared" si="7"/>
        <v>152315.21901723999</v>
      </c>
      <c r="N42" s="594"/>
      <c r="O42" s="595">
        <v>0.93490804699999996</v>
      </c>
      <c r="Q42" s="423"/>
      <c r="R42" s="423"/>
      <c r="S42" s="423"/>
      <c r="T42" s="423"/>
      <c r="U42" s="423"/>
      <c r="V42" s="423"/>
      <c r="W42" s="423"/>
      <c r="X42" s="423"/>
      <c r="Y42" s="423"/>
      <c r="Z42" s="205"/>
    </row>
    <row r="43" spans="1:26" ht="18.95" customHeight="1">
      <c r="A43" s="525"/>
      <c r="B43" s="420">
        <v>1.5</v>
      </c>
      <c r="C43" s="285" t="s">
        <v>3049</v>
      </c>
      <c r="D43" s="267"/>
      <c r="E43" s="25">
        <v>1</v>
      </c>
      <c r="F43" s="1181" t="s">
        <v>2193</v>
      </c>
      <c r="G43" s="25">
        <v>50130</v>
      </c>
      <c r="H43" s="25">
        <f t="shared" si="6"/>
        <v>46866.940396109996</v>
      </c>
      <c r="I43" s="25">
        <f t="shared" si="2"/>
        <v>46866.940396109996</v>
      </c>
      <c r="J43" s="25">
        <v>15039</v>
      </c>
      <c r="K43" s="25">
        <f t="shared" si="3"/>
        <v>14060.082118832999</v>
      </c>
      <c r="L43" s="25">
        <f t="shared" si="4"/>
        <v>14060.082118832999</v>
      </c>
      <c r="M43" s="25">
        <f t="shared" si="7"/>
        <v>60927.022514942997</v>
      </c>
      <c r="N43" s="594"/>
      <c r="O43" s="595">
        <v>0.93490804699999996</v>
      </c>
      <c r="Q43" s="423"/>
      <c r="R43" s="423"/>
      <c r="S43" s="423"/>
      <c r="T43" s="423"/>
      <c r="U43" s="423"/>
      <c r="V43" s="423"/>
      <c r="W43" s="423"/>
      <c r="X43" s="423"/>
      <c r="Y43" s="423"/>
      <c r="Z43" s="205"/>
    </row>
    <row r="44" spans="1:26" ht="18.95" customHeight="1">
      <c r="A44" s="525"/>
      <c r="B44" s="420">
        <v>1.6</v>
      </c>
      <c r="C44" s="285" t="s">
        <v>3050</v>
      </c>
      <c r="D44" s="267"/>
      <c r="E44" s="25">
        <v>1</v>
      </c>
      <c r="F44" s="1181" t="s">
        <v>2193</v>
      </c>
      <c r="G44" s="25">
        <v>25065</v>
      </c>
      <c r="H44" s="25">
        <f t="shared" si="6"/>
        <v>23433.470198054998</v>
      </c>
      <c r="I44" s="25">
        <f t="shared" si="2"/>
        <v>23433.470198054998</v>
      </c>
      <c r="J44" s="25">
        <v>7520</v>
      </c>
      <c r="K44" s="25">
        <f t="shared" si="3"/>
        <v>7030.5085134399997</v>
      </c>
      <c r="L44" s="25">
        <f t="shared" si="4"/>
        <v>7030.5085134399997</v>
      </c>
      <c r="M44" s="25">
        <f t="shared" si="7"/>
        <v>30463.978711494998</v>
      </c>
      <c r="N44" s="594"/>
      <c r="O44" s="595">
        <v>0.93490804699999996</v>
      </c>
      <c r="Q44" s="423"/>
      <c r="R44" s="423"/>
      <c r="S44" s="423"/>
      <c r="T44" s="423"/>
      <c r="U44" s="423"/>
      <c r="V44" s="423"/>
      <c r="W44" s="423"/>
      <c r="X44" s="423"/>
      <c r="Y44" s="423"/>
      <c r="Z44" s="205"/>
    </row>
    <row r="45" spans="1:26" ht="18.95" customHeight="1">
      <c r="A45" s="525"/>
      <c r="B45" s="420"/>
      <c r="C45" s="285"/>
      <c r="D45" s="267"/>
      <c r="E45" s="25"/>
      <c r="F45" s="30"/>
      <c r="G45" s="25"/>
      <c r="H45" s="25"/>
      <c r="I45" s="25"/>
      <c r="J45" s="25"/>
      <c r="K45" s="25"/>
      <c r="L45" s="25"/>
      <c r="M45" s="25"/>
      <c r="N45" s="594"/>
      <c r="O45" s="595">
        <v>0.93490804699999996</v>
      </c>
      <c r="Q45" s="423"/>
      <c r="R45" s="423"/>
      <c r="S45" s="423"/>
      <c r="T45" s="423"/>
      <c r="U45" s="423"/>
      <c r="V45" s="423"/>
      <c r="W45" s="423"/>
      <c r="X45" s="423"/>
      <c r="Y45" s="423"/>
      <c r="Z45" s="205"/>
    </row>
    <row r="46" spans="1:26" ht="18.95" customHeight="1">
      <c r="A46" s="525"/>
      <c r="B46" s="583"/>
      <c r="C46" s="285"/>
      <c r="D46" s="267"/>
      <c r="E46" s="25"/>
      <c r="F46" s="30"/>
      <c r="G46" s="25"/>
      <c r="H46" s="25"/>
      <c r="I46" s="25"/>
      <c r="J46" s="25"/>
      <c r="K46" s="25"/>
      <c r="L46" s="25"/>
      <c r="M46" s="25"/>
      <c r="N46" s="594"/>
      <c r="O46" s="595">
        <v>0.93490804699999996</v>
      </c>
      <c r="Q46" s="423"/>
      <c r="R46" s="423"/>
      <c r="S46" s="423"/>
      <c r="T46" s="423"/>
      <c r="U46" s="423"/>
      <c r="V46" s="423"/>
      <c r="W46" s="423"/>
      <c r="X46" s="423"/>
      <c r="Y46" s="423"/>
      <c r="Z46" s="205"/>
    </row>
    <row r="47" spans="1:26" ht="18.95" customHeight="1">
      <c r="A47" s="525"/>
      <c r="B47" s="418" t="s">
        <v>3051</v>
      </c>
      <c r="C47" s="285"/>
      <c r="D47" s="267"/>
      <c r="E47" s="25"/>
      <c r="F47" s="30"/>
      <c r="G47" s="25"/>
      <c r="H47" s="25"/>
      <c r="I47" s="25"/>
      <c r="J47" s="25"/>
      <c r="K47" s="25"/>
      <c r="L47" s="25"/>
      <c r="M47" s="25"/>
      <c r="N47" s="594"/>
      <c r="O47" s="595">
        <v>0.93490804699999996</v>
      </c>
      <c r="Q47" s="423"/>
      <c r="R47" s="423"/>
      <c r="S47" s="423"/>
      <c r="T47" s="423"/>
      <c r="U47" s="423"/>
      <c r="V47" s="423"/>
      <c r="W47" s="423"/>
      <c r="X47" s="423"/>
      <c r="Y47" s="423"/>
      <c r="Z47" s="205"/>
    </row>
    <row r="48" spans="1:26" ht="18.95" customHeight="1">
      <c r="A48" s="115"/>
      <c r="B48" s="420">
        <v>1.7</v>
      </c>
      <c r="C48" s="285" t="s">
        <v>3052</v>
      </c>
      <c r="D48" s="267"/>
      <c r="E48" s="25"/>
      <c r="F48" s="30"/>
      <c r="G48" s="25"/>
      <c r="H48" s="25"/>
      <c r="I48" s="25"/>
      <c r="J48" s="25"/>
      <c r="K48" s="25"/>
      <c r="L48" s="25"/>
      <c r="M48" s="25"/>
      <c r="N48" s="594"/>
      <c r="O48" s="595">
        <v>0.93490804699999996</v>
      </c>
      <c r="Q48" s="423"/>
      <c r="R48" s="423"/>
      <c r="S48" s="422"/>
      <c r="T48" s="422"/>
      <c r="U48" s="423"/>
      <c r="V48" s="423"/>
      <c r="W48" s="423"/>
      <c r="X48" s="423"/>
      <c r="Y48" s="423"/>
      <c r="Z48" s="205"/>
    </row>
    <row r="49" spans="1:26" ht="18.95" customHeight="1">
      <c r="A49" s="115"/>
      <c r="B49" s="582"/>
      <c r="C49" s="285" t="s">
        <v>3053</v>
      </c>
      <c r="D49" s="267"/>
      <c r="E49" s="25">
        <v>8</v>
      </c>
      <c r="F49" s="1181" t="s">
        <v>349</v>
      </c>
      <c r="G49" s="25">
        <v>2260</v>
      </c>
      <c r="H49" s="25">
        <f t="shared" si="6"/>
        <v>2112.89218622</v>
      </c>
      <c r="I49" s="25">
        <f t="shared" si="2"/>
        <v>16903.13748976</v>
      </c>
      <c r="J49" s="25">
        <v>600</v>
      </c>
      <c r="K49" s="25">
        <f t="shared" si="3"/>
        <v>560.94482819999996</v>
      </c>
      <c r="L49" s="25">
        <f t="shared" si="4"/>
        <v>4487.5586255999997</v>
      </c>
      <c r="M49" s="25">
        <f>I49+L49</f>
        <v>21390.696115359999</v>
      </c>
      <c r="N49" s="594"/>
      <c r="O49" s="595">
        <v>0.93490804699999996</v>
      </c>
      <c r="Q49" s="422"/>
      <c r="R49" s="422"/>
      <c r="S49" s="422"/>
      <c r="T49" s="598"/>
      <c r="U49" s="428"/>
      <c r="V49" s="423"/>
      <c r="W49" s="423"/>
      <c r="X49" s="423"/>
      <c r="Y49" s="423"/>
      <c r="Z49" s="205"/>
    </row>
    <row r="50" spans="1:26" ht="18.95" customHeight="1">
      <c r="A50" s="115"/>
      <c r="B50" s="582"/>
      <c r="C50" s="285" t="s">
        <v>3054</v>
      </c>
      <c r="D50" s="267"/>
      <c r="E50" s="25">
        <v>5</v>
      </c>
      <c r="F50" s="1181" t="s">
        <v>349</v>
      </c>
      <c r="G50" s="25">
        <v>3245</v>
      </c>
      <c r="H50" s="25">
        <f t="shared" si="6"/>
        <v>3033.7766125149997</v>
      </c>
      <c r="I50" s="25">
        <f t="shared" si="2"/>
        <v>15168.883062574998</v>
      </c>
      <c r="J50" s="25">
        <v>800</v>
      </c>
      <c r="K50" s="25">
        <f t="shared" si="3"/>
        <v>747.92643759999999</v>
      </c>
      <c r="L50" s="25">
        <f t="shared" si="4"/>
        <v>3739.632188</v>
      </c>
      <c r="M50" s="25">
        <f>I50+L50</f>
        <v>18908.515250574997</v>
      </c>
      <c r="N50" s="594"/>
      <c r="O50" s="595">
        <v>0.93490804699999996</v>
      </c>
      <c r="Q50" s="422"/>
      <c r="R50" s="422"/>
      <c r="S50" s="422"/>
      <c r="T50" s="598"/>
      <c r="U50" s="428"/>
      <c r="V50" s="423"/>
      <c r="W50" s="423"/>
      <c r="X50" s="423"/>
      <c r="Y50" s="423"/>
      <c r="Z50" s="205"/>
    </row>
    <row r="51" spans="1:26" ht="18.95" customHeight="1">
      <c r="A51" s="115"/>
      <c r="B51" s="420">
        <v>1.8</v>
      </c>
      <c r="C51" s="285" t="s">
        <v>3055</v>
      </c>
      <c r="D51" s="267"/>
      <c r="E51" s="25"/>
      <c r="F51" s="30"/>
      <c r="G51" s="25"/>
      <c r="H51" s="25"/>
      <c r="I51" s="25"/>
      <c r="J51" s="25"/>
      <c r="K51" s="25"/>
      <c r="L51" s="25"/>
      <c r="M51" s="25"/>
      <c r="N51" s="594"/>
      <c r="O51" s="595">
        <v>0.93490804699999996</v>
      </c>
      <c r="Q51" s="422"/>
      <c r="R51" s="422"/>
      <c r="S51" s="422"/>
      <c r="T51" s="598"/>
      <c r="U51" s="428"/>
      <c r="V51" s="423"/>
      <c r="W51" s="423"/>
      <c r="X51" s="423"/>
      <c r="Y51" s="423"/>
      <c r="Z51" s="205"/>
    </row>
    <row r="52" spans="1:26" ht="18.95" customHeight="1">
      <c r="A52" s="115"/>
      <c r="B52" s="582"/>
      <c r="C52" s="285" t="s">
        <v>3054</v>
      </c>
      <c r="D52" s="267"/>
      <c r="E52" s="25">
        <v>1</v>
      </c>
      <c r="F52" s="1181" t="s">
        <v>349</v>
      </c>
      <c r="G52" s="30">
        <v>8635</v>
      </c>
      <c r="H52" s="25">
        <f t="shared" si="6"/>
        <v>8072.9309858449997</v>
      </c>
      <c r="I52" s="25">
        <f t="shared" si="2"/>
        <v>8072.9309858449997</v>
      </c>
      <c r="J52" s="25">
        <v>400</v>
      </c>
      <c r="K52" s="25">
        <f t="shared" si="3"/>
        <v>373.96321879999999</v>
      </c>
      <c r="L52" s="25">
        <f t="shared" si="4"/>
        <v>373.96321879999999</v>
      </c>
      <c r="M52" s="25">
        <f>I52+L52</f>
        <v>8446.8942046449993</v>
      </c>
      <c r="N52" s="594"/>
      <c r="O52" s="595">
        <v>0.93490804699999996</v>
      </c>
      <c r="Q52" s="422"/>
      <c r="R52" s="422"/>
      <c r="S52" s="422"/>
      <c r="T52" s="598"/>
      <c r="U52" s="428"/>
      <c r="V52" s="423"/>
      <c r="W52" s="423"/>
      <c r="X52" s="423"/>
      <c r="Y52" s="423"/>
      <c r="Z52" s="205"/>
    </row>
    <row r="53" spans="1:26" ht="18.95" customHeight="1">
      <c r="A53" s="21"/>
      <c r="B53" s="584">
        <v>1.9</v>
      </c>
      <c r="C53" s="285" t="s">
        <v>3056</v>
      </c>
      <c r="D53" s="267"/>
      <c r="E53" s="25"/>
      <c r="F53" s="30"/>
      <c r="G53" s="30"/>
      <c r="H53" s="25"/>
      <c r="I53" s="25"/>
      <c r="J53" s="25"/>
      <c r="K53" s="25"/>
      <c r="L53" s="25"/>
      <c r="M53" s="25"/>
      <c r="N53" s="594"/>
      <c r="O53" s="595">
        <v>0.93490804699999996</v>
      </c>
      <c r="Q53" s="422"/>
      <c r="R53" s="422"/>
      <c r="S53" s="422"/>
      <c r="T53" s="598"/>
      <c r="U53" s="428"/>
      <c r="V53" s="423"/>
      <c r="W53" s="423"/>
      <c r="X53" s="423"/>
      <c r="Y53" s="423"/>
      <c r="Z53" s="205"/>
    </row>
    <row r="54" spans="1:26" ht="18.95" customHeight="1">
      <c r="A54" s="21"/>
      <c r="B54" s="582"/>
      <c r="C54" s="285" t="s">
        <v>3057</v>
      </c>
      <c r="D54" s="267"/>
      <c r="E54" s="25">
        <v>28</v>
      </c>
      <c r="F54" s="1181" t="s">
        <v>349</v>
      </c>
      <c r="G54" s="30">
        <v>630</v>
      </c>
      <c r="H54" s="25">
        <f t="shared" si="6"/>
        <v>588.99206960999993</v>
      </c>
      <c r="I54" s="25">
        <f t="shared" si="2"/>
        <v>16491.777949079999</v>
      </c>
      <c r="J54" s="25">
        <v>150</v>
      </c>
      <c r="K54" s="25">
        <f t="shared" si="3"/>
        <v>140.23620704999999</v>
      </c>
      <c r="L54" s="25">
        <f t="shared" si="4"/>
        <v>3926.6137973999998</v>
      </c>
      <c r="M54" s="25">
        <f t="shared" ref="M54:M59" si="8">I54+L54</f>
        <v>20418.39174648</v>
      </c>
      <c r="N54" s="594"/>
      <c r="O54" s="595">
        <v>0.93490804699999996</v>
      </c>
      <c r="Q54" s="422"/>
      <c r="R54" s="422"/>
      <c r="S54" s="422"/>
      <c r="T54" s="598"/>
      <c r="U54" s="428"/>
      <c r="V54" s="423"/>
      <c r="W54" s="423"/>
      <c r="X54" s="423"/>
      <c r="Y54" s="423"/>
      <c r="Z54" s="205"/>
    </row>
    <row r="55" spans="1:26" ht="18.95" customHeight="1">
      <c r="A55" s="115"/>
      <c r="B55" s="582"/>
      <c r="C55" s="285" t="s">
        <v>3058</v>
      </c>
      <c r="D55" s="267"/>
      <c r="E55" s="25">
        <v>20</v>
      </c>
      <c r="F55" s="1181" t="s">
        <v>349</v>
      </c>
      <c r="G55" s="25">
        <v>890</v>
      </c>
      <c r="H55" s="25">
        <f t="shared" si="6"/>
        <v>832.06816183000001</v>
      </c>
      <c r="I55" s="25">
        <f t="shared" si="2"/>
        <v>16641.363236600002</v>
      </c>
      <c r="J55" s="25">
        <v>200</v>
      </c>
      <c r="K55" s="25">
        <f t="shared" si="3"/>
        <v>186.9816094</v>
      </c>
      <c r="L55" s="25">
        <f t="shared" si="4"/>
        <v>3739.632188</v>
      </c>
      <c r="M55" s="25">
        <f t="shared" si="8"/>
        <v>20380.995424600002</v>
      </c>
      <c r="N55" s="594"/>
      <c r="O55" s="595">
        <v>0.93490804699999996</v>
      </c>
      <c r="Q55" s="422"/>
      <c r="R55" s="422"/>
      <c r="S55" s="422"/>
      <c r="T55" s="598"/>
      <c r="U55" s="428"/>
      <c r="V55" s="423"/>
      <c r="W55" s="423"/>
      <c r="X55" s="423"/>
      <c r="Y55" s="423"/>
      <c r="Z55" s="205"/>
    </row>
    <row r="56" spans="1:26" ht="18.95" customHeight="1">
      <c r="A56" s="525"/>
      <c r="B56" s="582"/>
      <c r="C56" s="285" t="s">
        <v>3059</v>
      </c>
      <c r="D56" s="267"/>
      <c r="E56" s="25">
        <v>0</v>
      </c>
      <c r="F56" s="1181" t="s">
        <v>349</v>
      </c>
      <c r="G56" s="30"/>
      <c r="H56" s="25"/>
      <c r="I56" s="25"/>
      <c r="J56" s="25"/>
      <c r="K56" s="25"/>
      <c r="L56" s="25"/>
      <c r="M56" s="25"/>
      <c r="N56" s="594"/>
      <c r="O56" s="595">
        <v>0.93490804699999996</v>
      </c>
      <c r="Q56" s="422"/>
      <c r="R56" s="422"/>
      <c r="S56" s="422"/>
      <c r="T56" s="598"/>
      <c r="U56" s="428"/>
      <c r="V56" s="423"/>
      <c r="W56" s="423"/>
      <c r="X56" s="423"/>
      <c r="Y56" s="423"/>
      <c r="Z56" s="205"/>
    </row>
    <row r="57" spans="1:26" ht="18.95" customHeight="1">
      <c r="A57" s="525"/>
      <c r="B57" s="582"/>
      <c r="C57" s="285" t="s">
        <v>3060</v>
      </c>
      <c r="D57" s="267"/>
      <c r="E57" s="25">
        <v>7</v>
      </c>
      <c r="F57" s="1181" t="s">
        <v>349</v>
      </c>
      <c r="G57" s="30">
        <v>1295</v>
      </c>
      <c r="H57" s="25">
        <f t="shared" si="6"/>
        <v>1210.7059208650001</v>
      </c>
      <c r="I57" s="25">
        <f t="shared" si="2"/>
        <v>8474.9414460549997</v>
      </c>
      <c r="J57" s="25">
        <v>300</v>
      </c>
      <c r="K57" s="25">
        <f t="shared" si="3"/>
        <v>280.47241409999998</v>
      </c>
      <c r="L57" s="25">
        <f t="shared" si="4"/>
        <v>1963.3068986999999</v>
      </c>
      <c r="M57" s="25">
        <f t="shared" si="8"/>
        <v>10438.248344755</v>
      </c>
      <c r="N57" s="594"/>
      <c r="O57" s="595">
        <v>0.93490804699999996</v>
      </c>
      <c r="Q57" s="422"/>
      <c r="R57" s="422"/>
      <c r="S57" s="422"/>
      <c r="T57" s="598"/>
      <c r="U57" s="428"/>
      <c r="V57" s="423"/>
      <c r="W57" s="423"/>
      <c r="X57" s="423"/>
      <c r="Y57" s="423"/>
      <c r="Z57" s="205"/>
    </row>
    <row r="58" spans="1:26" ht="18.95" customHeight="1">
      <c r="A58" s="525"/>
      <c r="B58" s="582"/>
      <c r="C58" s="285" t="s">
        <v>3061</v>
      </c>
      <c r="D58" s="267"/>
      <c r="E58" s="25">
        <v>7</v>
      </c>
      <c r="F58" s="1181" t="s">
        <v>349</v>
      </c>
      <c r="G58" s="30">
        <v>2695</v>
      </c>
      <c r="H58" s="25">
        <f t="shared" si="6"/>
        <v>2519.5771866649998</v>
      </c>
      <c r="I58" s="25">
        <f t="shared" si="2"/>
        <v>17637.040306654999</v>
      </c>
      <c r="J58" s="25">
        <v>400</v>
      </c>
      <c r="K58" s="25">
        <f t="shared" si="3"/>
        <v>373.96321879999999</v>
      </c>
      <c r="L58" s="25">
        <f t="shared" si="4"/>
        <v>2617.7425315999999</v>
      </c>
      <c r="M58" s="25">
        <f t="shared" si="8"/>
        <v>20254.782838255</v>
      </c>
      <c r="N58" s="594"/>
      <c r="O58" s="595">
        <v>0.93490804699999996</v>
      </c>
      <c r="Q58" s="422"/>
      <c r="R58" s="422"/>
      <c r="S58" s="422"/>
      <c r="T58" s="598"/>
      <c r="U58" s="428"/>
      <c r="V58" s="423"/>
      <c r="W58" s="423"/>
      <c r="X58" s="423"/>
      <c r="Y58" s="423"/>
      <c r="Z58" s="205"/>
    </row>
    <row r="59" spans="1:26" ht="18.95" customHeight="1">
      <c r="A59" s="115"/>
      <c r="B59" s="582"/>
      <c r="C59" s="285" t="s">
        <v>3062</v>
      </c>
      <c r="D59" s="267"/>
      <c r="E59" s="25">
        <v>6</v>
      </c>
      <c r="F59" s="1181" t="s">
        <v>349</v>
      </c>
      <c r="G59" s="30">
        <v>6750</v>
      </c>
      <c r="H59" s="25">
        <f t="shared" si="6"/>
        <v>6310.62931725</v>
      </c>
      <c r="I59" s="25">
        <f t="shared" si="2"/>
        <v>37863.775903499998</v>
      </c>
      <c r="J59" s="25">
        <v>500</v>
      </c>
      <c r="K59" s="25">
        <f t="shared" si="3"/>
        <v>467.45402350000001</v>
      </c>
      <c r="L59" s="25">
        <f t="shared" si="4"/>
        <v>2804.7241410000001</v>
      </c>
      <c r="M59" s="25">
        <f t="shared" si="8"/>
        <v>40668.500044499997</v>
      </c>
      <c r="N59" s="594"/>
      <c r="O59" s="595">
        <v>0.93490804699999996</v>
      </c>
      <c r="Q59" s="422"/>
      <c r="R59" s="422"/>
      <c r="S59" s="422"/>
      <c r="T59" s="598"/>
      <c r="U59" s="428"/>
      <c r="V59" s="423"/>
      <c r="W59" s="423"/>
      <c r="X59" s="423"/>
      <c r="Y59" s="423"/>
      <c r="Z59" s="205"/>
    </row>
    <row r="60" spans="1:26" ht="18.95" customHeight="1">
      <c r="A60" s="525"/>
      <c r="B60" s="583">
        <v>1.1000000000000001</v>
      </c>
      <c r="C60" s="285" t="s">
        <v>3063</v>
      </c>
      <c r="D60" s="267"/>
      <c r="E60" s="25"/>
      <c r="F60" s="30"/>
      <c r="G60" s="25"/>
      <c r="H60" s="25"/>
      <c r="I60" s="25"/>
      <c r="J60" s="25"/>
      <c r="K60" s="25"/>
      <c r="L60" s="25"/>
      <c r="M60" s="25"/>
      <c r="N60" s="594"/>
      <c r="O60" s="595">
        <v>0.93490804699999996</v>
      </c>
      <c r="Q60" s="422"/>
      <c r="R60" s="422"/>
      <c r="S60" s="422"/>
      <c r="T60" s="598"/>
      <c r="U60" s="428"/>
      <c r="V60" s="423"/>
      <c r="W60" s="423"/>
      <c r="X60" s="423"/>
      <c r="Y60" s="423"/>
      <c r="Z60" s="205"/>
    </row>
    <row r="61" spans="1:26" ht="18.95" customHeight="1">
      <c r="A61" s="525"/>
      <c r="B61" s="582"/>
      <c r="C61" s="285" t="s">
        <v>3053</v>
      </c>
      <c r="D61" s="267"/>
      <c r="E61" s="25">
        <v>2</v>
      </c>
      <c r="F61" s="1181" t="s">
        <v>349</v>
      </c>
      <c r="G61" s="25">
        <v>32000</v>
      </c>
      <c r="H61" s="25">
        <f t="shared" si="6"/>
        <v>29917.057504</v>
      </c>
      <c r="I61" s="25">
        <f t="shared" si="2"/>
        <v>59834.115008000001</v>
      </c>
      <c r="J61" s="25">
        <v>600</v>
      </c>
      <c r="K61" s="25">
        <f t="shared" si="3"/>
        <v>560.94482819999996</v>
      </c>
      <c r="L61" s="25">
        <f t="shared" si="4"/>
        <v>1121.8896563999999</v>
      </c>
      <c r="M61" s="25">
        <f>I61+L61</f>
        <v>60956.004664400003</v>
      </c>
      <c r="N61" s="594"/>
      <c r="O61" s="595">
        <v>0.93490804699999996</v>
      </c>
      <c r="Q61" s="422"/>
      <c r="R61" s="422"/>
      <c r="S61" s="422"/>
      <c r="T61" s="598"/>
      <c r="U61" s="428"/>
      <c r="V61" s="603"/>
      <c r="W61" s="422"/>
      <c r="X61" s="598"/>
      <c r="Y61" s="428"/>
      <c r="Z61" s="205"/>
    </row>
    <row r="62" spans="1:26" ht="18.95" customHeight="1">
      <c r="A62" s="525"/>
      <c r="B62" s="583">
        <v>1.1100000000000001</v>
      </c>
      <c r="C62" s="285" t="s">
        <v>3064</v>
      </c>
      <c r="D62" s="267"/>
      <c r="E62" s="25"/>
      <c r="F62" s="30"/>
      <c r="G62" s="25"/>
      <c r="H62" s="25"/>
      <c r="I62" s="25"/>
      <c r="J62" s="25"/>
      <c r="K62" s="25"/>
      <c r="L62" s="25"/>
      <c r="M62" s="25"/>
      <c r="N62" s="594"/>
      <c r="O62" s="595">
        <v>0.93490804699999996</v>
      </c>
      <c r="Q62" s="422"/>
      <c r="R62" s="422"/>
      <c r="S62" s="422"/>
      <c r="T62" s="598"/>
      <c r="U62" s="428"/>
      <c r="V62" s="423"/>
      <c r="W62" s="423"/>
      <c r="X62" s="423"/>
      <c r="Y62" s="423"/>
      <c r="Z62" s="205"/>
    </row>
    <row r="63" spans="1:26" ht="18.95" customHeight="1">
      <c r="A63" s="525"/>
      <c r="B63" s="582"/>
      <c r="C63" s="285" t="s">
        <v>3058</v>
      </c>
      <c r="D63" s="267"/>
      <c r="E63" s="25">
        <v>2</v>
      </c>
      <c r="F63" s="1181" t="s">
        <v>349</v>
      </c>
      <c r="G63" s="25">
        <v>755</v>
      </c>
      <c r="H63" s="25">
        <f t="shared" si="6"/>
        <v>705.85557548499992</v>
      </c>
      <c r="I63" s="25">
        <f t="shared" si="2"/>
        <v>1411.7111509699998</v>
      </c>
      <c r="J63" s="25">
        <v>200</v>
      </c>
      <c r="K63" s="25">
        <f t="shared" si="3"/>
        <v>186.9816094</v>
      </c>
      <c r="L63" s="25">
        <f t="shared" si="4"/>
        <v>373.96321879999999</v>
      </c>
      <c r="M63" s="25">
        <f t="shared" ref="M63:M68" si="9">I63+L63</f>
        <v>1785.6743697699999</v>
      </c>
      <c r="N63" s="594"/>
      <c r="O63" s="595">
        <v>0.93490804699999996</v>
      </c>
      <c r="Q63" s="422"/>
      <c r="R63" s="422"/>
      <c r="S63" s="422"/>
      <c r="T63" s="598"/>
      <c r="U63" s="428"/>
      <c r="V63" s="423"/>
      <c r="W63" s="423"/>
      <c r="X63" s="423"/>
      <c r="Y63" s="423"/>
      <c r="Z63" s="205"/>
    </row>
    <row r="64" spans="1:26" ht="18.95" customHeight="1">
      <c r="A64" s="525"/>
      <c r="B64" s="582"/>
      <c r="C64" s="285" t="s">
        <v>3065</v>
      </c>
      <c r="D64" s="267"/>
      <c r="E64" s="25">
        <v>2</v>
      </c>
      <c r="F64" s="1181" t="s">
        <v>349</v>
      </c>
      <c r="G64" s="30">
        <v>1170</v>
      </c>
      <c r="H64" s="25">
        <f t="shared" si="6"/>
        <v>1093.84241499</v>
      </c>
      <c r="I64" s="25">
        <f t="shared" si="2"/>
        <v>2187.6848299799999</v>
      </c>
      <c r="J64" s="25">
        <v>300</v>
      </c>
      <c r="K64" s="25">
        <f t="shared" si="3"/>
        <v>280.47241409999998</v>
      </c>
      <c r="L64" s="25">
        <f t="shared" si="4"/>
        <v>560.94482819999996</v>
      </c>
      <c r="M64" s="25">
        <f t="shared" si="9"/>
        <v>2748.6296581799998</v>
      </c>
      <c r="N64" s="594"/>
      <c r="O64" s="595">
        <v>0.93490804699999996</v>
      </c>
      <c r="Q64" s="422"/>
      <c r="R64" s="422"/>
      <c r="S64" s="422"/>
      <c r="T64" s="598"/>
      <c r="U64" s="428"/>
      <c r="V64" s="423"/>
      <c r="W64" s="423"/>
      <c r="X64" s="423"/>
      <c r="Y64" s="423"/>
      <c r="Z64" s="205"/>
    </row>
    <row r="65" spans="1:26" ht="18.95" customHeight="1">
      <c r="A65" s="525"/>
      <c r="B65" s="582"/>
      <c r="C65" s="285" t="s">
        <v>3061</v>
      </c>
      <c r="D65" s="267"/>
      <c r="E65" s="25">
        <v>3</v>
      </c>
      <c r="F65" s="1181" t="s">
        <v>349</v>
      </c>
      <c r="G65" s="30">
        <v>2540</v>
      </c>
      <c r="H65" s="25">
        <f t="shared" si="6"/>
        <v>2374.6664393799997</v>
      </c>
      <c r="I65" s="25">
        <f t="shared" si="2"/>
        <v>7123.9993181399986</v>
      </c>
      <c r="J65" s="25">
        <v>400</v>
      </c>
      <c r="K65" s="25">
        <f t="shared" si="3"/>
        <v>373.96321879999999</v>
      </c>
      <c r="L65" s="25">
        <f t="shared" si="4"/>
        <v>1121.8896563999999</v>
      </c>
      <c r="M65" s="25">
        <f t="shared" si="9"/>
        <v>8245.8889745399993</v>
      </c>
      <c r="N65" s="594"/>
      <c r="O65" s="595">
        <v>0.93490804699999996</v>
      </c>
      <c r="Q65" s="422"/>
      <c r="R65" s="422"/>
      <c r="S65" s="422"/>
      <c r="T65" s="598"/>
      <c r="U65" s="428"/>
      <c r="V65" s="423"/>
      <c r="W65" s="423"/>
      <c r="X65" s="423"/>
      <c r="Y65" s="423"/>
      <c r="Z65" s="205"/>
    </row>
    <row r="66" spans="1:26" ht="18.95" customHeight="1">
      <c r="A66" s="115"/>
      <c r="B66" s="582"/>
      <c r="C66" s="285" t="s">
        <v>3062</v>
      </c>
      <c r="D66" s="267"/>
      <c r="E66" s="25">
        <v>2</v>
      </c>
      <c r="F66" s="1181" t="s">
        <v>349</v>
      </c>
      <c r="G66" s="25">
        <v>3370</v>
      </c>
      <c r="H66" s="25">
        <f t="shared" si="6"/>
        <v>3150.6401183899998</v>
      </c>
      <c r="I66" s="25">
        <f t="shared" si="2"/>
        <v>6301.2802367799995</v>
      </c>
      <c r="J66" s="25">
        <v>500</v>
      </c>
      <c r="K66" s="25">
        <f t="shared" si="3"/>
        <v>467.45402350000001</v>
      </c>
      <c r="L66" s="25">
        <f t="shared" si="4"/>
        <v>934.90804700000001</v>
      </c>
      <c r="M66" s="25">
        <f t="shared" si="9"/>
        <v>7236.1882837799994</v>
      </c>
      <c r="N66" s="594"/>
      <c r="O66" s="595">
        <v>0.93490804699999996</v>
      </c>
      <c r="Q66" s="422"/>
      <c r="R66" s="422"/>
      <c r="S66" s="422"/>
      <c r="T66" s="598"/>
      <c r="U66" s="428"/>
      <c r="V66" s="423"/>
      <c r="W66" s="423"/>
      <c r="X66" s="423"/>
      <c r="Y66" s="423"/>
      <c r="Z66" s="205"/>
    </row>
    <row r="67" spans="1:26" ht="18.95" customHeight="1">
      <c r="A67" s="21"/>
      <c r="B67" s="582"/>
      <c r="C67" s="285" t="s">
        <v>3053</v>
      </c>
      <c r="D67" s="267"/>
      <c r="E67" s="25">
        <v>0</v>
      </c>
      <c r="F67" s="1181" t="s">
        <v>349</v>
      </c>
      <c r="G67" s="25">
        <v>8230</v>
      </c>
      <c r="H67" s="25">
        <f t="shared" si="6"/>
        <v>7694.2932268099994</v>
      </c>
      <c r="I67" s="25">
        <f t="shared" si="2"/>
        <v>0</v>
      </c>
      <c r="J67" s="25">
        <v>600</v>
      </c>
      <c r="K67" s="25">
        <f t="shared" si="3"/>
        <v>560.94482819999996</v>
      </c>
      <c r="L67" s="25">
        <f t="shared" si="4"/>
        <v>0</v>
      </c>
      <c r="M67" s="25">
        <f t="shared" si="9"/>
        <v>0</v>
      </c>
      <c r="N67" s="594"/>
      <c r="O67" s="595">
        <v>0.93490804699999996</v>
      </c>
      <c r="Q67" s="422"/>
      <c r="R67" s="422"/>
      <c r="S67" s="422"/>
      <c r="T67" s="598"/>
      <c r="U67" s="428"/>
      <c r="V67" s="423"/>
      <c r="W67" s="423"/>
      <c r="X67" s="423"/>
      <c r="Y67" s="423"/>
      <c r="Z67" s="205"/>
    </row>
    <row r="68" spans="1:26" ht="18.95" customHeight="1">
      <c r="A68" s="70"/>
      <c r="B68" s="582"/>
      <c r="C68" s="285" t="s">
        <v>3054</v>
      </c>
      <c r="D68" s="267"/>
      <c r="E68" s="25">
        <v>1</v>
      </c>
      <c r="F68" s="1181" t="s">
        <v>349</v>
      </c>
      <c r="G68" s="25">
        <v>5815</v>
      </c>
      <c r="H68" s="25">
        <f t="shared" si="6"/>
        <v>5436.4902933049998</v>
      </c>
      <c r="I68" s="25">
        <f t="shared" si="2"/>
        <v>5436.4902933049998</v>
      </c>
      <c r="J68" s="25">
        <v>800</v>
      </c>
      <c r="K68" s="25">
        <f t="shared" si="3"/>
        <v>747.92643759999999</v>
      </c>
      <c r="L68" s="25">
        <f t="shared" si="4"/>
        <v>747.92643759999999</v>
      </c>
      <c r="M68" s="25">
        <f t="shared" si="9"/>
        <v>6184.4167309049999</v>
      </c>
      <c r="N68" s="594"/>
      <c r="O68" s="595">
        <v>0.93490804699999996</v>
      </c>
      <c r="Q68" s="422"/>
      <c r="R68" s="422"/>
      <c r="S68" s="422"/>
      <c r="T68" s="598"/>
      <c r="U68" s="428"/>
      <c r="V68" s="423"/>
      <c r="W68" s="423"/>
      <c r="X68" s="423"/>
      <c r="Y68" s="423"/>
      <c r="Z68" s="205"/>
    </row>
    <row r="69" spans="1:26" ht="18.95" customHeight="1">
      <c r="A69" s="525"/>
      <c r="B69" s="583">
        <v>1.1200000000000001</v>
      </c>
      <c r="C69" s="285" t="s">
        <v>3066</v>
      </c>
      <c r="D69" s="267"/>
      <c r="E69" s="25"/>
      <c r="F69" s="30"/>
      <c r="G69" s="25"/>
      <c r="H69" s="25"/>
      <c r="I69" s="25"/>
      <c r="J69" s="25"/>
      <c r="K69" s="25"/>
      <c r="L69" s="25"/>
      <c r="M69" s="25"/>
      <c r="N69" s="594"/>
      <c r="O69" s="595">
        <v>0.93490804699999996</v>
      </c>
      <c r="Q69" s="422"/>
      <c r="R69" s="422"/>
      <c r="S69" s="422"/>
      <c r="T69" s="598"/>
      <c r="U69" s="428"/>
      <c r="V69" s="423"/>
      <c r="W69" s="423"/>
      <c r="X69" s="423"/>
      <c r="Y69" s="423"/>
      <c r="Z69" s="205"/>
    </row>
    <row r="70" spans="1:26" ht="18.95" customHeight="1">
      <c r="A70" s="525"/>
      <c r="B70" s="582"/>
      <c r="C70" s="285" t="s">
        <v>3053</v>
      </c>
      <c r="D70" s="267"/>
      <c r="E70" s="25">
        <v>0</v>
      </c>
      <c r="F70" s="1181" t="s">
        <v>349</v>
      </c>
      <c r="G70" s="25">
        <v>3200</v>
      </c>
      <c r="H70" s="25">
        <f t="shared" si="6"/>
        <v>2991.7057503999999</v>
      </c>
      <c r="I70" s="25">
        <f t="shared" si="2"/>
        <v>0</v>
      </c>
      <c r="J70" s="25">
        <v>600</v>
      </c>
      <c r="K70" s="25">
        <f t="shared" si="3"/>
        <v>560.94482819999996</v>
      </c>
      <c r="L70" s="25">
        <f t="shared" si="4"/>
        <v>0</v>
      </c>
      <c r="M70" s="25">
        <f>I70+L70</f>
        <v>0</v>
      </c>
      <c r="N70" s="594"/>
      <c r="O70" s="595">
        <v>0.93490804699999996</v>
      </c>
      <c r="Q70" s="423"/>
      <c r="R70" s="423"/>
      <c r="S70" s="423"/>
      <c r="T70" s="603"/>
      <c r="U70" s="423"/>
      <c r="V70" s="423"/>
      <c r="W70" s="423"/>
      <c r="X70" s="423"/>
      <c r="Y70" s="423"/>
      <c r="Z70" s="205"/>
    </row>
    <row r="71" spans="1:26" ht="18.95" customHeight="1">
      <c r="A71" s="115"/>
      <c r="B71" s="582"/>
      <c r="C71" s="285" t="s">
        <v>3054</v>
      </c>
      <c r="D71" s="267"/>
      <c r="E71" s="25">
        <v>2</v>
      </c>
      <c r="F71" s="1181" t="s">
        <v>349</v>
      </c>
      <c r="G71" s="25">
        <v>3100</v>
      </c>
      <c r="H71" s="25">
        <f t="shared" si="6"/>
        <v>2898.2149457</v>
      </c>
      <c r="I71" s="25">
        <f t="shared" si="2"/>
        <v>5796.4298914000001</v>
      </c>
      <c r="J71" s="25">
        <v>800</v>
      </c>
      <c r="K71" s="25">
        <f t="shared" si="3"/>
        <v>747.92643759999999</v>
      </c>
      <c r="L71" s="25">
        <f t="shared" si="4"/>
        <v>1495.8528752</v>
      </c>
      <c r="M71" s="25">
        <f>I71+L71</f>
        <v>7292.2827666000003</v>
      </c>
      <c r="N71" s="594"/>
      <c r="O71" s="595">
        <v>0.93490804699999996</v>
      </c>
      <c r="Q71" s="422"/>
      <c r="R71" s="422"/>
      <c r="S71" s="422"/>
      <c r="T71" s="598"/>
      <c r="U71" s="428"/>
      <c r="V71" s="423"/>
      <c r="W71" s="423"/>
      <c r="X71" s="423"/>
      <c r="Y71" s="423"/>
      <c r="Z71" s="205"/>
    </row>
    <row r="72" spans="1:26" ht="18.95" customHeight="1">
      <c r="A72" s="21"/>
      <c r="B72" s="583">
        <v>1.1299999999999999</v>
      </c>
      <c r="C72" s="285" t="s">
        <v>3067</v>
      </c>
      <c r="D72" s="267"/>
      <c r="E72" s="25"/>
      <c r="F72" s="30"/>
      <c r="G72" s="25"/>
      <c r="H72" s="25"/>
      <c r="I72" s="25"/>
      <c r="J72" s="25"/>
      <c r="K72" s="25"/>
      <c r="L72" s="25"/>
      <c r="M72" s="25"/>
      <c r="O72" s="595">
        <v>0.93490804699999996</v>
      </c>
      <c r="Q72" s="423"/>
      <c r="R72" s="423"/>
      <c r="S72" s="423"/>
      <c r="T72" s="423"/>
      <c r="U72" s="423"/>
      <c r="V72" s="423"/>
      <c r="W72" s="423"/>
      <c r="X72" s="423"/>
      <c r="Y72" s="423"/>
      <c r="Z72" s="205"/>
    </row>
    <row r="73" spans="1:26" ht="18.95" customHeight="1">
      <c r="A73" s="268"/>
      <c r="B73" s="582"/>
      <c r="C73" s="285" t="s">
        <v>3058</v>
      </c>
      <c r="D73" s="267"/>
      <c r="E73" s="25"/>
      <c r="F73" s="30"/>
      <c r="G73" s="25"/>
      <c r="H73" s="25"/>
      <c r="I73" s="25"/>
      <c r="J73" s="25"/>
      <c r="K73" s="25"/>
      <c r="L73" s="25"/>
      <c r="M73" s="25"/>
      <c r="N73" s="594"/>
      <c r="O73" s="595">
        <v>0.93490804699999996</v>
      </c>
      <c r="Q73" s="423"/>
      <c r="R73" s="423"/>
      <c r="S73" s="423"/>
      <c r="T73" s="423"/>
      <c r="U73" s="423"/>
      <c r="V73" s="423"/>
      <c r="W73" s="423"/>
      <c r="X73" s="606"/>
      <c r="Y73" s="422"/>
      <c r="Z73" s="438"/>
    </row>
    <row r="74" spans="1:26" ht="18.95" customHeight="1">
      <c r="A74" s="115"/>
      <c r="B74" s="582"/>
      <c r="C74" s="285" t="s">
        <v>3065</v>
      </c>
      <c r="D74" s="267"/>
      <c r="E74" s="25"/>
      <c r="F74" s="30"/>
      <c r="G74" s="30"/>
      <c r="H74" s="25"/>
      <c r="I74" s="25"/>
      <c r="J74" s="25"/>
      <c r="K74" s="25"/>
      <c r="L74" s="25"/>
      <c r="M74" s="25"/>
      <c r="N74" s="594"/>
      <c r="O74" s="595">
        <v>0.93490804699999996</v>
      </c>
      <c r="Q74" s="423"/>
      <c r="R74" s="423"/>
      <c r="S74" s="423"/>
      <c r="T74" s="423"/>
      <c r="U74" s="423"/>
      <c r="V74" s="423"/>
      <c r="W74" s="423"/>
      <c r="X74" s="607"/>
      <c r="Y74" s="422"/>
      <c r="Z74" s="438"/>
    </row>
    <row r="75" spans="1:26" ht="18.95" customHeight="1">
      <c r="A75" s="115"/>
      <c r="B75" s="582"/>
      <c r="C75" s="285" t="s">
        <v>3061</v>
      </c>
      <c r="D75" s="267"/>
      <c r="E75" s="25"/>
      <c r="F75" s="30"/>
      <c r="G75" s="30"/>
      <c r="H75" s="25"/>
      <c r="I75" s="25"/>
      <c r="J75" s="25"/>
      <c r="K75" s="25"/>
      <c r="L75" s="25"/>
      <c r="M75" s="25"/>
      <c r="N75" s="594"/>
      <c r="O75" s="595">
        <v>0.93490804699999996</v>
      </c>
      <c r="Q75" s="423"/>
      <c r="R75" s="423"/>
      <c r="S75" s="423"/>
      <c r="T75" s="423"/>
      <c r="U75" s="423"/>
      <c r="V75" s="423"/>
      <c r="W75" s="423"/>
      <c r="X75" s="607"/>
      <c r="Y75" s="422"/>
      <c r="Z75" s="438"/>
    </row>
    <row r="76" spans="1:26" ht="18.95" customHeight="1">
      <c r="A76" s="115"/>
      <c r="B76" s="582"/>
      <c r="C76" s="285" t="s">
        <v>3062</v>
      </c>
      <c r="D76" s="267"/>
      <c r="E76" s="25"/>
      <c r="F76" s="30"/>
      <c r="G76" s="25"/>
      <c r="H76" s="25"/>
      <c r="I76" s="25"/>
      <c r="J76" s="25"/>
      <c r="K76" s="25"/>
      <c r="L76" s="25"/>
      <c r="M76" s="25"/>
      <c r="N76" s="594"/>
      <c r="O76" s="595">
        <v>0.93490804699999996</v>
      </c>
      <c r="Q76" s="423"/>
      <c r="R76" s="423"/>
      <c r="S76" s="423"/>
      <c r="T76" s="423"/>
      <c r="U76" s="423"/>
      <c r="V76" s="423"/>
      <c r="W76" s="423"/>
      <c r="X76" s="606"/>
      <c r="Y76" s="422"/>
      <c r="Z76" s="205"/>
    </row>
    <row r="77" spans="1:26" ht="18.95" customHeight="1">
      <c r="A77" s="21"/>
      <c r="B77" s="582"/>
      <c r="C77" s="285" t="s">
        <v>3053</v>
      </c>
      <c r="D77" s="267"/>
      <c r="E77" s="25"/>
      <c r="F77" s="30"/>
      <c r="G77" s="25"/>
      <c r="H77" s="25"/>
      <c r="I77" s="25"/>
      <c r="J77" s="25"/>
      <c r="K77" s="25"/>
      <c r="L77" s="25"/>
      <c r="M77" s="25"/>
      <c r="N77" s="594"/>
      <c r="O77" s="595">
        <v>0.93490804699999996</v>
      </c>
      <c r="Q77" s="423"/>
      <c r="R77" s="423"/>
      <c r="S77" s="423"/>
      <c r="T77" s="423"/>
      <c r="U77" s="423"/>
      <c r="V77" s="423"/>
      <c r="W77" s="423"/>
      <c r="X77" s="423"/>
      <c r="Y77" s="422"/>
    </row>
    <row r="78" spans="1:26" ht="18.95" customHeight="1">
      <c r="A78" s="21"/>
      <c r="B78" s="582" t="s">
        <v>3068</v>
      </c>
      <c r="C78" s="285" t="s">
        <v>3069</v>
      </c>
      <c r="D78" s="267"/>
      <c r="E78" s="25"/>
      <c r="F78" s="30"/>
      <c r="G78" s="25"/>
      <c r="H78" s="25"/>
      <c r="I78" s="25"/>
      <c r="J78" s="25"/>
      <c r="K78" s="25"/>
      <c r="L78" s="25"/>
      <c r="M78" s="25"/>
      <c r="N78" s="594"/>
      <c r="O78" s="595">
        <v>0.93490804699999996</v>
      </c>
      <c r="Q78" s="423"/>
      <c r="R78" s="423"/>
      <c r="S78" s="423"/>
      <c r="T78" s="423"/>
      <c r="U78" s="423"/>
      <c r="V78" s="608"/>
      <c r="W78" s="608"/>
      <c r="X78" s="423"/>
      <c r="Y78" s="423"/>
      <c r="Z78" s="205"/>
    </row>
    <row r="79" spans="1:26" ht="18.95" customHeight="1">
      <c r="A79" s="21"/>
      <c r="B79" s="582"/>
      <c r="C79" s="285" t="s">
        <v>3058</v>
      </c>
      <c r="D79" s="267"/>
      <c r="E79" s="25">
        <v>2</v>
      </c>
      <c r="F79" s="1181" t="s">
        <v>349</v>
      </c>
      <c r="G79" s="25">
        <v>1615</v>
      </c>
      <c r="H79" s="25">
        <f t="shared" si="6"/>
        <v>1509.876495905</v>
      </c>
      <c r="I79" s="25">
        <f t="shared" si="2"/>
        <v>3019.7529918099999</v>
      </c>
      <c r="J79" s="25">
        <v>200</v>
      </c>
      <c r="K79" s="25">
        <f t="shared" si="3"/>
        <v>186.9816094</v>
      </c>
      <c r="L79" s="25">
        <f t="shared" si="4"/>
        <v>373.96321879999999</v>
      </c>
      <c r="M79" s="25">
        <f>I79+L79</f>
        <v>3393.71621061</v>
      </c>
      <c r="N79" s="594"/>
      <c r="O79" s="595">
        <v>0.93490804699999996</v>
      </c>
      <c r="Q79" s="422"/>
      <c r="R79" s="422"/>
      <c r="S79" s="422"/>
      <c r="T79" s="598"/>
      <c r="U79" s="428"/>
      <c r="V79" s="603"/>
      <c r="W79" s="603"/>
      <c r="X79" s="423"/>
      <c r="Y79" s="423"/>
      <c r="Z79" s="205"/>
    </row>
    <row r="80" spans="1:26" ht="18.95" customHeight="1">
      <c r="A80" s="21"/>
      <c r="B80" s="582"/>
      <c r="C80" s="285" t="s">
        <v>3060</v>
      </c>
      <c r="D80" s="267"/>
      <c r="E80" s="25">
        <v>2</v>
      </c>
      <c r="F80" s="1181" t="s">
        <v>349</v>
      </c>
      <c r="G80" s="25">
        <v>4512.5</v>
      </c>
      <c r="H80" s="25">
        <f t="shared" si="6"/>
        <v>4218.7725620874999</v>
      </c>
      <c r="I80" s="25">
        <f t="shared" si="2"/>
        <v>8437.5451241749997</v>
      </c>
      <c r="J80" s="25">
        <v>250</v>
      </c>
      <c r="K80" s="25">
        <f t="shared" si="3"/>
        <v>233.72701175</v>
      </c>
      <c r="L80" s="25">
        <f t="shared" si="4"/>
        <v>467.45402350000001</v>
      </c>
      <c r="M80" s="25">
        <f>I80+L80</f>
        <v>8904.9991476750001</v>
      </c>
      <c r="N80" s="594"/>
      <c r="O80" s="595">
        <v>0.93490804699999996</v>
      </c>
      <c r="Q80" s="422"/>
      <c r="R80" s="422"/>
      <c r="S80" s="422"/>
      <c r="T80" s="598"/>
      <c r="U80" s="428"/>
      <c r="V80" s="603"/>
      <c r="W80" s="603"/>
      <c r="X80" s="423"/>
      <c r="Y80" s="423"/>
      <c r="Z80" s="205"/>
    </row>
    <row r="81" spans="1:26" ht="18.95" customHeight="1">
      <c r="A81" s="21"/>
      <c r="B81" s="582"/>
      <c r="C81" s="285" t="s">
        <v>3061</v>
      </c>
      <c r="D81" s="267"/>
      <c r="E81" s="25">
        <v>3</v>
      </c>
      <c r="F81" s="1181" t="s">
        <v>349</v>
      </c>
      <c r="G81" s="25">
        <v>7410</v>
      </c>
      <c r="H81" s="25">
        <f t="shared" si="6"/>
        <v>6927.6686282699993</v>
      </c>
      <c r="I81" s="25">
        <f t="shared" si="2"/>
        <v>20783.005884809998</v>
      </c>
      <c r="J81" s="25">
        <v>400</v>
      </c>
      <c r="K81" s="25">
        <f t="shared" si="3"/>
        <v>373.96321879999999</v>
      </c>
      <c r="L81" s="25">
        <f t="shared" si="4"/>
        <v>1121.8896563999999</v>
      </c>
      <c r="M81" s="25">
        <f>I81+L81</f>
        <v>21904.895541209997</v>
      </c>
      <c r="N81" s="594"/>
      <c r="O81" s="595">
        <v>0.93490804699999996</v>
      </c>
      <c r="Q81" s="422"/>
      <c r="R81" s="422"/>
      <c r="S81" s="422"/>
      <c r="T81" s="598"/>
      <c r="U81" s="428"/>
      <c r="V81" s="603"/>
      <c r="W81" s="603"/>
      <c r="X81" s="423"/>
      <c r="Y81" s="423"/>
      <c r="Z81" s="205"/>
    </row>
    <row r="82" spans="1:26" ht="18.95" customHeight="1">
      <c r="A82" s="21"/>
      <c r="B82" s="582"/>
      <c r="C82" s="285" t="s">
        <v>3062</v>
      </c>
      <c r="D82" s="267"/>
      <c r="E82" s="25">
        <v>2</v>
      </c>
      <c r="F82" s="1181" t="s">
        <v>349</v>
      </c>
      <c r="G82" s="25">
        <v>8125</v>
      </c>
      <c r="H82" s="25">
        <f t="shared" si="6"/>
        <v>7596.1278818749997</v>
      </c>
      <c r="I82" s="25">
        <f t="shared" si="2"/>
        <v>15192.255763749999</v>
      </c>
      <c r="J82" s="25">
        <v>500</v>
      </c>
      <c r="K82" s="25">
        <f t="shared" si="3"/>
        <v>467.45402350000001</v>
      </c>
      <c r="L82" s="25">
        <f t="shared" si="4"/>
        <v>934.90804700000001</v>
      </c>
      <c r="M82" s="242">
        <f>I82+L82</f>
        <v>16127.16381075</v>
      </c>
      <c r="N82" s="604"/>
      <c r="O82" s="595">
        <v>0.93490804699999996</v>
      </c>
      <c r="Q82" s="422" t="s">
        <v>3070</v>
      </c>
      <c r="R82" s="422"/>
      <c r="S82" s="422"/>
      <c r="T82" s="598"/>
      <c r="U82" s="428"/>
      <c r="V82" s="603"/>
      <c r="W82" s="603"/>
      <c r="X82" s="423"/>
      <c r="Y82" s="423"/>
      <c r="Z82" s="205"/>
    </row>
    <row r="83" spans="1:26" ht="18.95" customHeight="1">
      <c r="A83" s="21"/>
      <c r="B83" s="582"/>
      <c r="C83" s="285" t="s">
        <v>3053</v>
      </c>
      <c r="D83" s="267"/>
      <c r="E83" s="25">
        <v>0</v>
      </c>
      <c r="F83" s="1181" t="s">
        <v>349</v>
      </c>
      <c r="G83" s="25">
        <v>0</v>
      </c>
      <c r="H83" s="25">
        <f t="shared" si="6"/>
        <v>0</v>
      </c>
      <c r="I83" s="25">
        <f t="shared" si="2"/>
        <v>0</v>
      </c>
      <c r="J83" s="25">
        <v>800</v>
      </c>
      <c r="K83" s="25">
        <f t="shared" si="3"/>
        <v>747.92643759999999</v>
      </c>
      <c r="L83" s="25">
        <f t="shared" si="4"/>
        <v>0</v>
      </c>
      <c r="M83" s="25">
        <f>I83+L83</f>
        <v>0</v>
      </c>
      <c r="N83" s="594"/>
      <c r="O83" s="595">
        <v>0.93490804699999996</v>
      </c>
      <c r="Q83" s="423"/>
      <c r="R83" s="423"/>
      <c r="S83" s="423"/>
      <c r="T83" s="423"/>
      <c r="U83" s="423"/>
      <c r="V83" s="423"/>
      <c r="W83" s="423"/>
      <c r="X83" s="423"/>
      <c r="Y83" s="423"/>
      <c r="Z83" s="205"/>
    </row>
    <row r="84" spans="1:26" ht="18.95" customHeight="1">
      <c r="A84" s="21"/>
      <c r="B84" s="583">
        <v>1.1499999999999999</v>
      </c>
      <c r="C84" s="285" t="s">
        <v>3071</v>
      </c>
      <c r="D84" s="267"/>
      <c r="E84" s="25"/>
      <c r="F84" s="30"/>
      <c r="G84" s="25"/>
      <c r="H84" s="25"/>
      <c r="I84" s="25"/>
      <c r="J84" s="25"/>
      <c r="K84" s="25"/>
      <c r="L84" s="25"/>
      <c r="M84" s="25"/>
      <c r="N84" s="594"/>
      <c r="O84" s="595">
        <v>0.93490804699999996</v>
      </c>
      <c r="Q84" s="423"/>
      <c r="R84" s="423"/>
      <c r="S84" s="423"/>
      <c r="T84" s="423"/>
      <c r="U84" s="423"/>
      <c r="V84" s="423"/>
      <c r="W84" s="423"/>
      <c r="X84" s="423"/>
      <c r="Y84" s="423"/>
      <c r="Z84" s="205"/>
    </row>
    <row r="85" spans="1:26" ht="18.95" customHeight="1">
      <c r="A85" s="21"/>
      <c r="B85" s="582"/>
      <c r="C85" s="285" t="s">
        <v>3057</v>
      </c>
      <c r="D85" s="267"/>
      <c r="E85" s="25">
        <v>3</v>
      </c>
      <c r="F85" s="1181" t="s">
        <v>349</v>
      </c>
      <c r="G85" s="25">
        <v>3750</v>
      </c>
      <c r="H85" s="25">
        <f t="shared" si="6"/>
        <v>3505.9051762499998</v>
      </c>
      <c r="I85" s="25">
        <f t="shared" si="2"/>
        <v>10517.715528749999</v>
      </c>
      <c r="J85" s="25">
        <v>150</v>
      </c>
      <c r="K85" s="25">
        <f t="shared" si="3"/>
        <v>140.23620704999999</v>
      </c>
      <c r="L85" s="25">
        <f t="shared" si="4"/>
        <v>420.70862115</v>
      </c>
      <c r="M85" s="25">
        <f>I85+L85</f>
        <v>10938.424149899998</v>
      </c>
      <c r="N85" s="594"/>
      <c r="O85" s="595">
        <v>0.93490804699999996</v>
      </c>
      <c r="Q85" s="608"/>
      <c r="R85" s="608"/>
      <c r="S85" s="608"/>
      <c r="T85" s="603"/>
      <c r="U85" s="423"/>
      <c r="V85" s="423"/>
      <c r="W85" s="423"/>
      <c r="X85" s="423"/>
      <c r="Y85" s="422"/>
      <c r="Z85" s="610"/>
    </row>
    <row r="86" spans="1:26" ht="18.95" customHeight="1">
      <c r="A86" s="115"/>
      <c r="B86" s="583">
        <v>1.1599999999999999</v>
      </c>
      <c r="C86" s="285" t="s">
        <v>3072</v>
      </c>
      <c r="D86" s="267"/>
      <c r="E86" s="25"/>
      <c r="F86" s="30"/>
      <c r="G86" s="25"/>
      <c r="H86" s="25"/>
      <c r="I86" s="25"/>
      <c r="J86" s="25"/>
      <c r="K86" s="25"/>
      <c r="L86" s="25"/>
      <c r="M86" s="25"/>
      <c r="N86" s="594"/>
      <c r="O86" s="595">
        <v>0.93490804699999996</v>
      </c>
      <c r="Q86" s="423"/>
      <c r="R86" s="423"/>
      <c r="S86" s="423"/>
      <c r="T86" s="423"/>
      <c r="U86" s="423"/>
      <c r="V86" s="423"/>
      <c r="W86" s="423"/>
      <c r="X86" s="423"/>
      <c r="Y86" s="603"/>
      <c r="Z86" s="610"/>
    </row>
    <row r="87" spans="1:26" ht="18.95" customHeight="1">
      <c r="A87" s="21"/>
      <c r="B87" s="582"/>
      <c r="C87" s="285" t="s">
        <v>3073</v>
      </c>
      <c r="D87" s="267"/>
      <c r="E87" s="25">
        <v>150</v>
      </c>
      <c r="F87" s="1181" t="s">
        <v>349</v>
      </c>
      <c r="G87" s="25">
        <v>250</v>
      </c>
      <c r="H87" s="25">
        <f t="shared" si="6"/>
        <v>233.72701175</v>
      </c>
      <c r="I87" s="25">
        <f t="shared" si="2"/>
        <v>35059.051762499999</v>
      </c>
      <c r="J87" s="25">
        <v>50</v>
      </c>
      <c r="K87" s="25">
        <f t="shared" si="3"/>
        <v>46.745402349999999</v>
      </c>
      <c r="L87" s="25">
        <f t="shared" si="4"/>
        <v>7011.8103524999997</v>
      </c>
      <c r="M87" s="25">
        <f>I87+L87</f>
        <v>42070.862114999996</v>
      </c>
      <c r="N87" s="594"/>
      <c r="O87" s="595">
        <v>0.93490804699999996</v>
      </c>
      <c r="Q87" s="423"/>
      <c r="R87" s="423"/>
      <c r="S87" s="422"/>
      <c r="T87" s="422"/>
      <c r="U87" s="423"/>
      <c r="V87" s="423"/>
      <c r="W87" s="423"/>
      <c r="X87" s="423"/>
      <c r="Y87" s="603"/>
      <c r="Z87" s="610"/>
    </row>
    <row r="88" spans="1:26" ht="18.95" customHeight="1">
      <c r="A88" s="21"/>
      <c r="B88" s="582" t="s">
        <v>3074</v>
      </c>
      <c r="C88" s="285" t="s">
        <v>3075</v>
      </c>
      <c r="D88" s="267"/>
      <c r="E88" s="25"/>
      <c r="F88" s="30"/>
      <c r="G88" s="25"/>
      <c r="H88" s="25">
        <f t="shared" si="6"/>
        <v>0</v>
      </c>
      <c r="I88" s="25">
        <f t="shared" ref="I88:I95" si="10">E88*H88</f>
        <v>0</v>
      </c>
      <c r="J88" s="25"/>
      <c r="K88" s="25">
        <f t="shared" ref="K88:K151" si="11">J88*O88</f>
        <v>0</v>
      </c>
      <c r="L88" s="25">
        <f t="shared" ref="L88:L95" si="12">E88*K88</f>
        <v>0</v>
      </c>
      <c r="M88" s="25"/>
      <c r="N88" s="594"/>
      <c r="O88" s="595">
        <v>0.93490804699999996</v>
      </c>
      <c r="Q88" s="423"/>
      <c r="R88" s="423"/>
      <c r="S88" s="422"/>
      <c r="T88" s="422"/>
      <c r="U88" s="423"/>
      <c r="V88" s="423"/>
      <c r="W88" s="423"/>
      <c r="X88" s="423"/>
      <c r="Y88" s="609"/>
      <c r="Z88" s="611"/>
    </row>
    <row r="89" spans="1:26" ht="18.95" customHeight="1">
      <c r="A89" s="21"/>
      <c r="B89" s="582"/>
      <c r="C89" s="285" t="s">
        <v>3076</v>
      </c>
      <c r="D89" s="267"/>
      <c r="E89" s="25">
        <v>31</v>
      </c>
      <c r="F89" s="1181" t="s">
        <v>349</v>
      </c>
      <c r="G89" s="25">
        <v>300</v>
      </c>
      <c r="H89" s="25">
        <f t="shared" si="6"/>
        <v>280.47241409999998</v>
      </c>
      <c r="I89" s="25">
        <f t="shared" si="10"/>
        <v>8694.6448370999988</v>
      </c>
      <c r="J89" s="25">
        <v>50</v>
      </c>
      <c r="K89" s="25">
        <f t="shared" si="11"/>
        <v>46.745402349999999</v>
      </c>
      <c r="L89" s="25">
        <f t="shared" si="12"/>
        <v>1449.10747285</v>
      </c>
      <c r="M89" s="25">
        <f>I89+L89</f>
        <v>10143.752309949999</v>
      </c>
      <c r="N89" s="594"/>
      <c r="O89" s="595">
        <v>0.93490804699999996</v>
      </c>
      <c r="Q89" s="423"/>
      <c r="R89" s="423"/>
      <c r="S89" s="423"/>
      <c r="T89" s="423"/>
      <c r="U89" s="423"/>
      <c r="V89" s="423"/>
      <c r="W89" s="423"/>
      <c r="X89" s="423"/>
      <c r="Y89" s="603"/>
      <c r="Z89" s="610"/>
    </row>
    <row r="90" spans="1:26" ht="18.95" customHeight="1">
      <c r="A90" s="525"/>
      <c r="B90" s="583">
        <v>1.18</v>
      </c>
      <c r="C90" s="285" t="s">
        <v>3077</v>
      </c>
      <c r="D90" s="267"/>
      <c r="E90" s="25"/>
      <c r="F90" s="30"/>
      <c r="G90" s="25"/>
      <c r="H90" s="25"/>
      <c r="I90" s="25"/>
      <c r="J90" s="25"/>
      <c r="K90" s="25"/>
      <c r="L90" s="25"/>
      <c r="M90" s="25"/>
      <c r="N90" s="594"/>
      <c r="O90" s="595">
        <v>0.93490804699999996</v>
      </c>
      <c r="Q90" s="423"/>
      <c r="R90" s="423"/>
      <c r="S90" s="423"/>
      <c r="T90" s="423"/>
      <c r="U90" s="423"/>
      <c r="V90" s="423"/>
      <c r="W90" s="423"/>
      <c r="X90" s="423"/>
      <c r="Y90" s="423"/>
      <c r="Z90" s="205"/>
    </row>
    <row r="91" spans="1:26" ht="18.95" customHeight="1">
      <c r="A91" s="115"/>
      <c r="B91" s="582"/>
      <c r="C91" s="285" t="s">
        <v>3078</v>
      </c>
      <c r="D91" s="267"/>
      <c r="E91" s="25">
        <v>0</v>
      </c>
      <c r="F91" s="1181" t="s">
        <v>349</v>
      </c>
      <c r="G91" s="25"/>
      <c r="H91" s="25"/>
      <c r="I91" s="25"/>
      <c r="J91" s="25"/>
      <c r="K91" s="25"/>
      <c r="L91" s="25"/>
      <c r="M91" s="25"/>
      <c r="N91" s="594"/>
      <c r="O91" s="595">
        <v>0.93490804699999996</v>
      </c>
      <c r="Q91" s="423"/>
      <c r="R91" s="423"/>
      <c r="S91" s="423"/>
      <c r="T91" s="423"/>
      <c r="U91" s="423"/>
      <c r="V91" s="423"/>
      <c r="W91" s="423"/>
      <c r="X91" s="423"/>
      <c r="Y91" s="423"/>
      <c r="Z91" s="205"/>
    </row>
    <row r="92" spans="1:26" ht="18.95" customHeight="1">
      <c r="A92" s="115"/>
      <c r="B92" s="582"/>
      <c r="C92" s="285" t="s">
        <v>3079</v>
      </c>
      <c r="D92" s="267"/>
      <c r="E92" s="25">
        <v>0</v>
      </c>
      <c r="F92" s="1181" t="s">
        <v>349</v>
      </c>
      <c r="G92" s="25"/>
      <c r="H92" s="25"/>
      <c r="I92" s="25"/>
      <c r="J92" s="25"/>
      <c r="K92" s="25"/>
      <c r="L92" s="25"/>
      <c r="M92" s="25"/>
      <c r="N92" s="594"/>
      <c r="O92" s="595">
        <v>0.93490804699999996</v>
      </c>
      <c r="Q92" s="423"/>
      <c r="R92" s="423"/>
      <c r="S92" s="423"/>
      <c r="T92" s="423"/>
      <c r="U92" s="423"/>
      <c r="V92" s="423"/>
      <c r="W92" s="423"/>
      <c r="X92" s="423"/>
      <c r="Y92" s="423"/>
      <c r="Z92" s="205"/>
    </row>
    <row r="93" spans="1:26" ht="18.95" customHeight="1">
      <c r="A93" s="115"/>
      <c r="B93" s="582"/>
      <c r="C93" s="285" t="s">
        <v>3080</v>
      </c>
      <c r="D93" s="267"/>
      <c r="E93" s="25">
        <v>0</v>
      </c>
      <c r="F93" s="1181" t="s">
        <v>349</v>
      </c>
      <c r="G93" s="25"/>
      <c r="H93" s="25"/>
      <c r="I93" s="25"/>
      <c r="J93" s="25"/>
      <c r="K93" s="25"/>
      <c r="L93" s="25"/>
      <c r="M93" s="25"/>
      <c r="N93" s="594"/>
      <c r="O93" s="595">
        <v>0.93490804699999996</v>
      </c>
      <c r="Q93" s="423"/>
      <c r="R93" s="423"/>
      <c r="S93" s="423"/>
      <c r="T93" s="423"/>
      <c r="U93" s="423"/>
      <c r="V93" s="423"/>
      <c r="W93" s="423"/>
      <c r="X93" s="423"/>
      <c r="Y93" s="423"/>
      <c r="Z93" s="205"/>
    </row>
    <row r="94" spans="1:26" ht="18.95" customHeight="1">
      <c r="A94" s="115"/>
      <c r="B94" s="583">
        <v>1.19</v>
      </c>
      <c r="C94" s="285" t="s">
        <v>3081</v>
      </c>
      <c r="D94" s="267"/>
      <c r="E94" s="25"/>
      <c r="F94" s="30"/>
      <c r="G94" s="25"/>
      <c r="H94" s="25"/>
      <c r="I94" s="25"/>
      <c r="J94" s="25"/>
      <c r="K94" s="25"/>
      <c r="L94" s="25"/>
      <c r="M94" s="25"/>
      <c r="N94" s="594"/>
      <c r="O94" s="595">
        <v>0.93490804699999996</v>
      </c>
      <c r="Q94" s="423"/>
      <c r="R94" s="423"/>
      <c r="S94" s="423"/>
      <c r="T94" s="423"/>
      <c r="U94" s="423"/>
      <c r="V94" s="423"/>
      <c r="W94" s="423"/>
      <c r="X94" s="423"/>
      <c r="Y94" s="423"/>
      <c r="Z94" s="205"/>
    </row>
    <row r="95" spans="1:26" ht="18.95" customHeight="1">
      <c r="A95" s="115"/>
      <c r="B95" s="582"/>
      <c r="C95" s="285" t="s">
        <v>3082</v>
      </c>
      <c r="D95" s="267"/>
      <c r="E95" s="25">
        <v>32</v>
      </c>
      <c r="F95" s="1181" t="s">
        <v>349</v>
      </c>
      <c r="G95" s="25">
        <v>1000</v>
      </c>
      <c r="H95" s="25">
        <f t="shared" ref="H95:H154" si="13">G95*O95</f>
        <v>934.90804700000001</v>
      </c>
      <c r="I95" s="25">
        <f t="shared" si="10"/>
        <v>29917.057504</v>
      </c>
      <c r="J95" s="25">
        <v>500</v>
      </c>
      <c r="K95" s="25">
        <f t="shared" si="11"/>
        <v>467.45402350000001</v>
      </c>
      <c r="L95" s="25">
        <f t="shared" si="12"/>
        <v>14958.528752</v>
      </c>
      <c r="M95" s="25">
        <f>I95+L95</f>
        <v>44875.586256000002</v>
      </c>
      <c r="N95" s="594"/>
      <c r="O95" s="595">
        <v>0.93490804699999996</v>
      </c>
      <c r="Q95" s="423"/>
      <c r="R95" s="423"/>
      <c r="S95" s="423"/>
      <c r="T95" s="423"/>
      <c r="U95" s="601"/>
      <c r="V95" s="601"/>
      <c r="W95" s="601"/>
      <c r="X95" s="423"/>
      <c r="Y95" s="423"/>
      <c r="Z95" s="205"/>
    </row>
    <row r="96" spans="1:26" ht="18.95" customHeight="1">
      <c r="A96" s="525"/>
      <c r="B96" s="1275" t="s">
        <v>2004</v>
      </c>
      <c r="C96" s="1276"/>
      <c r="D96" s="1277"/>
      <c r="E96" s="34"/>
      <c r="F96" s="102"/>
      <c r="G96" s="34"/>
      <c r="H96" s="25"/>
      <c r="I96" s="34">
        <f>SUM(I21:I95)</f>
        <v>1462495.1691014308</v>
      </c>
      <c r="J96" s="34"/>
      <c r="K96" s="25"/>
      <c r="L96" s="34">
        <f>SUM(L21:L95)</f>
        <v>203507.04403877197</v>
      </c>
      <c r="M96" s="34">
        <f>SUM(M21:M95)</f>
        <v>1666002.2131402022</v>
      </c>
      <c r="N96" s="594"/>
      <c r="O96" s="595">
        <v>0.93490804699999996</v>
      </c>
      <c r="Q96" s="423"/>
      <c r="R96" s="423"/>
      <c r="S96" s="423"/>
      <c r="T96" s="423"/>
      <c r="U96" s="423"/>
      <c r="V96" s="423"/>
      <c r="W96" s="423"/>
      <c r="X96" s="423"/>
      <c r="Y96" s="423"/>
      <c r="Z96" s="205"/>
    </row>
    <row r="97" spans="1:58" ht="18.95" customHeight="1">
      <c r="A97" s="525"/>
      <c r="B97" s="256"/>
      <c r="C97" s="257"/>
      <c r="D97" s="258"/>
      <c r="E97" s="30"/>
      <c r="F97" s="30"/>
      <c r="G97" s="30"/>
      <c r="H97" s="25"/>
      <c r="I97" s="25"/>
      <c r="J97" s="25"/>
      <c r="K97" s="25"/>
      <c r="L97" s="25"/>
      <c r="M97" s="25"/>
      <c r="N97" s="70"/>
      <c r="O97" s="595">
        <v>0.93490804699999996</v>
      </c>
      <c r="Q97" s="423"/>
      <c r="R97" s="423"/>
      <c r="S97" s="423"/>
      <c r="T97" s="423"/>
      <c r="U97" s="423"/>
      <c r="V97" s="423"/>
      <c r="W97" s="423"/>
      <c r="X97" s="423"/>
      <c r="Y97" s="423"/>
      <c r="Z97" s="205"/>
    </row>
    <row r="98" spans="1:58" ht="18.95" customHeight="1">
      <c r="A98" s="268">
        <v>2</v>
      </c>
      <c r="B98" s="418" t="s">
        <v>3026</v>
      </c>
      <c r="C98" s="419"/>
      <c r="D98" s="267"/>
      <c r="E98" s="34"/>
      <c r="F98" s="102"/>
      <c r="G98" s="34"/>
      <c r="H98" s="25"/>
      <c r="I98" s="34"/>
      <c r="J98" s="34"/>
      <c r="K98" s="25"/>
      <c r="L98" s="34"/>
      <c r="M98" s="34"/>
      <c r="N98" s="605"/>
      <c r="O98" s="595">
        <v>0.93490804699999996</v>
      </c>
      <c r="Q98" s="423"/>
      <c r="R98" s="423"/>
      <c r="S98" s="423"/>
      <c r="T98" s="423"/>
      <c r="U98" s="423"/>
      <c r="V98" s="423"/>
      <c r="W98" s="423"/>
      <c r="X98" s="423"/>
      <c r="Y98" s="423"/>
      <c r="Z98" s="205"/>
      <c r="AT98" s="1"/>
      <c r="AU98" s="1"/>
      <c r="AV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8.95" customHeight="1">
      <c r="A99" s="268"/>
      <c r="B99" s="418" t="s">
        <v>2685</v>
      </c>
      <c r="C99" s="419"/>
      <c r="D99" s="267"/>
      <c r="E99" s="25"/>
      <c r="F99" s="30"/>
      <c r="G99" s="25"/>
      <c r="H99" s="25"/>
      <c r="I99" s="25"/>
      <c r="J99" s="25"/>
      <c r="K99" s="25"/>
      <c r="L99" s="25"/>
      <c r="M99" s="25"/>
      <c r="N99" s="21"/>
      <c r="O99" s="595">
        <v>0.93490804699999996</v>
      </c>
      <c r="Q99" s="423"/>
      <c r="R99" s="423"/>
      <c r="S99" s="423"/>
      <c r="T99" s="423"/>
      <c r="U99" s="423"/>
      <c r="V99" s="423"/>
      <c r="W99" s="423"/>
      <c r="X99" s="423"/>
      <c r="Y99" s="423"/>
      <c r="Z99" s="205"/>
    </row>
    <row r="100" spans="1:58" ht="18.95" customHeight="1">
      <c r="A100" s="115"/>
      <c r="B100" s="420">
        <v>2.1</v>
      </c>
      <c r="C100" s="285" t="s">
        <v>3031</v>
      </c>
      <c r="D100" s="267"/>
      <c r="E100" s="25"/>
      <c r="F100" s="30"/>
      <c r="G100" s="25"/>
      <c r="H100" s="25"/>
      <c r="I100" s="25"/>
      <c r="J100" s="25"/>
      <c r="K100" s="25"/>
      <c r="L100" s="25"/>
      <c r="M100" s="25"/>
      <c r="N100" s="21"/>
      <c r="O100" s="595">
        <v>0.93490804699999996</v>
      </c>
      <c r="P100" s="596"/>
      <c r="Q100" s="428"/>
      <c r="R100" s="428"/>
      <c r="S100" s="428"/>
      <c r="T100" s="423"/>
      <c r="U100" s="423"/>
      <c r="V100" s="423"/>
      <c r="W100" s="423"/>
      <c r="X100" s="423"/>
      <c r="Y100" s="423"/>
      <c r="Z100" s="205"/>
    </row>
    <row r="101" spans="1:58" ht="18.95" customHeight="1">
      <c r="A101" s="115"/>
      <c r="B101" s="582"/>
      <c r="C101" s="285" t="s">
        <v>3083</v>
      </c>
      <c r="D101" s="267"/>
      <c r="E101" s="25">
        <v>1</v>
      </c>
      <c r="F101" s="1181" t="s">
        <v>349</v>
      </c>
      <c r="G101" s="25">
        <v>792000</v>
      </c>
      <c r="H101" s="25">
        <f t="shared" si="13"/>
        <v>740447.17322400003</v>
      </c>
      <c r="I101" s="25">
        <f t="shared" ref="I101:I164" si="14">E101*H101</f>
        <v>740447.17322400003</v>
      </c>
      <c r="J101" s="25">
        <v>8000</v>
      </c>
      <c r="K101" s="25">
        <f t="shared" si="11"/>
        <v>7479.2643760000001</v>
      </c>
      <c r="L101" s="25">
        <f t="shared" ref="L101:L164" si="15">E101*K101</f>
        <v>7479.2643760000001</v>
      </c>
      <c r="M101" s="25">
        <f>I101+L101</f>
        <v>747926.43760000006</v>
      </c>
      <c r="N101" s="21"/>
      <c r="O101" s="595">
        <v>0.93490804699999996</v>
      </c>
      <c r="Q101" s="422"/>
      <c r="R101" s="422"/>
      <c r="S101" s="422"/>
      <c r="T101" s="598"/>
      <c r="U101" s="428"/>
      <c r="V101" s="426"/>
      <c r="W101" s="426"/>
      <c r="X101" s="423"/>
      <c r="Y101" s="423"/>
      <c r="Z101" s="205"/>
    </row>
    <row r="102" spans="1:58" ht="18.95" customHeight="1">
      <c r="A102" s="21"/>
      <c r="B102" s="420">
        <v>2.2000000000000002</v>
      </c>
      <c r="C102" s="285" t="s">
        <v>3084</v>
      </c>
      <c r="D102" s="267"/>
      <c r="E102" s="25"/>
      <c r="F102" s="30"/>
      <c r="G102" s="25"/>
      <c r="H102" s="25">
        <f t="shared" si="13"/>
        <v>0</v>
      </c>
      <c r="I102" s="25">
        <f t="shared" si="14"/>
        <v>0</v>
      </c>
      <c r="J102" s="25"/>
      <c r="K102" s="25">
        <f t="shared" si="11"/>
        <v>0</v>
      </c>
      <c r="L102" s="25">
        <f t="shared" si="15"/>
        <v>0</v>
      </c>
      <c r="M102" s="25"/>
      <c r="N102" s="21"/>
      <c r="O102" s="595">
        <v>0.93490804699999996</v>
      </c>
      <c r="P102" s="596"/>
      <c r="Q102" s="422"/>
      <c r="R102" s="422"/>
      <c r="S102" s="422"/>
      <c r="T102" s="598"/>
      <c r="U102" s="428"/>
      <c r="V102" s="426"/>
      <c r="W102" s="426"/>
      <c r="X102" s="423"/>
      <c r="Y102" s="423"/>
      <c r="Z102" s="205"/>
    </row>
    <row r="103" spans="1:58" ht="18.95" customHeight="1">
      <c r="A103" s="115"/>
      <c r="B103" s="420"/>
      <c r="C103" s="285" t="s">
        <v>3085</v>
      </c>
      <c r="D103" s="267"/>
      <c r="E103" s="25">
        <v>1</v>
      </c>
      <c r="F103" s="1181" t="s">
        <v>349</v>
      </c>
      <c r="G103" s="25">
        <v>138000</v>
      </c>
      <c r="H103" s="25">
        <f t="shared" si="13"/>
        <v>129017.310486</v>
      </c>
      <c r="I103" s="25">
        <f t="shared" si="14"/>
        <v>129017.310486</v>
      </c>
      <c r="J103" s="25">
        <v>5000</v>
      </c>
      <c r="K103" s="25">
        <f t="shared" si="11"/>
        <v>4674.5402349999995</v>
      </c>
      <c r="L103" s="25">
        <f t="shared" si="15"/>
        <v>4674.5402349999995</v>
      </c>
      <c r="M103" s="25">
        <f>I103+L103</f>
        <v>133691.850721</v>
      </c>
      <c r="N103" s="21"/>
      <c r="O103" s="595">
        <v>0.93490804699999996</v>
      </c>
      <c r="Q103" s="422"/>
      <c r="R103" s="422"/>
      <c r="S103" s="422"/>
      <c r="T103" s="598"/>
      <c r="U103" s="428"/>
      <c r="V103" s="426"/>
      <c r="W103" s="426"/>
      <c r="X103" s="423"/>
      <c r="Y103" s="423"/>
      <c r="Z103" s="205"/>
    </row>
    <row r="104" spans="1:58" ht="18.95" customHeight="1">
      <c r="A104" s="115"/>
      <c r="B104" s="582"/>
      <c r="C104" s="285" t="s">
        <v>3086</v>
      </c>
      <c r="D104" s="267"/>
      <c r="E104" s="25">
        <v>1</v>
      </c>
      <c r="F104" s="1181" t="s">
        <v>349</v>
      </c>
      <c r="G104" s="25">
        <v>410000</v>
      </c>
      <c r="H104" s="25">
        <f t="shared" si="13"/>
        <v>383312.29926999996</v>
      </c>
      <c r="I104" s="25">
        <f t="shared" si="14"/>
        <v>383312.29926999996</v>
      </c>
      <c r="J104" s="25">
        <v>5000</v>
      </c>
      <c r="K104" s="25">
        <f t="shared" si="11"/>
        <v>4674.5402349999995</v>
      </c>
      <c r="L104" s="25">
        <f t="shared" si="15"/>
        <v>4674.5402349999995</v>
      </c>
      <c r="M104" s="25">
        <f>I104+L104</f>
        <v>387986.83950499998</v>
      </c>
      <c r="N104" s="21"/>
      <c r="O104" s="595">
        <v>0.93490804699999996</v>
      </c>
      <c r="Q104" s="422"/>
      <c r="R104" s="422"/>
      <c r="S104" s="422"/>
      <c r="T104" s="598"/>
      <c r="U104" s="428"/>
      <c r="V104" s="426"/>
      <c r="W104" s="426"/>
      <c r="X104" s="423"/>
      <c r="Y104" s="423"/>
      <c r="Z104" s="205"/>
    </row>
    <row r="105" spans="1:58" ht="18.95" customHeight="1">
      <c r="A105" s="115"/>
      <c r="B105" s="582"/>
      <c r="C105" s="285" t="s">
        <v>3087</v>
      </c>
      <c r="D105" s="267"/>
      <c r="E105" s="25">
        <v>1</v>
      </c>
      <c r="F105" s="1181" t="s">
        <v>349</v>
      </c>
      <c r="G105" s="25">
        <v>360000</v>
      </c>
      <c r="H105" s="25">
        <f t="shared" si="13"/>
        <v>336566.89691999997</v>
      </c>
      <c r="I105" s="25">
        <f t="shared" si="14"/>
        <v>336566.89691999997</v>
      </c>
      <c r="J105" s="25">
        <v>5000</v>
      </c>
      <c r="K105" s="25">
        <f t="shared" si="11"/>
        <v>4674.5402349999995</v>
      </c>
      <c r="L105" s="25">
        <f t="shared" si="15"/>
        <v>4674.5402349999995</v>
      </c>
      <c r="M105" s="25">
        <f>I105+L105</f>
        <v>341241.43715499999</v>
      </c>
      <c r="N105" s="21"/>
      <c r="O105" s="595">
        <v>0.93490804699999996</v>
      </c>
      <c r="Q105" s="422"/>
      <c r="R105" s="422"/>
      <c r="S105" s="422"/>
      <c r="T105" s="598"/>
      <c r="U105" s="428"/>
      <c r="V105" s="609"/>
      <c r="W105" s="609"/>
      <c r="X105" s="423"/>
      <c r="Y105" s="423"/>
      <c r="Z105" s="205"/>
    </row>
    <row r="106" spans="1:58" ht="18.95" customHeight="1">
      <c r="A106" s="115"/>
      <c r="B106" s="582"/>
      <c r="C106" s="285" t="s">
        <v>3088</v>
      </c>
      <c r="D106" s="267"/>
      <c r="E106" s="25">
        <v>1</v>
      </c>
      <c r="F106" s="1181" t="s">
        <v>349</v>
      </c>
      <c r="G106" s="25">
        <v>28000</v>
      </c>
      <c r="H106" s="25">
        <f t="shared" si="13"/>
        <v>26177.425316000001</v>
      </c>
      <c r="I106" s="25">
        <f t="shared" si="14"/>
        <v>26177.425316000001</v>
      </c>
      <c r="J106" s="25">
        <v>2000</v>
      </c>
      <c r="K106" s="25">
        <f t="shared" si="11"/>
        <v>1869.816094</v>
      </c>
      <c r="L106" s="25">
        <f t="shared" si="15"/>
        <v>1869.816094</v>
      </c>
      <c r="M106" s="25">
        <f>I106+L106</f>
        <v>28047.241410000002</v>
      </c>
      <c r="N106" s="21"/>
      <c r="O106" s="595">
        <v>0.93490804699999996</v>
      </c>
      <c r="Q106" s="422"/>
      <c r="R106" s="422"/>
      <c r="S106" s="422"/>
      <c r="T106" s="598"/>
      <c r="U106" s="428"/>
      <c r="V106" s="426"/>
      <c r="W106" s="426"/>
      <c r="X106" s="423"/>
      <c r="Y106" s="423"/>
      <c r="Z106" s="205"/>
    </row>
    <row r="107" spans="1:58" ht="18.95" customHeight="1">
      <c r="A107" s="115"/>
      <c r="B107" s="582"/>
      <c r="C107" s="285"/>
      <c r="D107" s="267"/>
      <c r="E107" s="25"/>
      <c r="F107" s="30"/>
      <c r="G107" s="25"/>
      <c r="H107" s="25"/>
      <c r="I107" s="25"/>
      <c r="J107" s="25"/>
      <c r="K107" s="25"/>
      <c r="L107" s="25"/>
      <c r="M107" s="25"/>
      <c r="N107" s="21"/>
      <c r="O107" s="595">
        <v>0.93490804699999996</v>
      </c>
      <c r="Q107" s="423"/>
      <c r="R107" s="423"/>
      <c r="S107" s="423"/>
      <c r="T107" s="423"/>
      <c r="U107" s="426"/>
      <c r="V107" s="426"/>
      <c r="W107" s="426"/>
      <c r="X107" s="423"/>
      <c r="Y107" s="423"/>
      <c r="Z107" s="205"/>
    </row>
    <row r="108" spans="1:58" ht="18.95" customHeight="1">
      <c r="A108" s="115"/>
      <c r="B108" s="418" t="s">
        <v>3033</v>
      </c>
      <c r="C108" s="285"/>
      <c r="D108" s="267"/>
      <c r="E108" s="25"/>
      <c r="F108" s="30"/>
      <c r="G108" s="25"/>
      <c r="H108" s="25"/>
      <c r="I108" s="25"/>
      <c r="J108" s="25"/>
      <c r="K108" s="25"/>
      <c r="L108" s="25"/>
      <c r="M108" s="25"/>
      <c r="N108" s="605"/>
      <c r="O108" s="595">
        <v>0.93490804699999996</v>
      </c>
      <c r="Q108" s="423"/>
      <c r="R108" s="423"/>
      <c r="S108" s="423"/>
      <c r="T108" s="423"/>
      <c r="U108" s="426"/>
      <c r="V108" s="426"/>
      <c r="W108" s="426"/>
      <c r="X108" s="423"/>
      <c r="Y108" s="423"/>
      <c r="Z108" s="205"/>
      <c r="AF108" s="163"/>
    </row>
    <row r="109" spans="1:58" ht="18.95" customHeight="1">
      <c r="A109" s="115"/>
      <c r="B109" s="420">
        <v>2.2999999999999998</v>
      </c>
      <c r="C109" s="285" t="s">
        <v>3035</v>
      </c>
      <c r="D109" s="267"/>
      <c r="E109" s="25"/>
      <c r="F109" s="30"/>
      <c r="G109" s="25"/>
      <c r="H109" s="25"/>
      <c r="I109" s="25"/>
      <c r="J109" s="25"/>
      <c r="K109" s="25"/>
      <c r="L109" s="25"/>
      <c r="M109" s="25"/>
      <c r="N109" s="21"/>
      <c r="O109" s="595">
        <v>0.93490804699999996</v>
      </c>
      <c r="Q109" s="423"/>
      <c r="R109" s="423"/>
      <c r="S109" s="423"/>
      <c r="T109" s="423"/>
      <c r="U109" s="601"/>
      <c r="V109" s="601"/>
      <c r="W109" s="601"/>
      <c r="X109" s="423"/>
      <c r="Y109" s="423"/>
      <c r="Z109" s="205"/>
    </row>
    <row r="110" spans="1:58" ht="18.95" customHeight="1">
      <c r="A110" s="115"/>
      <c r="B110" s="582"/>
      <c r="C110" s="285" t="s">
        <v>3036</v>
      </c>
      <c r="D110" s="267"/>
      <c r="E110" s="25">
        <v>7</v>
      </c>
      <c r="F110" s="1181" t="s">
        <v>286</v>
      </c>
      <c r="G110" s="30">
        <v>35</v>
      </c>
      <c r="H110" s="25">
        <f t="shared" si="13"/>
        <v>32.721781645</v>
      </c>
      <c r="I110" s="25">
        <f t="shared" si="14"/>
        <v>229.05247151500001</v>
      </c>
      <c r="J110" s="25">
        <v>30</v>
      </c>
      <c r="K110" s="25">
        <f t="shared" si="11"/>
        <v>28.047241409999998</v>
      </c>
      <c r="L110" s="25">
        <f t="shared" si="15"/>
        <v>196.33068986999999</v>
      </c>
      <c r="M110" s="25">
        <f t="shared" ref="M110:M118" si="16">I110+L110</f>
        <v>425.38316138499999</v>
      </c>
      <c r="N110" s="605"/>
      <c r="O110" s="595">
        <v>0.93490804699999996</v>
      </c>
      <c r="Q110" s="422"/>
      <c r="R110" s="422"/>
      <c r="S110" s="422"/>
      <c r="T110" s="598"/>
      <c r="U110" s="428"/>
      <c r="V110" s="423"/>
      <c r="W110" s="423"/>
      <c r="X110" s="423"/>
      <c r="Y110" s="423"/>
      <c r="Z110" s="205"/>
    </row>
    <row r="111" spans="1:58" ht="18.95" customHeight="1">
      <c r="A111" s="115"/>
      <c r="B111" s="582"/>
      <c r="C111" s="285" t="s">
        <v>3037</v>
      </c>
      <c r="D111" s="267"/>
      <c r="E111" s="25">
        <v>122</v>
      </c>
      <c r="F111" s="1181" t="s">
        <v>286</v>
      </c>
      <c r="G111" s="30">
        <v>46</v>
      </c>
      <c r="H111" s="25">
        <f t="shared" si="13"/>
        <v>43.005770161999997</v>
      </c>
      <c r="I111" s="25">
        <f t="shared" si="14"/>
        <v>5246.7039597639996</v>
      </c>
      <c r="J111" s="25">
        <v>30</v>
      </c>
      <c r="K111" s="25">
        <f t="shared" si="11"/>
        <v>28.047241409999998</v>
      </c>
      <c r="L111" s="25">
        <f t="shared" si="15"/>
        <v>3421.7634520199999</v>
      </c>
      <c r="M111" s="25">
        <f t="shared" si="16"/>
        <v>8668.4674117840004</v>
      </c>
      <c r="N111" s="605"/>
      <c r="O111" s="595">
        <v>0.93490804699999996</v>
      </c>
      <c r="Q111" s="422" t="s">
        <v>3038</v>
      </c>
      <c r="R111" s="422">
        <v>46</v>
      </c>
      <c r="S111" s="422"/>
      <c r="T111" s="598"/>
      <c r="U111" s="428"/>
      <c r="V111" s="423"/>
      <c r="W111" s="423"/>
      <c r="X111" s="423"/>
      <c r="Y111" s="423"/>
      <c r="Z111" s="205"/>
    </row>
    <row r="112" spans="1:58" ht="18.95" customHeight="1">
      <c r="A112" s="115"/>
      <c r="B112" s="582"/>
      <c r="C112" s="285" t="s">
        <v>3039</v>
      </c>
      <c r="D112" s="267"/>
      <c r="E112" s="25">
        <v>322</v>
      </c>
      <c r="F112" s="1181" t="s">
        <v>286</v>
      </c>
      <c r="G112" s="30">
        <v>76</v>
      </c>
      <c r="H112" s="25">
        <f t="shared" si="13"/>
        <v>71.053011572000003</v>
      </c>
      <c r="I112" s="25">
        <f t="shared" si="14"/>
        <v>22879.069726184</v>
      </c>
      <c r="J112" s="25">
        <v>30</v>
      </c>
      <c r="K112" s="25">
        <f t="shared" si="11"/>
        <v>28.047241409999998</v>
      </c>
      <c r="L112" s="25">
        <f t="shared" si="15"/>
        <v>9031.2117340200002</v>
      </c>
      <c r="M112" s="25">
        <f t="shared" si="16"/>
        <v>31910.281460204002</v>
      </c>
      <c r="N112" s="605"/>
      <c r="O112" s="595">
        <v>0.93490804699999996</v>
      </c>
      <c r="Q112" s="422" t="s">
        <v>3038</v>
      </c>
      <c r="R112" s="422">
        <v>76</v>
      </c>
      <c r="S112" s="422"/>
      <c r="T112" s="598"/>
      <c r="U112" s="428"/>
      <c r="V112" s="423"/>
      <c r="W112" s="423"/>
      <c r="X112" s="423"/>
      <c r="Y112" s="423"/>
      <c r="Z112" s="205"/>
    </row>
    <row r="113" spans="1:26" ht="18.95" customHeight="1">
      <c r="A113" s="115"/>
      <c r="B113" s="582"/>
      <c r="C113" s="285" t="s">
        <v>3040</v>
      </c>
      <c r="D113" s="267"/>
      <c r="E113" s="25">
        <v>26</v>
      </c>
      <c r="F113" s="1181" t="s">
        <v>286</v>
      </c>
      <c r="G113" s="30">
        <v>113</v>
      </c>
      <c r="H113" s="25">
        <f t="shared" si="13"/>
        <v>105.644609311</v>
      </c>
      <c r="I113" s="25">
        <f t="shared" si="14"/>
        <v>2746.7598420859999</v>
      </c>
      <c r="J113" s="25">
        <v>30</v>
      </c>
      <c r="K113" s="25">
        <f t="shared" si="11"/>
        <v>28.047241409999998</v>
      </c>
      <c r="L113" s="25">
        <f t="shared" si="15"/>
        <v>729.22827665999989</v>
      </c>
      <c r="M113" s="25">
        <f t="shared" si="16"/>
        <v>3475.9881187459996</v>
      </c>
      <c r="N113" s="605"/>
      <c r="O113" s="595">
        <v>0.93490804699999996</v>
      </c>
      <c r="Q113" s="422" t="s">
        <v>3038</v>
      </c>
      <c r="R113" s="422">
        <v>113</v>
      </c>
      <c r="S113" s="422"/>
      <c r="T113" s="598"/>
      <c r="U113" s="428"/>
      <c r="V113" s="423"/>
      <c r="W113" s="423"/>
      <c r="X113" s="423"/>
      <c r="Y113" s="423"/>
      <c r="Z113" s="205"/>
    </row>
    <row r="114" spans="1:26" ht="18.95" customHeight="1">
      <c r="A114" s="115"/>
      <c r="B114" s="582"/>
      <c r="C114" s="285" t="s">
        <v>3041</v>
      </c>
      <c r="D114" s="267"/>
      <c r="E114" s="25">
        <v>99</v>
      </c>
      <c r="F114" s="1181" t="s">
        <v>286</v>
      </c>
      <c r="G114" s="30">
        <v>180</v>
      </c>
      <c r="H114" s="25">
        <f t="shared" si="13"/>
        <v>168.28344845999999</v>
      </c>
      <c r="I114" s="25">
        <f t="shared" si="14"/>
        <v>16660.061397539997</v>
      </c>
      <c r="J114" s="25">
        <v>50</v>
      </c>
      <c r="K114" s="25">
        <f t="shared" si="11"/>
        <v>46.745402349999999</v>
      </c>
      <c r="L114" s="25">
        <f t="shared" si="15"/>
        <v>4627.79483265</v>
      </c>
      <c r="M114" s="25">
        <f t="shared" si="16"/>
        <v>21287.856230189998</v>
      </c>
      <c r="N114" s="605"/>
      <c r="O114" s="595">
        <v>0.93490804699999996</v>
      </c>
      <c r="Q114" s="422" t="s">
        <v>3038</v>
      </c>
      <c r="R114" s="422">
        <v>180</v>
      </c>
      <c r="S114" s="422"/>
      <c r="T114" s="598"/>
      <c r="U114" s="428"/>
      <c r="V114" s="423"/>
      <c r="W114" s="423"/>
      <c r="X114" s="423"/>
      <c r="Y114" s="423"/>
      <c r="Z114" s="205"/>
    </row>
    <row r="115" spans="1:26" ht="18.95" customHeight="1">
      <c r="A115" s="115"/>
      <c r="B115" s="582"/>
      <c r="C115" s="285" t="s">
        <v>3042</v>
      </c>
      <c r="D115" s="267"/>
      <c r="E115" s="25">
        <v>89</v>
      </c>
      <c r="F115" s="1181" t="s">
        <v>286</v>
      </c>
      <c r="G115" s="30">
        <v>287</v>
      </c>
      <c r="H115" s="25">
        <f t="shared" si="13"/>
        <v>268.31860948899998</v>
      </c>
      <c r="I115" s="25">
        <f t="shared" si="14"/>
        <v>23880.356244520997</v>
      </c>
      <c r="J115" s="25">
        <v>75</v>
      </c>
      <c r="K115" s="25">
        <f t="shared" si="11"/>
        <v>70.118103524999995</v>
      </c>
      <c r="L115" s="25">
        <f t="shared" si="15"/>
        <v>6240.5112137249998</v>
      </c>
      <c r="M115" s="25">
        <f t="shared" si="16"/>
        <v>30120.867458245997</v>
      </c>
      <c r="N115" s="605"/>
      <c r="O115" s="595">
        <v>0.93490804699999996</v>
      </c>
      <c r="Q115" s="422" t="s">
        <v>3038</v>
      </c>
      <c r="R115" s="422">
        <v>287</v>
      </c>
      <c r="S115" s="422"/>
      <c r="T115" s="598"/>
      <c r="U115" s="428"/>
      <c r="V115" s="423"/>
      <c r="W115" s="423"/>
      <c r="X115" s="423"/>
      <c r="Y115" s="423"/>
      <c r="Z115" s="205"/>
    </row>
    <row r="116" spans="1:26" ht="18.95" customHeight="1">
      <c r="A116" s="115"/>
      <c r="B116" s="582"/>
      <c r="C116" s="285" t="s">
        <v>3043</v>
      </c>
      <c r="D116" s="267"/>
      <c r="E116" s="25">
        <v>145</v>
      </c>
      <c r="F116" s="1181" t="s">
        <v>286</v>
      </c>
      <c r="G116" s="30">
        <v>402</v>
      </c>
      <c r="H116" s="25">
        <f t="shared" si="13"/>
        <v>375.83303489399998</v>
      </c>
      <c r="I116" s="25">
        <f t="shared" si="14"/>
        <v>54495.790059629995</v>
      </c>
      <c r="J116" s="25">
        <v>100</v>
      </c>
      <c r="K116" s="25">
        <f t="shared" si="11"/>
        <v>93.490804699999998</v>
      </c>
      <c r="L116" s="25">
        <f t="shared" si="15"/>
        <v>13556.166681499999</v>
      </c>
      <c r="M116" s="25">
        <f t="shared" si="16"/>
        <v>68051.956741129994</v>
      </c>
      <c r="N116" s="605"/>
      <c r="O116" s="595">
        <v>0.93490804699999996</v>
      </c>
      <c r="Q116" s="422" t="s">
        <v>3038</v>
      </c>
      <c r="R116" s="422">
        <v>402</v>
      </c>
      <c r="S116" s="422"/>
      <c r="T116" s="598"/>
      <c r="U116" s="428"/>
      <c r="V116" s="423"/>
      <c r="W116" s="423"/>
      <c r="X116" s="423"/>
      <c r="Y116" s="423"/>
      <c r="Z116" s="205"/>
    </row>
    <row r="117" spans="1:26" ht="18.95" customHeight="1">
      <c r="A117" s="115"/>
      <c r="B117" s="582"/>
      <c r="C117" s="285" t="s">
        <v>3044</v>
      </c>
      <c r="D117" s="267"/>
      <c r="E117" s="25">
        <v>52</v>
      </c>
      <c r="F117" s="1181" t="s">
        <v>286</v>
      </c>
      <c r="G117" s="30">
        <v>562</v>
      </c>
      <c r="H117" s="25">
        <f t="shared" si="13"/>
        <v>525.41832241399993</v>
      </c>
      <c r="I117" s="25">
        <f t="shared" si="14"/>
        <v>27321.752765527996</v>
      </c>
      <c r="J117" s="25">
        <v>120</v>
      </c>
      <c r="K117" s="25">
        <f t="shared" si="11"/>
        <v>112.18896563999999</v>
      </c>
      <c r="L117" s="25">
        <f t="shared" si="15"/>
        <v>5833.8262132799991</v>
      </c>
      <c r="M117" s="25">
        <f t="shared" si="16"/>
        <v>33155.578978807993</v>
      </c>
      <c r="N117" s="21"/>
      <c r="O117" s="595">
        <v>0.93490804699999996</v>
      </c>
      <c r="Q117" s="422" t="s">
        <v>3038</v>
      </c>
      <c r="R117" s="422">
        <v>562</v>
      </c>
      <c r="S117" s="422"/>
      <c r="T117" s="598"/>
      <c r="U117" s="428"/>
      <c r="V117" s="423"/>
      <c r="W117" s="423"/>
      <c r="X117" s="423"/>
      <c r="Y117" s="423"/>
      <c r="Z117" s="205"/>
    </row>
    <row r="118" spans="1:26" ht="18.95" customHeight="1">
      <c r="A118" s="115"/>
      <c r="B118" s="582"/>
      <c r="C118" s="285" t="s">
        <v>3045</v>
      </c>
      <c r="D118" s="267"/>
      <c r="E118" s="25">
        <v>62</v>
      </c>
      <c r="F118" s="1181" t="s">
        <v>286</v>
      </c>
      <c r="G118" s="384">
        <v>834</v>
      </c>
      <c r="H118" s="25">
        <f t="shared" si="13"/>
        <v>779.71331119799993</v>
      </c>
      <c r="I118" s="25">
        <f t="shared" si="14"/>
        <v>48342.225294275995</v>
      </c>
      <c r="J118" s="242">
        <v>150</v>
      </c>
      <c r="K118" s="25">
        <f t="shared" si="11"/>
        <v>140.23620704999999</v>
      </c>
      <c r="L118" s="25">
        <f t="shared" si="15"/>
        <v>8694.6448370999988</v>
      </c>
      <c r="M118" s="242">
        <f t="shared" si="16"/>
        <v>57036.870131375996</v>
      </c>
      <c r="N118" s="21"/>
      <c r="O118" s="595">
        <v>0.93490804699999996</v>
      </c>
      <c r="Q118" s="422" t="s">
        <v>3038</v>
      </c>
      <c r="R118" s="422">
        <v>843</v>
      </c>
      <c r="S118" s="422"/>
      <c r="T118" s="598"/>
      <c r="U118" s="428"/>
      <c r="V118" s="423"/>
      <c r="W118" s="423"/>
      <c r="X118" s="423"/>
      <c r="Y118" s="423"/>
      <c r="Z118" s="205"/>
    </row>
    <row r="119" spans="1:26" ht="18.95" customHeight="1">
      <c r="A119" s="115"/>
      <c r="B119" s="420">
        <v>2.4</v>
      </c>
      <c r="C119" s="285" t="s">
        <v>3046</v>
      </c>
      <c r="D119" s="267"/>
      <c r="E119" s="25"/>
      <c r="F119" s="30"/>
      <c r="G119" s="30"/>
      <c r="H119" s="25"/>
      <c r="I119" s="25"/>
      <c r="J119" s="25"/>
      <c r="K119" s="25"/>
      <c r="L119" s="25"/>
      <c r="M119" s="25"/>
      <c r="N119" s="21"/>
      <c r="O119" s="595">
        <v>0.93490804699999996</v>
      </c>
      <c r="Q119" s="423"/>
      <c r="R119" s="423"/>
      <c r="S119" s="423"/>
      <c r="T119" s="423"/>
      <c r="U119" s="423"/>
      <c r="V119" s="423"/>
      <c r="W119" s="423"/>
      <c r="X119" s="423"/>
      <c r="Y119" s="423"/>
      <c r="Z119" s="205"/>
    </row>
    <row r="120" spans="1:26" ht="18.95" customHeight="1">
      <c r="A120" s="115"/>
      <c r="B120" s="582"/>
      <c r="C120" s="285" t="s">
        <v>3039</v>
      </c>
      <c r="D120" s="267"/>
      <c r="E120" s="25">
        <v>157</v>
      </c>
      <c r="F120" s="1181" t="s">
        <v>286</v>
      </c>
      <c r="G120" s="30">
        <v>33</v>
      </c>
      <c r="H120" s="25">
        <f t="shared" si="13"/>
        <v>30.851965550999999</v>
      </c>
      <c r="I120" s="25">
        <f t="shared" si="14"/>
        <v>4843.7585915069994</v>
      </c>
      <c r="J120" s="25">
        <v>30</v>
      </c>
      <c r="K120" s="25">
        <f t="shared" si="11"/>
        <v>28.047241409999998</v>
      </c>
      <c r="L120" s="25">
        <f t="shared" si="15"/>
        <v>4403.4169013699993</v>
      </c>
      <c r="M120" s="25">
        <f t="shared" ref="M120:M128" si="17">I120+L120</f>
        <v>9247.1754928769988</v>
      </c>
      <c r="N120" s="21"/>
      <c r="O120" s="595">
        <v>0.93490804699999996</v>
      </c>
      <c r="Q120" s="422" t="s">
        <v>3047</v>
      </c>
      <c r="R120" s="602">
        <v>33</v>
      </c>
      <c r="S120" s="422"/>
      <c r="T120" s="423"/>
      <c r="U120" s="423"/>
      <c r="V120" s="423"/>
      <c r="W120" s="423"/>
      <c r="X120" s="423"/>
      <c r="Y120" s="423"/>
      <c r="Z120" s="205"/>
    </row>
    <row r="121" spans="1:26" ht="18.95" customHeight="1">
      <c r="A121" s="115"/>
      <c r="B121" s="582"/>
      <c r="C121" s="285" t="s">
        <v>3041</v>
      </c>
      <c r="D121" s="267"/>
      <c r="E121" s="25">
        <v>201</v>
      </c>
      <c r="F121" s="1181" t="s">
        <v>286</v>
      </c>
      <c r="G121" s="30">
        <v>73.7</v>
      </c>
      <c r="H121" s="25">
        <f t="shared" si="13"/>
        <v>68.902723063899998</v>
      </c>
      <c r="I121" s="25">
        <f t="shared" si="14"/>
        <v>13849.447335843899</v>
      </c>
      <c r="J121" s="25">
        <v>50</v>
      </c>
      <c r="K121" s="25">
        <f t="shared" si="11"/>
        <v>46.745402349999999</v>
      </c>
      <c r="L121" s="25">
        <f t="shared" si="15"/>
        <v>9395.8258723500003</v>
      </c>
      <c r="M121" s="25">
        <f t="shared" si="17"/>
        <v>23245.273208193899</v>
      </c>
      <c r="N121" s="21"/>
      <c r="O121" s="595">
        <v>0.93490804699999996</v>
      </c>
      <c r="Q121" s="422" t="s">
        <v>3047</v>
      </c>
      <c r="R121" s="602">
        <v>73.7</v>
      </c>
      <c r="S121" s="422"/>
      <c r="T121" s="423"/>
      <c r="U121" s="423"/>
      <c r="V121" s="423"/>
      <c r="W121" s="423"/>
      <c r="X121" s="423"/>
      <c r="Y121" s="423"/>
      <c r="Z121" s="205"/>
    </row>
    <row r="122" spans="1:26" ht="18.95" customHeight="1">
      <c r="A122" s="115"/>
      <c r="B122" s="582"/>
      <c r="C122" s="285" t="s">
        <v>3042</v>
      </c>
      <c r="D122" s="267"/>
      <c r="E122" s="25">
        <v>0</v>
      </c>
      <c r="F122" s="1181" t="s">
        <v>286</v>
      </c>
      <c r="G122" s="30">
        <v>117.7</v>
      </c>
      <c r="H122" s="25">
        <f t="shared" si="13"/>
        <v>110.0386771319</v>
      </c>
      <c r="I122" s="25">
        <f t="shared" si="14"/>
        <v>0</v>
      </c>
      <c r="J122" s="25">
        <v>75</v>
      </c>
      <c r="K122" s="25">
        <f t="shared" si="11"/>
        <v>70.118103524999995</v>
      </c>
      <c r="L122" s="25">
        <f t="shared" si="15"/>
        <v>0</v>
      </c>
      <c r="M122" s="25">
        <f t="shared" si="17"/>
        <v>0</v>
      </c>
      <c r="N122" s="21"/>
      <c r="O122" s="595">
        <v>0.93490804699999996</v>
      </c>
      <c r="Q122" s="422" t="s">
        <v>3047</v>
      </c>
      <c r="R122" s="602">
        <v>117.7</v>
      </c>
      <c r="S122" s="423"/>
      <c r="T122" s="423"/>
      <c r="U122" s="423"/>
      <c r="V122" s="423"/>
      <c r="W122" s="423"/>
      <c r="X122" s="423"/>
      <c r="Y122" s="423"/>
      <c r="Z122" s="205"/>
    </row>
    <row r="123" spans="1:26" ht="18.95" customHeight="1">
      <c r="A123" s="115"/>
      <c r="B123" s="582"/>
      <c r="C123" s="285" t="s">
        <v>3043</v>
      </c>
      <c r="D123" s="267"/>
      <c r="E123" s="25">
        <v>0</v>
      </c>
      <c r="F123" s="1181" t="s">
        <v>286</v>
      </c>
      <c r="G123" s="30">
        <v>166.1</v>
      </c>
      <c r="H123" s="25">
        <f t="shared" si="13"/>
        <v>155.28822660669999</v>
      </c>
      <c r="I123" s="25">
        <f t="shared" si="14"/>
        <v>0</v>
      </c>
      <c r="J123" s="25">
        <v>100</v>
      </c>
      <c r="K123" s="25">
        <f t="shared" si="11"/>
        <v>93.490804699999998</v>
      </c>
      <c r="L123" s="25">
        <f t="shared" si="15"/>
        <v>0</v>
      </c>
      <c r="M123" s="25">
        <f t="shared" si="17"/>
        <v>0</v>
      </c>
      <c r="N123" s="21"/>
      <c r="O123" s="595">
        <v>0.93490804699999996</v>
      </c>
      <c r="Q123" s="422" t="s">
        <v>3047</v>
      </c>
      <c r="R123" s="602">
        <v>166.1</v>
      </c>
      <c r="S123" s="423"/>
      <c r="T123" s="423"/>
      <c r="U123" s="423"/>
      <c r="V123" s="423"/>
      <c r="W123" s="423"/>
      <c r="X123" s="423"/>
      <c r="Y123" s="423"/>
      <c r="Z123" s="205"/>
    </row>
    <row r="124" spans="1:26" ht="18.95" customHeight="1">
      <c r="A124" s="525"/>
      <c r="B124" s="582"/>
      <c r="C124" s="285" t="s">
        <v>3044</v>
      </c>
      <c r="D124" s="267"/>
      <c r="E124" s="25">
        <v>0</v>
      </c>
      <c r="F124" s="1181" t="s">
        <v>286</v>
      </c>
      <c r="G124" s="30">
        <v>228.8</v>
      </c>
      <c r="H124" s="25">
        <f t="shared" si="13"/>
        <v>213.90696115360001</v>
      </c>
      <c r="I124" s="25">
        <f t="shared" si="14"/>
        <v>0</v>
      </c>
      <c r="J124" s="25">
        <v>120</v>
      </c>
      <c r="K124" s="25">
        <f t="shared" si="11"/>
        <v>112.18896563999999</v>
      </c>
      <c r="L124" s="25">
        <f t="shared" si="15"/>
        <v>0</v>
      </c>
      <c r="M124" s="25">
        <f t="shared" si="17"/>
        <v>0</v>
      </c>
      <c r="N124" s="605"/>
      <c r="O124" s="595">
        <v>0.93490804699999996</v>
      </c>
      <c r="Q124" s="422" t="s">
        <v>3047</v>
      </c>
      <c r="R124" s="602">
        <v>228.8</v>
      </c>
      <c r="S124" s="423"/>
      <c r="T124" s="423"/>
      <c r="U124" s="423"/>
      <c r="V124" s="423"/>
      <c r="W124" s="423"/>
      <c r="X124" s="423"/>
      <c r="Y124" s="423"/>
      <c r="Z124" s="205"/>
    </row>
    <row r="125" spans="1:26" ht="18.95" customHeight="1">
      <c r="A125" s="525"/>
      <c r="B125" s="582"/>
      <c r="C125" s="285" t="s">
        <v>3045</v>
      </c>
      <c r="D125" s="267"/>
      <c r="E125" s="25">
        <v>0</v>
      </c>
      <c r="F125" s="1181" t="s">
        <v>286</v>
      </c>
      <c r="G125" s="30">
        <v>341</v>
      </c>
      <c r="H125" s="25">
        <f t="shared" si="13"/>
        <v>318.80364402699996</v>
      </c>
      <c r="I125" s="25">
        <f t="shared" si="14"/>
        <v>0</v>
      </c>
      <c r="J125" s="25">
        <v>150</v>
      </c>
      <c r="K125" s="25">
        <f t="shared" si="11"/>
        <v>140.23620704999999</v>
      </c>
      <c r="L125" s="25">
        <f t="shared" si="15"/>
        <v>0</v>
      </c>
      <c r="M125" s="25">
        <f t="shared" si="17"/>
        <v>0</v>
      </c>
      <c r="N125" s="605"/>
      <c r="O125" s="595">
        <v>0.93490804699999996</v>
      </c>
      <c r="Q125" s="422" t="s">
        <v>3047</v>
      </c>
      <c r="R125" s="602">
        <v>341</v>
      </c>
      <c r="S125" s="423"/>
      <c r="T125" s="423"/>
      <c r="U125" s="423"/>
      <c r="V125" s="423"/>
      <c r="W125" s="423"/>
      <c r="X125" s="423"/>
      <c r="Y125" s="423"/>
      <c r="Z125" s="205"/>
    </row>
    <row r="126" spans="1:26" ht="18.95" customHeight="1">
      <c r="A126" s="21"/>
      <c r="B126" s="420">
        <v>2.5</v>
      </c>
      <c r="C126" s="285" t="s">
        <v>3048</v>
      </c>
      <c r="D126" s="267"/>
      <c r="E126" s="25">
        <v>1</v>
      </c>
      <c r="F126" s="1181" t="s">
        <v>2193</v>
      </c>
      <c r="G126" s="25">
        <v>118080</v>
      </c>
      <c r="H126" s="25">
        <f t="shared" si="13"/>
        <v>110393.94218976</v>
      </c>
      <c r="I126" s="25">
        <f t="shared" si="14"/>
        <v>110393.94218976</v>
      </c>
      <c r="J126" s="25">
        <v>35424</v>
      </c>
      <c r="K126" s="25">
        <f t="shared" si="11"/>
        <v>33118.182656928002</v>
      </c>
      <c r="L126" s="25">
        <f t="shared" si="15"/>
        <v>33118.182656928002</v>
      </c>
      <c r="M126" s="25">
        <f t="shared" si="17"/>
        <v>143512.12484668801</v>
      </c>
      <c r="N126" s="21"/>
      <c r="O126" s="595">
        <v>0.93490804699999996</v>
      </c>
      <c r="Q126" s="423"/>
      <c r="R126" s="423"/>
      <c r="S126" s="423"/>
      <c r="T126" s="423"/>
      <c r="U126" s="423"/>
      <c r="V126" s="423"/>
      <c r="W126" s="423"/>
      <c r="X126" s="423"/>
      <c r="Y126" s="423"/>
      <c r="Z126" s="205"/>
    </row>
    <row r="127" spans="1:26" ht="18.95" customHeight="1">
      <c r="A127" s="21"/>
      <c r="B127" s="420">
        <v>2.6</v>
      </c>
      <c r="C127" s="285" t="s">
        <v>3049</v>
      </c>
      <c r="D127" s="267"/>
      <c r="E127" s="25">
        <v>1</v>
      </c>
      <c r="F127" s="1181" t="s">
        <v>2193</v>
      </c>
      <c r="G127" s="25">
        <v>47232</v>
      </c>
      <c r="H127" s="25">
        <f t="shared" si="13"/>
        <v>44157.576875904</v>
      </c>
      <c r="I127" s="25">
        <f t="shared" si="14"/>
        <v>44157.576875904</v>
      </c>
      <c r="J127" s="25">
        <v>14170</v>
      </c>
      <c r="K127" s="25">
        <f t="shared" si="11"/>
        <v>13247.64702599</v>
      </c>
      <c r="L127" s="25">
        <f t="shared" si="15"/>
        <v>13247.64702599</v>
      </c>
      <c r="M127" s="25">
        <f t="shared" si="17"/>
        <v>57405.223901894002</v>
      </c>
      <c r="N127" s="21"/>
      <c r="O127" s="595">
        <v>0.93490804699999996</v>
      </c>
      <c r="Q127" s="423"/>
      <c r="R127" s="423"/>
      <c r="S127" s="423"/>
      <c r="T127" s="423"/>
      <c r="U127" s="423"/>
      <c r="V127" s="423"/>
      <c r="W127" s="423"/>
      <c r="X127" s="423"/>
      <c r="Y127" s="423"/>
      <c r="Z127" s="205"/>
    </row>
    <row r="128" spans="1:26" ht="18.95" customHeight="1">
      <c r="A128" s="21"/>
      <c r="B128" s="420">
        <v>2.7</v>
      </c>
      <c r="C128" s="285" t="s">
        <v>3050</v>
      </c>
      <c r="D128" s="267"/>
      <c r="E128" s="25">
        <v>1</v>
      </c>
      <c r="F128" s="1181" t="s">
        <v>2193</v>
      </c>
      <c r="G128" s="25">
        <v>23616</v>
      </c>
      <c r="H128" s="25">
        <f t="shared" si="13"/>
        <v>22078.788437952</v>
      </c>
      <c r="I128" s="25">
        <f t="shared" si="14"/>
        <v>22078.788437952</v>
      </c>
      <c r="J128" s="25">
        <v>7085</v>
      </c>
      <c r="K128" s="25">
        <f t="shared" si="11"/>
        <v>6623.8235129949999</v>
      </c>
      <c r="L128" s="25">
        <f t="shared" si="15"/>
        <v>6623.8235129949999</v>
      </c>
      <c r="M128" s="25">
        <f t="shared" si="17"/>
        <v>28702.611950947001</v>
      </c>
      <c r="N128" s="21"/>
      <c r="O128" s="595">
        <v>0.93490804699999996</v>
      </c>
      <c r="Q128" s="423"/>
      <c r="R128" s="423"/>
      <c r="S128" s="423"/>
      <c r="T128" s="423"/>
      <c r="U128" s="423"/>
      <c r="V128" s="423"/>
      <c r="W128" s="423"/>
      <c r="X128" s="423"/>
      <c r="Y128" s="423"/>
      <c r="Z128" s="205"/>
    </row>
    <row r="129" spans="1:32" ht="18.95" customHeight="1">
      <c r="A129" s="525"/>
      <c r="B129" s="418" t="s">
        <v>3051</v>
      </c>
      <c r="C129" s="285"/>
      <c r="D129" s="267"/>
      <c r="E129" s="25"/>
      <c r="F129" s="30"/>
      <c r="G129" s="25"/>
      <c r="H129" s="25"/>
      <c r="I129" s="25"/>
      <c r="J129" s="25"/>
      <c r="K129" s="25"/>
      <c r="L129" s="25"/>
      <c r="M129" s="25"/>
      <c r="N129" s="605"/>
      <c r="O129" s="595">
        <v>0.93490804699999996</v>
      </c>
      <c r="Q129" s="423"/>
      <c r="R129" s="423"/>
      <c r="S129" s="423"/>
      <c r="T129" s="423"/>
      <c r="U129" s="423"/>
      <c r="V129" s="423"/>
      <c r="W129" s="423"/>
      <c r="X129" s="423"/>
      <c r="Y129" s="423"/>
      <c r="Z129" s="205"/>
      <c r="AF129" s="163"/>
    </row>
    <row r="130" spans="1:32" ht="18.95" customHeight="1">
      <c r="A130" s="525"/>
      <c r="B130" s="420">
        <v>2.9</v>
      </c>
      <c r="C130" s="285" t="s">
        <v>3052</v>
      </c>
      <c r="D130" s="267"/>
      <c r="E130" s="25"/>
      <c r="F130" s="30"/>
      <c r="G130" s="25"/>
      <c r="H130" s="25"/>
      <c r="I130" s="25"/>
      <c r="J130" s="25"/>
      <c r="K130" s="25"/>
      <c r="L130" s="25"/>
      <c r="M130" s="25"/>
      <c r="N130" s="605"/>
      <c r="O130" s="595">
        <v>0.93490804699999996</v>
      </c>
      <c r="Q130" s="423"/>
      <c r="R130" s="423"/>
      <c r="S130" s="423"/>
      <c r="T130" s="423"/>
      <c r="U130" s="423"/>
      <c r="V130" s="423"/>
      <c r="W130" s="423"/>
      <c r="X130" s="423"/>
      <c r="Y130" s="423"/>
      <c r="Z130" s="205"/>
    </row>
    <row r="131" spans="1:32" ht="18.95" customHeight="1">
      <c r="A131" s="525"/>
      <c r="B131" s="582"/>
      <c r="C131" s="285" t="s">
        <v>3053</v>
      </c>
      <c r="D131" s="267"/>
      <c r="E131" s="25">
        <v>4</v>
      </c>
      <c r="F131" s="1181" t="s">
        <v>349</v>
      </c>
      <c r="G131" s="25">
        <v>2260</v>
      </c>
      <c r="H131" s="25">
        <f t="shared" si="13"/>
        <v>2112.89218622</v>
      </c>
      <c r="I131" s="25">
        <f t="shared" si="14"/>
        <v>8451.5687448799999</v>
      </c>
      <c r="J131" s="25">
        <v>600</v>
      </c>
      <c r="K131" s="25">
        <f t="shared" si="11"/>
        <v>560.94482819999996</v>
      </c>
      <c r="L131" s="25">
        <f t="shared" si="15"/>
        <v>2243.7793127999998</v>
      </c>
      <c r="M131" s="25">
        <f>I131+L131</f>
        <v>10695.348057679999</v>
      </c>
      <c r="N131" s="605"/>
      <c r="O131" s="595">
        <v>0.93490804699999996</v>
      </c>
      <c r="Q131" s="422"/>
      <c r="R131" s="422"/>
      <c r="S131" s="422"/>
      <c r="T131" s="598"/>
      <c r="U131" s="428"/>
      <c r="V131" s="422"/>
      <c r="W131" s="423"/>
      <c r="X131" s="423"/>
      <c r="Y131" s="423"/>
      <c r="Z131" s="205"/>
    </row>
    <row r="132" spans="1:32" ht="18.95" customHeight="1">
      <c r="A132" s="525"/>
      <c r="B132" s="582"/>
      <c r="C132" s="285" t="s">
        <v>3054</v>
      </c>
      <c r="D132" s="267"/>
      <c r="E132" s="25">
        <v>3</v>
      </c>
      <c r="F132" s="1181" t="s">
        <v>349</v>
      </c>
      <c r="G132" s="25">
        <v>3245</v>
      </c>
      <c r="H132" s="25">
        <f t="shared" si="13"/>
        <v>3033.7766125149997</v>
      </c>
      <c r="I132" s="25">
        <f t="shared" si="14"/>
        <v>9101.3298375449995</v>
      </c>
      <c r="J132" s="25">
        <v>800</v>
      </c>
      <c r="K132" s="25">
        <f t="shared" si="11"/>
        <v>747.92643759999999</v>
      </c>
      <c r="L132" s="25">
        <f t="shared" si="15"/>
        <v>2243.7793127999998</v>
      </c>
      <c r="M132" s="25">
        <f>I132+L132</f>
        <v>11345.109150344999</v>
      </c>
      <c r="N132" s="605"/>
      <c r="O132" s="595">
        <v>0.93490804699999996</v>
      </c>
      <c r="Q132" s="422"/>
      <c r="R132" s="422"/>
      <c r="S132" s="422"/>
      <c r="T132" s="598"/>
      <c r="U132" s="428"/>
      <c r="V132" s="422"/>
      <c r="W132" s="423"/>
      <c r="X132" s="423"/>
      <c r="Y132" s="423"/>
      <c r="Z132" s="205"/>
    </row>
    <row r="133" spans="1:32" ht="18.95" customHeight="1">
      <c r="A133" s="525"/>
      <c r="B133" s="582"/>
      <c r="C133" s="285" t="s">
        <v>3089</v>
      </c>
      <c r="D133" s="267"/>
      <c r="E133" s="25">
        <v>0</v>
      </c>
      <c r="F133" s="1181" t="s">
        <v>349</v>
      </c>
      <c r="G133" s="25">
        <v>6400</v>
      </c>
      <c r="H133" s="25">
        <f t="shared" si="13"/>
        <v>5983.4115007999999</v>
      </c>
      <c r="I133" s="25">
        <f t="shared" si="14"/>
        <v>0</v>
      </c>
      <c r="J133" s="25">
        <v>1200</v>
      </c>
      <c r="K133" s="25">
        <f t="shared" si="11"/>
        <v>1121.8896563999999</v>
      </c>
      <c r="L133" s="25">
        <f t="shared" si="15"/>
        <v>0</v>
      </c>
      <c r="M133" s="25">
        <f>I133+L133</f>
        <v>0</v>
      </c>
      <c r="N133" s="21"/>
      <c r="O133" s="595">
        <v>0.93490804699999996</v>
      </c>
      <c r="Q133" s="422"/>
      <c r="R133" s="422"/>
      <c r="S133" s="422"/>
      <c r="T133" s="598"/>
      <c r="U133" s="428"/>
      <c r="V133" s="422"/>
      <c r="W133" s="423"/>
      <c r="X133" s="423"/>
      <c r="Y133" s="423"/>
      <c r="Z133" s="205"/>
    </row>
    <row r="134" spans="1:32" ht="18.95" customHeight="1">
      <c r="A134" s="280"/>
      <c r="B134" s="583">
        <v>2.1</v>
      </c>
      <c r="C134" s="285" t="s">
        <v>3090</v>
      </c>
      <c r="D134" s="267"/>
      <c r="E134" s="25"/>
      <c r="F134" s="30"/>
      <c r="G134" s="25"/>
      <c r="H134" s="25">
        <f t="shared" si="13"/>
        <v>0</v>
      </c>
      <c r="I134" s="25">
        <f t="shared" si="14"/>
        <v>0</v>
      </c>
      <c r="J134" s="25"/>
      <c r="K134" s="25">
        <f t="shared" si="11"/>
        <v>0</v>
      </c>
      <c r="L134" s="25">
        <f t="shared" si="15"/>
        <v>0</v>
      </c>
      <c r="M134" s="25"/>
      <c r="N134" s="21"/>
      <c r="O134" s="595">
        <v>0.93490804699999996</v>
      </c>
      <c r="Q134" s="423"/>
      <c r="R134" s="423"/>
      <c r="S134" s="423"/>
      <c r="T134" s="423"/>
      <c r="U134" s="423"/>
      <c r="V134" s="423"/>
      <c r="W134" s="423"/>
      <c r="X134" s="423"/>
      <c r="Y134" s="423"/>
      <c r="Z134" s="205"/>
    </row>
    <row r="135" spans="1:32" ht="18.95" customHeight="1">
      <c r="A135" s="525"/>
      <c r="B135" s="582"/>
      <c r="C135" s="285" t="s">
        <v>3053</v>
      </c>
      <c r="D135" s="267"/>
      <c r="E135" s="25">
        <v>0</v>
      </c>
      <c r="F135" s="1181" t="s">
        <v>349</v>
      </c>
      <c r="G135" s="30"/>
      <c r="H135" s="25">
        <f t="shared" si="13"/>
        <v>0</v>
      </c>
      <c r="I135" s="25">
        <f t="shared" si="14"/>
        <v>0</v>
      </c>
      <c r="J135" s="25">
        <v>600</v>
      </c>
      <c r="K135" s="25">
        <f t="shared" si="11"/>
        <v>560.94482819999996</v>
      </c>
      <c r="L135" s="25">
        <f t="shared" si="15"/>
        <v>0</v>
      </c>
      <c r="M135" s="25">
        <f>I135+L135</f>
        <v>0</v>
      </c>
      <c r="N135" s="21"/>
      <c r="O135" s="595">
        <v>0.93490804699999996</v>
      </c>
      <c r="Q135" s="423"/>
      <c r="R135" s="423"/>
      <c r="S135" s="423"/>
      <c r="T135" s="423"/>
      <c r="U135" s="423"/>
      <c r="V135" s="423"/>
      <c r="W135" s="423"/>
      <c r="X135" s="423"/>
      <c r="Y135" s="423"/>
      <c r="Z135" s="205"/>
    </row>
    <row r="136" spans="1:32" ht="18.95" customHeight="1">
      <c r="A136" s="539"/>
      <c r="B136" s="582"/>
      <c r="C136" s="285" t="s">
        <v>3054</v>
      </c>
      <c r="D136" s="267"/>
      <c r="E136" s="25">
        <v>0</v>
      </c>
      <c r="F136" s="1181" t="s">
        <v>349</v>
      </c>
      <c r="G136" s="30"/>
      <c r="H136" s="25">
        <f t="shared" si="13"/>
        <v>0</v>
      </c>
      <c r="I136" s="25">
        <f t="shared" si="14"/>
        <v>0</v>
      </c>
      <c r="J136" s="25">
        <v>800</v>
      </c>
      <c r="K136" s="25">
        <f t="shared" si="11"/>
        <v>747.92643759999999</v>
      </c>
      <c r="L136" s="25">
        <f t="shared" si="15"/>
        <v>0</v>
      </c>
      <c r="M136" s="25">
        <f>I136+L136</f>
        <v>0</v>
      </c>
      <c r="N136" s="21"/>
      <c r="O136" s="595">
        <v>0.93490804699999996</v>
      </c>
      <c r="Q136" s="423"/>
      <c r="R136" s="423"/>
      <c r="S136" s="423"/>
      <c r="T136" s="423"/>
      <c r="U136" s="423"/>
      <c r="V136" s="423"/>
      <c r="W136" s="423"/>
      <c r="X136" s="423"/>
      <c r="Y136" s="423"/>
      <c r="Z136" s="205"/>
    </row>
    <row r="137" spans="1:32" ht="18.95" customHeight="1">
      <c r="A137" s="280"/>
      <c r="B137" s="583">
        <v>2.11</v>
      </c>
      <c r="C137" s="285" t="s">
        <v>3056</v>
      </c>
      <c r="D137" s="267"/>
      <c r="E137" s="25"/>
      <c r="F137" s="30"/>
      <c r="G137" s="30"/>
      <c r="H137" s="25"/>
      <c r="I137" s="25"/>
      <c r="J137" s="25"/>
      <c r="K137" s="25"/>
      <c r="L137" s="25"/>
      <c r="M137" s="25"/>
      <c r="N137" s="21"/>
      <c r="O137" s="595">
        <v>0.93490804699999996</v>
      </c>
      <c r="Q137" s="423"/>
      <c r="R137" s="423"/>
      <c r="S137" s="423"/>
      <c r="T137" s="422"/>
      <c r="U137" s="423"/>
      <c r="V137" s="423"/>
      <c r="W137" s="423"/>
      <c r="X137" s="423"/>
      <c r="Y137" s="423"/>
      <c r="Z137" s="205"/>
    </row>
    <row r="138" spans="1:32" ht="18.95" customHeight="1">
      <c r="A138" s="525"/>
      <c r="B138" s="582"/>
      <c r="C138" s="285" t="s">
        <v>3057</v>
      </c>
      <c r="D138" s="267"/>
      <c r="E138" s="25">
        <v>2</v>
      </c>
      <c r="F138" s="1181" t="s">
        <v>349</v>
      </c>
      <c r="G138" s="30">
        <v>630</v>
      </c>
      <c r="H138" s="25">
        <f t="shared" si="13"/>
        <v>588.99206960999993</v>
      </c>
      <c r="I138" s="25">
        <f t="shared" si="14"/>
        <v>1177.9841392199999</v>
      </c>
      <c r="J138" s="25">
        <v>150</v>
      </c>
      <c r="K138" s="25">
        <f t="shared" si="11"/>
        <v>140.23620704999999</v>
      </c>
      <c r="L138" s="25">
        <f t="shared" si="15"/>
        <v>280.47241409999998</v>
      </c>
      <c r="M138" s="25">
        <f t="shared" ref="M138:M143" si="18">I138+L138</f>
        <v>1458.4565533199998</v>
      </c>
      <c r="N138" s="21"/>
      <c r="O138" s="595">
        <v>0.93490804699999996</v>
      </c>
      <c r="Q138" s="422"/>
      <c r="R138" s="422"/>
      <c r="S138" s="422"/>
      <c r="T138" s="598"/>
      <c r="U138" s="428"/>
      <c r="V138" s="422"/>
      <c r="W138" s="423"/>
      <c r="X138" s="423"/>
      <c r="Y138" s="423"/>
      <c r="Z138" s="205"/>
    </row>
    <row r="139" spans="1:32" ht="18.95" customHeight="1">
      <c r="A139" s="539"/>
      <c r="B139" s="582"/>
      <c r="C139" s="285" t="s">
        <v>3058</v>
      </c>
      <c r="D139" s="267"/>
      <c r="E139" s="25">
        <v>8</v>
      </c>
      <c r="F139" s="1181" t="s">
        <v>349</v>
      </c>
      <c r="G139" s="25">
        <v>890</v>
      </c>
      <c r="H139" s="25">
        <f t="shared" si="13"/>
        <v>832.06816183000001</v>
      </c>
      <c r="I139" s="25">
        <f t="shared" si="14"/>
        <v>6656.5452946400001</v>
      </c>
      <c r="J139" s="25">
        <v>200</v>
      </c>
      <c r="K139" s="25">
        <f t="shared" si="11"/>
        <v>186.9816094</v>
      </c>
      <c r="L139" s="25">
        <f t="shared" si="15"/>
        <v>1495.8528752</v>
      </c>
      <c r="M139" s="25">
        <f t="shared" si="18"/>
        <v>8152.3981698400003</v>
      </c>
      <c r="N139" s="21"/>
      <c r="O139" s="595">
        <v>0.93490804699999996</v>
      </c>
      <c r="Q139" s="422"/>
      <c r="R139" s="422"/>
      <c r="S139" s="422"/>
      <c r="T139" s="598"/>
      <c r="U139" s="428"/>
      <c r="V139" s="422"/>
      <c r="W139" s="423"/>
      <c r="X139" s="423"/>
      <c r="Y139" s="423"/>
      <c r="Z139" s="205"/>
    </row>
    <row r="140" spans="1:32" ht="18.95" customHeight="1">
      <c r="A140" s="280"/>
      <c r="B140" s="582"/>
      <c r="C140" s="285" t="s">
        <v>3059</v>
      </c>
      <c r="D140" s="267"/>
      <c r="E140" s="25">
        <v>1</v>
      </c>
      <c r="F140" s="1181" t="s">
        <v>349</v>
      </c>
      <c r="G140" s="30">
        <v>1168</v>
      </c>
      <c r="H140" s="25">
        <f t="shared" si="13"/>
        <v>1091.9725988959999</v>
      </c>
      <c r="I140" s="25">
        <f t="shared" si="14"/>
        <v>1091.9725988959999</v>
      </c>
      <c r="J140" s="25">
        <v>250</v>
      </c>
      <c r="K140" s="25">
        <f t="shared" si="11"/>
        <v>233.72701175</v>
      </c>
      <c r="L140" s="25">
        <f t="shared" si="15"/>
        <v>233.72701175</v>
      </c>
      <c r="M140" s="25">
        <f t="shared" si="18"/>
        <v>1325.6996106459999</v>
      </c>
      <c r="N140" s="21"/>
      <c r="O140" s="595">
        <v>0.93490804699999996</v>
      </c>
      <c r="Q140" s="422"/>
      <c r="R140" s="422"/>
      <c r="S140" s="422"/>
      <c r="T140" s="598"/>
      <c r="U140" s="428"/>
      <c r="V140" s="422"/>
      <c r="W140" s="423"/>
      <c r="X140" s="423"/>
      <c r="Y140" s="423"/>
      <c r="Z140" s="205"/>
    </row>
    <row r="141" spans="1:32" ht="18.95" customHeight="1">
      <c r="A141" s="525"/>
      <c r="B141" s="582"/>
      <c r="C141" s="285" t="s">
        <v>3060</v>
      </c>
      <c r="D141" s="267"/>
      <c r="E141" s="25">
        <v>7</v>
      </c>
      <c r="F141" s="1181" t="s">
        <v>349</v>
      </c>
      <c r="G141" s="30">
        <v>1295</v>
      </c>
      <c r="H141" s="25">
        <f t="shared" si="13"/>
        <v>1210.7059208650001</v>
      </c>
      <c r="I141" s="25">
        <f t="shared" si="14"/>
        <v>8474.9414460549997</v>
      </c>
      <c r="J141" s="25">
        <v>300</v>
      </c>
      <c r="K141" s="25">
        <f t="shared" si="11"/>
        <v>280.47241409999998</v>
      </c>
      <c r="L141" s="25">
        <f t="shared" si="15"/>
        <v>1963.3068986999999</v>
      </c>
      <c r="M141" s="25">
        <f t="shared" si="18"/>
        <v>10438.248344755</v>
      </c>
      <c r="N141" s="21"/>
      <c r="O141" s="595">
        <v>0.93490804699999996</v>
      </c>
      <c r="Q141" s="422"/>
      <c r="R141" s="422"/>
      <c r="S141" s="422"/>
      <c r="T141" s="598"/>
      <c r="U141" s="428"/>
      <c r="V141" s="422"/>
      <c r="W141" s="423"/>
      <c r="X141" s="423"/>
      <c r="Y141" s="423"/>
      <c r="Z141" s="205"/>
    </row>
    <row r="142" spans="1:32" ht="18.95" customHeight="1">
      <c r="A142" s="539"/>
      <c r="B142" s="582"/>
      <c r="C142" s="285" t="s">
        <v>3061</v>
      </c>
      <c r="D142" s="267"/>
      <c r="E142" s="25">
        <v>11</v>
      </c>
      <c r="F142" s="1181" t="s">
        <v>349</v>
      </c>
      <c r="G142" s="30">
        <v>2695</v>
      </c>
      <c r="H142" s="25">
        <f t="shared" si="13"/>
        <v>2519.5771866649998</v>
      </c>
      <c r="I142" s="25">
        <f t="shared" si="14"/>
        <v>27715.349053314996</v>
      </c>
      <c r="J142" s="25">
        <v>400</v>
      </c>
      <c r="K142" s="25">
        <f t="shared" si="11"/>
        <v>373.96321879999999</v>
      </c>
      <c r="L142" s="25">
        <f t="shared" si="15"/>
        <v>4113.5954068000001</v>
      </c>
      <c r="M142" s="25">
        <f t="shared" si="18"/>
        <v>31828.944460114995</v>
      </c>
      <c r="N142" s="21"/>
      <c r="O142" s="595">
        <v>0.93490804699999996</v>
      </c>
      <c r="Q142" s="422"/>
      <c r="R142" s="422"/>
      <c r="S142" s="422"/>
      <c r="T142" s="598"/>
      <c r="U142" s="428"/>
      <c r="V142" s="422"/>
      <c r="W142" s="423"/>
      <c r="X142" s="423"/>
      <c r="Y142" s="423"/>
      <c r="Z142" s="205"/>
    </row>
    <row r="143" spans="1:32" ht="18.95" customHeight="1">
      <c r="A143" s="280"/>
      <c r="B143" s="582"/>
      <c r="C143" s="285" t="s">
        <v>3062</v>
      </c>
      <c r="D143" s="267"/>
      <c r="E143" s="25">
        <v>16</v>
      </c>
      <c r="F143" s="1181" t="s">
        <v>349</v>
      </c>
      <c r="G143" s="30">
        <v>6750</v>
      </c>
      <c r="H143" s="25">
        <f t="shared" si="13"/>
        <v>6310.62931725</v>
      </c>
      <c r="I143" s="25">
        <f t="shared" si="14"/>
        <v>100970.069076</v>
      </c>
      <c r="J143" s="25">
        <v>500</v>
      </c>
      <c r="K143" s="25">
        <f t="shared" si="11"/>
        <v>467.45402350000001</v>
      </c>
      <c r="L143" s="25">
        <f t="shared" si="15"/>
        <v>7479.2643760000001</v>
      </c>
      <c r="M143" s="25">
        <f t="shared" si="18"/>
        <v>108449.33345200001</v>
      </c>
      <c r="N143" s="21"/>
      <c r="O143" s="595">
        <v>0.93490804699999996</v>
      </c>
      <c r="Q143" s="422"/>
      <c r="R143" s="422"/>
      <c r="S143" s="422"/>
      <c r="T143" s="598"/>
      <c r="U143" s="428"/>
      <c r="V143" s="422"/>
      <c r="W143" s="423"/>
      <c r="X143" s="423"/>
      <c r="Y143" s="423"/>
      <c r="Z143" s="205"/>
    </row>
    <row r="144" spans="1:32" ht="18.95" customHeight="1">
      <c r="A144" s="532"/>
      <c r="B144" s="583">
        <v>2.12</v>
      </c>
      <c r="C144" s="285" t="s">
        <v>3063</v>
      </c>
      <c r="D144" s="267"/>
      <c r="E144" s="25"/>
      <c r="F144" s="30"/>
      <c r="G144" s="25"/>
      <c r="H144" s="25"/>
      <c r="I144" s="25"/>
      <c r="J144" s="25"/>
      <c r="K144" s="25"/>
      <c r="L144" s="25"/>
      <c r="M144" s="25"/>
      <c r="N144" s="21"/>
      <c r="O144" s="595">
        <v>0.93490804699999996</v>
      </c>
      <c r="Q144" s="422"/>
      <c r="R144" s="422"/>
      <c r="S144" s="422"/>
      <c r="T144" s="598"/>
      <c r="U144" s="428"/>
      <c r="V144" s="422"/>
      <c r="W144" s="423"/>
      <c r="X144" s="423"/>
      <c r="Y144" s="423"/>
      <c r="Z144" s="205"/>
    </row>
    <row r="145" spans="1:26" ht="18.95" customHeight="1">
      <c r="A145" s="539"/>
      <c r="B145" s="582"/>
      <c r="C145" s="285" t="s">
        <v>3062</v>
      </c>
      <c r="D145" s="267"/>
      <c r="E145" s="25">
        <v>1</v>
      </c>
      <c r="F145" s="1181" t="s">
        <v>349</v>
      </c>
      <c r="G145" s="25">
        <v>39000</v>
      </c>
      <c r="H145" s="25">
        <f t="shared" si="13"/>
        <v>36461.413832999999</v>
      </c>
      <c r="I145" s="25">
        <f t="shared" si="14"/>
        <v>36461.413832999999</v>
      </c>
      <c r="J145" s="25">
        <v>600</v>
      </c>
      <c r="K145" s="25">
        <f t="shared" si="11"/>
        <v>560.94482819999996</v>
      </c>
      <c r="L145" s="25">
        <f t="shared" si="15"/>
        <v>560.94482819999996</v>
      </c>
      <c r="M145" s="25">
        <f>I145+L145</f>
        <v>37022.3586612</v>
      </c>
      <c r="N145" s="21"/>
      <c r="O145" s="595">
        <v>0.93490804699999996</v>
      </c>
      <c r="Q145" s="422"/>
      <c r="R145" s="422"/>
      <c r="S145" s="422"/>
      <c r="T145" s="598"/>
      <c r="U145" s="428"/>
      <c r="V145" s="422"/>
      <c r="W145" s="423"/>
      <c r="X145" s="423"/>
      <c r="Y145" s="423"/>
      <c r="Z145" s="205"/>
    </row>
    <row r="146" spans="1:26" ht="18.95" customHeight="1">
      <c r="A146" s="539"/>
      <c r="B146" s="582"/>
      <c r="C146" s="285" t="s">
        <v>3054</v>
      </c>
      <c r="D146" s="267"/>
      <c r="E146" s="25">
        <v>0</v>
      </c>
      <c r="F146" s="1181" t="s">
        <v>349</v>
      </c>
      <c r="G146" s="25">
        <v>45000</v>
      </c>
      <c r="H146" s="25">
        <f t="shared" si="13"/>
        <v>42070.862114999996</v>
      </c>
      <c r="I146" s="25">
        <f t="shared" si="14"/>
        <v>0</v>
      </c>
      <c r="J146" s="25">
        <v>600</v>
      </c>
      <c r="K146" s="25">
        <f t="shared" si="11"/>
        <v>560.94482819999996</v>
      </c>
      <c r="L146" s="25">
        <f t="shared" si="15"/>
        <v>0</v>
      </c>
      <c r="M146" s="25">
        <f>I146+L146</f>
        <v>0</v>
      </c>
      <c r="N146" s="21"/>
      <c r="O146" s="595">
        <v>0.93490804699999996</v>
      </c>
      <c r="Q146" s="422"/>
      <c r="R146" s="422"/>
      <c r="S146" s="422"/>
      <c r="T146" s="598"/>
      <c r="U146" s="428"/>
      <c r="V146" s="422"/>
      <c r="W146" s="423"/>
      <c r="X146" s="423"/>
      <c r="Y146" s="423"/>
      <c r="Z146" s="205"/>
    </row>
    <row r="147" spans="1:26" ht="18.95" customHeight="1">
      <c r="A147" s="280"/>
      <c r="B147" s="582"/>
      <c r="C147" s="285" t="s">
        <v>3089</v>
      </c>
      <c r="D147" s="267"/>
      <c r="E147" s="25">
        <v>0</v>
      </c>
      <c r="F147" s="1181" t="s">
        <v>349</v>
      </c>
      <c r="G147" s="25">
        <v>55000</v>
      </c>
      <c r="H147" s="25">
        <f t="shared" si="13"/>
        <v>51419.942584999997</v>
      </c>
      <c r="I147" s="25">
        <f t="shared" si="14"/>
        <v>0</v>
      </c>
      <c r="J147" s="25">
        <v>1200</v>
      </c>
      <c r="K147" s="25">
        <f t="shared" si="11"/>
        <v>1121.8896563999999</v>
      </c>
      <c r="L147" s="25">
        <f t="shared" si="15"/>
        <v>0</v>
      </c>
      <c r="M147" s="25">
        <f>I147+L147</f>
        <v>0</v>
      </c>
      <c r="N147" s="21"/>
      <c r="O147" s="595">
        <v>0.93490804699999996</v>
      </c>
      <c r="Q147" s="422"/>
      <c r="R147" s="422"/>
      <c r="S147" s="422"/>
      <c r="T147" s="598"/>
      <c r="U147" s="428"/>
      <c r="V147" s="422"/>
      <c r="W147" s="423"/>
      <c r="X147" s="423"/>
      <c r="Y147" s="423"/>
      <c r="Z147" s="205"/>
    </row>
    <row r="148" spans="1:26" ht="18.95" customHeight="1">
      <c r="A148" s="525"/>
      <c r="B148" s="583">
        <v>2.13</v>
      </c>
      <c r="C148" s="285" t="s">
        <v>3064</v>
      </c>
      <c r="D148" s="267"/>
      <c r="E148" s="25"/>
      <c r="F148" s="30"/>
      <c r="G148" s="25"/>
      <c r="H148" s="25"/>
      <c r="I148" s="25"/>
      <c r="J148" s="25"/>
      <c r="K148" s="25"/>
      <c r="L148" s="25"/>
      <c r="M148" s="25"/>
      <c r="N148" s="605"/>
      <c r="O148" s="595">
        <v>0.93490804699999996</v>
      </c>
      <c r="P148" s="610"/>
      <c r="Q148" s="422"/>
      <c r="R148" s="422"/>
      <c r="S148" s="422"/>
      <c r="T148" s="598"/>
      <c r="U148" s="428"/>
      <c r="V148" s="422"/>
      <c r="W148" s="423"/>
      <c r="X148" s="423"/>
      <c r="Y148" s="423"/>
      <c r="Z148" s="205"/>
    </row>
    <row r="149" spans="1:26" ht="18.95" customHeight="1">
      <c r="A149" s="525"/>
      <c r="B149" s="582"/>
      <c r="C149" s="285" t="s">
        <v>3058</v>
      </c>
      <c r="D149" s="267"/>
      <c r="E149" s="25">
        <v>1</v>
      </c>
      <c r="F149" s="1181" t="s">
        <v>349</v>
      </c>
      <c r="G149" s="30">
        <v>755</v>
      </c>
      <c r="H149" s="25">
        <f t="shared" si="13"/>
        <v>705.85557548499992</v>
      </c>
      <c r="I149" s="25">
        <f t="shared" si="14"/>
        <v>705.85557548499992</v>
      </c>
      <c r="J149" s="25">
        <v>200</v>
      </c>
      <c r="K149" s="25">
        <f t="shared" si="11"/>
        <v>186.9816094</v>
      </c>
      <c r="L149" s="25">
        <f t="shared" si="15"/>
        <v>186.9816094</v>
      </c>
      <c r="M149" s="25">
        <f t="shared" ref="M149:M154" si="19">I149+L149</f>
        <v>892.83718488499994</v>
      </c>
      <c r="N149" s="605"/>
      <c r="O149" s="595">
        <v>0.93490804699999996</v>
      </c>
      <c r="P149" s="610"/>
      <c r="Q149" s="422"/>
      <c r="R149" s="422"/>
      <c r="S149" s="422"/>
      <c r="T149" s="598"/>
      <c r="U149" s="428"/>
      <c r="V149" s="422"/>
      <c r="W149" s="423"/>
      <c r="X149" s="423"/>
      <c r="Y149" s="423"/>
      <c r="Z149" s="205"/>
    </row>
    <row r="150" spans="1:26" ht="18.95" customHeight="1">
      <c r="A150" s="525"/>
      <c r="B150" s="582"/>
      <c r="C150" s="285" t="s">
        <v>3060</v>
      </c>
      <c r="D150" s="267"/>
      <c r="E150" s="25">
        <v>1</v>
      </c>
      <c r="F150" s="1181" t="s">
        <v>349</v>
      </c>
      <c r="G150" s="30">
        <v>1170</v>
      </c>
      <c r="H150" s="25">
        <f t="shared" si="13"/>
        <v>1093.84241499</v>
      </c>
      <c r="I150" s="25">
        <f t="shared" si="14"/>
        <v>1093.84241499</v>
      </c>
      <c r="J150" s="25">
        <v>300</v>
      </c>
      <c r="K150" s="25">
        <f t="shared" si="11"/>
        <v>280.47241409999998</v>
      </c>
      <c r="L150" s="25">
        <f t="shared" si="15"/>
        <v>280.47241409999998</v>
      </c>
      <c r="M150" s="25">
        <f t="shared" si="19"/>
        <v>1374.3148290899999</v>
      </c>
      <c r="N150" s="605"/>
      <c r="O150" s="595">
        <v>0.93490804699999996</v>
      </c>
      <c r="P150" s="610"/>
      <c r="Q150" s="422"/>
      <c r="R150" s="422"/>
      <c r="S150" s="422"/>
      <c r="T150" s="598"/>
      <c r="U150" s="428"/>
      <c r="V150" s="422"/>
      <c r="W150" s="423"/>
      <c r="X150" s="423"/>
      <c r="Y150" s="423"/>
      <c r="Z150" s="205"/>
    </row>
    <row r="151" spans="1:26" ht="18.95" customHeight="1">
      <c r="A151" s="525"/>
      <c r="B151" s="582"/>
      <c r="C151" s="285" t="s">
        <v>3091</v>
      </c>
      <c r="D151" s="267"/>
      <c r="E151" s="25">
        <v>0</v>
      </c>
      <c r="F151" s="1181" t="s">
        <v>349</v>
      </c>
      <c r="G151" s="30"/>
      <c r="H151" s="25">
        <f t="shared" si="13"/>
        <v>0</v>
      </c>
      <c r="I151" s="25">
        <f t="shared" si="14"/>
        <v>0</v>
      </c>
      <c r="J151" s="25"/>
      <c r="K151" s="25">
        <f t="shared" si="11"/>
        <v>0</v>
      </c>
      <c r="L151" s="25">
        <f t="shared" si="15"/>
        <v>0</v>
      </c>
      <c r="M151" s="25">
        <f t="shared" si="19"/>
        <v>0</v>
      </c>
      <c r="N151" s="605"/>
      <c r="O151" s="595">
        <v>0.93490804699999996</v>
      </c>
      <c r="P151" s="610"/>
      <c r="Q151" s="422"/>
      <c r="R151" s="422"/>
      <c r="S151" s="422"/>
      <c r="T151" s="598"/>
      <c r="U151" s="428"/>
      <c r="V151" s="422"/>
      <c r="W151" s="423"/>
      <c r="X151" s="423"/>
      <c r="Y151" s="423"/>
      <c r="Z151" s="205"/>
    </row>
    <row r="152" spans="1:26" ht="18.95" customHeight="1">
      <c r="A152" s="525"/>
      <c r="B152" s="582"/>
      <c r="C152" s="285" t="s">
        <v>3062</v>
      </c>
      <c r="D152" s="267"/>
      <c r="E152" s="25">
        <v>6</v>
      </c>
      <c r="F152" s="1181" t="s">
        <v>349</v>
      </c>
      <c r="G152" s="25">
        <v>3370</v>
      </c>
      <c r="H152" s="25">
        <f t="shared" si="13"/>
        <v>3150.6401183899998</v>
      </c>
      <c r="I152" s="25">
        <f t="shared" si="14"/>
        <v>18903.840710339999</v>
      </c>
      <c r="J152" s="25">
        <v>500</v>
      </c>
      <c r="K152" s="25">
        <f t="shared" ref="K152:K214" si="20">J152*O152</f>
        <v>467.45402350000001</v>
      </c>
      <c r="L152" s="25">
        <f t="shared" si="15"/>
        <v>2804.7241410000001</v>
      </c>
      <c r="M152" s="25">
        <f t="shared" si="19"/>
        <v>21708.564851339997</v>
      </c>
      <c r="N152" s="21"/>
      <c r="O152" s="595">
        <v>0.93490804699999996</v>
      </c>
      <c r="P152" s="610"/>
      <c r="Q152" s="422"/>
      <c r="R152" s="422"/>
      <c r="S152" s="422"/>
      <c r="T152" s="598"/>
      <c r="U152" s="428"/>
      <c r="V152" s="422"/>
      <c r="W152" s="423"/>
      <c r="X152" s="423"/>
      <c r="Y152" s="423"/>
      <c r="Z152" s="205"/>
    </row>
    <row r="153" spans="1:26" ht="18.95" customHeight="1">
      <c r="A153" s="525"/>
      <c r="B153" s="582"/>
      <c r="C153" s="285" t="s">
        <v>3053</v>
      </c>
      <c r="D153" s="267"/>
      <c r="E153" s="25">
        <v>1</v>
      </c>
      <c r="F153" s="1181" t="s">
        <v>349</v>
      </c>
      <c r="G153" s="25">
        <v>4592.5</v>
      </c>
      <c r="H153" s="25">
        <f t="shared" si="13"/>
        <v>4293.5652058474998</v>
      </c>
      <c r="I153" s="25">
        <f t="shared" si="14"/>
        <v>4293.5652058474998</v>
      </c>
      <c r="J153" s="25">
        <v>600</v>
      </c>
      <c r="K153" s="25">
        <f t="shared" si="20"/>
        <v>560.94482819999996</v>
      </c>
      <c r="L153" s="25">
        <f t="shared" si="15"/>
        <v>560.94482819999996</v>
      </c>
      <c r="M153" s="25">
        <f t="shared" si="19"/>
        <v>4854.5100340475001</v>
      </c>
      <c r="N153" s="21"/>
      <c r="O153" s="595">
        <v>0.93490804699999996</v>
      </c>
      <c r="P153" s="610"/>
      <c r="Q153" s="422"/>
      <c r="R153" s="422"/>
      <c r="S153" s="422"/>
      <c r="T153" s="598"/>
      <c r="U153" s="428"/>
      <c r="V153" s="422"/>
      <c r="W153" s="601"/>
      <c r="X153" s="423"/>
      <c r="Y153" s="423"/>
      <c r="Z153" s="205"/>
    </row>
    <row r="154" spans="1:26" ht="18.95" customHeight="1">
      <c r="A154" s="525"/>
      <c r="B154" s="582"/>
      <c r="C154" s="285" t="s">
        <v>3054</v>
      </c>
      <c r="D154" s="267"/>
      <c r="E154" s="25">
        <v>1</v>
      </c>
      <c r="F154" s="1181" t="s">
        <v>349</v>
      </c>
      <c r="G154" s="25">
        <v>5815</v>
      </c>
      <c r="H154" s="25">
        <f t="shared" si="13"/>
        <v>5436.4902933049998</v>
      </c>
      <c r="I154" s="25">
        <f t="shared" si="14"/>
        <v>5436.4902933049998</v>
      </c>
      <c r="J154" s="25">
        <v>800</v>
      </c>
      <c r="K154" s="25">
        <f t="shared" si="20"/>
        <v>747.92643759999999</v>
      </c>
      <c r="L154" s="25">
        <f t="shared" si="15"/>
        <v>747.92643759999999</v>
      </c>
      <c r="M154" s="25">
        <f t="shared" si="19"/>
        <v>6184.4167309049999</v>
      </c>
      <c r="N154" s="21"/>
      <c r="O154" s="595">
        <v>0.93490804699999996</v>
      </c>
      <c r="P154" s="610"/>
      <c r="Q154" s="422"/>
      <c r="R154" s="422"/>
      <c r="S154" s="422"/>
      <c r="T154" s="598"/>
      <c r="U154" s="428"/>
      <c r="V154" s="422"/>
      <c r="W154" s="423"/>
      <c r="X154" s="423"/>
      <c r="Y154" s="423"/>
      <c r="Z154" s="205"/>
    </row>
    <row r="155" spans="1:26" ht="18.95" customHeight="1">
      <c r="A155" s="539"/>
      <c r="B155" s="583">
        <v>2.14</v>
      </c>
      <c r="C155" s="285" t="s">
        <v>3066</v>
      </c>
      <c r="D155" s="267"/>
      <c r="E155" s="25"/>
      <c r="F155" s="30"/>
      <c r="G155" s="25"/>
      <c r="H155" s="25"/>
      <c r="I155" s="25"/>
      <c r="J155" s="25"/>
      <c r="K155" s="25"/>
      <c r="L155" s="25"/>
      <c r="M155" s="25"/>
      <c r="N155" s="21"/>
      <c r="O155" s="595">
        <v>0.93490804699999996</v>
      </c>
      <c r="P155" s="610"/>
      <c r="Q155" s="422"/>
      <c r="R155" s="422"/>
      <c r="S155" s="422"/>
      <c r="T155" s="598"/>
      <c r="U155" s="428"/>
      <c r="V155" s="422"/>
      <c r="W155" s="423"/>
      <c r="X155" s="423"/>
      <c r="Y155" s="423"/>
      <c r="Z155" s="205"/>
    </row>
    <row r="156" spans="1:26" ht="18.95" customHeight="1">
      <c r="A156" s="280"/>
      <c r="B156" s="582"/>
      <c r="C156" s="285" t="s">
        <v>3053</v>
      </c>
      <c r="D156" s="267"/>
      <c r="E156" s="25">
        <v>0</v>
      </c>
      <c r="F156" s="1181" t="s">
        <v>349</v>
      </c>
      <c r="G156" s="25"/>
      <c r="H156" s="25">
        <f t="shared" ref="H156:H219" si="21">G156*O156</f>
        <v>0</v>
      </c>
      <c r="I156" s="25">
        <f t="shared" si="14"/>
        <v>0</v>
      </c>
      <c r="J156" s="25"/>
      <c r="K156" s="25">
        <f t="shared" si="20"/>
        <v>0</v>
      </c>
      <c r="L156" s="25">
        <f t="shared" si="15"/>
        <v>0</v>
      </c>
      <c r="M156" s="25">
        <f>I156+L156</f>
        <v>0</v>
      </c>
      <c r="N156" s="21"/>
      <c r="O156" s="595">
        <v>0.93490804699999996</v>
      </c>
      <c r="P156" s="610"/>
      <c r="Q156" s="422"/>
      <c r="R156" s="422"/>
      <c r="S156" s="422"/>
      <c r="T156" s="598"/>
      <c r="U156" s="428"/>
      <c r="V156" s="422"/>
      <c r="W156" s="423"/>
      <c r="X156" s="423"/>
      <c r="Y156" s="423"/>
      <c r="Z156" s="205"/>
    </row>
    <row r="157" spans="1:26" ht="18.95" customHeight="1">
      <c r="A157" s="525"/>
      <c r="B157" s="582"/>
      <c r="C157" s="285" t="s">
        <v>3054</v>
      </c>
      <c r="D157" s="267"/>
      <c r="E157" s="25">
        <v>2</v>
      </c>
      <c r="F157" s="1181" t="s">
        <v>349</v>
      </c>
      <c r="G157" s="25">
        <v>3100</v>
      </c>
      <c r="H157" s="25">
        <f t="shared" si="21"/>
        <v>2898.2149457</v>
      </c>
      <c r="I157" s="25">
        <f t="shared" si="14"/>
        <v>5796.4298914000001</v>
      </c>
      <c r="J157" s="25">
        <v>500</v>
      </c>
      <c r="K157" s="25">
        <f t="shared" si="20"/>
        <v>467.45402350000001</v>
      </c>
      <c r="L157" s="25">
        <f t="shared" si="15"/>
        <v>934.90804700000001</v>
      </c>
      <c r="M157" s="25">
        <f>I157+L157</f>
        <v>6731.3379384</v>
      </c>
      <c r="N157" s="21"/>
      <c r="O157" s="595">
        <v>0.93490804699999996</v>
      </c>
      <c r="P157" s="611"/>
      <c r="Q157" s="422"/>
      <c r="R157" s="422"/>
      <c r="S157" s="422"/>
      <c r="T157" s="598"/>
      <c r="U157" s="428"/>
      <c r="V157" s="422"/>
      <c r="W157" s="423"/>
      <c r="X157" s="423"/>
      <c r="Y157" s="423"/>
      <c r="Z157" s="205"/>
    </row>
    <row r="158" spans="1:26" ht="18.95" customHeight="1">
      <c r="A158" s="539"/>
      <c r="B158" s="583">
        <v>2.15</v>
      </c>
      <c r="C158" s="285" t="s">
        <v>3067</v>
      </c>
      <c r="D158" s="267"/>
      <c r="E158" s="25"/>
      <c r="F158" s="30"/>
      <c r="G158" s="25"/>
      <c r="H158" s="25"/>
      <c r="I158" s="25"/>
      <c r="J158" s="25"/>
      <c r="K158" s="25"/>
      <c r="L158" s="25"/>
      <c r="M158" s="25"/>
      <c r="N158" s="21"/>
      <c r="O158" s="595">
        <v>0.93490804699999996</v>
      </c>
      <c r="Q158" s="423"/>
      <c r="R158" s="423"/>
      <c r="S158" s="423"/>
      <c r="T158" s="423"/>
      <c r="U158" s="423"/>
      <c r="V158" s="423"/>
      <c r="W158" s="423"/>
      <c r="X158" s="423"/>
      <c r="Y158" s="423"/>
      <c r="Z158" s="205"/>
    </row>
    <row r="159" spans="1:26" ht="18.95" customHeight="1">
      <c r="A159" s="280"/>
      <c r="B159" s="582"/>
      <c r="C159" s="285" t="s">
        <v>3058</v>
      </c>
      <c r="D159" s="267"/>
      <c r="E159" s="25"/>
      <c r="F159" s="1181" t="s">
        <v>349</v>
      </c>
      <c r="G159" s="30"/>
      <c r="H159" s="25">
        <f t="shared" si="21"/>
        <v>0</v>
      </c>
      <c r="I159" s="25">
        <f t="shared" si="14"/>
        <v>0</v>
      </c>
      <c r="J159" s="25"/>
      <c r="K159" s="25">
        <f t="shared" si="20"/>
        <v>0</v>
      </c>
      <c r="L159" s="25">
        <f t="shared" si="15"/>
        <v>0</v>
      </c>
      <c r="M159" s="25">
        <f>I159+L159</f>
        <v>0</v>
      </c>
      <c r="N159" s="21"/>
      <c r="O159" s="595">
        <v>0.93490804699999996</v>
      </c>
      <c r="Q159" s="423"/>
      <c r="R159" s="423"/>
      <c r="S159" s="608"/>
      <c r="T159" s="607"/>
      <c r="U159" s="423"/>
      <c r="V159" s="423"/>
      <c r="W159" s="423"/>
      <c r="X159" s="423"/>
      <c r="Y159" s="423"/>
      <c r="Z159" s="205"/>
    </row>
    <row r="160" spans="1:26" ht="18.95" customHeight="1">
      <c r="A160" s="280"/>
      <c r="B160" s="582"/>
      <c r="C160" s="285" t="s">
        <v>3060</v>
      </c>
      <c r="D160" s="267"/>
      <c r="E160" s="25"/>
      <c r="F160" s="1181" t="s">
        <v>349</v>
      </c>
      <c r="G160" s="30"/>
      <c r="H160" s="25">
        <f t="shared" si="21"/>
        <v>0</v>
      </c>
      <c r="I160" s="25">
        <f t="shared" si="14"/>
        <v>0</v>
      </c>
      <c r="J160" s="25"/>
      <c r="K160" s="25">
        <f t="shared" si="20"/>
        <v>0</v>
      </c>
      <c r="L160" s="25">
        <f t="shared" si="15"/>
        <v>0</v>
      </c>
      <c r="M160" s="25">
        <f>I160+L160</f>
        <v>0</v>
      </c>
      <c r="N160" s="21"/>
      <c r="O160" s="595">
        <v>0.93490804699999996</v>
      </c>
      <c r="Q160" s="423"/>
      <c r="R160" s="423"/>
      <c r="S160" s="608"/>
      <c r="T160" s="607"/>
      <c r="U160" s="423"/>
      <c r="V160" s="423"/>
      <c r="W160" s="423"/>
      <c r="X160" s="423"/>
      <c r="Y160" s="423"/>
      <c r="Z160" s="205"/>
    </row>
    <row r="161" spans="1:26" ht="18.95" customHeight="1">
      <c r="A161" s="525"/>
      <c r="B161" s="582"/>
      <c r="C161" s="285" t="s">
        <v>3062</v>
      </c>
      <c r="D161" s="267"/>
      <c r="E161" s="25"/>
      <c r="F161" s="1181" t="s">
        <v>349</v>
      </c>
      <c r="G161" s="25"/>
      <c r="H161" s="25">
        <f t="shared" si="21"/>
        <v>0</v>
      </c>
      <c r="I161" s="25">
        <f t="shared" si="14"/>
        <v>0</v>
      </c>
      <c r="J161" s="25"/>
      <c r="K161" s="25">
        <f t="shared" si="20"/>
        <v>0</v>
      </c>
      <c r="L161" s="25">
        <f t="shared" si="15"/>
        <v>0</v>
      </c>
      <c r="M161" s="25">
        <f>I161+L161</f>
        <v>0</v>
      </c>
      <c r="N161" s="21"/>
      <c r="O161" s="595">
        <v>0.93490804699999996</v>
      </c>
      <c r="Q161" s="423"/>
      <c r="R161" s="423"/>
      <c r="S161" s="608"/>
      <c r="T161" s="606"/>
      <c r="U161" s="423"/>
      <c r="V161" s="423"/>
      <c r="W161" s="423"/>
      <c r="X161" s="423"/>
      <c r="Y161" s="423"/>
      <c r="Z161" s="205"/>
    </row>
    <row r="162" spans="1:26" ht="18.95" customHeight="1">
      <c r="A162" s="539"/>
      <c r="B162" s="582"/>
      <c r="C162" s="285" t="s">
        <v>3053</v>
      </c>
      <c r="D162" s="267"/>
      <c r="E162" s="25"/>
      <c r="F162" s="1181" t="s">
        <v>349</v>
      </c>
      <c r="G162" s="25"/>
      <c r="H162" s="25">
        <f t="shared" si="21"/>
        <v>0</v>
      </c>
      <c r="I162" s="25">
        <f t="shared" si="14"/>
        <v>0</v>
      </c>
      <c r="J162" s="25"/>
      <c r="K162" s="25">
        <f t="shared" si="20"/>
        <v>0</v>
      </c>
      <c r="L162" s="25">
        <f t="shared" si="15"/>
        <v>0</v>
      </c>
      <c r="M162" s="25">
        <f>I162+L162</f>
        <v>0</v>
      </c>
      <c r="N162" s="21"/>
      <c r="O162" s="595">
        <v>0.93490804699999996</v>
      </c>
      <c r="Q162" s="423"/>
      <c r="R162" s="423"/>
      <c r="S162" s="608"/>
      <c r="T162" s="606"/>
      <c r="U162" s="423"/>
      <c r="V162" s="423"/>
      <c r="W162" s="423"/>
      <c r="X162" s="423"/>
      <c r="Y162" s="423"/>
      <c r="Z162" s="205"/>
    </row>
    <row r="163" spans="1:26" ht="18.95" customHeight="1">
      <c r="A163" s="280"/>
      <c r="B163" s="582"/>
      <c r="C163" s="285" t="s">
        <v>3054</v>
      </c>
      <c r="D163" s="267"/>
      <c r="E163" s="25">
        <v>0</v>
      </c>
      <c r="F163" s="1181" t="s">
        <v>349</v>
      </c>
      <c r="G163" s="25"/>
      <c r="H163" s="25">
        <f t="shared" si="21"/>
        <v>0</v>
      </c>
      <c r="I163" s="25">
        <f t="shared" si="14"/>
        <v>0</v>
      </c>
      <c r="J163" s="25"/>
      <c r="K163" s="25">
        <f t="shared" si="20"/>
        <v>0</v>
      </c>
      <c r="L163" s="25">
        <f t="shared" si="15"/>
        <v>0</v>
      </c>
      <c r="M163" s="25">
        <f>I163+L163</f>
        <v>0</v>
      </c>
      <c r="N163" s="21"/>
      <c r="O163" s="595">
        <v>0.93490804699999996</v>
      </c>
      <c r="Q163" s="423"/>
      <c r="R163" s="423"/>
      <c r="S163" s="423"/>
      <c r="T163" s="423"/>
      <c r="U163" s="423"/>
      <c r="V163" s="423"/>
      <c r="W163" s="422"/>
      <c r="X163" s="422"/>
      <c r="Y163" s="422"/>
    </row>
    <row r="164" spans="1:26" ht="18.95" customHeight="1">
      <c r="A164" s="280"/>
      <c r="B164" s="582" t="s">
        <v>1716</v>
      </c>
      <c r="C164" s="285" t="s">
        <v>3069</v>
      </c>
      <c r="D164" s="267"/>
      <c r="E164" s="25"/>
      <c r="F164" s="30"/>
      <c r="G164" s="25"/>
      <c r="H164" s="25">
        <f t="shared" si="21"/>
        <v>0</v>
      </c>
      <c r="I164" s="25">
        <f t="shared" si="14"/>
        <v>0</v>
      </c>
      <c r="J164" s="25"/>
      <c r="K164" s="25">
        <f t="shared" si="20"/>
        <v>0</v>
      </c>
      <c r="L164" s="25">
        <f t="shared" si="15"/>
        <v>0</v>
      </c>
      <c r="M164" s="25"/>
      <c r="N164" s="21"/>
      <c r="O164" s="595">
        <v>0.93490804699999996</v>
      </c>
      <c r="P164" s="203"/>
      <c r="Q164" s="422"/>
      <c r="R164" s="422"/>
      <c r="S164" s="422"/>
      <c r="T164" s="423"/>
      <c r="U164" s="423"/>
      <c r="V164" s="423"/>
      <c r="W164" s="423"/>
      <c r="X164" s="423"/>
      <c r="Y164" s="423"/>
      <c r="Z164" s="205"/>
    </row>
    <row r="165" spans="1:26" ht="18.95" customHeight="1">
      <c r="A165" s="280"/>
      <c r="B165" s="582"/>
      <c r="C165" s="285" t="s">
        <v>3058</v>
      </c>
      <c r="D165" s="267"/>
      <c r="E165" s="25">
        <v>1</v>
      </c>
      <c r="F165" s="1181" t="s">
        <v>349</v>
      </c>
      <c r="G165" s="25">
        <v>1615</v>
      </c>
      <c r="H165" s="25">
        <f t="shared" si="21"/>
        <v>1509.876495905</v>
      </c>
      <c r="I165" s="25">
        <f t="shared" ref="I165:I179" si="22">E165*H165</f>
        <v>1509.876495905</v>
      </c>
      <c r="J165" s="25">
        <v>200</v>
      </c>
      <c r="K165" s="25">
        <f t="shared" si="20"/>
        <v>186.9816094</v>
      </c>
      <c r="L165" s="25">
        <f t="shared" ref="L165:L179" si="23">E165*K165</f>
        <v>186.9816094</v>
      </c>
      <c r="M165" s="25">
        <f>I165+L165</f>
        <v>1696.858105305</v>
      </c>
      <c r="N165" s="21"/>
      <c r="O165" s="595">
        <v>0.93490804699999996</v>
      </c>
      <c r="Q165" s="422"/>
      <c r="R165" s="422"/>
      <c r="S165" s="422"/>
      <c r="T165" s="598"/>
      <c r="U165" s="428"/>
      <c r="V165" s="603"/>
      <c r="W165" s="603"/>
      <c r="X165" s="423"/>
      <c r="Y165" s="423"/>
      <c r="Z165" s="205"/>
    </row>
    <row r="166" spans="1:26" ht="18.95" customHeight="1">
      <c r="A166" s="280"/>
      <c r="B166" s="582"/>
      <c r="C166" s="285" t="s">
        <v>3060</v>
      </c>
      <c r="D166" s="267"/>
      <c r="E166" s="25">
        <v>1</v>
      </c>
      <c r="F166" s="1181" t="s">
        <v>349</v>
      </c>
      <c r="G166" s="25">
        <v>4512.5</v>
      </c>
      <c r="H166" s="25">
        <f t="shared" si="21"/>
        <v>4218.7725620874999</v>
      </c>
      <c r="I166" s="25">
        <f t="shared" si="22"/>
        <v>4218.7725620874999</v>
      </c>
      <c r="J166" s="25">
        <v>300</v>
      </c>
      <c r="K166" s="25">
        <f t="shared" si="20"/>
        <v>280.47241409999998</v>
      </c>
      <c r="L166" s="25">
        <f t="shared" si="23"/>
        <v>280.47241409999998</v>
      </c>
      <c r="M166" s="25">
        <f>I166+L166</f>
        <v>4499.2449761874996</v>
      </c>
      <c r="N166" s="21"/>
      <c r="O166" s="595">
        <v>0.93490804699999996</v>
      </c>
      <c r="Q166" s="422"/>
      <c r="R166" s="422"/>
      <c r="S166" s="422"/>
      <c r="T166" s="598"/>
      <c r="U166" s="428"/>
      <c r="V166" s="603"/>
      <c r="W166" s="603"/>
      <c r="X166" s="423"/>
      <c r="Y166" s="423"/>
      <c r="Z166" s="205"/>
    </row>
    <row r="167" spans="1:26" ht="18.95" customHeight="1">
      <c r="A167" s="280"/>
      <c r="B167" s="582"/>
      <c r="C167" s="285" t="s">
        <v>3062</v>
      </c>
      <c r="D167" s="267"/>
      <c r="E167" s="25">
        <v>6</v>
      </c>
      <c r="F167" s="1181" t="s">
        <v>349</v>
      </c>
      <c r="G167" s="25">
        <v>8125</v>
      </c>
      <c r="H167" s="25">
        <f t="shared" si="21"/>
        <v>7596.1278818749997</v>
      </c>
      <c r="I167" s="25">
        <f t="shared" si="22"/>
        <v>45576.767291249998</v>
      </c>
      <c r="J167" s="25">
        <v>500</v>
      </c>
      <c r="K167" s="25">
        <f t="shared" si="20"/>
        <v>467.45402350000001</v>
      </c>
      <c r="L167" s="25">
        <f t="shared" si="23"/>
        <v>2804.7241410000001</v>
      </c>
      <c r="M167" s="25">
        <f>I167+L167</f>
        <v>48381.491432249997</v>
      </c>
      <c r="N167" s="21"/>
      <c r="O167" s="595">
        <v>0.93490804699999996</v>
      </c>
      <c r="Q167" s="422"/>
      <c r="R167" s="422"/>
      <c r="S167" s="422"/>
      <c r="T167" s="598"/>
      <c r="U167" s="428"/>
      <c r="V167" s="603"/>
      <c r="W167" s="603"/>
      <c r="X167" s="423"/>
      <c r="Y167" s="423"/>
      <c r="Z167" s="205"/>
    </row>
    <row r="168" spans="1:26" ht="18.95" customHeight="1">
      <c r="A168" s="280"/>
      <c r="B168" s="582"/>
      <c r="C168" s="285" t="s">
        <v>3053</v>
      </c>
      <c r="D168" s="267"/>
      <c r="E168" s="25">
        <v>1</v>
      </c>
      <c r="F168" s="1181" t="s">
        <v>349</v>
      </c>
      <c r="G168" s="25">
        <v>10925</v>
      </c>
      <c r="H168" s="25">
        <f t="shared" si="21"/>
        <v>10213.870413474999</v>
      </c>
      <c r="I168" s="25">
        <f t="shared" si="22"/>
        <v>10213.870413474999</v>
      </c>
      <c r="J168" s="25">
        <v>600</v>
      </c>
      <c r="K168" s="25">
        <f t="shared" si="20"/>
        <v>560.94482819999996</v>
      </c>
      <c r="L168" s="25">
        <f t="shared" si="23"/>
        <v>560.94482819999996</v>
      </c>
      <c r="M168" s="25">
        <f>I168+L168</f>
        <v>10774.815241674998</v>
      </c>
      <c r="N168" s="21"/>
      <c r="O168" s="595">
        <v>0.93490804699999996</v>
      </c>
      <c r="Q168" s="422"/>
      <c r="R168" s="422"/>
      <c r="S168" s="422"/>
      <c r="T168" s="598"/>
      <c r="U168" s="428"/>
      <c r="V168" s="603"/>
      <c r="W168" s="603"/>
      <c r="X168" s="423"/>
      <c r="Y168" s="423"/>
      <c r="Z168" s="205"/>
    </row>
    <row r="169" spans="1:26" ht="18.95" customHeight="1">
      <c r="A169" s="280"/>
      <c r="B169" s="582"/>
      <c r="C169" s="285" t="s">
        <v>3054</v>
      </c>
      <c r="D169" s="267"/>
      <c r="E169" s="25">
        <v>0</v>
      </c>
      <c r="F169" s="1181" t="s">
        <v>349</v>
      </c>
      <c r="G169" s="25">
        <v>0</v>
      </c>
      <c r="H169" s="25">
        <f t="shared" si="21"/>
        <v>0</v>
      </c>
      <c r="I169" s="25">
        <f t="shared" si="22"/>
        <v>0</v>
      </c>
      <c r="J169" s="25">
        <v>0</v>
      </c>
      <c r="K169" s="25">
        <f t="shared" si="20"/>
        <v>0</v>
      </c>
      <c r="L169" s="25">
        <f t="shared" si="23"/>
        <v>0</v>
      </c>
      <c r="M169" s="25">
        <f>I169+L169</f>
        <v>0</v>
      </c>
      <c r="N169" s="21"/>
      <c r="O169" s="595">
        <v>0.93490804699999996</v>
      </c>
      <c r="Q169" s="422"/>
      <c r="R169" s="422"/>
      <c r="S169" s="422"/>
      <c r="T169" s="598"/>
      <c r="U169" s="428"/>
      <c r="V169" s="603"/>
      <c r="W169" s="603"/>
      <c r="X169" s="423"/>
      <c r="Y169" s="423"/>
      <c r="Z169" s="205"/>
    </row>
    <row r="170" spans="1:26" ht="18.95" customHeight="1">
      <c r="A170" s="115"/>
      <c r="B170" s="583">
        <v>2.17</v>
      </c>
      <c r="C170" s="285" t="s">
        <v>3071</v>
      </c>
      <c r="D170" s="267"/>
      <c r="E170" s="25"/>
      <c r="F170" s="30"/>
      <c r="G170" s="25"/>
      <c r="H170" s="25"/>
      <c r="I170" s="25"/>
      <c r="J170" s="25"/>
      <c r="K170" s="25"/>
      <c r="L170" s="25"/>
      <c r="M170" s="25"/>
      <c r="N170" s="21"/>
      <c r="O170" s="595">
        <v>0.93490804699999996</v>
      </c>
      <c r="Q170" s="423"/>
      <c r="R170" s="423"/>
      <c r="S170" s="423"/>
      <c r="T170" s="423"/>
      <c r="U170" s="423"/>
      <c r="V170" s="423"/>
      <c r="W170" s="423"/>
      <c r="X170" s="423"/>
      <c r="Y170" s="423"/>
      <c r="Z170" s="205"/>
    </row>
    <row r="171" spans="1:26" ht="18.95" customHeight="1">
      <c r="A171" s="115"/>
      <c r="B171" s="582"/>
      <c r="C171" s="285" t="s">
        <v>3057</v>
      </c>
      <c r="D171" s="267"/>
      <c r="E171" s="25">
        <v>3</v>
      </c>
      <c r="F171" s="1181" t="s">
        <v>349</v>
      </c>
      <c r="G171" s="25">
        <v>3750</v>
      </c>
      <c r="H171" s="25">
        <f t="shared" si="21"/>
        <v>3505.9051762499998</v>
      </c>
      <c r="I171" s="25">
        <f t="shared" si="22"/>
        <v>10517.715528749999</v>
      </c>
      <c r="J171" s="25">
        <v>100</v>
      </c>
      <c r="K171" s="25">
        <f t="shared" si="20"/>
        <v>93.490804699999998</v>
      </c>
      <c r="L171" s="25">
        <f t="shared" si="23"/>
        <v>280.47241409999998</v>
      </c>
      <c r="M171" s="25">
        <f>I171+L171</f>
        <v>10798.18794285</v>
      </c>
      <c r="N171" s="21"/>
      <c r="O171" s="595">
        <v>0.93490804699999996</v>
      </c>
      <c r="Q171" s="608"/>
      <c r="S171" s="608"/>
      <c r="T171" s="603"/>
      <c r="U171" s="423"/>
      <c r="V171" s="423"/>
      <c r="W171" s="423"/>
      <c r="X171" s="423"/>
      <c r="Y171" s="423"/>
      <c r="Z171" s="205"/>
    </row>
    <row r="172" spans="1:26" ht="18.95" customHeight="1">
      <c r="A172" s="525"/>
      <c r="B172" s="583">
        <v>2.1800000000000002</v>
      </c>
      <c r="C172" s="285" t="s">
        <v>3072</v>
      </c>
      <c r="D172" s="267"/>
      <c r="E172" s="25"/>
      <c r="F172" s="30"/>
      <c r="G172" s="25"/>
      <c r="H172" s="25"/>
      <c r="I172" s="25"/>
      <c r="J172" s="25"/>
      <c r="K172" s="25"/>
      <c r="L172" s="25"/>
      <c r="M172" s="25"/>
      <c r="N172" s="605"/>
      <c r="O172" s="595">
        <v>0.93490804699999996</v>
      </c>
      <c r="Q172" s="423"/>
      <c r="R172" s="423"/>
      <c r="S172" s="423"/>
      <c r="T172" s="423"/>
      <c r="U172" s="423"/>
      <c r="V172" s="423"/>
      <c r="W172" s="423"/>
      <c r="X172" s="423"/>
      <c r="Y172" s="423"/>
      <c r="Z172" s="205"/>
    </row>
    <row r="173" spans="1:26" ht="18.95" customHeight="1">
      <c r="A173" s="115"/>
      <c r="B173" s="582"/>
      <c r="C173" s="285" t="s">
        <v>3073</v>
      </c>
      <c r="D173" s="267"/>
      <c r="E173" s="25">
        <v>0</v>
      </c>
      <c r="F173" s="1181" t="s">
        <v>349</v>
      </c>
      <c r="G173" s="25">
        <v>250</v>
      </c>
      <c r="H173" s="25">
        <f t="shared" si="21"/>
        <v>233.72701175</v>
      </c>
      <c r="I173" s="25">
        <f t="shared" si="22"/>
        <v>0</v>
      </c>
      <c r="J173" s="25">
        <v>50</v>
      </c>
      <c r="K173" s="25">
        <f t="shared" si="20"/>
        <v>46.745402349999999</v>
      </c>
      <c r="L173" s="25">
        <f t="shared" si="23"/>
        <v>0</v>
      </c>
      <c r="M173" s="25">
        <f>I173+L173</f>
        <v>0</v>
      </c>
      <c r="N173" s="605"/>
      <c r="O173" s="595">
        <v>0.93490804699999996</v>
      </c>
      <c r="Q173" s="423"/>
      <c r="R173" s="423"/>
      <c r="S173" s="423"/>
      <c r="T173" s="423"/>
      <c r="U173" s="423"/>
      <c r="V173" s="423"/>
      <c r="W173" s="423"/>
      <c r="X173" s="423"/>
      <c r="Y173" s="423"/>
      <c r="Z173" s="205"/>
    </row>
    <row r="174" spans="1:26" ht="18.95" customHeight="1">
      <c r="A174" s="115"/>
      <c r="B174" s="583">
        <v>2.19</v>
      </c>
      <c r="C174" s="285" t="s">
        <v>3075</v>
      </c>
      <c r="D174" s="267"/>
      <c r="E174" s="25"/>
      <c r="F174" s="30"/>
      <c r="G174" s="25"/>
      <c r="H174" s="25"/>
      <c r="I174" s="25"/>
      <c r="J174" s="25"/>
      <c r="K174" s="25"/>
      <c r="L174" s="25"/>
      <c r="M174" s="25"/>
      <c r="N174" s="21"/>
      <c r="O174" s="595">
        <v>0.93490804699999996</v>
      </c>
      <c r="Q174" s="423"/>
      <c r="R174" s="423"/>
      <c r="S174" s="423"/>
      <c r="T174" s="423"/>
      <c r="U174" s="423"/>
      <c r="V174" s="423"/>
      <c r="W174" s="423"/>
      <c r="X174" s="423"/>
      <c r="Y174" s="423"/>
      <c r="Z174" s="205"/>
    </row>
    <row r="175" spans="1:26" ht="18.95" customHeight="1">
      <c r="A175" s="21"/>
      <c r="B175" s="582"/>
      <c r="C175" s="285" t="s">
        <v>3076</v>
      </c>
      <c r="D175" s="267"/>
      <c r="E175" s="25">
        <v>10</v>
      </c>
      <c r="F175" s="1181" t="s">
        <v>349</v>
      </c>
      <c r="G175" s="25">
        <v>105</v>
      </c>
      <c r="H175" s="25">
        <f t="shared" si="21"/>
        <v>98.165344934999993</v>
      </c>
      <c r="I175" s="25">
        <f t="shared" si="22"/>
        <v>981.65344934999996</v>
      </c>
      <c r="J175" s="25">
        <v>50</v>
      </c>
      <c r="K175" s="25">
        <f t="shared" si="20"/>
        <v>46.745402349999999</v>
      </c>
      <c r="L175" s="25">
        <f t="shared" si="23"/>
        <v>467.45402350000001</v>
      </c>
      <c r="M175" s="25">
        <f>I175+L175</f>
        <v>1449.10747285</v>
      </c>
      <c r="N175" s="21"/>
      <c r="O175" s="595">
        <v>0.93490804699999996</v>
      </c>
      <c r="Q175" s="423"/>
      <c r="R175" s="423"/>
      <c r="S175" s="423"/>
      <c r="T175" s="423"/>
      <c r="U175" s="423"/>
      <c r="V175" s="423"/>
      <c r="W175" s="423"/>
      <c r="X175" s="423"/>
      <c r="Y175" s="423"/>
      <c r="Z175" s="205"/>
    </row>
    <row r="176" spans="1:26" ht="18.95" customHeight="1">
      <c r="A176" s="21"/>
      <c r="B176" s="583">
        <v>2.2000000000000002</v>
      </c>
      <c r="C176" s="285" t="s">
        <v>3092</v>
      </c>
      <c r="D176" s="267"/>
      <c r="E176" s="25"/>
      <c r="F176" s="30"/>
      <c r="G176" s="25"/>
      <c r="H176" s="25"/>
      <c r="I176" s="25"/>
      <c r="J176" s="25"/>
      <c r="K176" s="25"/>
      <c r="L176" s="25"/>
      <c r="M176" s="25"/>
      <c r="N176" s="21"/>
      <c r="O176" s="595">
        <v>0.93490804699999996</v>
      </c>
      <c r="Q176" s="423"/>
      <c r="R176" s="423"/>
      <c r="S176" s="423"/>
      <c r="T176" s="423"/>
      <c r="U176" s="423"/>
      <c r="V176" s="423"/>
      <c r="W176" s="423"/>
      <c r="X176" s="423"/>
      <c r="Y176" s="423"/>
      <c r="Z176" s="205"/>
    </row>
    <row r="177" spans="1:26" ht="18.95" customHeight="1">
      <c r="A177" s="21"/>
      <c r="B177" s="582"/>
      <c r="C177" s="285" t="s">
        <v>3078</v>
      </c>
      <c r="D177" s="267"/>
      <c r="E177" s="25">
        <v>2</v>
      </c>
      <c r="F177" s="1181" t="s">
        <v>349</v>
      </c>
      <c r="G177" s="25">
        <v>1500</v>
      </c>
      <c r="H177" s="25">
        <f t="shared" si="21"/>
        <v>1402.3620704999998</v>
      </c>
      <c r="I177" s="25">
        <f t="shared" si="22"/>
        <v>2804.7241409999997</v>
      </c>
      <c r="J177" s="25">
        <v>200</v>
      </c>
      <c r="K177" s="25">
        <f t="shared" si="20"/>
        <v>186.9816094</v>
      </c>
      <c r="L177" s="25">
        <f t="shared" si="23"/>
        <v>373.96321879999999</v>
      </c>
      <c r="M177" s="25">
        <f>I177+L177</f>
        <v>3178.6873597999997</v>
      </c>
      <c r="N177" s="21"/>
      <c r="O177" s="595">
        <v>0.93490804699999996</v>
      </c>
      <c r="Q177" s="423"/>
      <c r="R177" s="423"/>
      <c r="S177" s="423"/>
      <c r="T177" s="423"/>
      <c r="U177" s="423"/>
      <c r="V177" s="423"/>
      <c r="W177" s="423"/>
      <c r="X177" s="423"/>
      <c r="Y177" s="423"/>
      <c r="Z177" s="205"/>
    </row>
    <row r="178" spans="1:26" ht="18.95" customHeight="1">
      <c r="A178" s="21"/>
      <c r="B178" s="582"/>
      <c r="C178" s="285" t="s">
        <v>3079</v>
      </c>
      <c r="D178" s="267"/>
      <c r="E178" s="25">
        <v>4</v>
      </c>
      <c r="F178" s="1181" t="s">
        <v>349</v>
      </c>
      <c r="G178" s="25">
        <v>2000</v>
      </c>
      <c r="H178" s="25">
        <f t="shared" si="21"/>
        <v>1869.816094</v>
      </c>
      <c r="I178" s="25">
        <f t="shared" si="22"/>
        <v>7479.2643760000001</v>
      </c>
      <c r="J178" s="25">
        <v>200</v>
      </c>
      <c r="K178" s="25">
        <f t="shared" si="20"/>
        <v>186.9816094</v>
      </c>
      <c r="L178" s="25">
        <f t="shared" si="23"/>
        <v>747.92643759999999</v>
      </c>
      <c r="M178" s="25">
        <f>I178+L178</f>
        <v>8227.1908136000002</v>
      </c>
      <c r="N178" s="21"/>
      <c r="O178" s="595">
        <v>0.93490804699999996</v>
      </c>
      <c r="Q178" s="423"/>
      <c r="R178" s="423"/>
      <c r="S178" s="423"/>
      <c r="T178" s="423"/>
      <c r="U178" s="423"/>
      <c r="V178" s="423"/>
      <c r="W178" s="423"/>
      <c r="X178" s="423"/>
      <c r="Y178" s="423"/>
      <c r="Z178" s="205"/>
    </row>
    <row r="179" spans="1:26" ht="18.95" customHeight="1">
      <c r="A179" s="21"/>
      <c r="B179" s="582"/>
      <c r="C179" s="285" t="s">
        <v>3080</v>
      </c>
      <c r="D179" s="267"/>
      <c r="E179" s="25">
        <v>13</v>
      </c>
      <c r="F179" s="1181" t="s">
        <v>349</v>
      </c>
      <c r="G179" s="25">
        <v>4000</v>
      </c>
      <c r="H179" s="25">
        <f t="shared" si="21"/>
        <v>3739.632188</v>
      </c>
      <c r="I179" s="25">
        <f t="shared" si="22"/>
        <v>48615.218443999998</v>
      </c>
      <c r="J179" s="25">
        <v>200</v>
      </c>
      <c r="K179" s="25">
        <f t="shared" si="20"/>
        <v>186.9816094</v>
      </c>
      <c r="L179" s="25">
        <f t="shared" si="23"/>
        <v>2430.7609222000001</v>
      </c>
      <c r="M179" s="25">
        <f>I179+L179</f>
        <v>51045.979366200001</v>
      </c>
      <c r="N179" s="21"/>
      <c r="O179" s="595">
        <v>0.93490804699999996</v>
      </c>
      <c r="Q179" s="423"/>
      <c r="R179" s="423"/>
      <c r="S179" s="423"/>
      <c r="T179" s="423"/>
      <c r="U179" s="423"/>
      <c r="V179" s="423"/>
      <c r="W179" s="423"/>
      <c r="X179" s="423"/>
      <c r="Y179" s="423"/>
      <c r="Z179" s="205"/>
    </row>
    <row r="180" spans="1:26" ht="18.95" customHeight="1">
      <c r="A180" s="21"/>
      <c r="B180" s="1248" t="s">
        <v>2007</v>
      </c>
      <c r="C180" s="1249"/>
      <c r="D180" s="1250"/>
      <c r="E180" s="25"/>
      <c r="F180" s="30"/>
      <c r="G180" s="25"/>
      <c r="H180" s="25"/>
      <c r="I180" s="34">
        <f>SUM(I99:I179)</f>
        <v>2380895.4512247466</v>
      </c>
      <c r="J180" s="34"/>
      <c r="K180" s="25"/>
      <c r="L180" s="34">
        <f>SUM(L99:L179)</f>
        <v>176757.45499800803</v>
      </c>
      <c r="M180" s="34">
        <f>SUM(M99:M179)</f>
        <v>2557652.9062227546</v>
      </c>
      <c r="N180" s="21"/>
      <c r="O180" s="595">
        <v>0.93490804699999996</v>
      </c>
      <c r="Q180" s="423"/>
      <c r="R180" s="423"/>
      <c r="S180" s="423"/>
      <c r="T180" s="423"/>
      <c r="U180" s="423"/>
      <c r="V180" s="423"/>
      <c r="W180" s="423"/>
      <c r="X180" s="423"/>
      <c r="Y180" s="423"/>
      <c r="Z180" s="205"/>
    </row>
    <row r="181" spans="1:26" ht="18.95" customHeight="1">
      <c r="A181" s="21"/>
      <c r="B181" s="317"/>
      <c r="C181" s="318"/>
      <c r="D181" s="319"/>
      <c r="E181" s="25"/>
      <c r="F181" s="30"/>
      <c r="G181" s="25"/>
      <c r="H181" s="25"/>
      <c r="I181" s="25"/>
      <c r="J181" s="25"/>
      <c r="K181" s="25"/>
      <c r="L181" s="25"/>
      <c r="M181" s="34"/>
      <c r="N181" s="21"/>
      <c r="O181" s="595">
        <v>0.93490804699999996</v>
      </c>
      <c r="Q181" s="423"/>
      <c r="R181" s="423"/>
      <c r="S181" s="423"/>
      <c r="T181" s="423"/>
      <c r="U181" s="423"/>
      <c r="V181" s="423"/>
      <c r="W181" s="423"/>
      <c r="X181" s="423"/>
      <c r="Y181" s="423"/>
      <c r="Z181" s="205"/>
    </row>
    <row r="182" spans="1:26" ht="18.95" customHeight="1">
      <c r="A182" s="523">
        <v>3</v>
      </c>
      <c r="B182" s="418" t="s">
        <v>3027</v>
      </c>
      <c r="C182" s="612"/>
      <c r="D182" s="301"/>
      <c r="E182" s="25"/>
      <c r="F182" s="30"/>
      <c r="G182" s="25"/>
      <c r="H182" s="25"/>
      <c r="I182" s="25"/>
      <c r="J182" s="25"/>
      <c r="K182" s="25"/>
      <c r="L182" s="25"/>
      <c r="M182" s="25"/>
      <c r="N182" s="21"/>
      <c r="O182" s="595">
        <v>0.93490804699999996</v>
      </c>
      <c r="Q182" s="608"/>
      <c r="R182" s="423"/>
      <c r="S182" s="423"/>
      <c r="T182" s="423"/>
      <c r="U182" s="423"/>
      <c r="V182" s="423"/>
      <c r="W182" s="423"/>
      <c r="X182" s="423"/>
      <c r="Y182" s="423"/>
      <c r="Z182" s="205"/>
    </row>
    <row r="183" spans="1:26" ht="18.95" customHeight="1">
      <c r="A183" s="268"/>
      <c r="B183" s="418" t="s">
        <v>2685</v>
      </c>
      <c r="C183" s="419"/>
      <c r="D183" s="267"/>
      <c r="E183" s="25"/>
      <c r="F183" s="30"/>
      <c r="G183" s="25"/>
      <c r="H183" s="25"/>
      <c r="I183" s="25"/>
      <c r="J183" s="25"/>
      <c r="K183" s="25"/>
      <c r="L183" s="25"/>
      <c r="M183" s="25"/>
      <c r="N183" s="21"/>
      <c r="O183" s="595">
        <v>0.93490804699999996</v>
      </c>
      <c r="Q183" s="608"/>
      <c r="R183" s="423"/>
      <c r="S183" s="423"/>
      <c r="T183" s="423"/>
      <c r="U183" s="423"/>
      <c r="V183" s="423"/>
      <c r="W183" s="423"/>
      <c r="X183" s="423"/>
      <c r="Y183" s="423"/>
      <c r="Z183" s="205"/>
    </row>
    <row r="184" spans="1:26" ht="18.95" customHeight="1">
      <c r="A184" s="525"/>
      <c r="B184" s="420">
        <v>3.1</v>
      </c>
      <c r="C184" s="368" t="s">
        <v>3093</v>
      </c>
      <c r="D184" s="301"/>
      <c r="E184" s="25"/>
      <c r="F184" s="30"/>
      <c r="G184" s="25"/>
      <c r="H184" s="25"/>
      <c r="I184" s="25"/>
      <c r="J184" s="25"/>
      <c r="K184" s="25"/>
      <c r="L184" s="25"/>
      <c r="M184" s="25"/>
      <c r="N184" s="21"/>
      <c r="O184" s="595">
        <v>0.93490804699999996</v>
      </c>
      <c r="P184" s="596"/>
      <c r="Q184" s="613"/>
      <c r="R184" s="428"/>
      <c r="S184" s="428"/>
      <c r="T184" s="423"/>
      <c r="U184" s="423"/>
      <c r="V184" s="423"/>
      <c r="W184" s="423"/>
      <c r="X184" s="423"/>
      <c r="Y184" s="423"/>
      <c r="Z184" s="205"/>
    </row>
    <row r="185" spans="1:26" ht="18.95" customHeight="1">
      <c r="A185" s="525"/>
      <c r="B185" s="582"/>
      <c r="C185" s="368" t="s">
        <v>3094</v>
      </c>
      <c r="D185" s="301"/>
      <c r="E185" s="25"/>
      <c r="F185" s="30"/>
      <c r="G185" s="25"/>
      <c r="H185" s="25"/>
      <c r="I185" s="25"/>
      <c r="J185" s="25"/>
      <c r="K185" s="25"/>
      <c r="L185" s="25"/>
      <c r="M185" s="25"/>
      <c r="N185" s="21"/>
      <c r="O185" s="595">
        <v>0.93490804699999996</v>
      </c>
      <c r="Q185" s="608"/>
      <c r="R185" s="423"/>
      <c r="S185" s="423"/>
      <c r="T185" s="423"/>
      <c r="U185" s="423"/>
      <c r="V185" s="423"/>
      <c r="W185" s="423"/>
      <c r="X185" s="423"/>
      <c r="Y185" s="423"/>
      <c r="Z185" s="205"/>
    </row>
    <row r="186" spans="1:26" ht="18.95" customHeight="1">
      <c r="A186" s="525"/>
      <c r="B186" s="582"/>
      <c r="C186" s="368" t="s">
        <v>3095</v>
      </c>
      <c r="D186" s="301"/>
      <c r="E186" s="25">
        <v>1</v>
      </c>
      <c r="F186" s="1181" t="s">
        <v>349</v>
      </c>
      <c r="G186" s="25">
        <v>22590</v>
      </c>
      <c r="H186" s="25">
        <f t="shared" si="21"/>
        <v>21119.572781729999</v>
      </c>
      <c r="I186" s="25">
        <f t="shared" ref="I186:I249" si="24">E186*H186</f>
        <v>21119.572781729999</v>
      </c>
      <c r="J186" s="25">
        <v>2500</v>
      </c>
      <c r="K186" s="25">
        <f t="shared" si="20"/>
        <v>2337.2701174999997</v>
      </c>
      <c r="L186" s="25">
        <f t="shared" ref="L186:L249" si="25">E186*K186</f>
        <v>2337.2701174999997</v>
      </c>
      <c r="M186" s="25">
        <f t="shared" ref="M186:M191" si="26">I186+L186</f>
        <v>23456.84289923</v>
      </c>
      <c r="N186" s="21"/>
      <c r="O186" s="595">
        <v>0.93490804699999996</v>
      </c>
      <c r="Q186" s="608"/>
      <c r="R186" s="423"/>
      <c r="S186" s="608"/>
      <c r="T186" s="614"/>
      <c r="U186" s="426"/>
      <c r="V186" s="426"/>
      <c r="W186" s="426"/>
      <c r="X186" s="615"/>
      <c r="Y186" s="423"/>
      <c r="Z186" s="205"/>
    </row>
    <row r="187" spans="1:26" ht="18.95" customHeight="1">
      <c r="A187" s="525"/>
      <c r="B187" s="582"/>
      <c r="C187" s="368" t="s">
        <v>3096</v>
      </c>
      <c r="D187" s="301"/>
      <c r="E187" s="25">
        <v>1</v>
      </c>
      <c r="F187" s="1181" t="s">
        <v>349</v>
      </c>
      <c r="G187" s="25">
        <v>103770</v>
      </c>
      <c r="H187" s="25">
        <f t="shared" si="21"/>
        <v>97015.408037189991</v>
      </c>
      <c r="I187" s="25">
        <f t="shared" si="24"/>
        <v>97015.408037189991</v>
      </c>
      <c r="J187" s="25">
        <v>5000</v>
      </c>
      <c r="K187" s="25">
        <f t="shared" si="20"/>
        <v>4674.5402349999995</v>
      </c>
      <c r="L187" s="25">
        <f t="shared" si="25"/>
        <v>4674.5402349999995</v>
      </c>
      <c r="M187" s="25">
        <f t="shared" si="26"/>
        <v>101689.94827218998</v>
      </c>
      <c r="N187" s="21"/>
      <c r="O187" s="595">
        <v>0.93490804699999996</v>
      </c>
      <c r="Q187" s="608"/>
      <c r="R187" s="423"/>
      <c r="S187" s="608"/>
      <c r="T187" s="614"/>
      <c r="U187" s="422"/>
      <c r="V187" s="422"/>
      <c r="W187" s="422"/>
      <c r="X187" s="598"/>
      <c r="Y187" s="423"/>
      <c r="Z187" s="205"/>
    </row>
    <row r="188" spans="1:26" ht="18.95" customHeight="1">
      <c r="A188" s="525"/>
      <c r="B188" s="582"/>
      <c r="C188" s="368" t="s">
        <v>3097</v>
      </c>
      <c r="D188" s="301"/>
      <c r="E188" s="25">
        <v>1</v>
      </c>
      <c r="F188" s="1181" t="s">
        <v>349</v>
      </c>
      <c r="G188" s="25">
        <v>22590</v>
      </c>
      <c r="H188" s="25">
        <f t="shared" si="21"/>
        <v>21119.572781729999</v>
      </c>
      <c r="I188" s="25">
        <f t="shared" si="24"/>
        <v>21119.572781729999</v>
      </c>
      <c r="J188" s="25">
        <v>2500</v>
      </c>
      <c r="K188" s="25">
        <f t="shared" si="20"/>
        <v>2337.2701174999997</v>
      </c>
      <c r="L188" s="25">
        <f t="shared" si="25"/>
        <v>2337.2701174999997</v>
      </c>
      <c r="M188" s="25">
        <f t="shared" si="26"/>
        <v>23456.84289923</v>
      </c>
      <c r="N188" s="21"/>
      <c r="O188" s="595">
        <v>0.93490804699999996</v>
      </c>
      <c r="Q188" s="608"/>
      <c r="R188" s="423"/>
      <c r="S188" s="608"/>
      <c r="T188" s="614"/>
      <c r="U188" s="422"/>
      <c r="V188" s="422"/>
      <c r="W188" s="422"/>
      <c r="X188" s="615"/>
      <c r="Y188" s="423"/>
      <c r="Z188" s="205"/>
    </row>
    <row r="189" spans="1:26" ht="18.95" customHeight="1">
      <c r="A189" s="525"/>
      <c r="B189" s="582"/>
      <c r="C189" s="368" t="s">
        <v>3098</v>
      </c>
      <c r="D189" s="301"/>
      <c r="E189" s="25">
        <v>1</v>
      </c>
      <c r="F189" s="1181" t="s">
        <v>349</v>
      </c>
      <c r="G189" s="25">
        <v>29610</v>
      </c>
      <c r="H189" s="25">
        <f t="shared" si="21"/>
        <v>27682.62727167</v>
      </c>
      <c r="I189" s="25">
        <f t="shared" si="24"/>
        <v>27682.62727167</v>
      </c>
      <c r="J189" s="25">
        <v>2500</v>
      </c>
      <c r="K189" s="25">
        <f t="shared" si="20"/>
        <v>2337.2701174999997</v>
      </c>
      <c r="L189" s="25">
        <f t="shared" si="25"/>
        <v>2337.2701174999997</v>
      </c>
      <c r="M189" s="25">
        <f t="shared" si="26"/>
        <v>30019.897389170001</v>
      </c>
      <c r="N189" s="21"/>
      <c r="O189" s="595">
        <v>0.93490804699999996</v>
      </c>
      <c r="Q189" s="608"/>
      <c r="R189" s="423"/>
      <c r="S189" s="608"/>
      <c r="T189" s="614"/>
      <c r="U189" s="426"/>
      <c r="V189" s="426"/>
      <c r="W189" s="426"/>
      <c r="X189" s="615"/>
      <c r="Y189" s="423"/>
      <c r="Z189" s="205"/>
    </row>
    <row r="190" spans="1:26" ht="18.95" customHeight="1">
      <c r="A190" s="525"/>
      <c r="B190" s="582"/>
      <c r="C190" s="368" t="s">
        <v>3099</v>
      </c>
      <c r="D190" s="301"/>
      <c r="E190" s="25">
        <v>1</v>
      </c>
      <c r="F190" s="1181" t="s">
        <v>349</v>
      </c>
      <c r="G190" s="25">
        <v>42030</v>
      </c>
      <c r="H190" s="25">
        <f t="shared" si="21"/>
        <v>39294.185215409998</v>
      </c>
      <c r="I190" s="25">
        <f t="shared" si="24"/>
        <v>39294.185215409998</v>
      </c>
      <c r="J190" s="25">
        <v>2500</v>
      </c>
      <c r="K190" s="25">
        <f t="shared" si="20"/>
        <v>2337.2701174999997</v>
      </c>
      <c r="L190" s="25">
        <f t="shared" si="25"/>
        <v>2337.2701174999997</v>
      </c>
      <c r="M190" s="25">
        <f t="shared" si="26"/>
        <v>41631.455332909994</v>
      </c>
      <c r="N190" s="21"/>
      <c r="O190" s="595">
        <v>0.93490804699999996</v>
      </c>
      <c r="Q190" s="608"/>
      <c r="R190" s="423"/>
      <c r="S190" s="608"/>
      <c r="T190" s="614"/>
      <c r="U190" s="426"/>
      <c r="V190" s="426"/>
      <c r="W190" s="426"/>
      <c r="X190" s="616"/>
      <c r="Y190" s="423"/>
      <c r="Z190" s="205"/>
    </row>
    <row r="191" spans="1:26" ht="18.95" customHeight="1">
      <c r="A191" s="525"/>
      <c r="B191" s="582"/>
      <c r="C191" s="368" t="s">
        <v>3100</v>
      </c>
      <c r="D191" s="301"/>
      <c r="E191" s="25">
        <v>1</v>
      </c>
      <c r="F191" s="1181" t="s">
        <v>349</v>
      </c>
      <c r="G191" s="25">
        <v>70000</v>
      </c>
      <c r="H191" s="25">
        <f t="shared" si="21"/>
        <v>65443.563289999998</v>
      </c>
      <c r="I191" s="25">
        <f t="shared" si="24"/>
        <v>65443.563289999998</v>
      </c>
      <c r="J191" s="25">
        <v>5000</v>
      </c>
      <c r="K191" s="25">
        <f t="shared" si="20"/>
        <v>4674.5402349999995</v>
      </c>
      <c r="L191" s="25">
        <f t="shared" si="25"/>
        <v>4674.5402349999995</v>
      </c>
      <c r="M191" s="25">
        <f t="shared" si="26"/>
        <v>70118.103524999999</v>
      </c>
      <c r="N191" s="21"/>
      <c r="O191" s="595">
        <v>0.93490804699999996</v>
      </c>
      <c r="Q191" s="608"/>
      <c r="R191" s="423"/>
      <c r="S191" s="423"/>
      <c r="T191" s="423"/>
      <c r="U191" s="423"/>
      <c r="V191" s="422"/>
      <c r="W191" s="422"/>
      <c r="X191" s="422"/>
      <c r="Y191" s="422"/>
    </row>
    <row r="192" spans="1:26" ht="18.95" customHeight="1">
      <c r="A192" s="115"/>
      <c r="B192" s="420">
        <v>3.2</v>
      </c>
      <c r="C192" s="285" t="s">
        <v>3101</v>
      </c>
      <c r="D192" s="267"/>
      <c r="E192" s="25"/>
      <c r="F192" s="30"/>
      <c r="G192" s="25"/>
      <c r="H192" s="25"/>
      <c r="I192" s="25"/>
      <c r="J192" s="25"/>
      <c r="K192" s="25"/>
      <c r="L192" s="25"/>
      <c r="M192" s="25"/>
      <c r="N192" s="21"/>
      <c r="O192" s="595">
        <v>0.93490804699999996</v>
      </c>
      <c r="P192" s="596"/>
      <c r="Q192" s="613"/>
      <c r="R192" s="428"/>
      <c r="S192" s="428"/>
      <c r="T192" s="423"/>
      <c r="U192" s="423"/>
      <c r="V192" s="423"/>
      <c r="W192" s="423"/>
      <c r="X192" s="423"/>
      <c r="Y192" s="423"/>
      <c r="Z192" s="205"/>
    </row>
    <row r="193" spans="1:49" ht="18.95" customHeight="1">
      <c r="A193" s="115"/>
      <c r="B193" s="582"/>
      <c r="C193" s="285" t="s">
        <v>3102</v>
      </c>
      <c r="D193" s="267"/>
      <c r="E193" s="25">
        <v>1</v>
      </c>
      <c r="F193" s="1181" t="s">
        <v>349</v>
      </c>
      <c r="G193" s="25">
        <v>132500</v>
      </c>
      <c r="H193" s="25">
        <f t="shared" si="21"/>
        <v>123875.31622749999</v>
      </c>
      <c r="I193" s="25">
        <f t="shared" si="24"/>
        <v>123875.31622749999</v>
      </c>
      <c r="J193" s="25">
        <v>5000</v>
      </c>
      <c r="K193" s="25">
        <f t="shared" si="20"/>
        <v>4674.5402349999995</v>
      </c>
      <c r="L193" s="25">
        <f t="shared" si="25"/>
        <v>4674.5402349999995</v>
      </c>
      <c r="M193" s="25">
        <f>I193+L193</f>
        <v>128549.85646249999</v>
      </c>
      <c r="N193" s="21"/>
      <c r="O193" s="595">
        <v>0.93490804699999996</v>
      </c>
      <c r="Q193" s="608"/>
      <c r="R193" s="423"/>
      <c r="S193" s="608"/>
      <c r="T193" s="609"/>
      <c r="U193" s="609"/>
      <c r="V193" s="609"/>
      <c r="W193" s="609"/>
      <c r="X193" s="426"/>
      <c r="Y193" s="426"/>
      <c r="Z193" s="559"/>
    </row>
    <row r="194" spans="1:49" ht="18.95" customHeight="1">
      <c r="A194" s="115"/>
      <c r="B194" s="582"/>
      <c r="C194" s="285" t="s">
        <v>3103</v>
      </c>
      <c r="D194" s="267"/>
      <c r="E194" s="25">
        <v>1</v>
      </c>
      <c r="F194" s="1181" t="s">
        <v>349</v>
      </c>
      <c r="G194" s="25">
        <v>132500</v>
      </c>
      <c r="H194" s="25">
        <f t="shared" si="21"/>
        <v>123875.31622749999</v>
      </c>
      <c r="I194" s="25">
        <f t="shared" si="24"/>
        <v>123875.31622749999</v>
      </c>
      <c r="J194" s="25">
        <v>5000</v>
      </c>
      <c r="K194" s="25">
        <f t="shared" si="20"/>
        <v>4674.5402349999995</v>
      </c>
      <c r="L194" s="25">
        <f t="shared" si="25"/>
        <v>4674.5402349999995</v>
      </c>
      <c r="M194" s="25">
        <f>I194+L194</f>
        <v>128549.85646249999</v>
      </c>
      <c r="N194" s="21"/>
      <c r="O194" s="595">
        <v>0.93490804699999996</v>
      </c>
      <c r="Q194" s="608"/>
      <c r="R194" s="423"/>
      <c r="S194" s="608"/>
      <c r="T194" s="609"/>
      <c r="U194" s="609"/>
      <c r="V194" s="609"/>
      <c r="W194" s="609"/>
      <c r="X194" s="426"/>
      <c r="Y194" s="426"/>
      <c r="Z194" s="559"/>
    </row>
    <row r="195" spans="1:49" ht="18.95" customHeight="1">
      <c r="A195" s="115"/>
      <c r="B195" s="582"/>
      <c r="C195" s="285" t="s">
        <v>3104</v>
      </c>
      <c r="D195" s="267"/>
      <c r="E195" s="25">
        <v>1</v>
      </c>
      <c r="F195" s="1181" t="s">
        <v>349</v>
      </c>
      <c r="G195" s="25">
        <v>132500</v>
      </c>
      <c r="H195" s="25">
        <f t="shared" si="21"/>
        <v>123875.31622749999</v>
      </c>
      <c r="I195" s="25">
        <f t="shared" si="24"/>
        <v>123875.31622749999</v>
      </c>
      <c r="J195" s="25">
        <v>5000</v>
      </c>
      <c r="K195" s="25">
        <f t="shared" si="20"/>
        <v>4674.5402349999995</v>
      </c>
      <c r="L195" s="25">
        <f t="shared" si="25"/>
        <v>4674.5402349999995</v>
      </c>
      <c r="M195" s="25">
        <f>I195+L195</f>
        <v>128549.85646249999</v>
      </c>
      <c r="N195" s="21"/>
      <c r="O195" s="595">
        <v>0.93490804699999996</v>
      </c>
      <c r="Q195" s="608"/>
      <c r="R195" s="423"/>
      <c r="S195" s="608"/>
      <c r="T195" s="609"/>
      <c r="U195" s="609"/>
      <c r="V195" s="609"/>
      <c r="W195" s="609"/>
      <c r="X195" s="426"/>
      <c r="Y195" s="426"/>
      <c r="Z195" s="559"/>
    </row>
    <row r="196" spans="1:49" ht="18.95" customHeight="1">
      <c r="A196" s="115"/>
      <c r="B196" s="582"/>
      <c r="C196" s="285"/>
      <c r="D196" s="267"/>
      <c r="E196" s="25"/>
      <c r="F196" s="30"/>
      <c r="G196" s="25"/>
      <c r="H196" s="25"/>
      <c r="I196" s="25"/>
      <c r="J196" s="25"/>
      <c r="K196" s="25"/>
      <c r="L196" s="25"/>
      <c r="M196" s="25"/>
      <c r="N196" s="21"/>
      <c r="O196" s="595">
        <v>0.93490804699999996</v>
      </c>
      <c r="Q196" s="608"/>
      <c r="R196" s="423"/>
      <c r="S196" s="423"/>
      <c r="T196" s="426"/>
      <c r="U196" s="426"/>
      <c r="V196" s="426"/>
      <c r="W196" s="426"/>
      <c r="X196" s="426"/>
      <c r="Y196" s="426"/>
      <c r="Z196" s="559"/>
    </row>
    <row r="197" spans="1:49" ht="18.95" customHeight="1">
      <c r="A197" s="115"/>
      <c r="B197" s="420">
        <v>3.3</v>
      </c>
      <c r="C197" s="285" t="s">
        <v>3105</v>
      </c>
      <c r="D197" s="267"/>
      <c r="E197" s="25"/>
      <c r="F197" s="30"/>
      <c r="G197" s="25"/>
      <c r="H197" s="25"/>
      <c r="I197" s="25"/>
      <c r="J197" s="25"/>
      <c r="K197" s="25"/>
      <c r="L197" s="25"/>
      <c r="M197" s="25"/>
      <c r="N197" s="21"/>
      <c r="O197" s="595">
        <v>0.93490804699999996</v>
      </c>
      <c r="P197" s="596"/>
      <c r="Q197" s="613"/>
      <c r="R197" s="428"/>
      <c r="S197" s="428"/>
      <c r="T197" s="423"/>
      <c r="U197" s="423"/>
      <c r="V197" s="423"/>
      <c r="W197" s="423"/>
      <c r="X197" s="423"/>
      <c r="Y197" s="423"/>
      <c r="Z197" s="205"/>
    </row>
    <row r="198" spans="1:49" ht="18.95" customHeight="1">
      <c r="A198" s="115"/>
      <c r="B198" s="582"/>
      <c r="C198" s="285" t="s">
        <v>3106</v>
      </c>
      <c r="D198" s="267"/>
      <c r="E198" s="25">
        <v>1</v>
      </c>
      <c r="F198" s="1181" t="s">
        <v>349</v>
      </c>
      <c r="G198" s="25">
        <v>506430</v>
      </c>
      <c r="H198" s="25">
        <f t="shared" si="21"/>
        <v>473465.48224220995</v>
      </c>
      <c r="I198" s="25">
        <f t="shared" si="24"/>
        <v>473465.48224220995</v>
      </c>
      <c r="J198" s="25">
        <v>25000</v>
      </c>
      <c r="K198" s="25">
        <f t="shared" si="20"/>
        <v>23372.701174999998</v>
      </c>
      <c r="L198" s="25">
        <f t="shared" si="25"/>
        <v>23372.701174999998</v>
      </c>
      <c r="M198" s="25">
        <f>I198+L198</f>
        <v>496838.18341720995</v>
      </c>
      <c r="N198" s="21"/>
      <c r="O198" s="595">
        <v>0.93490804699999996</v>
      </c>
      <c r="Q198" s="608"/>
      <c r="R198" s="423"/>
      <c r="S198" s="608"/>
      <c r="T198" s="426"/>
      <c r="U198" s="422"/>
      <c r="V198" s="422"/>
      <c r="W198" s="422"/>
      <c r="X198" s="422"/>
      <c r="Y198" s="426"/>
      <c r="Z198" s="559"/>
    </row>
    <row r="199" spans="1:49" s="205" customFormat="1" ht="18.95" customHeight="1">
      <c r="A199" s="525"/>
      <c r="B199" s="582"/>
      <c r="C199" s="285" t="s">
        <v>3107</v>
      </c>
      <c r="D199" s="301"/>
      <c r="E199" s="25">
        <v>1</v>
      </c>
      <c r="F199" s="1181" t="s">
        <v>349</v>
      </c>
      <c r="G199" s="25"/>
      <c r="H199" s="25">
        <f t="shared" si="21"/>
        <v>0</v>
      </c>
      <c r="I199" s="25">
        <f t="shared" si="24"/>
        <v>0</v>
      </c>
      <c r="J199" s="25">
        <v>0</v>
      </c>
      <c r="K199" s="25">
        <f t="shared" si="20"/>
        <v>0</v>
      </c>
      <c r="L199" s="25">
        <f t="shared" si="25"/>
        <v>0</v>
      </c>
      <c r="M199" s="25">
        <f>SUM(I199,L199)</f>
        <v>0</v>
      </c>
      <c r="N199" s="58" t="s">
        <v>3108</v>
      </c>
      <c r="O199" s="595">
        <v>0.93490804699999996</v>
      </c>
      <c r="Q199" s="608"/>
      <c r="R199" s="423"/>
      <c r="S199" s="423"/>
      <c r="T199" s="423"/>
      <c r="U199" s="426"/>
      <c r="V199" s="426"/>
      <c r="W199" s="426"/>
      <c r="X199" s="426"/>
      <c r="Y199" s="423"/>
      <c r="AA199" s="203"/>
      <c r="AB199" s="203"/>
      <c r="AC199" s="203"/>
      <c r="AD199" s="203"/>
      <c r="AE199" s="203"/>
      <c r="AF199" s="203"/>
      <c r="AG199" s="203"/>
      <c r="AQ199" s="203"/>
      <c r="AR199" s="203"/>
      <c r="AS199" s="203"/>
      <c r="AT199" s="203"/>
      <c r="AU199" s="203"/>
      <c r="AV199" s="203"/>
      <c r="AW199" s="203"/>
    </row>
    <row r="200" spans="1:49" ht="18.95" customHeight="1">
      <c r="A200" s="115"/>
      <c r="B200" s="582"/>
      <c r="C200" s="285" t="s">
        <v>3109</v>
      </c>
      <c r="D200" s="267"/>
      <c r="E200" s="25">
        <v>1</v>
      </c>
      <c r="F200" s="1181" t="s">
        <v>349</v>
      </c>
      <c r="G200" s="25">
        <v>90000</v>
      </c>
      <c r="H200" s="25">
        <f t="shared" si="21"/>
        <v>84141.724229999993</v>
      </c>
      <c r="I200" s="25">
        <f t="shared" si="24"/>
        <v>84141.724229999993</v>
      </c>
      <c r="J200" s="25">
        <v>5500</v>
      </c>
      <c r="K200" s="25">
        <f t="shared" si="20"/>
        <v>5141.9942584999999</v>
      </c>
      <c r="L200" s="25">
        <f t="shared" si="25"/>
        <v>5141.9942584999999</v>
      </c>
      <c r="M200" s="25">
        <f>I200+L200</f>
        <v>89283.718488499988</v>
      </c>
      <c r="N200" s="21"/>
      <c r="O200" s="595">
        <v>0.93490804699999996</v>
      </c>
      <c r="Q200" s="608"/>
      <c r="R200" s="423"/>
      <c r="S200" s="423"/>
      <c r="T200" s="426"/>
      <c r="U200" s="426"/>
      <c r="V200" s="426"/>
      <c r="W200" s="426"/>
      <c r="X200" s="426"/>
      <c r="Y200" s="426"/>
      <c r="Z200" s="559"/>
    </row>
    <row r="201" spans="1:49" ht="18.95" customHeight="1">
      <c r="A201" s="115"/>
      <c r="B201" s="582"/>
      <c r="C201" s="285" t="s">
        <v>3110</v>
      </c>
      <c r="D201" s="267"/>
      <c r="E201" s="25">
        <v>1</v>
      </c>
      <c r="F201" s="1181" t="s">
        <v>349</v>
      </c>
      <c r="G201" s="25"/>
      <c r="H201" s="25">
        <f t="shared" si="21"/>
        <v>0</v>
      </c>
      <c r="I201" s="25">
        <f t="shared" si="24"/>
        <v>0</v>
      </c>
      <c r="J201" s="25">
        <v>0</v>
      </c>
      <c r="K201" s="25">
        <f t="shared" si="20"/>
        <v>0</v>
      </c>
      <c r="L201" s="25">
        <f t="shared" si="25"/>
        <v>0</v>
      </c>
      <c r="M201" s="25">
        <f>SUM(I201,L201)</f>
        <v>0</v>
      </c>
      <c r="N201" s="58" t="s">
        <v>3108</v>
      </c>
      <c r="O201" s="595">
        <v>0.93490804699999996</v>
      </c>
      <c r="Q201" s="608"/>
      <c r="R201" s="423"/>
      <c r="S201" s="423"/>
      <c r="T201" s="426"/>
      <c r="U201" s="426"/>
      <c r="V201" s="426"/>
      <c r="W201" s="426"/>
      <c r="X201" s="426"/>
      <c r="Y201" s="426"/>
      <c r="Z201" s="559"/>
    </row>
    <row r="202" spans="1:49" ht="18.95" customHeight="1">
      <c r="A202" s="115"/>
      <c r="B202" s="420">
        <v>3.4</v>
      </c>
      <c r="C202" s="285" t="s">
        <v>3111</v>
      </c>
      <c r="D202" s="267"/>
      <c r="E202" s="25"/>
      <c r="F202" s="30"/>
      <c r="G202" s="25"/>
      <c r="H202" s="25">
        <f t="shared" si="21"/>
        <v>0</v>
      </c>
      <c r="I202" s="25">
        <f t="shared" si="24"/>
        <v>0</v>
      </c>
      <c r="J202" s="25"/>
      <c r="K202" s="25">
        <f t="shared" si="20"/>
        <v>0</v>
      </c>
      <c r="L202" s="25">
        <f t="shared" si="25"/>
        <v>0</v>
      </c>
      <c r="M202" s="25"/>
      <c r="N202" s="21"/>
      <c r="O202" s="595">
        <v>0.93490804699999996</v>
      </c>
      <c r="P202" s="596"/>
      <c r="Q202" s="613"/>
      <c r="R202" s="428"/>
      <c r="S202" s="428"/>
      <c r="T202" s="423"/>
      <c r="U202" s="423"/>
      <c r="V202" s="423"/>
      <c r="W202" s="423"/>
      <c r="X202" s="423"/>
      <c r="Y202" s="423"/>
      <c r="Z202" s="205"/>
    </row>
    <row r="203" spans="1:49" ht="18.95" customHeight="1">
      <c r="A203" s="115"/>
      <c r="B203" s="582"/>
      <c r="C203" s="285" t="s">
        <v>3112</v>
      </c>
      <c r="D203" s="267"/>
      <c r="E203" s="25">
        <v>1</v>
      </c>
      <c r="F203" s="1181" t="s">
        <v>349</v>
      </c>
      <c r="G203" s="25">
        <v>15120</v>
      </c>
      <c r="H203" s="25">
        <f t="shared" si="21"/>
        <v>14135.809670639999</v>
      </c>
      <c r="I203" s="25">
        <f t="shared" si="24"/>
        <v>14135.809670639999</v>
      </c>
      <c r="J203" s="25">
        <v>3000</v>
      </c>
      <c r="K203" s="25">
        <f t="shared" si="20"/>
        <v>2804.7241409999997</v>
      </c>
      <c r="L203" s="25">
        <f t="shared" si="25"/>
        <v>2804.7241409999997</v>
      </c>
      <c r="M203" s="25">
        <f>I203+L203</f>
        <v>16940.533811639998</v>
      </c>
      <c r="N203" s="21"/>
      <c r="O203" s="595">
        <v>0.93490804699999996</v>
      </c>
      <c r="Q203" s="608"/>
      <c r="R203" s="423"/>
      <c r="S203" s="608"/>
      <c r="T203" s="426"/>
      <c r="U203" s="426"/>
      <c r="V203" s="426"/>
      <c r="W203" s="426"/>
      <c r="X203" s="426"/>
      <c r="Y203" s="426"/>
      <c r="Z203" s="559"/>
    </row>
    <row r="204" spans="1:49" ht="18.95" customHeight="1">
      <c r="A204" s="115"/>
      <c r="B204" s="582"/>
      <c r="C204" s="285" t="s">
        <v>3113</v>
      </c>
      <c r="D204" s="267"/>
      <c r="E204" s="25">
        <v>1</v>
      </c>
      <c r="F204" s="1181" t="s">
        <v>349</v>
      </c>
      <c r="G204" s="25"/>
      <c r="H204" s="25">
        <f t="shared" si="21"/>
        <v>0</v>
      </c>
      <c r="I204" s="25">
        <f t="shared" si="24"/>
        <v>0</v>
      </c>
      <c r="J204" s="25">
        <v>0</v>
      </c>
      <c r="K204" s="25">
        <f t="shared" si="20"/>
        <v>0</v>
      </c>
      <c r="L204" s="25">
        <f t="shared" si="25"/>
        <v>0</v>
      </c>
      <c r="M204" s="25">
        <f>SUM(I204,L204)</f>
        <v>0</v>
      </c>
      <c r="N204" s="58" t="s">
        <v>3108</v>
      </c>
      <c r="O204" s="595">
        <v>0.93490804699999996</v>
      </c>
      <c r="Q204" s="608"/>
      <c r="R204" s="423"/>
      <c r="S204" s="423"/>
      <c r="T204" s="426"/>
      <c r="U204" s="426"/>
      <c r="V204" s="426"/>
      <c r="W204" s="426"/>
      <c r="X204" s="426"/>
      <c r="Y204" s="426"/>
      <c r="Z204" s="559"/>
    </row>
    <row r="205" spans="1:49" ht="18.95" customHeight="1">
      <c r="A205" s="115"/>
      <c r="B205" s="582"/>
      <c r="C205" s="285"/>
      <c r="D205" s="267"/>
      <c r="E205" s="25"/>
      <c r="F205" s="30"/>
      <c r="G205" s="25"/>
      <c r="H205" s="25"/>
      <c r="I205" s="25"/>
      <c r="J205" s="25"/>
      <c r="K205" s="25"/>
      <c r="L205" s="25"/>
      <c r="M205" s="25"/>
      <c r="N205" s="21"/>
      <c r="O205" s="595">
        <v>0.93490804699999996</v>
      </c>
      <c r="Q205" s="608"/>
      <c r="R205" s="423"/>
      <c r="S205" s="423"/>
      <c r="T205" s="426"/>
      <c r="U205" s="426"/>
      <c r="V205" s="426"/>
      <c r="W205" s="426"/>
      <c r="X205" s="426"/>
      <c r="Y205" s="426"/>
      <c r="Z205" s="559"/>
    </row>
    <row r="206" spans="1:49" ht="18.95" customHeight="1">
      <c r="A206" s="115"/>
      <c r="B206" s="418" t="s">
        <v>3033</v>
      </c>
      <c r="C206" s="285"/>
      <c r="D206" s="267"/>
      <c r="E206" s="25"/>
      <c r="F206" s="30"/>
      <c r="G206" s="25"/>
      <c r="H206" s="25"/>
      <c r="I206" s="25"/>
      <c r="J206" s="25"/>
      <c r="K206" s="25"/>
      <c r="L206" s="25"/>
      <c r="M206" s="25"/>
      <c r="N206" s="605"/>
      <c r="O206" s="595">
        <v>0.93490804699999996</v>
      </c>
      <c r="Q206" s="608"/>
      <c r="R206" s="423"/>
      <c r="S206" s="423"/>
      <c r="T206" s="423"/>
      <c r="U206" s="426"/>
      <c r="V206" s="426"/>
      <c r="W206" s="426"/>
      <c r="X206" s="423"/>
      <c r="Y206" s="423"/>
      <c r="Z206" s="205"/>
    </row>
    <row r="207" spans="1:49" ht="18.95" customHeight="1">
      <c r="A207" s="525"/>
      <c r="B207" s="420">
        <v>3.5</v>
      </c>
      <c r="C207" s="368" t="s">
        <v>3114</v>
      </c>
      <c r="D207" s="301"/>
      <c r="E207" s="25"/>
      <c r="F207" s="30"/>
      <c r="G207" s="25"/>
      <c r="H207" s="25"/>
      <c r="I207" s="25"/>
      <c r="J207" s="25"/>
      <c r="K207" s="25"/>
      <c r="L207" s="25"/>
      <c r="M207" s="25"/>
      <c r="N207" s="21"/>
      <c r="O207" s="595">
        <v>0.93490804699999996</v>
      </c>
      <c r="P207" s="596"/>
      <c r="Q207" s="613"/>
      <c r="R207" s="428"/>
      <c r="S207" s="428"/>
      <c r="T207" s="423"/>
      <c r="U207" s="423"/>
      <c r="V207" s="423"/>
      <c r="W207" s="423"/>
      <c r="X207" s="423"/>
      <c r="Y207" s="423"/>
      <c r="Z207" s="205"/>
    </row>
    <row r="208" spans="1:49" ht="18.95" customHeight="1">
      <c r="A208" s="525"/>
      <c r="B208" s="582"/>
      <c r="C208" s="368" t="s">
        <v>3059</v>
      </c>
      <c r="D208" s="301"/>
      <c r="E208" s="25">
        <v>0</v>
      </c>
      <c r="F208" s="1181" t="s">
        <v>286</v>
      </c>
      <c r="G208" s="25">
        <v>39</v>
      </c>
      <c r="H208" s="25">
        <f t="shared" si="21"/>
        <v>36.461413833000002</v>
      </c>
      <c r="I208" s="25">
        <f t="shared" si="24"/>
        <v>0</v>
      </c>
      <c r="J208" s="25">
        <v>30</v>
      </c>
      <c r="K208" s="25">
        <f t="shared" si="20"/>
        <v>28.047241409999998</v>
      </c>
      <c r="L208" s="25">
        <f t="shared" si="25"/>
        <v>0</v>
      </c>
      <c r="M208" s="25">
        <f t="shared" ref="M208:M214" si="27">I208+L208</f>
        <v>0</v>
      </c>
      <c r="N208" s="605"/>
      <c r="O208" s="595">
        <v>0.93490804699999996</v>
      </c>
      <c r="Q208" s="608" t="s">
        <v>3115</v>
      </c>
      <c r="R208" s="422"/>
      <c r="S208" s="422"/>
      <c r="T208" s="598"/>
      <c r="U208" s="428"/>
      <c r="V208" s="423"/>
      <c r="W208" s="423"/>
      <c r="X208" s="423"/>
      <c r="Y208" s="423"/>
      <c r="Z208" s="205"/>
    </row>
    <row r="209" spans="1:26" ht="18.95" customHeight="1">
      <c r="A209" s="525"/>
      <c r="B209" s="582"/>
      <c r="C209" s="368" t="s">
        <v>3060</v>
      </c>
      <c r="D209" s="301"/>
      <c r="E209" s="25">
        <v>0</v>
      </c>
      <c r="F209" s="1181" t="s">
        <v>286</v>
      </c>
      <c r="G209" s="25">
        <v>51</v>
      </c>
      <c r="H209" s="25">
        <f t="shared" si="21"/>
        <v>47.680310397</v>
      </c>
      <c r="I209" s="25">
        <f t="shared" si="24"/>
        <v>0</v>
      </c>
      <c r="J209" s="25">
        <v>30</v>
      </c>
      <c r="K209" s="25">
        <f t="shared" si="20"/>
        <v>28.047241409999998</v>
      </c>
      <c r="L209" s="25">
        <f t="shared" si="25"/>
        <v>0</v>
      </c>
      <c r="M209" s="25">
        <f t="shared" si="27"/>
        <v>0</v>
      </c>
      <c r="N209" s="605"/>
      <c r="O209" s="595">
        <v>0.93490804699999996</v>
      </c>
      <c r="Q209" s="608" t="s">
        <v>3115</v>
      </c>
      <c r="R209" s="422"/>
      <c r="S209" s="422"/>
      <c r="T209" s="598"/>
      <c r="U209" s="428"/>
      <c r="V209" s="423"/>
      <c r="W209" s="423"/>
      <c r="X209" s="423"/>
      <c r="Y209" s="423"/>
      <c r="Z209" s="205"/>
    </row>
    <row r="210" spans="1:26" ht="18.95" customHeight="1">
      <c r="A210" s="525"/>
      <c r="B210" s="582"/>
      <c r="C210" s="368" t="s">
        <v>3061</v>
      </c>
      <c r="D210" s="301"/>
      <c r="E210" s="25">
        <v>479</v>
      </c>
      <c r="F210" s="1181" t="s">
        <v>286</v>
      </c>
      <c r="G210" s="25">
        <v>54.67</v>
      </c>
      <c r="H210" s="25">
        <f t="shared" si="21"/>
        <v>51.111422929489997</v>
      </c>
      <c r="I210" s="25">
        <f t="shared" si="24"/>
        <v>24482.371583225708</v>
      </c>
      <c r="J210" s="25">
        <v>40</v>
      </c>
      <c r="K210" s="25">
        <f t="shared" si="20"/>
        <v>37.396321880000002</v>
      </c>
      <c r="L210" s="25">
        <f t="shared" si="25"/>
        <v>17912.838180520001</v>
      </c>
      <c r="M210" s="25">
        <f t="shared" si="27"/>
        <v>42395.209763745705</v>
      </c>
      <c r="N210" s="605"/>
      <c r="O210" s="595">
        <v>0.93490804699999996</v>
      </c>
      <c r="Q210" s="608" t="s">
        <v>3115</v>
      </c>
      <c r="R210" s="422">
        <v>54.67</v>
      </c>
      <c r="S210" s="422"/>
      <c r="T210" s="598"/>
      <c r="U210" s="428"/>
      <c r="V210" s="423"/>
      <c r="W210" s="423"/>
      <c r="X210" s="423"/>
      <c r="Y210" s="423"/>
      <c r="Z210" s="205"/>
    </row>
    <row r="211" spans="1:26" ht="18.95" customHeight="1">
      <c r="A211" s="525"/>
      <c r="B211" s="582"/>
      <c r="C211" s="368" t="s">
        <v>3062</v>
      </c>
      <c r="D211" s="301"/>
      <c r="E211" s="25">
        <v>0</v>
      </c>
      <c r="F211" s="1181" t="s">
        <v>286</v>
      </c>
      <c r="G211" s="25">
        <v>129</v>
      </c>
      <c r="H211" s="25">
        <f t="shared" si="21"/>
        <v>120.60313806299999</v>
      </c>
      <c r="I211" s="25">
        <f t="shared" si="24"/>
        <v>0</v>
      </c>
      <c r="J211" s="25">
        <v>50</v>
      </c>
      <c r="K211" s="25">
        <f t="shared" si="20"/>
        <v>46.745402349999999</v>
      </c>
      <c r="L211" s="25">
        <f t="shared" si="25"/>
        <v>0</v>
      </c>
      <c r="M211" s="25">
        <f t="shared" si="27"/>
        <v>0</v>
      </c>
      <c r="N211" s="605"/>
      <c r="O211" s="595">
        <v>0.93490804699999996</v>
      </c>
      <c r="Q211" s="608" t="s">
        <v>3115</v>
      </c>
      <c r="R211" s="422"/>
      <c r="S211" s="422"/>
      <c r="T211" s="598"/>
      <c r="U211" s="428"/>
      <c r="V211" s="423"/>
      <c r="W211" s="423"/>
      <c r="X211" s="423"/>
      <c r="Y211" s="423"/>
      <c r="Z211" s="205"/>
    </row>
    <row r="212" spans="1:26" ht="18.95" customHeight="1">
      <c r="A212" s="525"/>
      <c r="B212" s="582"/>
      <c r="C212" s="368" t="s">
        <v>3053</v>
      </c>
      <c r="D212" s="301"/>
      <c r="E212" s="25">
        <v>123</v>
      </c>
      <c r="F212" s="1181" t="s">
        <v>286</v>
      </c>
      <c r="G212" s="25">
        <v>126.17</v>
      </c>
      <c r="H212" s="25">
        <f t="shared" si="21"/>
        <v>117.95734828998999</v>
      </c>
      <c r="I212" s="25">
        <f t="shared" si="24"/>
        <v>14508.753839668769</v>
      </c>
      <c r="J212" s="25">
        <v>75</v>
      </c>
      <c r="K212" s="25">
        <f t="shared" si="20"/>
        <v>70.118103524999995</v>
      </c>
      <c r="L212" s="25">
        <f t="shared" si="25"/>
        <v>8624.5267335749995</v>
      </c>
      <c r="M212" s="25">
        <f t="shared" si="27"/>
        <v>23133.28057324377</v>
      </c>
      <c r="N212" s="605"/>
      <c r="O212" s="595">
        <v>0.93490804699999996</v>
      </c>
      <c r="Q212" s="608" t="s">
        <v>3115</v>
      </c>
      <c r="R212" s="422">
        <v>126.17</v>
      </c>
      <c r="S212" s="422"/>
      <c r="T212" s="598"/>
      <c r="U212" s="428"/>
      <c r="V212" s="423"/>
      <c r="W212" s="423"/>
      <c r="X212" s="423"/>
      <c r="Y212" s="423"/>
      <c r="Z212" s="205"/>
    </row>
    <row r="213" spans="1:26" ht="18.95" customHeight="1">
      <c r="A213" s="525"/>
      <c r="B213" s="582"/>
      <c r="C213" s="368" t="s">
        <v>3054</v>
      </c>
      <c r="D213" s="301"/>
      <c r="E213" s="25">
        <v>545</v>
      </c>
      <c r="F213" s="1181" t="s">
        <v>286</v>
      </c>
      <c r="G213" s="25">
        <v>203.07</v>
      </c>
      <c r="H213" s="25">
        <f t="shared" si="21"/>
        <v>189.85177710428999</v>
      </c>
      <c r="I213" s="25">
        <f t="shared" si="24"/>
        <v>103469.21852183805</v>
      </c>
      <c r="J213" s="25">
        <v>100</v>
      </c>
      <c r="K213" s="25">
        <f t="shared" si="20"/>
        <v>93.490804699999998</v>
      </c>
      <c r="L213" s="25">
        <f t="shared" si="25"/>
        <v>50952.488561500002</v>
      </c>
      <c r="M213" s="25">
        <f t="shared" si="27"/>
        <v>154421.70708333806</v>
      </c>
      <c r="N213" s="605"/>
      <c r="O213" s="595">
        <v>0.93490804699999996</v>
      </c>
      <c r="Q213" s="608" t="s">
        <v>3115</v>
      </c>
      <c r="R213" s="422">
        <v>203.07</v>
      </c>
      <c r="S213" s="422"/>
      <c r="T213" s="598"/>
      <c r="U213" s="428"/>
      <c r="V213" s="423"/>
      <c r="W213" s="423"/>
      <c r="X213" s="423"/>
      <c r="Y213" s="423"/>
      <c r="Z213" s="205"/>
    </row>
    <row r="214" spans="1:26" ht="18.95" customHeight="1">
      <c r="A214" s="525"/>
      <c r="B214" s="582"/>
      <c r="C214" s="368" t="s">
        <v>3089</v>
      </c>
      <c r="D214" s="301"/>
      <c r="E214" s="25">
        <v>30</v>
      </c>
      <c r="F214" s="1181" t="s">
        <v>286</v>
      </c>
      <c r="G214" s="25">
        <v>431.08</v>
      </c>
      <c r="H214" s="25">
        <f t="shared" si="21"/>
        <v>403.02016090075995</v>
      </c>
      <c r="I214" s="25">
        <f t="shared" si="24"/>
        <v>12090.604827022798</v>
      </c>
      <c r="J214" s="25">
        <v>200</v>
      </c>
      <c r="K214" s="25">
        <f t="shared" si="20"/>
        <v>186.9816094</v>
      </c>
      <c r="L214" s="25">
        <f t="shared" si="25"/>
        <v>5609.4482820000003</v>
      </c>
      <c r="M214" s="25">
        <f t="shared" si="27"/>
        <v>17700.0531090228</v>
      </c>
      <c r="N214" s="605"/>
      <c r="O214" s="595">
        <v>0.93490804699999996</v>
      </c>
      <c r="Q214" s="608" t="s">
        <v>3115</v>
      </c>
      <c r="R214" s="422">
        <v>431.08</v>
      </c>
      <c r="S214" s="422"/>
      <c r="T214" s="598"/>
      <c r="U214" s="428"/>
      <c r="V214" s="423"/>
      <c r="W214" s="423"/>
      <c r="X214" s="423"/>
      <c r="Y214" s="423"/>
      <c r="Z214" s="205"/>
    </row>
    <row r="215" spans="1:26" ht="18.95" customHeight="1">
      <c r="A215" s="525"/>
      <c r="B215" s="420">
        <v>3.6</v>
      </c>
      <c r="C215" s="368" t="s">
        <v>3116</v>
      </c>
      <c r="D215" s="301"/>
      <c r="E215" s="25"/>
      <c r="F215" s="30"/>
      <c r="G215" s="25"/>
      <c r="H215" s="25"/>
      <c r="I215" s="25"/>
      <c r="J215" s="25"/>
      <c r="K215" s="25"/>
      <c r="L215" s="25"/>
      <c r="M215" s="25"/>
      <c r="N215" s="21"/>
      <c r="O215" s="595">
        <v>0.93490804699999996</v>
      </c>
      <c r="Q215" s="608"/>
      <c r="R215" s="422"/>
      <c r="S215" s="422"/>
      <c r="T215" s="598"/>
      <c r="U215" s="428"/>
      <c r="V215" s="423"/>
      <c r="W215" s="423"/>
      <c r="X215" s="423"/>
      <c r="Y215" s="423"/>
      <c r="Z215" s="205"/>
    </row>
    <row r="216" spans="1:26" ht="18.95" customHeight="1">
      <c r="A216" s="525"/>
      <c r="B216" s="582"/>
      <c r="C216" s="368" t="s">
        <v>3059</v>
      </c>
      <c r="D216" s="301"/>
      <c r="E216" s="25">
        <v>418</v>
      </c>
      <c r="F216" s="1181" t="s">
        <v>286</v>
      </c>
      <c r="G216" s="25">
        <v>18.309999999999999</v>
      </c>
      <c r="H216" s="25">
        <f t="shared" si="21"/>
        <v>17.118166340569999</v>
      </c>
      <c r="I216" s="25">
        <f t="shared" si="24"/>
        <v>7155.3935303582593</v>
      </c>
      <c r="J216" s="25">
        <v>30</v>
      </c>
      <c r="K216" s="25">
        <f t="shared" ref="K216:K279" si="28">J216*O216</f>
        <v>28.047241409999998</v>
      </c>
      <c r="L216" s="25">
        <f t="shared" si="25"/>
        <v>11723.746909379999</v>
      </c>
      <c r="M216" s="25">
        <f t="shared" ref="M216:M222" si="29">I216+L216</f>
        <v>18879.140439738258</v>
      </c>
      <c r="N216" s="605"/>
      <c r="O216" s="595">
        <v>0.93490804699999996</v>
      </c>
      <c r="Q216" s="608" t="s">
        <v>3115</v>
      </c>
      <c r="R216" s="422">
        <v>18.309999999999999</v>
      </c>
      <c r="S216" s="422"/>
      <c r="T216" s="598"/>
      <c r="U216" s="428"/>
      <c r="V216" s="423"/>
      <c r="W216" s="423"/>
      <c r="X216" s="423"/>
      <c r="Y216" s="423"/>
      <c r="Z216" s="205"/>
    </row>
    <row r="217" spans="1:26" ht="18.95" customHeight="1">
      <c r="A217" s="525"/>
      <c r="B217" s="582"/>
      <c r="C217" s="368" t="s">
        <v>3060</v>
      </c>
      <c r="D217" s="301"/>
      <c r="E217" s="25">
        <v>0</v>
      </c>
      <c r="F217" s="1181" t="s">
        <v>286</v>
      </c>
      <c r="G217" s="25">
        <v>34</v>
      </c>
      <c r="H217" s="25">
        <f t="shared" si="21"/>
        <v>31.786873598</v>
      </c>
      <c r="I217" s="25">
        <f t="shared" si="24"/>
        <v>0</v>
      </c>
      <c r="J217" s="25">
        <v>30</v>
      </c>
      <c r="K217" s="25">
        <f t="shared" si="28"/>
        <v>28.047241409999998</v>
      </c>
      <c r="L217" s="25">
        <f t="shared" si="25"/>
        <v>0</v>
      </c>
      <c r="M217" s="25">
        <f t="shared" si="29"/>
        <v>0</v>
      </c>
      <c r="N217" s="605"/>
      <c r="O217" s="595">
        <v>0.93490804699999996</v>
      </c>
      <c r="Q217" s="608" t="s">
        <v>3115</v>
      </c>
      <c r="R217" s="422"/>
      <c r="S217" s="422"/>
      <c r="T217" s="598"/>
      <c r="U217" s="428"/>
      <c r="V217" s="423"/>
      <c r="W217" s="423"/>
      <c r="X217" s="423"/>
      <c r="Y217" s="423"/>
      <c r="Z217" s="205"/>
    </row>
    <row r="218" spans="1:26" ht="18.95" customHeight="1">
      <c r="A218" s="525"/>
      <c r="B218" s="582"/>
      <c r="C218" s="368" t="s">
        <v>3061</v>
      </c>
      <c r="D218" s="301"/>
      <c r="E218" s="25">
        <v>327</v>
      </c>
      <c r="F218" s="1181" t="s">
        <v>286</v>
      </c>
      <c r="G218" s="25">
        <v>37.85</v>
      </c>
      <c r="H218" s="25">
        <f t="shared" si="21"/>
        <v>35.386269578949999</v>
      </c>
      <c r="I218" s="25">
        <f t="shared" si="24"/>
        <v>11571.31015231665</v>
      </c>
      <c r="J218" s="25">
        <v>40</v>
      </c>
      <c r="K218" s="25">
        <f t="shared" si="28"/>
        <v>37.396321880000002</v>
      </c>
      <c r="L218" s="25">
        <f t="shared" si="25"/>
        <v>12228.597254760001</v>
      </c>
      <c r="M218" s="25">
        <f t="shared" si="29"/>
        <v>23799.907407076651</v>
      </c>
      <c r="N218" s="605"/>
      <c r="O218" s="595">
        <v>0.93490804699999996</v>
      </c>
      <c r="Q218" s="608" t="s">
        <v>3115</v>
      </c>
      <c r="R218" s="422">
        <v>37.85</v>
      </c>
      <c r="S218" s="422"/>
      <c r="T218" s="598"/>
      <c r="U218" s="428"/>
      <c r="V218" s="423"/>
      <c r="W218" s="423"/>
      <c r="X218" s="423"/>
      <c r="Y218" s="423"/>
      <c r="Z218" s="205"/>
    </row>
    <row r="219" spans="1:26" ht="18.95" customHeight="1">
      <c r="A219" s="525"/>
      <c r="B219" s="582"/>
      <c r="C219" s="368" t="s">
        <v>3062</v>
      </c>
      <c r="D219" s="301"/>
      <c r="E219" s="25">
        <v>303</v>
      </c>
      <c r="F219" s="1181" t="s">
        <v>286</v>
      </c>
      <c r="G219" s="25">
        <v>59.93</v>
      </c>
      <c r="H219" s="25">
        <f t="shared" si="21"/>
        <v>56.02903925671</v>
      </c>
      <c r="I219" s="25">
        <f t="shared" si="24"/>
        <v>16976.798894783129</v>
      </c>
      <c r="J219" s="25">
        <v>50</v>
      </c>
      <c r="K219" s="25">
        <f t="shared" si="28"/>
        <v>46.745402349999999</v>
      </c>
      <c r="L219" s="25">
        <f t="shared" si="25"/>
        <v>14163.85691205</v>
      </c>
      <c r="M219" s="25">
        <f t="shared" si="29"/>
        <v>31140.655806833129</v>
      </c>
      <c r="N219" s="605"/>
      <c r="O219" s="595">
        <v>0.93490804699999996</v>
      </c>
      <c r="Q219" s="608" t="s">
        <v>3115</v>
      </c>
      <c r="R219" s="422">
        <v>59.93</v>
      </c>
      <c r="S219" s="422"/>
      <c r="T219" s="598"/>
      <c r="U219" s="428"/>
      <c r="V219" s="423"/>
      <c r="W219" s="423"/>
      <c r="X219" s="423"/>
      <c r="Y219" s="423"/>
      <c r="Z219" s="205"/>
    </row>
    <row r="220" spans="1:26" ht="18.95" customHeight="1">
      <c r="A220" s="525"/>
      <c r="B220" s="582"/>
      <c r="C220" s="368" t="s">
        <v>3053</v>
      </c>
      <c r="D220" s="301"/>
      <c r="E220" s="25">
        <v>180</v>
      </c>
      <c r="F220" s="1181" t="s">
        <v>286</v>
      </c>
      <c r="G220" s="25">
        <v>83.06</v>
      </c>
      <c r="H220" s="25">
        <f t="shared" ref="H220:H282" si="30">G220*O220</f>
        <v>77.653462383819999</v>
      </c>
      <c r="I220" s="25">
        <f t="shared" si="24"/>
        <v>13977.6232290876</v>
      </c>
      <c r="J220" s="25">
        <v>75</v>
      </c>
      <c r="K220" s="25">
        <f t="shared" si="28"/>
        <v>70.118103524999995</v>
      </c>
      <c r="L220" s="25">
        <f t="shared" si="25"/>
        <v>12621.2586345</v>
      </c>
      <c r="M220" s="25">
        <f t="shared" si="29"/>
        <v>26598.881863587601</v>
      </c>
      <c r="N220" s="605"/>
      <c r="O220" s="595">
        <v>0.93490804699999996</v>
      </c>
      <c r="Q220" s="608" t="s">
        <v>3115</v>
      </c>
      <c r="R220" s="422">
        <v>83.06</v>
      </c>
      <c r="S220" s="422"/>
      <c r="T220" s="598"/>
      <c r="U220" s="428"/>
      <c r="V220" s="423"/>
      <c r="W220" s="423"/>
      <c r="X220" s="423"/>
      <c r="Y220" s="423"/>
      <c r="Z220" s="205"/>
    </row>
    <row r="221" spans="1:26" ht="18.95" customHeight="1">
      <c r="A221" s="525"/>
      <c r="B221" s="582"/>
      <c r="C221" s="368" t="s">
        <v>3054</v>
      </c>
      <c r="D221" s="301"/>
      <c r="E221" s="25">
        <v>109</v>
      </c>
      <c r="F221" s="1181" t="s">
        <v>286</v>
      </c>
      <c r="G221" s="25">
        <v>134.58000000000001</v>
      </c>
      <c r="H221" s="25">
        <f t="shared" si="30"/>
        <v>125.81992496526</v>
      </c>
      <c r="I221" s="25">
        <f t="shared" si="24"/>
        <v>13714.371821213341</v>
      </c>
      <c r="J221" s="25">
        <v>100</v>
      </c>
      <c r="K221" s="25">
        <f t="shared" si="28"/>
        <v>93.490804699999998</v>
      </c>
      <c r="L221" s="25">
        <f t="shared" si="25"/>
        <v>10190.497712299999</v>
      </c>
      <c r="M221" s="25">
        <f t="shared" si="29"/>
        <v>23904.869533513338</v>
      </c>
      <c r="N221" s="605"/>
      <c r="O221" s="595">
        <v>0.93490804699999996</v>
      </c>
      <c r="Q221" s="608" t="s">
        <v>3115</v>
      </c>
      <c r="R221" s="422">
        <v>134.58000000000001</v>
      </c>
      <c r="S221" s="422"/>
      <c r="T221" s="598"/>
      <c r="U221" s="428"/>
      <c r="V221" s="423"/>
      <c r="W221" s="423"/>
      <c r="X221" s="423"/>
      <c r="Y221" s="423"/>
      <c r="Z221" s="205"/>
    </row>
    <row r="222" spans="1:26" ht="18.95" customHeight="1">
      <c r="A222" s="525"/>
      <c r="B222" s="582"/>
      <c r="C222" s="368" t="s">
        <v>3089</v>
      </c>
      <c r="D222" s="301"/>
      <c r="E222" s="25">
        <v>13</v>
      </c>
      <c r="F222" s="1181" t="s">
        <v>286</v>
      </c>
      <c r="G222" s="25">
        <v>431.07499999999999</v>
      </c>
      <c r="H222" s="25">
        <f t="shared" si="30"/>
        <v>403.01548636052496</v>
      </c>
      <c r="I222" s="25">
        <f t="shared" si="24"/>
        <v>5239.2013226868248</v>
      </c>
      <c r="J222" s="25">
        <v>200</v>
      </c>
      <c r="K222" s="25">
        <f t="shared" si="28"/>
        <v>186.9816094</v>
      </c>
      <c r="L222" s="25">
        <f t="shared" si="25"/>
        <v>2430.7609222000001</v>
      </c>
      <c r="M222" s="25">
        <f t="shared" si="29"/>
        <v>7669.9622448868249</v>
      </c>
      <c r="N222" s="605"/>
      <c r="O222" s="595">
        <v>0.93490804699999996</v>
      </c>
      <c r="Q222" s="608" t="s">
        <v>3115</v>
      </c>
      <c r="R222" s="422">
        <v>431.08</v>
      </c>
      <c r="S222" s="422"/>
      <c r="T222" s="598"/>
      <c r="U222" s="428"/>
      <c r="V222" s="423"/>
      <c r="W222" s="423"/>
      <c r="X222" s="423"/>
      <c r="Y222" s="423"/>
      <c r="Z222" s="205"/>
    </row>
    <row r="223" spans="1:26" ht="18.95" customHeight="1">
      <c r="A223" s="525"/>
      <c r="B223" s="420">
        <v>3.7</v>
      </c>
      <c r="C223" s="368" t="s">
        <v>3117</v>
      </c>
      <c r="D223" s="301"/>
      <c r="E223" s="25"/>
      <c r="F223" s="30"/>
      <c r="G223" s="25"/>
      <c r="H223" s="25"/>
      <c r="I223" s="25"/>
      <c r="J223" s="25"/>
      <c r="K223" s="25"/>
      <c r="L223" s="25"/>
      <c r="M223" s="25"/>
      <c r="N223" s="21"/>
      <c r="O223" s="595">
        <v>0.93490804699999996</v>
      </c>
      <c r="Q223" s="608"/>
      <c r="R223" s="422"/>
      <c r="S223" s="422"/>
      <c r="T223" s="598"/>
      <c r="U223" s="428"/>
      <c r="V223" s="423"/>
      <c r="W223" s="423"/>
      <c r="X223" s="423"/>
      <c r="Y223" s="423"/>
      <c r="Z223" s="205"/>
    </row>
    <row r="224" spans="1:26" ht="18.95" customHeight="1">
      <c r="A224" s="525"/>
      <c r="B224" s="582"/>
      <c r="C224" s="368" t="s">
        <v>3118</v>
      </c>
      <c r="D224" s="301"/>
      <c r="E224" s="25">
        <v>0</v>
      </c>
      <c r="F224" s="1181" t="s">
        <v>286</v>
      </c>
      <c r="G224" s="25"/>
      <c r="H224" s="25">
        <f t="shared" si="30"/>
        <v>0</v>
      </c>
      <c r="I224" s="25">
        <f t="shared" si="24"/>
        <v>0</v>
      </c>
      <c r="J224" s="25">
        <v>40</v>
      </c>
      <c r="K224" s="25">
        <f t="shared" si="28"/>
        <v>37.396321880000002</v>
      </c>
      <c r="L224" s="25">
        <f t="shared" si="25"/>
        <v>0</v>
      </c>
      <c r="M224" s="25">
        <f t="shared" ref="M224:M232" si="31">I224+L224</f>
        <v>0</v>
      </c>
      <c r="N224" s="21"/>
      <c r="O224" s="595">
        <v>0.93490804699999996</v>
      </c>
      <c r="Q224" s="608"/>
      <c r="R224" s="422"/>
      <c r="S224" s="422"/>
      <c r="T224" s="598"/>
      <c r="U224" s="428"/>
      <c r="V224" s="423"/>
      <c r="W224" s="423"/>
      <c r="X224" s="423"/>
      <c r="Y224" s="423"/>
      <c r="Z224" s="205"/>
    </row>
    <row r="225" spans="1:26" ht="18.95" customHeight="1">
      <c r="A225" s="525"/>
      <c r="B225" s="582"/>
      <c r="C225" s="368" t="s">
        <v>3119</v>
      </c>
      <c r="D225" s="301"/>
      <c r="E225" s="25">
        <v>0</v>
      </c>
      <c r="F225" s="1181" t="s">
        <v>286</v>
      </c>
      <c r="G225" s="25"/>
      <c r="H225" s="25">
        <f t="shared" si="30"/>
        <v>0</v>
      </c>
      <c r="I225" s="25">
        <f t="shared" si="24"/>
        <v>0</v>
      </c>
      <c r="J225" s="25">
        <v>60</v>
      </c>
      <c r="K225" s="25">
        <f t="shared" si="28"/>
        <v>56.094482819999996</v>
      </c>
      <c r="L225" s="25">
        <f t="shared" si="25"/>
        <v>0</v>
      </c>
      <c r="M225" s="25">
        <f t="shared" si="31"/>
        <v>0</v>
      </c>
      <c r="N225" s="21"/>
      <c r="O225" s="595">
        <v>0.93490804699999996</v>
      </c>
      <c r="Q225" s="608"/>
      <c r="R225" s="422"/>
      <c r="S225" s="422"/>
      <c r="T225" s="598"/>
      <c r="U225" s="428"/>
      <c r="V225" s="423"/>
      <c r="W225" s="423"/>
      <c r="X225" s="423"/>
      <c r="Y225" s="423"/>
      <c r="Z225" s="205"/>
    </row>
    <row r="226" spans="1:26" ht="18.95" customHeight="1">
      <c r="A226" s="525"/>
      <c r="B226" s="582"/>
      <c r="C226" s="368" t="s">
        <v>3044</v>
      </c>
      <c r="D226" s="301"/>
      <c r="E226" s="25">
        <v>66</v>
      </c>
      <c r="F226" s="1181" t="s">
        <v>286</v>
      </c>
      <c r="G226" s="25">
        <v>152.9</v>
      </c>
      <c r="H226" s="25">
        <f t="shared" si="30"/>
        <v>142.9474403863</v>
      </c>
      <c r="I226" s="25">
        <f t="shared" si="24"/>
        <v>9434.5310654957993</v>
      </c>
      <c r="J226" s="25">
        <v>75</v>
      </c>
      <c r="K226" s="25">
        <f t="shared" si="28"/>
        <v>70.118103524999995</v>
      </c>
      <c r="L226" s="25">
        <f t="shared" si="25"/>
        <v>4627.79483265</v>
      </c>
      <c r="M226" s="25">
        <f t="shared" si="31"/>
        <v>14062.325898145798</v>
      </c>
      <c r="N226" s="21"/>
      <c r="O226" s="595">
        <v>0.93490804699999996</v>
      </c>
      <c r="Q226" s="608" t="s">
        <v>3047</v>
      </c>
      <c r="R226" s="422">
        <v>152.9</v>
      </c>
      <c r="S226" s="422"/>
      <c r="T226" s="598"/>
      <c r="U226" s="428"/>
      <c r="V226" s="423"/>
      <c r="W226" s="423"/>
      <c r="X226" s="423"/>
      <c r="Y226" s="423"/>
      <c r="Z226" s="205"/>
    </row>
    <row r="227" spans="1:26" ht="18.95" customHeight="1">
      <c r="A227" s="525"/>
      <c r="B227" s="582"/>
      <c r="C227" s="368" t="s">
        <v>3045</v>
      </c>
      <c r="D227" s="301"/>
      <c r="E227" s="25">
        <v>100</v>
      </c>
      <c r="F227" s="1181" t="s">
        <v>286</v>
      </c>
      <c r="G227" s="25">
        <v>224.4</v>
      </c>
      <c r="H227" s="25">
        <f t="shared" si="30"/>
        <v>209.79336574679999</v>
      </c>
      <c r="I227" s="25">
        <f t="shared" si="24"/>
        <v>20979.336574680001</v>
      </c>
      <c r="J227" s="25">
        <v>120</v>
      </c>
      <c r="K227" s="25">
        <f t="shared" si="28"/>
        <v>112.18896563999999</v>
      </c>
      <c r="L227" s="25">
        <f t="shared" si="25"/>
        <v>11218.896563999999</v>
      </c>
      <c r="M227" s="25">
        <f t="shared" si="31"/>
        <v>32198.23313868</v>
      </c>
      <c r="N227" s="21"/>
      <c r="O227" s="595">
        <v>0.93490804699999996</v>
      </c>
      <c r="Q227" s="608" t="s">
        <v>3047</v>
      </c>
      <c r="R227" s="422">
        <v>224.4</v>
      </c>
      <c r="S227" s="422"/>
      <c r="T227" s="598"/>
      <c r="U227" s="428"/>
      <c r="V227" s="423"/>
      <c r="W227" s="423"/>
      <c r="X227" s="423"/>
      <c r="Y227" s="423"/>
      <c r="Z227" s="205"/>
    </row>
    <row r="228" spans="1:26" ht="18.95" customHeight="1">
      <c r="A228" s="525"/>
      <c r="B228" s="420"/>
      <c r="C228" s="368" t="s">
        <v>3120</v>
      </c>
      <c r="D228" s="301"/>
      <c r="E228" s="25">
        <v>106</v>
      </c>
      <c r="F228" s="1181" t="s">
        <v>286</v>
      </c>
      <c r="G228" s="25">
        <v>471.9</v>
      </c>
      <c r="H228" s="25">
        <f t="shared" si="30"/>
        <v>441.18310737929994</v>
      </c>
      <c r="I228" s="25">
        <f t="shared" si="24"/>
        <v>46765.409382205791</v>
      </c>
      <c r="J228" s="25">
        <v>250</v>
      </c>
      <c r="K228" s="25">
        <f t="shared" si="28"/>
        <v>233.72701175</v>
      </c>
      <c r="L228" s="25">
        <f t="shared" si="25"/>
        <v>24775.063245500001</v>
      </c>
      <c r="M228" s="25">
        <f t="shared" si="31"/>
        <v>71540.472627705793</v>
      </c>
      <c r="N228" s="21"/>
      <c r="O228" s="595">
        <v>0.93490804699999996</v>
      </c>
      <c r="Q228" s="608" t="s">
        <v>3047</v>
      </c>
      <c r="R228" s="422">
        <v>471.9</v>
      </c>
      <c r="S228" s="422"/>
      <c r="T228" s="598"/>
      <c r="U228" s="428"/>
      <c r="V228" s="423"/>
      <c r="W228" s="423"/>
      <c r="X228" s="423"/>
      <c r="Y228" s="423"/>
      <c r="Z228" s="205"/>
    </row>
    <row r="229" spans="1:26" ht="18.95" customHeight="1">
      <c r="A229" s="525"/>
      <c r="B229" s="420"/>
      <c r="C229" s="368" t="s">
        <v>3121</v>
      </c>
      <c r="D229" s="301"/>
      <c r="E229" s="25">
        <v>165</v>
      </c>
      <c r="F229" s="1181" t="s">
        <v>286</v>
      </c>
      <c r="G229" s="25">
        <v>1434.4</v>
      </c>
      <c r="H229" s="25">
        <f t="shared" si="30"/>
        <v>1341.0321026168001</v>
      </c>
      <c r="I229" s="25">
        <f t="shared" si="24"/>
        <v>221270.29693177203</v>
      </c>
      <c r="J229" s="25">
        <v>400</v>
      </c>
      <c r="K229" s="25">
        <f t="shared" si="28"/>
        <v>373.96321879999999</v>
      </c>
      <c r="L229" s="25">
        <f t="shared" si="25"/>
        <v>61703.931102000002</v>
      </c>
      <c r="M229" s="25">
        <f t="shared" si="31"/>
        <v>282974.22803377203</v>
      </c>
      <c r="N229" s="21"/>
      <c r="O229" s="595">
        <v>0.93490804699999996</v>
      </c>
      <c r="Q229" s="608" t="s">
        <v>3047</v>
      </c>
      <c r="R229" s="618">
        <v>1434.4</v>
      </c>
      <c r="S229" s="422"/>
      <c r="T229" s="598"/>
      <c r="U229" s="428"/>
      <c r="V229" s="423"/>
      <c r="W229" s="423"/>
      <c r="X229" s="423"/>
      <c r="Y229" s="423"/>
      <c r="Z229" s="205"/>
    </row>
    <row r="230" spans="1:26" ht="18.95" customHeight="1">
      <c r="A230" s="525"/>
      <c r="B230" s="420">
        <v>3.8</v>
      </c>
      <c r="C230" s="368" t="s">
        <v>3048</v>
      </c>
      <c r="D230" s="301"/>
      <c r="E230" s="25">
        <v>1</v>
      </c>
      <c r="F230" s="1181" t="s">
        <v>2193</v>
      </c>
      <c r="G230" s="25">
        <v>222426</v>
      </c>
      <c r="H230" s="25">
        <f t="shared" si="30"/>
        <v>207947.85726202198</v>
      </c>
      <c r="I230" s="25">
        <f t="shared" si="24"/>
        <v>207947.85726202198</v>
      </c>
      <c r="J230" s="25">
        <v>66728</v>
      </c>
      <c r="K230" s="25">
        <f t="shared" si="28"/>
        <v>62384.544160215999</v>
      </c>
      <c r="L230" s="25">
        <f t="shared" si="25"/>
        <v>62384.544160215999</v>
      </c>
      <c r="M230" s="25">
        <f t="shared" si="31"/>
        <v>270332.40142223798</v>
      </c>
      <c r="N230" s="21"/>
      <c r="O230" s="595">
        <v>0.93490804699999996</v>
      </c>
      <c r="Q230" s="608"/>
      <c r="R230" s="423"/>
      <c r="S230" s="423"/>
      <c r="T230" s="423"/>
      <c r="U230" s="423"/>
      <c r="V230" s="423"/>
      <c r="W230" s="423"/>
      <c r="X230" s="423"/>
      <c r="Y230" s="423"/>
      <c r="Z230" s="205"/>
    </row>
    <row r="231" spans="1:26" ht="18.95" customHeight="1">
      <c r="A231" s="525"/>
      <c r="B231" s="420">
        <v>3.9</v>
      </c>
      <c r="C231" s="368" t="s">
        <v>3049</v>
      </c>
      <c r="D231" s="301"/>
      <c r="E231" s="25">
        <v>1</v>
      </c>
      <c r="F231" s="1181" t="s">
        <v>2193</v>
      </c>
      <c r="G231" s="25">
        <v>166819</v>
      </c>
      <c r="H231" s="25">
        <f t="shared" si="30"/>
        <v>155960.425492493</v>
      </c>
      <c r="I231" s="25">
        <f t="shared" si="24"/>
        <v>155960.425492493</v>
      </c>
      <c r="J231" s="25">
        <v>50046</v>
      </c>
      <c r="K231" s="25">
        <f t="shared" si="28"/>
        <v>46788.408120161999</v>
      </c>
      <c r="L231" s="25">
        <f t="shared" si="25"/>
        <v>46788.408120161999</v>
      </c>
      <c r="M231" s="25">
        <f t="shared" si="31"/>
        <v>202748.833612655</v>
      </c>
      <c r="N231" s="21"/>
      <c r="O231" s="595">
        <v>0.93490804699999996</v>
      </c>
      <c r="P231" s="617"/>
      <c r="Q231" s="619"/>
      <c r="R231" s="620"/>
      <c r="S231" s="620"/>
      <c r="T231" s="422"/>
      <c r="U231" s="423"/>
      <c r="V231" s="423"/>
      <c r="W231" s="423"/>
      <c r="X231" s="423"/>
      <c r="Y231" s="423"/>
      <c r="Z231" s="205"/>
    </row>
    <row r="232" spans="1:26" ht="18.95" customHeight="1">
      <c r="A232" s="525"/>
      <c r="B232" s="583">
        <v>3.1</v>
      </c>
      <c r="C232" s="368" t="s">
        <v>3050</v>
      </c>
      <c r="D232" s="301"/>
      <c r="E232" s="25">
        <v>1</v>
      </c>
      <c r="F232" s="1181" t="s">
        <v>2193</v>
      </c>
      <c r="G232" s="25">
        <v>55607</v>
      </c>
      <c r="H232" s="25">
        <f t="shared" si="30"/>
        <v>51987.431769529001</v>
      </c>
      <c r="I232" s="25">
        <f t="shared" si="24"/>
        <v>51987.431769529001</v>
      </c>
      <c r="J232" s="25">
        <v>16683</v>
      </c>
      <c r="K232" s="25">
        <f t="shared" si="28"/>
        <v>15597.070948101</v>
      </c>
      <c r="L232" s="25">
        <f t="shared" si="25"/>
        <v>15597.070948101</v>
      </c>
      <c r="M232" s="25">
        <f t="shared" si="31"/>
        <v>67584.502717630006</v>
      </c>
      <c r="N232" s="21"/>
      <c r="O232" s="595">
        <v>0.93490804699999996</v>
      </c>
      <c r="Q232" s="608"/>
      <c r="R232" s="423"/>
      <c r="S232" s="423"/>
      <c r="T232" s="423"/>
      <c r="U232" s="423"/>
      <c r="V232" s="423"/>
      <c r="W232" s="423"/>
      <c r="X232" s="423"/>
      <c r="Y232" s="423"/>
      <c r="Z232" s="205"/>
    </row>
    <row r="233" spans="1:26" ht="18.95" customHeight="1">
      <c r="A233" s="525"/>
      <c r="B233" s="583"/>
      <c r="C233" s="368"/>
      <c r="D233" s="301"/>
      <c r="E233" s="25"/>
      <c r="F233" s="30"/>
      <c r="G233" s="25"/>
      <c r="H233" s="25"/>
      <c r="I233" s="25"/>
      <c r="J233" s="25"/>
      <c r="K233" s="25"/>
      <c r="L233" s="25"/>
      <c r="M233" s="25"/>
      <c r="N233" s="21"/>
      <c r="O233" s="595">
        <v>0.93490804699999996</v>
      </c>
      <c r="Q233" s="608"/>
      <c r="R233" s="423"/>
      <c r="S233" s="423"/>
      <c r="T233" s="423"/>
      <c r="U233" s="423"/>
      <c r="V233" s="423"/>
      <c r="W233" s="423"/>
      <c r="X233" s="423"/>
      <c r="Y233" s="423"/>
      <c r="Z233" s="205"/>
    </row>
    <row r="234" spans="1:26" ht="18.95" customHeight="1">
      <c r="A234" s="525"/>
      <c r="B234" s="418" t="s">
        <v>3051</v>
      </c>
      <c r="C234" s="285"/>
      <c r="D234" s="267"/>
      <c r="E234" s="25"/>
      <c r="F234" s="30"/>
      <c r="G234" s="25"/>
      <c r="H234" s="25"/>
      <c r="I234" s="25"/>
      <c r="J234" s="25"/>
      <c r="K234" s="25"/>
      <c r="L234" s="25"/>
      <c r="M234" s="25"/>
      <c r="N234" s="605"/>
      <c r="O234" s="595">
        <v>0.93490804699999996</v>
      </c>
      <c r="P234" s="596"/>
      <c r="Q234" s="613"/>
      <c r="R234" s="428"/>
      <c r="S234" s="428"/>
      <c r="T234" s="423"/>
      <c r="U234" s="422"/>
      <c r="V234" s="422"/>
      <c r="W234" s="422"/>
      <c r="X234" s="423"/>
      <c r="Y234" s="423"/>
      <c r="Z234" s="205"/>
    </row>
    <row r="235" spans="1:26" ht="18.95" customHeight="1">
      <c r="A235" s="525"/>
      <c r="B235" s="583">
        <v>3.11</v>
      </c>
      <c r="C235" s="368" t="s">
        <v>3122</v>
      </c>
      <c r="D235" s="301"/>
      <c r="E235" s="25"/>
      <c r="F235" s="30"/>
      <c r="G235" s="25"/>
      <c r="H235" s="25"/>
      <c r="I235" s="25"/>
      <c r="J235" s="25"/>
      <c r="K235" s="25"/>
      <c r="L235" s="25"/>
      <c r="M235" s="25"/>
      <c r="N235" s="21"/>
      <c r="O235" s="595">
        <v>0.93490804699999996</v>
      </c>
      <c r="Q235" s="608"/>
      <c r="R235" s="423"/>
      <c r="S235" s="601"/>
      <c r="T235" s="422"/>
      <c r="U235" s="423"/>
      <c r="V235" s="423"/>
      <c r="W235" s="423"/>
      <c r="X235" s="423"/>
      <c r="Y235" s="423"/>
      <c r="Z235" s="205"/>
    </row>
    <row r="236" spans="1:26" ht="18.95" customHeight="1">
      <c r="A236" s="525"/>
      <c r="B236" s="582"/>
      <c r="C236" s="368" t="s">
        <v>3061</v>
      </c>
      <c r="D236" s="301"/>
      <c r="E236" s="25">
        <v>56</v>
      </c>
      <c r="F236" s="1181" t="s">
        <v>349</v>
      </c>
      <c r="G236" s="25">
        <v>772</v>
      </c>
      <c r="H236" s="25">
        <f t="shared" si="30"/>
        <v>721.74901228399995</v>
      </c>
      <c r="I236" s="25">
        <f t="shared" si="24"/>
        <v>40417.944687903997</v>
      </c>
      <c r="J236" s="25">
        <v>200</v>
      </c>
      <c r="K236" s="25">
        <f t="shared" si="28"/>
        <v>186.9816094</v>
      </c>
      <c r="L236" s="25">
        <f t="shared" si="25"/>
        <v>10470.9701264</v>
      </c>
      <c r="M236" s="25">
        <f>I236+L236</f>
        <v>50888.914814303993</v>
      </c>
      <c r="N236" s="21"/>
      <c r="O236" s="595">
        <v>0.93490804699999996</v>
      </c>
      <c r="P236" s="610"/>
      <c r="Q236" s="621"/>
      <c r="R236" s="603"/>
      <c r="S236" s="621"/>
      <c r="T236" s="603"/>
      <c r="U236" s="423"/>
      <c r="V236" s="423"/>
      <c r="W236" s="423"/>
      <c r="X236" s="423"/>
      <c r="Y236" s="423"/>
      <c r="Z236" s="205"/>
    </row>
    <row r="237" spans="1:26" ht="18.95" customHeight="1">
      <c r="A237" s="525"/>
      <c r="B237" s="582"/>
      <c r="C237" s="368" t="s">
        <v>3053</v>
      </c>
      <c r="D237" s="301"/>
      <c r="E237" s="25">
        <v>2</v>
      </c>
      <c r="F237" s="1181" t="s">
        <v>349</v>
      </c>
      <c r="G237" s="25">
        <v>920</v>
      </c>
      <c r="H237" s="25">
        <f t="shared" si="30"/>
        <v>860.11540323999998</v>
      </c>
      <c r="I237" s="25">
        <f t="shared" si="24"/>
        <v>1720.23080648</v>
      </c>
      <c r="J237" s="25">
        <v>300</v>
      </c>
      <c r="K237" s="25">
        <f t="shared" si="28"/>
        <v>280.47241409999998</v>
      </c>
      <c r="L237" s="25">
        <f t="shared" si="25"/>
        <v>560.94482819999996</v>
      </c>
      <c r="M237" s="25">
        <f>I237+L237</f>
        <v>2281.1756346799998</v>
      </c>
      <c r="N237" s="21"/>
      <c r="O237" s="595">
        <v>0.93490804699999996</v>
      </c>
      <c r="P237" s="610"/>
      <c r="Q237" s="621"/>
      <c r="R237" s="603"/>
      <c r="S237" s="621"/>
      <c r="T237" s="603"/>
      <c r="U237" s="423"/>
      <c r="V237" s="423"/>
      <c r="W237" s="423"/>
      <c r="X237" s="423"/>
      <c r="Y237" s="423"/>
      <c r="Z237" s="205"/>
    </row>
    <row r="238" spans="1:26" ht="18.95" customHeight="1">
      <c r="A238" s="525"/>
      <c r="B238" s="583">
        <v>3.12</v>
      </c>
      <c r="C238" s="368" t="s">
        <v>3123</v>
      </c>
      <c r="D238" s="301"/>
      <c r="E238" s="25"/>
      <c r="F238" s="30"/>
      <c r="G238" s="25"/>
      <c r="H238" s="25"/>
      <c r="I238" s="25"/>
      <c r="J238" s="25"/>
      <c r="K238" s="25"/>
      <c r="L238" s="25"/>
      <c r="M238" s="25"/>
      <c r="N238" s="21"/>
      <c r="O238" s="595">
        <v>0.93490804699999996</v>
      </c>
      <c r="P238" s="610"/>
      <c r="Q238" s="621"/>
      <c r="R238" s="603"/>
      <c r="S238" s="622"/>
      <c r="T238" s="422"/>
      <c r="U238" s="423"/>
      <c r="V238" s="423"/>
      <c r="W238" s="423"/>
      <c r="X238" s="428"/>
      <c r="Y238" s="423"/>
      <c r="Z238" s="205"/>
    </row>
    <row r="239" spans="1:26" ht="18.95" customHeight="1">
      <c r="A239" s="525"/>
      <c r="B239" s="582"/>
      <c r="C239" s="368" t="s">
        <v>3061</v>
      </c>
      <c r="D239" s="301"/>
      <c r="E239" s="25">
        <v>6</v>
      </c>
      <c r="F239" s="1181" t="s">
        <v>349</v>
      </c>
      <c r="G239" s="25">
        <v>1194</v>
      </c>
      <c r="H239" s="25">
        <f t="shared" si="30"/>
        <v>1116.280208118</v>
      </c>
      <c r="I239" s="25">
        <f t="shared" si="24"/>
        <v>6697.6812487080006</v>
      </c>
      <c r="J239" s="25">
        <v>200</v>
      </c>
      <c r="K239" s="25">
        <f t="shared" si="28"/>
        <v>186.9816094</v>
      </c>
      <c r="L239" s="25">
        <f t="shared" si="25"/>
        <v>1121.8896563999999</v>
      </c>
      <c r="M239" s="25">
        <f>I239+L239</f>
        <v>7819.5709051080003</v>
      </c>
      <c r="N239" s="21"/>
      <c r="O239" s="595">
        <v>0.93490804699999996</v>
      </c>
      <c r="P239" s="610"/>
      <c r="Q239" s="621"/>
      <c r="R239" s="603"/>
      <c r="S239" s="621"/>
      <c r="T239" s="597"/>
      <c r="U239" s="423"/>
      <c r="V239" s="423"/>
      <c r="W239" s="423"/>
      <c r="X239" s="428"/>
      <c r="Y239" s="423"/>
      <c r="Z239" s="205"/>
    </row>
    <row r="240" spans="1:26" ht="18.95" customHeight="1">
      <c r="A240" s="525"/>
      <c r="B240" s="582"/>
      <c r="C240" s="368" t="s">
        <v>3053</v>
      </c>
      <c r="D240" s="301"/>
      <c r="E240" s="25">
        <v>8</v>
      </c>
      <c r="F240" s="1181" t="s">
        <v>349</v>
      </c>
      <c r="G240" s="25">
        <v>1632</v>
      </c>
      <c r="H240" s="25">
        <f t="shared" si="30"/>
        <v>1525.769932704</v>
      </c>
      <c r="I240" s="25">
        <f t="shared" si="24"/>
        <v>12206.159461632</v>
      </c>
      <c r="J240" s="25">
        <v>300</v>
      </c>
      <c r="K240" s="25">
        <f t="shared" si="28"/>
        <v>280.47241409999998</v>
      </c>
      <c r="L240" s="25">
        <f t="shared" si="25"/>
        <v>2243.7793127999998</v>
      </c>
      <c r="M240" s="25">
        <f>I240+L240</f>
        <v>14449.938774431999</v>
      </c>
      <c r="N240" s="21"/>
      <c r="O240" s="595">
        <v>0.93490804699999996</v>
      </c>
      <c r="P240" s="610"/>
      <c r="Q240" s="621"/>
      <c r="R240" s="603"/>
      <c r="S240" s="621"/>
      <c r="T240" s="616"/>
      <c r="U240" s="423"/>
      <c r="V240" s="423"/>
      <c r="W240" s="423"/>
      <c r="X240" s="428"/>
      <c r="Y240" s="423"/>
      <c r="Z240" s="205"/>
    </row>
    <row r="241" spans="1:26" ht="18.95" customHeight="1">
      <c r="A241" s="525"/>
      <c r="B241" s="582"/>
      <c r="C241" s="368" t="s">
        <v>3054</v>
      </c>
      <c r="D241" s="301"/>
      <c r="E241" s="25">
        <v>17</v>
      </c>
      <c r="F241" s="1181" t="s">
        <v>349</v>
      </c>
      <c r="G241" s="25">
        <v>1632</v>
      </c>
      <c r="H241" s="25">
        <f t="shared" si="30"/>
        <v>1525.769932704</v>
      </c>
      <c r="I241" s="25">
        <f t="shared" si="24"/>
        <v>25938.088855967999</v>
      </c>
      <c r="J241" s="25">
        <v>400</v>
      </c>
      <c r="K241" s="25">
        <f t="shared" si="28"/>
        <v>373.96321879999999</v>
      </c>
      <c r="L241" s="25">
        <f t="shared" si="25"/>
        <v>6357.3747195999995</v>
      </c>
      <c r="M241" s="25">
        <f>I241+L241</f>
        <v>32295.463575567999</v>
      </c>
      <c r="N241" s="21"/>
      <c r="O241" s="595">
        <v>0.93490804699999996</v>
      </c>
      <c r="P241" s="610"/>
      <c r="Q241" s="621"/>
      <c r="R241" s="603"/>
      <c r="S241" s="621"/>
      <c r="T241" s="616"/>
      <c r="U241" s="423"/>
      <c r="V241" s="423"/>
      <c r="W241" s="423"/>
      <c r="X241" s="428"/>
      <c r="Y241" s="423"/>
      <c r="Z241" s="205"/>
    </row>
    <row r="242" spans="1:26" ht="18.95" customHeight="1">
      <c r="A242" s="525"/>
      <c r="B242" s="582"/>
      <c r="C242" s="368" t="s">
        <v>3089</v>
      </c>
      <c r="D242" s="301"/>
      <c r="E242" s="25">
        <v>1</v>
      </c>
      <c r="F242" s="1181" t="s">
        <v>349</v>
      </c>
      <c r="G242" s="25">
        <v>1860</v>
      </c>
      <c r="H242" s="25">
        <f t="shared" si="30"/>
        <v>1738.9289674199999</v>
      </c>
      <c r="I242" s="25">
        <f t="shared" si="24"/>
        <v>1738.9289674199999</v>
      </c>
      <c r="J242" s="25">
        <v>600</v>
      </c>
      <c r="K242" s="25">
        <f t="shared" si="28"/>
        <v>560.94482819999996</v>
      </c>
      <c r="L242" s="25">
        <f t="shared" si="25"/>
        <v>560.94482819999996</v>
      </c>
      <c r="M242" s="25">
        <f>I242+L242</f>
        <v>2299.8737956199998</v>
      </c>
      <c r="N242" s="21"/>
      <c r="O242" s="595">
        <v>0.93490804699999996</v>
      </c>
      <c r="P242" s="610"/>
      <c r="Q242" s="621"/>
      <c r="R242" s="603"/>
      <c r="S242" s="621"/>
      <c r="T242" s="616"/>
      <c r="U242" s="423"/>
      <c r="V242" s="423"/>
      <c r="W242" s="423"/>
      <c r="X242" s="428"/>
      <c r="Y242" s="423"/>
      <c r="Z242" s="205"/>
    </row>
    <row r="243" spans="1:26" ht="18.95" customHeight="1">
      <c r="A243" s="525"/>
      <c r="B243" s="583">
        <v>3.13</v>
      </c>
      <c r="C243" s="368" t="s">
        <v>3124</v>
      </c>
      <c r="D243" s="301"/>
      <c r="E243" s="25"/>
      <c r="F243" s="30"/>
      <c r="G243" s="25"/>
      <c r="H243" s="25"/>
      <c r="I243" s="25"/>
      <c r="J243" s="25"/>
      <c r="K243" s="25"/>
      <c r="L243" s="25"/>
      <c r="M243" s="25"/>
      <c r="N243" s="21"/>
      <c r="O243" s="595">
        <v>0.93490804699999996</v>
      </c>
      <c r="P243" s="610"/>
      <c r="Q243" s="621"/>
      <c r="R243" s="603"/>
      <c r="S243" s="622"/>
      <c r="T243" s="422"/>
      <c r="U243" s="423"/>
      <c r="V243" s="423"/>
      <c r="W243" s="423"/>
      <c r="X243" s="423"/>
      <c r="Y243" s="423"/>
      <c r="Z243" s="205"/>
    </row>
    <row r="244" spans="1:26" ht="18.95" customHeight="1">
      <c r="A244" s="525"/>
      <c r="B244" s="582"/>
      <c r="C244" s="368" t="s">
        <v>3061</v>
      </c>
      <c r="D244" s="301"/>
      <c r="E244" s="25">
        <v>9</v>
      </c>
      <c r="F244" s="1181" t="s">
        <v>349</v>
      </c>
      <c r="G244" s="25">
        <v>108</v>
      </c>
      <c r="H244" s="25">
        <f t="shared" si="30"/>
        <v>100.970069076</v>
      </c>
      <c r="I244" s="25">
        <f t="shared" si="24"/>
        <v>908.73062168399997</v>
      </c>
      <c r="J244" s="25">
        <v>100</v>
      </c>
      <c r="K244" s="25">
        <f t="shared" si="28"/>
        <v>93.490804699999998</v>
      </c>
      <c r="L244" s="25">
        <f t="shared" si="25"/>
        <v>841.4172423</v>
      </c>
      <c r="M244" s="25">
        <f>I244+L244</f>
        <v>1750.147863984</v>
      </c>
      <c r="N244" s="21"/>
      <c r="O244" s="595">
        <v>0.93490804699999996</v>
      </c>
      <c r="P244" s="610"/>
      <c r="Q244" s="621"/>
      <c r="R244" s="603"/>
      <c r="S244" s="621"/>
      <c r="T244" s="603"/>
      <c r="U244" s="423"/>
      <c r="V244" s="423"/>
      <c r="W244" s="423"/>
      <c r="X244" s="423"/>
      <c r="Y244" s="423"/>
      <c r="Z244" s="205"/>
    </row>
    <row r="245" spans="1:26" ht="18.95" customHeight="1">
      <c r="A245" s="525"/>
      <c r="B245" s="582"/>
      <c r="C245" s="368" t="s">
        <v>3053</v>
      </c>
      <c r="D245" s="301"/>
      <c r="E245" s="25">
        <v>9</v>
      </c>
      <c r="F245" s="1181" t="s">
        <v>349</v>
      </c>
      <c r="G245" s="25">
        <v>140</v>
      </c>
      <c r="H245" s="25">
        <f t="shared" si="30"/>
        <v>130.88712658</v>
      </c>
      <c r="I245" s="25">
        <f t="shared" si="24"/>
        <v>1177.9841392200001</v>
      </c>
      <c r="J245" s="25">
        <v>150</v>
      </c>
      <c r="K245" s="25">
        <f t="shared" si="28"/>
        <v>140.23620704999999</v>
      </c>
      <c r="L245" s="25">
        <f t="shared" si="25"/>
        <v>1262.12586345</v>
      </c>
      <c r="M245" s="25">
        <f>I245+L245</f>
        <v>2440.1100026700001</v>
      </c>
      <c r="N245" s="21"/>
      <c r="O245" s="595">
        <v>0.93490804699999996</v>
      </c>
      <c r="P245" s="610"/>
      <c r="Q245" s="621"/>
      <c r="R245" s="603"/>
      <c r="S245" s="621"/>
      <c r="T245" s="603"/>
      <c r="U245" s="423"/>
      <c r="V245" s="423"/>
      <c r="W245" s="423"/>
      <c r="X245" s="423"/>
      <c r="Y245" s="423"/>
      <c r="Z245" s="205"/>
    </row>
    <row r="246" spans="1:26" ht="18.95" customHeight="1">
      <c r="A246" s="525"/>
      <c r="B246" s="582"/>
      <c r="C246" s="368" t="s">
        <v>3054</v>
      </c>
      <c r="D246" s="301"/>
      <c r="E246" s="25">
        <v>33</v>
      </c>
      <c r="F246" s="1181" t="s">
        <v>349</v>
      </c>
      <c r="G246" s="25">
        <v>192</v>
      </c>
      <c r="H246" s="25">
        <f t="shared" si="30"/>
        <v>179.50234502399999</v>
      </c>
      <c r="I246" s="25">
        <f t="shared" si="24"/>
        <v>5923.5773857919994</v>
      </c>
      <c r="J246" s="25">
        <v>200</v>
      </c>
      <c r="K246" s="25">
        <f t="shared" si="28"/>
        <v>186.9816094</v>
      </c>
      <c r="L246" s="25">
        <f t="shared" si="25"/>
        <v>6170.3931101999997</v>
      </c>
      <c r="M246" s="25">
        <f>I246+L246</f>
        <v>12093.970495991998</v>
      </c>
      <c r="N246" s="58"/>
      <c r="O246" s="595">
        <v>0.93490804699999996</v>
      </c>
      <c r="P246" s="610"/>
      <c r="Q246" s="621"/>
      <c r="R246" s="603"/>
      <c r="S246" s="621"/>
      <c r="T246" s="603"/>
      <c r="U246" s="423"/>
      <c r="V246" s="423"/>
      <c r="W246" s="423"/>
      <c r="X246" s="601"/>
      <c r="Y246" s="423"/>
      <c r="Z246" s="205"/>
    </row>
    <row r="247" spans="1:26" ht="18.95" customHeight="1">
      <c r="A247" s="525"/>
      <c r="B247" s="582"/>
      <c r="C247" s="368" t="s">
        <v>3089</v>
      </c>
      <c r="D247" s="301"/>
      <c r="E247" s="25">
        <v>0</v>
      </c>
      <c r="F247" s="1181" t="s">
        <v>349</v>
      </c>
      <c r="G247" s="25"/>
      <c r="H247" s="25">
        <f t="shared" si="30"/>
        <v>0</v>
      </c>
      <c r="I247" s="25">
        <f t="shared" si="24"/>
        <v>0</v>
      </c>
      <c r="J247" s="25">
        <v>300</v>
      </c>
      <c r="K247" s="25">
        <f t="shared" si="28"/>
        <v>280.47241409999998</v>
      </c>
      <c r="L247" s="25">
        <f t="shared" si="25"/>
        <v>0</v>
      </c>
      <c r="M247" s="25">
        <f>I247+L247</f>
        <v>0</v>
      </c>
      <c r="N247" s="21"/>
      <c r="O247" s="595">
        <v>0.93490804699999996</v>
      </c>
      <c r="P247" s="611"/>
      <c r="Q247" s="621"/>
      <c r="R247" s="609"/>
      <c r="S247" s="609"/>
      <c r="T247" s="603"/>
      <c r="U247" s="423"/>
      <c r="V247" s="423"/>
      <c r="W247" s="423"/>
      <c r="X247" s="423"/>
      <c r="Y247" s="423"/>
      <c r="Z247" s="205"/>
    </row>
    <row r="248" spans="1:26" ht="18.95" customHeight="1">
      <c r="A248" s="525"/>
      <c r="B248" s="583">
        <v>3.14</v>
      </c>
      <c r="C248" s="368" t="s">
        <v>3125</v>
      </c>
      <c r="D248" s="301"/>
      <c r="E248" s="25"/>
      <c r="F248" s="30"/>
      <c r="G248" s="25"/>
      <c r="H248" s="25"/>
      <c r="I248" s="25"/>
      <c r="J248" s="25"/>
      <c r="K248" s="25"/>
      <c r="L248" s="25"/>
      <c r="M248" s="25"/>
      <c r="N248" s="21"/>
      <c r="O248" s="595">
        <v>0.93490804699999996</v>
      </c>
      <c r="P248" s="610"/>
      <c r="Q248" s="621"/>
      <c r="R248" s="603"/>
      <c r="S248" s="601"/>
      <c r="T248" s="423"/>
      <c r="U248" s="423"/>
      <c r="V248" s="423"/>
      <c r="W248" s="423"/>
      <c r="X248" s="422"/>
      <c r="Y248" s="422"/>
    </row>
    <row r="249" spans="1:26" ht="18.95" customHeight="1">
      <c r="A249" s="525"/>
      <c r="B249" s="582"/>
      <c r="C249" s="368" t="s">
        <v>3053</v>
      </c>
      <c r="D249" s="301"/>
      <c r="E249" s="25">
        <v>1</v>
      </c>
      <c r="F249" s="1181" t="s">
        <v>349</v>
      </c>
      <c r="G249" s="25">
        <v>1084</v>
      </c>
      <c r="H249" s="25">
        <f t="shared" si="30"/>
        <v>1013.440322948</v>
      </c>
      <c r="I249" s="25">
        <f t="shared" si="24"/>
        <v>1013.440322948</v>
      </c>
      <c r="J249" s="25">
        <v>300</v>
      </c>
      <c r="K249" s="25">
        <f t="shared" si="28"/>
        <v>280.47241409999998</v>
      </c>
      <c r="L249" s="25">
        <f t="shared" si="25"/>
        <v>280.47241409999998</v>
      </c>
      <c r="M249" s="25">
        <f>I249+L249</f>
        <v>1293.9127370480001</v>
      </c>
      <c r="N249" s="605"/>
      <c r="O249" s="595">
        <v>0.93490804699999996</v>
      </c>
      <c r="P249" s="610"/>
      <c r="Q249" s="621"/>
      <c r="R249" s="603"/>
      <c r="S249" s="621"/>
      <c r="T249" s="603"/>
      <c r="U249" s="423"/>
      <c r="V249" s="423"/>
      <c r="W249" s="423"/>
      <c r="X249" s="423"/>
      <c r="Y249" s="423"/>
      <c r="Z249" s="205"/>
    </row>
    <row r="250" spans="1:26" ht="18.95" customHeight="1">
      <c r="A250" s="525"/>
      <c r="B250" s="582"/>
      <c r="C250" s="368" t="s">
        <v>3054</v>
      </c>
      <c r="D250" s="301"/>
      <c r="E250" s="25">
        <v>2</v>
      </c>
      <c r="F250" s="1181" t="s">
        <v>349</v>
      </c>
      <c r="G250" s="25">
        <v>1224</v>
      </c>
      <c r="H250" s="25">
        <f t="shared" si="30"/>
        <v>1144.327449528</v>
      </c>
      <c r="I250" s="25">
        <f t="shared" ref="I250:I270" si="32">E250*H250</f>
        <v>2288.654899056</v>
      </c>
      <c r="J250" s="25">
        <v>400</v>
      </c>
      <c r="K250" s="25">
        <f t="shared" si="28"/>
        <v>373.96321879999999</v>
      </c>
      <c r="L250" s="25">
        <f t="shared" ref="L250:L270" si="33">E250*K250</f>
        <v>747.92643759999999</v>
      </c>
      <c r="M250" s="25">
        <f>I250+L250</f>
        <v>3036.5813366560001</v>
      </c>
      <c r="N250" s="605"/>
      <c r="O250" s="595">
        <v>0.93490804699999996</v>
      </c>
      <c r="P250" s="610"/>
      <c r="Q250" s="621"/>
      <c r="R250" s="603"/>
      <c r="S250" s="621"/>
      <c r="T250" s="603"/>
      <c r="U250" s="423"/>
      <c r="V250" s="423"/>
      <c r="W250" s="423"/>
      <c r="X250" s="423"/>
      <c r="Y250" s="423"/>
      <c r="Z250" s="205"/>
    </row>
    <row r="251" spans="1:26" ht="18.95" customHeight="1">
      <c r="A251" s="525"/>
      <c r="B251" s="582"/>
      <c r="C251" s="368" t="s">
        <v>3089</v>
      </c>
      <c r="D251" s="301"/>
      <c r="E251" s="25">
        <v>1</v>
      </c>
      <c r="F251" s="1181" t="s">
        <v>349</v>
      </c>
      <c r="G251" s="25">
        <v>1760</v>
      </c>
      <c r="H251" s="25">
        <f t="shared" si="30"/>
        <v>1645.43816272</v>
      </c>
      <c r="I251" s="25">
        <f t="shared" si="32"/>
        <v>1645.43816272</v>
      </c>
      <c r="J251" s="25">
        <v>500</v>
      </c>
      <c r="K251" s="25">
        <f t="shared" si="28"/>
        <v>467.45402350000001</v>
      </c>
      <c r="L251" s="25">
        <f t="shared" si="33"/>
        <v>467.45402350000001</v>
      </c>
      <c r="M251" s="25">
        <f>I251+L251</f>
        <v>2112.89218622</v>
      </c>
      <c r="N251" s="605"/>
      <c r="O251" s="595">
        <v>0.93490804699999996</v>
      </c>
      <c r="P251" s="610"/>
      <c r="Q251" s="621"/>
      <c r="R251" s="603"/>
      <c r="S251" s="621"/>
      <c r="T251" s="603"/>
      <c r="U251" s="423"/>
      <c r="V251" s="423"/>
      <c r="W251" s="423"/>
      <c r="X251" s="423"/>
      <c r="Y251" s="423"/>
      <c r="Z251" s="205"/>
    </row>
    <row r="252" spans="1:26" ht="18.95" customHeight="1">
      <c r="A252" s="525"/>
      <c r="B252" s="582"/>
      <c r="C252" s="368"/>
      <c r="D252" s="301"/>
      <c r="E252" s="25"/>
      <c r="F252" s="30"/>
      <c r="G252" s="25"/>
      <c r="H252" s="25"/>
      <c r="I252" s="25"/>
      <c r="J252" s="25"/>
      <c r="K252" s="25"/>
      <c r="L252" s="25"/>
      <c r="M252" s="25"/>
      <c r="N252" s="605"/>
      <c r="O252" s="595">
        <v>0.93490804699999996</v>
      </c>
      <c r="P252" s="610"/>
      <c r="Q252" s="621"/>
      <c r="R252" s="603"/>
      <c r="S252" s="603"/>
      <c r="T252" s="423"/>
      <c r="U252" s="423"/>
      <c r="V252" s="423"/>
      <c r="W252" s="423"/>
      <c r="X252" s="423"/>
      <c r="Y252" s="423"/>
      <c r="Z252" s="205"/>
    </row>
    <row r="253" spans="1:26" ht="18.95" customHeight="1">
      <c r="A253" s="525"/>
      <c r="B253" s="583">
        <v>3.15</v>
      </c>
      <c r="C253" s="368" t="s">
        <v>3066</v>
      </c>
      <c r="D253" s="301"/>
      <c r="E253" s="25"/>
      <c r="F253" s="30"/>
      <c r="G253" s="25"/>
      <c r="H253" s="25"/>
      <c r="I253" s="25"/>
      <c r="J253" s="25"/>
      <c r="K253" s="25"/>
      <c r="L253" s="25"/>
      <c r="M253" s="25"/>
      <c r="N253" s="605"/>
      <c r="O253" s="595">
        <v>0.93490804699999996</v>
      </c>
      <c r="P253" s="610"/>
      <c r="Q253" s="603"/>
      <c r="R253" s="603"/>
      <c r="S253" s="603"/>
      <c r="T253" s="423"/>
      <c r="U253" s="601"/>
      <c r="V253" s="601"/>
      <c r="W253" s="601"/>
      <c r="X253" s="423"/>
      <c r="Y253" s="423"/>
      <c r="Z253" s="205"/>
    </row>
    <row r="254" spans="1:26" ht="18.95" customHeight="1">
      <c r="A254" s="525"/>
      <c r="B254" s="582"/>
      <c r="C254" s="368" t="s">
        <v>3061</v>
      </c>
      <c r="D254" s="301"/>
      <c r="E254" s="25">
        <v>3</v>
      </c>
      <c r="F254" s="1181" t="s">
        <v>349</v>
      </c>
      <c r="G254" s="25">
        <v>2540</v>
      </c>
      <c r="H254" s="25">
        <f t="shared" si="30"/>
        <v>2374.6664393799997</v>
      </c>
      <c r="I254" s="25">
        <f t="shared" si="32"/>
        <v>7123.9993181399986</v>
      </c>
      <c r="J254" s="25">
        <v>100</v>
      </c>
      <c r="K254" s="25">
        <f>J254*O254</f>
        <v>93.490804699999998</v>
      </c>
      <c r="L254" s="25">
        <f t="shared" si="33"/>
        <v>280.47241409999998</v>
      </c>
      <c r="M254" s="25">
        <f t="shared" ref="M254:M261" si="34">I254+L254</f>
        <v>7404.4717322399983</v>
      </c>
      <c r="N254" s="605"/>
      <c r="O254" s="595">
        <v>0.93490804699999996</v>
      </c>
      <c r="P254" s="610"/>
      <c r="Q254" s="422"/>
      <c r="R254" s="603"/>
      <c r="S254" s="422"/>
      <c r="T254" s="423"/>
      <c r="U254" s="423"/>
      <c r="V254" s="423"/>
      <c r="W254" s="423"/>
      <c r="X254" s="428"/>
      <c r="Y254" s="423"/>
      <c r="Z254" s="205"/>
    </row>
    <row r="255" spans="1:26" ht="18.95" customHeight="1">
      <c r="A255" s="525"/>
      <c r="B255" s="582"/>
      <c r="C255" s="368" t="s">
        <v>3062</v>
      </c>
      <c r="D255" s="301"/>
      <c r="E255" s="25">
        <v>0</v>
      </c>
      <c r="F255" s="1181" t="s">
        <v>349</v>
      </c>
      <c r="G255" s="25">
        <v>1782</v>
      </c>
      <c r="H255" s="25">
        <f t="shared" si="30"/>
        <v>1666.0061397539998</v>
      </c>
      <c r="I255" s="25">
        <f t="shared" si="32"/>
        <v>0</v>
      </c>
      <c r="J255" s="25">
        <v>125</v>
      </c>
      <c r="K255" s="25">
        <f t="shared" si="28"/>
        <v>116.863505875</v>
      </c>
      <c r="L255" s="25">
        <f t="shared" si="33"/>
        <v>0</v>
      </c>
      <c r="M255" s="25">
        <f t="shared" si="34"/>
        <v>0</v>
      </c>
      <c r="N255" s="605"/>
      <c r="O255" s="595">
        <v>0.93490804699999996</v>
      </c>
      <c r="P255" s="610"/>
      <c r="Q255" s="603"/>
      <c r="R255" s="603"/>
      <c r="S255" s="603"/>
      <c r="T255" s="423"/>
      <c r="U255" s="423"/>
      <c r="V255" s="423"/>
      <c r="W255" s="423"/>
      <c r="X255" s="428"/>
      <c r="Y255" s="423"/>
      <c r="Z255" s="205"/>
    </row>
    <row r="256" spans="1:26" ht="18.95" customHeight="1">
      <c r="A256" s="525"/>
      <c r="B256" s="582"/>
      <c r="C256" s="368" t="s">
        <v>3053</v>
      </c>
      <c r="D256" s="301"/>
      <c r="E256" s="25">
        <v>4</v>
      </c>
      <c r="F256" s="1181" t="s">
        <v>349</v>
      </c>
      <c r="G256" s="25">
        <v>2415</v>
      </c>
      <c r="H256" s="25">
        <f t="shared" si="30"/>
        <v>2257.8029335050001</v>
      </c>
      <c r="I256" s="25">
        <f t="shared" si="32"/>
        <v>9031.2117340200002</v>
      </c>
      <c r="J256" s="25">
        <v>150</v>
      </c>
      <c r="K256" s="25">
        <f t="shared" si="28"/>
        <v>140.23620704999999</v>
      </c>
      <c r="L256" s="25">
        <f t="shared" si="33"/>
        <v>560.94482819999996</v>
      </c>
      <c r="M256" s="25">
        <f t="shared" si="34"/>
        <v>9592.1565622199996</v>
      </c>
      <c r="N256" s="605"/>
      <c r="O256" s="595">
        <v>0.93490804699999996</v>
      </c>
      <c r="P256" s="610"/>
      <c r="Q256" s="422"/>
      <c r="R256" s="603"/>
      <c r="S256" s="422"/>
      <c r="T256" s="423"/>
      <c r="U256" s="423"/>
      <c r="V256" s="423"/>
      <c r="W256" s="423"/>
      <c r="X256" s="428"/>
      <c r="Y256" s="423"/>
      <c r="Z256" s="205"/>
    </row>
    <row r="257" spans="1:26" ht="18.95" customHeight="1">
      <c r="A257" s="525"/>
      <c r="B257" s="582"/>
      <c r="C257" s="368" t="s">
        <v>3054</v>
      </c>
      <c r="D257" s="301"/>
      <c r="E257" s="25">
        <v>7</v>
      </c>
      <c r="F257" s="1181" t="s">
        <v>349</v>
      </c>
      <c r="G257" s="25">
        <v>3100</v>
      </c>
      <c r="H257" s="25">
        <f t="shared" si="30"/>
        <v>2898.2149457</v>
      </c>
      <c r="I257" s="25">
        <f t="shared" si="32"/>
        <v>20287.504619899999</v>
      </c>
      <c r="J257" s="25">
        <v>200</v>
      </c>
      <c r="K257" s="25">
        <f t="shared" si="28"/>
        <v>186.9816094</v>
      </c>
      <c r="L257" s="25">
        <f t="shared" si="33"/>
        <v>1308.8712657999999</v>
      </c>
      <c r="M257" s="25">
        <f t="shared" si="34"/>
        <v>21596.375885699999</v>
      </c>
      <c r="N257" s="605"/>
      <c r="O257" s="595">
        <v>0.93490804699999996</v>
      </c>
      <c r="P257" s="610"/>
      <c r="Q257" s="422"/>
      <c r="R257" s="603"/>
      <c r="S257" s="422"/>
      <c r="T257" s="423"/>
      <c r="U257" s="423"/>
      <c r="V257" s="423"/>
      <c r="W257" s="423"/>
      <c r="X257" s="428"/>
      <c r="Y257" s="423"/>
      <c r="Z257" s="205"/>
    </row>
    <row r="258" spans="1:26" ht="18.95" customHeight="1">
      <c r="A258" s="525"/>
      <c r="B258" s="582"/>
      <c r="C258" s="368" t="s">
        <v>3089</v>
      </c>
      <c r="D258" s="301"/>
      <c r="E258" s="25">
        <v>6</v>
      </c>
      <c r="F258" s="1181" t="s">
        <v>349</v>
      </c>
      <c r="G258" s="25">
        <v>4290</v>
      </c>
      <c r="H258" s="25">
        <f t="shared" si="30"/>
        <v>4010.7555216299997</v>
      </c>
      <c r="I258" s="25">
        <f t="shared" si="32"/>
        <v>24064.53312978</v>
      </c>
      <c r="J258" s="25">
        <v>300</v>
      </c>
      <c r="K258" s="25">
        <f t="shared" si="28"/>
        <v>280.47241409999998</v>
      </c>
      <c r="L258" s="25">
        <f t="shared" si="33"/>
        <v>1682.8344846</v>
      </c>
      <c r="M258" s="25">
        <f t="shared" si="34"/>
        <v>25747.36761438</v>
      </c>
      <c r="N258" s="21"/>
      <c r="O258" s="595">
        <v>0.93490804699999996</v>
      </c>
      <c r="Q258" s="422"/>
      <c r="R258" s="423"/>
      <c r="S258" s="422"/>
      <c r="T258" s="423"/>
      <c r="U258" s="423"/>
      <c r="V258" s="423"/>
      <c r="W258" s="423"/>
      <c r="X258" s="428"/>
      <c r="Y258" s="423"/>
      <c r="Z258" s="205"/>
    </row>
    <row r="259" spans="1:26" ht="18.95" customHeight="1">
      <c r="A259" s="525"/>
      <c r="B259" s="582"/>
      <c r="C259" s="368" t="s">
        <v>3126</v>
      </c>
      <c r="D259" s="301"/>
      <c r="E259" s="25">
        <v>0</v>
      </c>
      <c r="F259" s="1181" t="s">
        <v>349</v>
      </c>
      <c r="G259" s="25">
        <v>6050</v>
      </c>
      <c r="H259" s="25">
        <f t="shared" si="30"/>
        <v>5656.1936843499998</v>
      </c>
      <c r="I259" s="25">
        <f t="shared" si="32"/>
        <v>0</v>
      </c>
      <c r="J259" s="25">
        <v>400</v>
      </c>
      <c r="K259" s="25">
        <f t="shared" si="28"/>
        <v>373.96321879999999</v>
      </c>
      <c r="L259" s="25">
        <f t="shared" si="33"/>
        <v>0</v>
      </c>
      <c r="M259" s="25">
        <f t="shared" si="34"/>
        <v>0</v>
      </c>
      <c r="N259" s="21"/>
      <c r="O259" s="595">
        <v>0.93490804699999996</v>
      </c>
      <c r="Q259" s="423"/>
      <c r="R259" s="423"/>
      <c r="S259" s="423"/>
      <c r="T259" s="423"/>
      <c r="U259" s="423"/>
      <c r="V259" s="423"/>
      <c r="W259" s="423"/>
      <c r="X259" s="428"/>
      <c r="Y259" s="423"/>
      <c r="Z259" s="205"/>
    </row>
    <row r="260" spans="1:26" ht="18.95" customHeight="1">
      <c r="A260" s="525"/>
      <c r="B260" s="582"/>
      <c r="C260" s="368" t="s">
        <v>3127</v>
      </c>
      <c r="D260" s="301"/>
      <c r="E260" s="25">
        <v>2</v>
      </c>
      <c r="F260" s="1181" t="s">
        <v>349</v>
      </c>
      <c r="G260" s="25">
        <v>7425</v>
      </c>
      <c r="H260" s="25">
        <f t="shared" si="30"/>
        <v>6941.6922489749995</v>
      </c>
      <c r="I260" s="25">
        <f t="shared" si="32"/>
        <v>13883.384497949999</v>
      </c>
      <c r="J260" s="25">
        <v>500</v>
      </c>
      <c r="K260" s="25">
        <f t="shared" si="28"/>
        <v>467.45402350000001</v>
      </c>
      <c r="L260" s="25">
        <f t="shared" si="33"/>
        <v>934.90804700000001</v>
      </c>
      <c r="M260" s="25">
        <f t="shared" si="34"/>
        <v>14818.29254495</v>
      </c>
      <c r="N260" s="21"/>
      <c r="O260" s="595">
        <v>0.93490804699999996</v>
      </c>
      <c r="Q260" s="422"/>
      <c r="R260" s="423"/>
      <c r="S260" s="422"/>
      <c r="T260" s="423"/>
      <c r="U260" s="423"/>
      <c r="V260" s="423"/>
      <c r="W260" s="423"/>
      <c r="X260" s="428"/>
      <c r="Y260" s="423"/>
      <c r="Z260" s="205"/>
    </row>
    <row r="261" spans="1:26" ht="18.95" customHeight="1">
      <c r="A261" s="115"/>
      <c r="B261" s="583">
        <v>3.16</v>
      </c>
      <c r="C261" s="285" t="s">
        <v>3128</v>
      </c>
      <c r="D261" s="267"/>
      <c r="E261" s="25">
        <v>1</v>
      </c>
      <c r="F261" s="1181" t="s">
        <v>349</v>
      </c>
      <c r="G261" s="25">
        <v>4500</v>
      </c>
      <c r="H261" s="25">
        <f t="shared" si="30"/>
        <v>4207.0862115</v>
      </c>
      <c r="I261" s="25">
        <f t="shared" si="32"/>
        <v>4207.0862115</v>
      </c>
      <c r="J261" s="25">
        <v>1400</v>
      </c>
      <c r="K261" s="25">
        <f t="shared" si="28"/>
        <v>1308.8712657999999</v>
      </c>
      <c r="L261" s="25">
        <f t="shared" si="33"/>
        <v>1308.8712657999999</v>
      </c>
      <c r="M261" s="25">
        <f t="shared" si="34"/>
        <v>5515.9574773000004</v>
      </c>
      <c r="N261" s="21"/>
      <c r="O261" s="595">
        <v>0.93490804699999996</v>
      </c>
      <c r="Q261" s="422"/>
      <c r="R261" s="423"/>
      <c r="S261" s="422"/>
      <c r="T261" s="423"/>
      <c r="U261" s="423"/>
      <c r="V261" s="423"/>
      <c r="W261" s="423"/>
      <c r="X261" s="423"/>
      <c r="Y261" s="423"/>
      <c r="Z261" s="205"/>
    </row>
    <row r="262" spans="1:26" ht="18.95" customHeight="1">
      <c r="A262" s="115"/>
      <c r="B262" s="582"/>
      <c r="C262" s="285"/>
      <c r="D262" s="267"/>
      <c r="E262" s="25"/>
      <c r="F262" s="30"/>
      <c r="G262" s="25"/>
      <c r="H262" s="25"/>
      <c r="I262" s="25"/>
      <c r="J262" s="25"/>
      <c r="K262" s="25"/>
      <c r="L262" s="25"/>
      <c r="M262" s="25"/>
      <c r="N262" s="21"/>
      <c r="O262" s="595">
        <v>0.93490804699999996</v>
      </c>
      <c r="Q262" s="423"/>
      <c r="R262" s="423"/>
      <c r="S262" s="423"/>
      <c r="T262" s="423"/>
      <c r="U262" s="423"/>
      <c r="V262" s="423"/>
      <c r="W262" s="423"/>
      <c r="X262" s="423"/>
      <c r="Y262" s="423"/>
      <c r="Z262" s="205"/>
    </row>
    <row r="263" spans="1:26" ht="18.95" customHeight="1">
      <c r="A263" s="115"/>
      <c r="B263" s="583">
        <v>3.17</v>
      </c>
      <c r="C263" s="368" t="s">
        <v>3129</v>
      </c>
      <c r="D263" s="267"/>
      <c r="E263" s="25"/>
      <c r="F263" s="30"/>
      <c r="G263" s="25"/>
      <c r="H263" s="25"/>
      <c r="I263" s="25"/>
      <c r="J263" s="25"/>
      <c r="K263" s="25"/>
      <c r="L263" s="25"/>
      <c r="M263" s="25"/>
      <c r="N263" s="21"/>
      <c r="O263" s="595">
        <v>0.93490804699999996</v>
      </c>
      <c r="Q263" s="423"/>
      <c r="R263" s="423"/>
      <c r="S263" s="601"/>
      <c r="T263" s="423"/>
      <c r="U263" s="422"/>
      <c r="V263" s="601"/>
      <c r="W263" s="601"/>
      <c r="X263" s="423"/>
      <c r="Y263" s="423"/>
      <c r="Z263" s="205"/>
    </row>
    <row r="264" spans="1:26" ht="18.95" customHeight="1">
      <c r="A264" s="115"/>
      <c r="B264" s="582"/>
      <c r="C264" s="368" t="s">
        <v>3130</v>
      </c>
      <c r="D264" s="267"/>
      <c r="E264" s="25">
        <v>18</v>
      </c>
      <c r="F264" s="1181" t="s">
        <v>349</v>
      </c>
      <c r="G264" s="25">
        <v>14560</v>
      </c>
      <c r="H264" s="25">
        <f t="shared" si="30"/>
        <v>13612.26116432</v>
      </c>
      <c r="I264" s="25">
        <f t="shared" si="32"/>
        <v>245020.70095775998</v>
      </c>
      <c r="J264" s="25">
        <v>1500</v>
      </c>
      <c r="K264" s="25">
        <f t="shared" si="28"/>
        <v>1402.3620704999998</v>
      </c>
      <c r="L264" s="25">
        <f t="shared" si="33"/>
        <v>25242.517268999996</v>
      </c>
      <c r="M264" s="25">
        <f>I264+L264</f>
        <v>270263.21822675999</v>
      </c>
      <c r="N264" s="21"/>
      <c r="O264" s="595">
        <v>0.93490804699999996</v>
      </c>
      <c r="Q264" s="608"/>
      <c r="R264" s="423"/>
      <c r="S264" s="608"/>
      <c r="T264" s="603"/>
      <c r="U264" s="603"/>
      <c r="V264" s="603"/>
      <c r="W264" s="603"/>
      <c r="X264" s="428"/>
      <c r="Y264" s="423"/>
      <c r="Z264" s="205"/>
    </row>
    <row r="265" spans="1:26" ht="18.95" customHeight="1">
      <c r="A265" s="115"/>
      <c r="B265" s="582"/>
      <c r="C265" s="368" t="s">
        <v>3131</v>
      </c>
      <c r="D265" s="267"/>
      <c r="E265" s="25">
        <v>6</v>
      </c>
      <c r="F265" s="1181" t="s">
        <v>349</v>
      </c>
      <c r="G265" s="25">
        <v>9960</v>
      </c>
      <c r="H265" s="25">
        <f t="shared" si="30"/>
        <v>9311.684148119999</v>
      </c>
      <c r="I265" s="25">
        <f t="shared" si="32"/>
        <v>55870.104888719994</v>
      </c>
      <c r="J265" s="25">
        <v>1500</v>
      </c>
      <c r="K265" s="25">
        <f t="shared" si="28"/>
        <v>1402.3620704999998</v>
      </c>
      <c r="L265" s="25">
        <f t="shared" si="33"/>
        <v>8414.172423</v>
      </c>
      <c r="M265" s="25">
        <f>I265+L265</f>
        <v>64284.277311719998</v>
      </c>
      <c r="N265" s="21"/>
      <c r="O265" s="595">
        <v>0.93490804699999996</v>
      </c>
      <c r="Q265" s="608"/>
      <c r="R265" s="423"/>
      <c r="S265" s="608"/>
      <c r="T265" s="603"/>
      <c r="U265" s="603"/>
      <c r="V265" s="603"/>
      <c r="W265" s="603"/>
      <c r="X265" s="428"/>
      <c r="Y265" s="423"/>
      <c r="Z265" s="205"/>
    </row>
    <row r="266" spans="1:26" ht="18.95" customHeight="1">
      <c r="A266" s="115"/>
      <c r="B266" s="582"/>
      <c r="C266" s="285"/>
      <c r="D266" s="267"/>
      <c r="E266" s="25"/>
      <c r="F266" s="30"/>
      <c r="G266" s="25"/>
      <c r="H266" s="25"/>
      <c r="I266" s="25"/>
      <c r="J266" s="25"/>
      <c r="K266" s="25"/>
      <c r="L266" s="25"/>
      <c r="M266" s="25"/>
      <c r="N266" s="21"/>
      <c r="O266" s="595">
        <v>0.93490804699999996</v>
      </c>
      <c r="Q266" s="608"/>
      <c r="R266" s="423"/>
      <c r="S266" s="423"/>
      <c r="T266" s="423"/>
      <c r="U266" s="423"/>
      <c r="V266" s="423"/>
      <c r="W266" s="423"/>
      <c r="X266" s="423"/>
      <c r="Y266" s="423"/>
      <c r="Z266" s="205"/>
    </row>
    <row r="267" spans="1:26" ht="18.95" customHeight="1">
      <c r="A267" s="115"/>
      <c r="B267" s="583">
        <v>3.18</v>
      </c>
      <c r="C267" s="285" t="s">
        <v>3063</v>
      </c>
      <c r="D267" s="267"/>
      <c r="E267" s="25"/>
      <c r="F267" s="30"/>
      <c r="G267" s="25"/>
      <c r="H267" s="25"/>
      <c r="I267" s="25"/>
      <c r="J267" s="25"/>
      <c r="K267" s="25"/>
      <c r="L267" s="25"/>
      <c r="M267" s="25"/>
      <c r="N267" s="21"/>
      <c r="O267" s="595">
        <v>0.93490804699999996</v>
      </c>
      <c r="Q267" s="423"/>
      <c r="R267" s="423"/>
      <c r="S267" s="423"/>
      <c r="T267" s="422"/>
      <c r="U267" s="423"/>
      <c r="V267" s="423"/>
      <c r="W267" s="423"/>
      <c r="X267" s="423"/>
      <c r="Y267" s="423"/>
      <c r="Z267" s="205"/>
    </row>
    <row r="268" spans="1:26" ht="18.95" customHeight="1">
      <c r="A268" s="115"/>
      <c r="B268" s="582"/>
      <c r="C268" s="285" t="s">
        <v>3127</v>
      </c>
      <c r="D268" s="267"/>
      <c r="E268" s="25">
        <v>1</v>
      </c>
      <c r="F268" s="1181" t="s">
        <v>349</v>
      </c>
      <c r="G268" s="25">
        <v>222000</v>
      </c>
      <c r="H268" s="25">
        <f t="shared" si="30"/>
        <v>207549.586434</v>
      </c>
      <c r="I268" s="25">
        <f t="shared" si="32"/>
        <v>207549.586434</v>
      </c>
      <c r="J268" s="25">
        <v>2000</v>
      </c>
      <c r="K268" s="25">
        <f t="shared" si="28"/>
        <v>1869.816094</v>
      </c>
      <c r="L268" s="25">
        <f t="shared" si="33"/>
        <v>1869.816094</v>
      </c>
      <c r="M268" s="25">
        <f>I268+L268</f>
        <v>209419.40252800001</v>
      </c>
      <c r="N268" s="21"/>
      <c r="O268" s="595">
        <v>0.93490804699999996</v>
      </c>
      <c r="Q268" s="608"/>
      <c r="R268" s="423"/>
      <c r="S268" s="608"/>
      <c r="T268" s="621"/>
      <c r="U268" s="608"/>
      <c r="V268" s="423"/>
      <c r="W268" s="423"/>
      <c r="X268" s="423"/>
      <c r="Y268" s="423"/>
      <c r="Z268" s="205"/>
    </row>
    <row r="269" spans="1:26" ht="18.95" customHeight="1">
      <c r="A269" s="115"/>
      <c r="B269" s="583">
        <v>3.19</v>
      </c>
      <c r="C269" s="285" t="s">
        <v>3052</v>
      </c>
      <c r="D269" s="267"/>
      <c r="E269" s="25"/>
      <c r="F269" s="30"/>
      <c r="G269" s="25"/>
      <c r="H269" s="25"/>
      <c r="I269" s="25"/>
      <c r="J269" s="25"/>
      <c r="K269" s="25"/>
      <c r="L269" s="25"/>
      <c r="M269" s="25"/>
      <c r="N269" s="21"/>
      <c r="O269" s="595">
        <v>0.93490804699999996</v>
      </c>
      <c r="Q269" s="423"/>
      <c r="R269" s="423"/>
      <c r="S269" s="423"/>
      <c r="T269" s="422"/>
      <c r="U269" s="423"/>
      <c r="V269" s="423"/>
      <c r="W269" s="423"/>
      <c r="X269" s="423"/>
      <c r="Y269" s="423"/>
      <c r="Z269" s="205"/>
    </row>
    <row r="270" spans="1:26" ht="18.95" customHeight="1">
      <c r="A270" s="115"/>
      <c r="B270" s="582"/>
      <c r="C270" s="285" t="s">
        <v>3127</v>
      </c>
      <c r="D270" s="267"/>
      <c r="E270" s="25">
        <v>4</v>
      </c>
      <c r="F270" s="1181" t="s">
        <v>349</v>
      </c>
      <c r="G270" s="25">
        <v>20076</v>
      </c>
      <c r="H270" s="25">
        <f t="shared" si="30"/>
        <v>18769.213951572001</v>
      </c>
      <c r="I270" s="25">
        <f t="shared" si="32"/>
        <v>75076.855806288004</v>
      </c>
      <c r="J270" s="25">
        <v>2000</v>
      </c>
      <c r="K270" s="25">
        <f t="shared" si="28"/>
        <v>1869.816094</v>
      </c>
      <c r="L270" s="25">
        <f t="shared" si="33"/>
        <v>7479.2643760000001</v>
      </c>
      <c r="M270" s="25">
        <f>I270+L270</f>
        <v>82556.12018228801</v>
      </c>
      <c r="N270" s="21"/>
      <c r="O270" s="595">
        <v>0.93490804699999996</v>
      </c>
      <c r="Q270" s="423"/>
      <c r="R270" s="423"/>
      <c r="S270" s="423"/>
      <c r="T270" s="423"/>
      <c r="U270" s="423"/>
      <c r="V270" s="423"/>
      <c r="W270" s="423"/>
      <c r="X270" s="423"/>
      <c r="Y270" s="423"/>
      <c r="Z270" s="205"/>
    </row>
    <row r="271" spans="1:26" ht="18.95" customHeight="1">
      <c r="A271" s="115"/>
      <c r="B271" s="1275" t="s">
        <v>2017</v>
      </c>
      <c r="C271" s="1276"/>
      <c r="D271" s="1277"/>
      <c r="E271" s="34"/>
      <c r="F271" s="102"/>
      <c r="G271" s="34"/>
      <c r="H271" s="25"/>
      <c r="I271" s="34">
        <f>SUM(I183:I270)</f>
        <v>2916366.6575610684</v>
      </c>
      <c r="J271" s="34"/>
      <c r="K271" s="25"/>
      <c r="L271" s="34">
        <f>SUM(L183:L270)</f>
        <v>517763.29532516381</v>
      </c>
      <c r="M271" s="102">
        <f>SUM(M183:M270)</f>
        <v>3434129.9528862326</v>
      </c>
      <c r="N271" s="58"/>
      <c r="O271" s="595">
        <v>0.93490804699999996</v>
      </c>
      <c r="Q271" s="423"/>
      <c r="R271" s="423"/>
      <c r="S271" s="423"/>
      <c r="T271" s="423"/>
      <c r="U271" s="423"/>
      <c r="V271" s="423"/>
      <c r="W271" s="423"/>
      <c r="X271" s="423"/>
      <c r="Y271" s="423"/>
      <c r="Z271" s="205"/>
    </row>
    <row r="272" spans="1:26" ht="18.95" customHeight="1">
      <c r="A272" s="115"/>
      <c r="B272" s="256"/>
      <c r="C272" s="257"/>
      <c r="D272" s="258"/>
      <c r="E272" s="25"/>
      <c r="F272" s="30"/>
      <c r="G272" s="25"/>
      <c r="H272" s="25"/>
      <c r="I272" s="25"/>
      <c r="J272" s="25"/>
      <c r="K272" s="25"/>
      <c r="L272" s="25"/>
      <c r="M272" s="102"/>
      <c r="N272" s="21"/>
      <c r="O272" s="595">
        <v>0.93490804699999996</v>
      </c>
      <c r="Q272" s="423"/>
      <c r="R272" s="423"/>
      <c r="S272" s="423"/>
      <c r="T272" s="423"/>
      <c r="U272" s="423"/>
      <c r="V272" s="423"/>
      <c r="W272" s="423"/>
      <c r="X272" s="423"/>
      <c r="Y272" s="423"/>
      <c r="Z272" s="205"/>
    </row>
    <row r="273" spans="1:43" ht="18.95" customHeight="1">
      <c r="A273" s="115"/>
      <c r="B273" s="256"/>
      <c r="C273" s="257"/>
      <c r="D273" s="258"/>
      <c r="E273" s="25"/>
      <c r="F273" s="30"/>
      <c r="G273" s="25"/>
      <c r="H273" s="25"/>
      <c r="I273" s="25"/>
      <c r="J273" s="25"/>
      <c r="K273" s="25"/>
      <c r="L273" s="25"/>
      <c r="M273" s="102"/>
      <c r="N273" s="21"/>
      <c r="O273" s="595">
        <v>0.93490804699999996</v>
      </c>
      <c r="Q273" s="423"/>
      <c r="R273" s="423"/>
      <c r="S273" s="423"/>
      <c r="T273" s="423"/>
      <c r="U273" s="423"/>
      <c r="V273" s="423"/>
      <c r="W273" s="423"/>
      <c r="X273" s="423"/>
      <c r="Y273" s="423"/>
      <c r="Z273" s="205"/>
    </row>
    <row r="274" spans="1:43" ht="18.95" customHeight="1">
      <c r="A274" s="115"/>
      <c r="B274" s="256"/>
      <c r="C274" s="257"/>
      <c r="D274" s="258"/>
      <c r="E274" s="25"/>
      <c r="F274" s="30"/>
      <c r="G274" s="25"/>
      <c r="H274" s="25"/>
      <c r="I274" s="25"/>
      <c r="J274" s="25"/>
      <c r="K274" s="25"/>
      <c r="L274" s="25"/>
      <c r="M274" s="102"/>
      <c r="N274" s="21"/>
      <c r="O274" s="595">
        <v>0.93490804699999996</v>
      </c>
      <c r="Q274" s="423"/>
      <c r="R274" s="423"/>
      <c r="S274" s="423"/>
      <c r="T274" s="423"/>
      <c r="U274" s="423"/>
      <c r="V274" s="423"/>
      <c r="W274" s="423"/>
      <c r="X274" s="423"/>
      <c r="Y274" s="423"/>
      <c r="Z274" s="205"/>
    </row>
    <row r="275" spans="1:43" ht="18.95" customHeight="1">
      <c r="A275" s="523">
        <v>4</v>
      </c>
      <c r="B275" s="418" t="s">
        <v>3028</v>
      </c>
      <c r="C275" s="612"/>
      <c r="D275" s="301"/>
      <c r="E275" s="25"/>
      <c r="F275" s="30"/>
      <c r="G275" s="25"/>
      <c r="H275" s="25"/>
      <c r="I275" s="25"/>
      <c r="J275" s="25"/>
      <c r="K275" s="25"/>
      <c r="L275" s="25"/>
      <c r="M275" s="25"/>
      <c r="N275" s="21"/>
      <c r="O275" s="595">
        <v>0.93490804699999996</v>
      </c>
      <c r="Q275" s="423"/>
      <c r="R275" s="423"/>
      <c r="S275" s="423"/>
      <c r="T275" s="423"/>
      <c r="U275" s="423"/>
      <c r="V275" s="423"/>
      <c r="W275" s="423"/>
      <c r="X275" s="423"/>
      <c r="Y275" s="423"/>
      <c r="Z275" s="205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8.95" customHeight="1">
      <c r="A276" s="268"/>
      <c r="B276" s="418" t="s">
        <v>2685</v>
      </c>
      <c r="C276" s="419"/>
      <c r="D276" s="267"/>
      <c r="E276" s="25"/>
      <c r="F276" s="30"/>
      <c r="G276" s="25"/>
      <c r="H276" s="25"/>
      <c r="I276" s="25"/>
      <c r="J276" s="25"/>
      <c r="K276" s="25"/>
      <c r="L276" s="25"/>
      <c r="M276" s="25"/>
      <c r="N276" s="21"/>
      <c r="O276" s="595">
        <v>0.93490804699999996</v>
      </c>
      <c r="Q276" s="423"/>
      <c r="R276" s="423"/>
      <c r="S276" s="423"/>
      <c r="T276" s="423"/>
      <c r="U276" s="423"/>
      <c r="V276" s="423"/>
      <c r="W276" s="423"/>
      <c r="X276" s="423"/>
      <c r="Y276" s="423"/>
      <c r="Z276" s="205"/>
    </row>
    <row r="277" spans="1:43" ht="18.95" customHeight="1">
      <c r="A277" s="115"/>
      <c r="B277" s="420">
        <v>4.0999999999999996</v>
      </c>
      <c r="C277" s="285" t="s">
        <v>3132</v>
      </c>
      <c r="D277" s="267"/>
      <c r="E277" s="25"/>
      <c r="F277" s="30"/>
      <c r="G277" s="25"/>
      <c r="H277" s="25"/>
      <c r="I277" s="25"/>
      <c r="J277" s="25"/>
      <c r="K277" s="25"/>
      <c r="L277" s="25"/>
      <c r="M277" s="25"/>
      <c r="N277" s="21"/>
      <c r="O277" s="595">
        <v>0.93490804699999996</v>
      </c>
      <c r="P277" s="596"/>
      <c r="Q277" s="423"/>
      <c r="R277" s="423"/>
      <c r="S277" s="423"/>
      <c r="T277" s="423"/>
      <c r="U277" s="423"/>
      <c r="V277" s="422"/>
      <c r="W277" s="422"/>
      <c r="X277" s="422"/>
      <c r="Y277" s="422"/>
    </row>
    <row r="278" spans="1:43" ht="18.95" customHeight="1">
      <c r="A278" s="21"/>
      <c r="B278" s="582"/>
      <c r="C278" s="285" t="s">
        <v>3133</v>
      </c>
      <c r="D278" s="267"/>
      <c r="E278" s="25">
        <v>1</v>
      </c>
      <c r="F278" s="1181" t="s">
        <v>349</v>
      </c>
      <c r="G278" s="30">
        <v>132500</v>
      </c>
      <c r="H278" s="25">
        <f t="shared" si="30"/>
        <v>123875.31622749999</v>
      </c>
      <c r="I278" s="25">
        <f t="shared" ref="I278:I329" si="35">E278*H278</f>
        <v>123875.31622749999</v>
      </c>
      <c r="J278" s="25">
        <v>6000</v>
      </c>
      <c r="K278" s="25">
        <f t="shared" si="28"/>
        <v>5609.4482819999994</v>
      </c>
      <c r="L278" s="25">
        <f t="shared" ref="L278:L329" si="36">E278*K278</f>
        <v>5609.4482819999994</v>
      </c>
      <c r="M278" s="25">
        <f>I278+L278</f>
        <v>129484.76450949999</v>
      </c>
      <c r="N278" s="21"/>
      <c r="O278" s="595">
        <v>0.93490804699999996</v>
      </c>
      <c r="P278" s="596"/>
      <c r="Q278" s="613"/>
      <c r="R278" s="428"/>
      <c r="S278" s="613"/>
      <c r="T278" s="426"/>
      <c r="U278" s="422"/>
      <c r="V278" s="426"/>
      <c r="W278" s="426"/>
      <c r="X278" s="426"/>
      <c r="Y278" s="426"/>
      <c r="Z278" s="559"/>
    </row>
    <row r="279" spans="1:43" ht="18.95" customHeight="1">
      <c r="A279" s="21"/>
      <c r="B279" s="582"/>
      <c r="C279" s="285" t="s">
        <v>3134</v>
      </c>
      <c r="D279" s="267"/>
      <c r="E279" s="25">
        <v>1</v>
      </c>
      <c r="F279" s="1181" t="s">
        <v>349</v>
      </c>
      <c r="G279" s="30">
        <v>132500</v>
      </c>
      <c r="H279" s="25">
        <f t="shared" si="30"/>
        <v>123875.31622749999</v>
      </c>
      <c r="I279" s="25">
        <f t="shared" si="35"/>
        <v>123875.31622749999</v>
      </c>
      <c r="J279" s="25">
        <v>6000</v>
      </c>
      <c r="K279" s="25">
        <f t="shared" si="28"/>
        <v>5609.4482819999994</v>
      </c>
      <c r="L279" s="25">
        <f t="shared" si="36"/>
        <v>5609.4482819999994</v>
      </c>
      <c r="M279" s="25">
        <f>I279+L279</f>
        <v>129484.76450949999</v>
      </c>
      <c r="N279" s="21"/>
      <c r="O279" s="595">
        <v>0.93490804699999996</v>
      </c>
      <c r="Q279" s="613"/>
      <c r="R279" s="423"/>
      <c r="S279" s="613"/>
      <c r="T279" s="426"/>
      <c r="U279" s="422"/>
      <c r="V279" s="426"/>
      <c r="W279" s="426"/>
      <c r="X279" s="426"/>
      <c r="Y279" s="426"/>
      <c r="Z279" s="559"/>
    </row>
    <row r="280" spans="1:43" ht="18.95" customHeight="1">
      <c r="A280" s="21"/>
      <c r="B280" s="582"/>
      <c r="C280" s="285" t="s">
        <v>3135</v>
      </c>
      <c r="D280" s="267"/>
      <c r="E280" s="25">
        <v>1</v>
      </c>
      <c r="F280" s="1181" t="s">
        <v>349</v>
      </c>
      <c r="G280" s="30">
        <v>190500</v>
      </c>
      <c r="H280" s="25">
        <f t="shared" si="30"/>
        <v>178099.9829535</v>
      </c>
      <c r="I280" s="25">
        <f t="shared" si="35"/>
        <v>178099.9829535</v>
      </c>
      <c r="J280" s="25">
        <v>6000</v>
      </c>
      <c r="K280" s="25">
        <f t="shared" ref="K280:K343" si="37">J280*O280</f>
        <v>5609.4482819999994</v>
      </c>
      <c r="L280" s="25">
        <f t="shared" si="36"/>
        <v>5609.4482819999994</v>
      </c>
      <c r="M280" s="25">
        <f>I280+L280</f>
        <v>183709.4312355</v>
      </c>
      <c r="N280" s="21"/>
      <c r="O280" s="595">
        <v>0.93490804699999996</v>
      </c>
      <c r="Q280" s="613"/>
      <c r="R280" s="423"/>
      <c r="S280" s="613"/>
      <c r="T280" s="426"/>
      <c r="U280" s="422"/>
      <c r="V280" s="426"/>
      <c r="W280" s="426"/>
      <c r="X280" s="426"/>
      <c r="Y280" s="426"/>
      <c r="Z280" s="559"/>
    </row>
    <row r="281" spans="1:43" ht="18.95" customHeight="1">
      <c r="A281" s="21"/>
      <c r="B281" s="582"/>
      <c r="C281" s="285" t="s">
        <v>3136</v>
      </c>
      <c r="D281" s="267"/>
      <c r="E281" s="25">
        <v>1</v>
      </c>
      <c r="F281" s="1181" t="s">
        <v>349</v>
      </c>
      <c r="G281" s="30">
        <v>216000</v>
      </c>
      <c r="H281" s="25">
        <f t="shared" si="30"/>
        <v>201940.138152</v>
      </c>
      <c r="I281" s="25">
        <f t="shared" si="35"/>
        <v>201940.138152</v>
      </c>
      <c r="J281" s="25">
        <v>6000</v>
      </c>
      <c r="K281" s="25">
        <f t="shared" si="37"/>
        <v>5609.4482819999994</v>
      </c>
      <c r="L281" s="25">
        <f t="shared" si="36"/>
        <v>5609.4482819999994</v>
      </c>
      <c r="M281" s="25">
        <f>I281+L281</f>
        <v>207549.586434</v>
      </c>
      <c r="N281" s="21"/>
      <c r="O281" s="595">
        <v>0.93490804699999996</v>
      </c>
      <c r="Q281" s="613"/>
      <c r="R281" s="423"/>
      <c r="S281" s="613"/>
      <c r="T281" s="426"/>
      <c r="U281" s="422"/>
      <c r="V281" s="426"/>
      <c r="W281" s="426"/>
      <c r="X281" s="426"/>
      <c r="Y281" s="426"/>
      <c r="Z281" s="559"/>
    </row>
    <row r="282" spans="1:43" ht="18.95" customHeight="1">
      <c r="A282" s="21"/>
      <c r="B282" s="582"/>
      <c r="C282" s="285" t="s">
        <v>3137</v>
      </c>
      <c r="D282" s="267"/>
      <c r="E282" s="25">
        <v>1</v>
      </c>
      <c r="F282" s="1181" t="s">
        <v>349</v>
      </c>
      <c r="G282" s="30">
        <v>74000</v>
      </c>
      <c r="H282" s="25">
        <f t="shared" si="30"/>
        <v>69183.195477999994</v>
      </c>
      <c r="I282" s="25">
        <f t="shared" si="35"/>
        <v>69183.195477999994</v>
      </c>
      <c r="J282" s="25">
        <v>6000</v>
      </c>
      <c r="K282" s="25">
        <f t="shared" si="37"/>
        <v>5609.4482819999994</v>
      </c>
      <c r="L282" s="25">
        <f t="shared" si="36"/>
        <v>5609.4482819999994</v>
      </c>
      <c r="M282" s="25">
        <f>I282+L282</f>
        <v>74792.643759999992</v>
      </c>
      <c r="N282" s="21"/>
      <c r="O282" s="595">
        <v>0.93490804699999996</v>
      </c>
      <c r="P282" s="596"/>
      <c r="Q282" s="613"/>
      <c r="R282" s="428"/>
      <c r="S282" s="613"/>
      <c r="T282" s="426"/>
      <c r="U282" s="422"/>
      <c r="V282" s="426"/>
      <c r="W282" s="426"/>
      <c r="X282" s="426"/>
      <c r="Y282" s="426"/>
      <c r="Z282" s="559"/>
    </row>
    <row r="283" spans="1:43" ht="18.95" customHeight="1">
      <c r="A283" s="115"/>
      <c r="B283" s="418" t="s">
        <v>3033</v>
      </c>
      <c r="C283" s="285"/>
      <c r="D283" s="267"/>
      <c r="E283" s="25"/>
      <c r="F283" s="30"/>
      <c r="G283" s="30"/>
      <c r="H283" s="25"/>
      <c r="I283" s="25"/>
      <c r="J283" s="25"/>
      <c r="K283" s="25"/>
      <c r="L283" s="25"/>
      <c r="M283" s="25"/>
      <c r="N283" s="605"/>
      <c r="O283" s="595">
        <v>0.93490804699999996</v>
      </c>
      <c r="P283" s="596"/>
      <c r="Q283" s="428"/>
      <c r="R283" s="428"/>
      <c r="S283" s="428"/>
      <c r="T283" s="423"/>
      <c r="U283" s="426"/>
      <c r="V283" s="426"/>
      <c r="W283" s="426"/>
      <c r="X283" s="423"/>
      <c r="Y283" s="423"/>
      <c r="Z283" s="205"/>
    </row>
    <row r="284" spans="1:43" ht="18.95" customHeight="1">
      <c r="A284" s="525"/>
      <c r="B284" s="420">
        <v>4.2</v>
      </c>
      <c r="C284" s="623" t="s">
        <v>3138</v>
      </c>
      <c r="D284" s="301"/>
      <c r="E284" s="25"/>
      <c r="F284" s="30"/>
      <c r="G284" s="242"/>
      <c r="H284" s="25"/>
      <c r="I284" s="25"/>
      <c r="J284" s="242"/>
      <c r="K284" s="25"/>
      <c r="L284" s="25"/>
      <c r="M284" s="242"/>
      <c r="N284" s="21"/>
      <c r="O284" s="595">
        <v>0.93490804699999996</v>
      </c>
      <c r="Q284" s="423"/>
      <c r="R284" s="423"/>
      <c r="S284" s="423"/>
      <c r="T284" s="423"/>
      <c r="U284" s="423"/>
      <c r="V284" s="423"/>
      <c r="W284" s="423"/>
      <c r="X284" s="423"/>
      <c r="Y284" s="423"/>
      <c r="Z284" s="205"/>
      <c r="AF284" s="163"/>
    </row>
    <row r="285" spans="1:43" ht="18.95" customHeight="1">
      <c r="A285" s="525"/>
      <c r="B285" s="582"/>
      <c r="C285" s="368" t="s">
        <v>3062</v>
      </c>
      <c r="D285" s="301"/>
      <c r="E285" s="25">
        <v>9</v>
      </c>
      <c r="F285" s="1181" t="s">
        <v>286</v>
      </c>
      <c r="G285" s="242">
        <v>93.1</v>
      </c>
      <c r="H285" s="25">
        <f t="shared" ref="H285:H347" si="38">G285*O285</f>
        <v>87.039939175699985</v>
      </c>
      <c r="I285" s="25">
        <f t="shared" si="35"/>
        <v>783.35945258129982</v>
      </c>
      <c r="J285" s="242">
        <v>50</v>
      </c>
      <c r="K285" s="25">
        <f t="shared" si="37"/>
        <v>46.745402349999999</v>
      </c>
      <c r="L285" s="25">
        <f t="shared" si="36"/>
        <v>420.70862115</v>
      </c>
      <c r="M285" s="242">
        <f t="shared" ref="M285:M291" si="39">I285+L285</f>
        <v>1204.0680737312998</v>
      </c>
      <c r="N285" s="605"/>
      <c r="O285" s="595">
        <v>0.93490804699999996</v>
      </c>
      <c r="Q285" s="423"/>
      <c r="R285" s="423"/>
      <c r="S285" s="423"/>
      <c r="T285" s="625"/>
      <c r="U285" s="423"/>
      <c r="V285" s="423"/>
      <c r="W285" s="423"/>
      <c r="X285" s="423"/>
      <c r="Y285" s="423"/>
      <c r="Z285" s="205"/>
    </row>
    <row r="286" spans="1:43" ht="18.95" customHeight="1">
      <c r="A286" s="525"/>
      <c r="B286" s="582"/>
      <c r="C286" s="368" t="s">
        <v>3053</v>
      </c>
      <c r="D286" s="301"/>
      <c r="E286" s="25">
        <v>10</v>
      </c>
      <c r="F286" s="1181" t="s">
        <v>286</v>
      </c>
      <c r="G286" s="384">
        <v>126.17</v>
      </c>
      <c r="H286" s="25">
        <f t="shared" si="38"/>
        <v>117.95734828998999</v>
      </c>
      <c r="I286" s="25">
        <f t="shared" si="35"/>
        <v>1179.5734828999</v>
      </c>
      <c r="J286" s="242">
        <v>75</v>
      </c>
      <c r="K286" s="25">
        <f t="shared" si="37"/>
        <v>70.118103524999995</v>
      </c>
      <c r="L286" s="25">
        <f t="shared" si="36"/>
        <v>701.18103524999992</v>
      </c>
      <c r="M286" s="242">
        <f t="shared" si="39"/>
        <v>1880.7545181498999</v>
      </c>
      <c r="N286" s="605"/>
      <c r="O286" s="595">
        <v>0.93490804699999996</v>
      </c>
      <c r="Q286" s="423"/>
      <c r="R286" s="423"/>
      <c r="S286" s="423"/>
      <c r="T286" s="626"/>
      <c r="U286" s="423"/>
      <c r="V286" s="423"/>
      <c r="W286" s="423"/>
      <c r="X286" s="423"/>
      <c r="Y286" s="423"/>
      <c r="Z286" s="205"/>
    </row>
    <row r="287" spans="1:43" ht="18.95" customHeight="1">
      <c r="A287" s="525"/>
      <c r="B287" s="582"/>
      <c r="C287" s="368" t="s">
        <v>3054</v>
      </c>
      <c r="D287" s="301"/>
      <c r="E287" s="25">
        <v>11</v>
      </c>
      <c r="F287" s="1181" t="s">
        <v>286</v>
      </c>
      <c r="G287" s="384">
        <v>203.07</v>
      </c>
      <c r="H287" s="25">
        <f t="shared" si="38"/>
        <v>189.85177710428999</v>
      </c>
      <c r="I287" s="25">
        <f t="shared" si="35"/>
        <v>2088.36954814719</v>
      </c>
      <c r="J287" s="242">
        <v>100</v>
      </c>
      <c r="K287" s="25">
        <f t="shared" si="37"/>
        <v>93.490804699999998</v>
      </c>
      <c r="L287" s="25">
        <f t="shared" si="36"/>
        <v>1028.3988517</v>
      </c>
      <c r="M287" s="242">
        <f t="shared" si="39"/>
        <v>3116.7683998471903</v>
      </c>
      <c r="N287" s="605"/>
      <c r="O287" s="595">
        <v>0.93490804699999996</v>
      </c>
      <c r="Q287" s="423"/>
      <c r="R287" s="423"/>
      <c r="S287" s="423"/>
      <c r="T287" s="626"/>
      <c r="U287" s="423"/>
      <c r="V287" s="423"/>
      <c r="W287" s="423"/>
      <c r="X287" s="423"/>
      <c r="Y287" s="423"/>
      <c r="Z287" s="205"/>
    </row>
    <row r="288" spans="1:43" ht="18.95" customHeight="1">
      <c r="A288" s="525"/>
      <c r="B288" s="582"/>
      <c r="C288" s="368" t="s">
        <v>3089</v>
      </c>
      <c r="D288" s="301"/>
      <c r="E288" s="25">
        <v>171</v>
      </c>
      <c r="F288" s="1181" t="s">
        <v>286</v>
      </c>
      <c r="G288" s="242">
        <v>431.08</v>
      </c>
      <c r="H288" s="25">
        <f t="shared" si="38"/>
        <v>403.02016090075995</v>
      </c>
      <c r="I288" s="25">
        <f t="shared" si="35"/>
        <v>68916.447514029947</v>
      </c>
      <c r="J288" s="242">
        <v>200</v>
      </c>
      <c r="K288" s="25">
        <f t="shared" si="37"/>
        <v>186.9816094</v>
      </c>
      <c r="L288" s="25">
        <f t="shared" si="36"/>
        <v>31973.8552074</v>
      </c>
      <c r="M288" s="242">
        <f t="shared" si="39"/>
        <v>100890.30272142995</v>
      </c>
      <c r="N288" s="605"/>
      <c r="O288" s="595">
        <v>0.93490804699999996</v>
      </c>
      <c r="Q288" s="423"/>
      <c r="R288" s="423"/>
      <c r="S288" s="423"/>
      <c r="T288" s="625"/>
      <c r="U288" s="423"/>
      <c r="V288" s="423"/>
      <c r="W288" s="423"/>
      <c r="X288" s="423"/>
      <c r="Y288" s="423"/>
      <c r="Z288" s="205"/>
    </row>
    <row r="289" spans="1:32" ht="18.95" customHeight="1">
      <c r="A289" s="525"/>
      <c r="B289" s="582"/>
      <c r="C289" s="368" t="s">
        <v>3139</v>
      </c>
      <c r="D289" s="301"/>
      <c r="E289" s="25">
        <v>40</v>
      </c>
      <c r="F289" s="1181" t="s">
        <v>286</v>
      </c>
      <c r="G289" s="242">
        <v>751.45</v>
      </c>
      <c r="H289" s="25">
        <f t="shared" si="38"/>
        <v>702.53665191815003</v>
      </c>
      <c r="I289" s="25">
        <f t="shared" si="35"/>
        <v>28101.466076725999</v>
      </c>
      <c r="J289" s="242">
        <v>350</v>
      </c>
      <c r="K289" s="25">
        <f t="shared" si="37"/>
        <v>327.21781644999999</v>
      </c>
      <c r="L289" s="25">
        <f t="shared" si="36"/>
        <v>13088.712658</v>
      </c>
      <c r="M289" s="242">
        <f t="shared" si="39"/>
        <v>41190.178734725996</v>
      </c>
      <c r="N289" s="605"/>
      <c r="O289" s="595">
        <v>0.93490804699999996</v>
      </c>
      <c r="Q289" s="423"/>
      <c r="R289" s="423"/>
      <c r="S289" s="423"/>
      <c r="T289" s="625"/>
      <c r="U289" s="423"/>
      <c r="V289" s="423"/>
      <c r="W289" s="423"/>
      <c r="X289" s="423"/>
      <c r="Y289" s="423"/>
      <c r="Z289" s="205"/>
    </row>
    <row r="290" spans="1:32" ht="18.95" customHeight="1">
      <c r="A290" s="525"/>
      <c r="B290" s="582"/>
      <c r="C290" s="368" t="s">
        <v>3140</v>
      </c>
      <c r="D290" s="301"/>
      <c r="E290" s="25">
        <v>13</v>
      </c>
      <c r="F290" s="1181" t="s">
        <v>286</v>
      </c>
      <c r="G290" s="242">
        <v>1130.5</v>
      </c>
      <c r="H290" s="25">
        <f t="shared" si="38"/>
        <v>1056.9135471335001</v>
      </c>
      <c r="I290" s="25">
        <f t="shared" si="35"/>
        <v>13739.876112735501</v>
      </c>
      <c r="J290" s="242">
        <v>400</v>
      </c>
      <c r="K290" s="25">
        <f t="shared" si="37"/>
        <v>373.96321879999999</v>
      </c>
      <c r="L290" s="25">
        <f t="shared" si="36"/>
        <v>4861.5218444000002</v>
      </c>
      <c r="M290" s="242">
        <f t="shared" si="39"/>
        <v>18601.397957135501</v>
      </c>
      <c r="N290" s="605"/>
      <c r="O290" s="595">
        <v>0.93490804699999996</v>
      </c>
      <c r="Q290" s="423"/>
      <c r="R290" s="423"/>
      <c r="S290" s="423"/>
      <c r="T290" s="625"/>
      <c r="U290" s="423"/>
      <c r="V290" s="423"/>
      <c r="W290" s="423"/>
      <c r="X290" s="423"/>
      <c r="Y290" s="423"/>
      <c r="Z290" s="205"/>
    </row>
    <row r="291" spans="1:32" ht="18.95" customHeight="1">
      <c r="A291" s="525"/>
      <c r="B291" s="582"/>
      <c r="C291" s="368" t="s">
        <v>3141</v>
      </c>
      <c r="D291" s="301"/>
      <c r="E291" s="25">
        <v>18</v>
      </c>
      <c r="F291" s="1181" t="s">
        <v>286</v>
      </c>
      <c r="G291" s="242">
        <v>1598.85</v>
      </c>
      <c r="H291" s="25">
        <f t="shared" si="38"/>
        <v>1494.7777309459498</v>
      </c>
      <c r="I291" s="25">
        <f t="shared" si="35"/>
        <v>26905.999157027094</v>
      </c>
      <c r="J291" s="242">
        <v>450</v>
      </c>
      <c r="K291" s="25">
        <f t="shared" si="37"/>
        <v>420.70862115</v>
      </c>
      <c r="L291" s="25">
        <f t="shared" si="36"/>
        <v>7572.7551807</v>
      </c>
      <c r="M291" s="242">
        <f t="shared" si="39"/>
        <v>34478.754337727092</v>
      </c>
      <c r="N291" s="605"/>
      <c r="O291" s="595">
        <v>0.93490804699999996</v>
      </c>
      <c r="Q291" s="423"/>
      <c r="R291" s="423"/>
      <c r="S291" s="423"/>
      <c r="T291" s="625"/>
      <c r="U291" s="423"/>
      <c r="V291" s="423"/>
      <c r="W291" s="423"/>
      <c r="X291" s="423"/>
      <c r="Y291" s="423"/>
      <c r="Z291" s="205"/>
    </row>
    <row r="292" spans="1:32" ht="18.95" customHeight="1">
      <c r="A292" s="525"/>
      <c r="B292" s="420">
        <v>4.3</v>
      </c>
      <c r="C292" s="368" t="s">
        <v>3142</v>
      </c>
      <c r="D292" s="301"/>
      <c r="E292" s="25"/>
      <c r="F292" s="30"/>
      <c r="G292" s="25"/>
      <c r="H292" s="25"/>
      <c r="I292" s="25"/>
      <c r="J292" s="25"/>
      <c r="K292" s="25"/>
      <c r="L292" s="25"/>
      <c r="M292" s="25"/>
      <c r="N292" s="605"/>
      <c r="O292" s="595">
        <v>0.93490804699999996</v>
      </c>
      <c r="Q292" s="423"/>
      <c r="R292" s="423"/>
      <c r="S292" s="423"/>
      <c r="T292" s="423"/>
      <c r="U292" s="423"/>
      <c r="V292" s="423"/>
      <c r="W292" s="423"/>
      <c r="X292" s="423"/>
      <c r="Y292" s="423"/>
      <c r="Z292" s="205"/>
    </row>
    <row r="293" spans="1:32" ht="18.95" customHeight="1">
      <c r="A293" s="21"/>
      <c r="B293" s="582"/>
      <c r="C293" s="368" t="s">
        <v>3042</v>
      </c>
      <c r="D293" s="301"/>
      <c r="E293" s="25">
        <v>32</v>
      </c>
      <c r="F293" s="1181" t="s">
        <v>286</v>
      </c>
      <c r="G293" s="25">
        <v>80.3</v>
      </c>
      <c r="H293" s="25">
        <f t="shared" si="38"/>
        <v>75.073116174099994</v>
      </c>
      <c r="I293" s="25">
        <f t="shared" si="35"/>
        <v>2402.3397175711998</v>
      </c>
      <c r="J293" s="25">
        <v>40</v>
      </c>
      <c r="K293" s="25">
        <f t="shared" si="37"/>
        <v>37.396321880000002</v>
      </c>
      <c r="L293" s="25">
        <f t="shared" si="36"/>
        <v>1196.6823001600001</v>
      </c>
      <c r="M293" s="25">
        <f t="shared" ref="M293:M303" si="40">I293+L293</f>
        <v>3599.0220177311999</v>
      </c>
      <c r="N293" s="624"/>
      <c r="O293" s="595">
        <v>0.93490804699999996</v>
      </c>
      <c r="P293" s="2"/>
      <c r="Q293" s="608" t="s">
        <v>3047</v>
      </c>
      <c r="R293" s="600">
        <v>80.3</v>
      </c>
      <c r="S293" s="423"/>
      <c r="T293" s="423"/>
      <c r="U293" s="423"/>
      <c r="V293" s="423"/>
      <c r="W293" s="423"/>
      <c r="X293" s="423"/>
      <c r="Y293" s="423"/>
      <c r="Z293" s="205"/>
    </row>
    <row r="294" spans="1:32" ht="18.95" customHeight="1">
      <c r="A294" s="525"/>
      <c r="B294" s="582"/>
      <c r="C294" s="368" t="s">
        <v>3043</v>
      </c>
      <c r="D294" s="301"/>
      <c r="E294" s="25">
        <v>117</v>
      </c>
      <c r="F294" s="1181" t="s">
        <v>286</v>
      </c>
      <c r="G294" s="25">
        <v>110</v>
      </c>
      <c r="H294" s="25">
        <f t="shared" si="38"/>
        <v>102.83988517</v>
      </c>
      <c r="I294" s="25">
        <f t="shared" si="35"/>
        <v>12032.26656489</v>
      </c>
      <c r="J294" s="25">
        <v>60</v>
      </c>
      <c r="K294" s="25">
        <f t="shared" si="37"/>
        <v>56.094482819999996</v>
      </c>
      <c r="L294" s="25">
        <f t="shared" si="36"/>
        <v>6563.0544899399993</v>
      </c>
      <c r="M294" s="25">
        <f t="shared" si="40"/>
        <v>18595.321054829998</v>
      </c>
      <c r="N294" s="624"/>
      <c r="O294" s="595">
        <v>0.93490804699999996</v>
      </c>
      <c r="P294" s="2"/>
      <c r="Q294" s="608" t="s">
        <v>3047</v>
      </c>
      <c r="R294" s="600">
        <v>110</v>
      </c>
      <c r="S294" s="423"/>
      <c r="T294" s="423"/>
      <c r="U294" s="423"/>
      <c r="V294" s="423"/>
      <c r="W294" s="423"/>
      <c r="X294" s="423"/>
      <c r="Y294" s="423"/>
      <c r="Z294" s="205"/>
    </row>
    <row r="295" spans="1:32" ht="18.95" customHeight="1">
      <c r="A295" s="525"/>
      <c r="B295" s="582"/>
      <c r="C295" s="368" t="s">
        <v>3044</v>
      </c>
      <c r="D295" s="301"/>
      <c r="E295" s="25">
        <v>27</v>
      </c>
      <c r="F295" s="1181" t="s">
        <v>286</v>
      </c>
      <c r="G295" s="25">
        <v>152.9</v>
      </c>
      <c r="H295" s="25">
        <f t="shared" si="38"/>
        <v>142.9474403863</v>
      </c>
      <c r="I295" s="25">
        <f t="shared" si="35"/>
        <v>3859.5808904301002</v>
      </c>
      <c r="J295" s="25">
        <v>75</v>
      </c>
      <c r="K295" s="25">
        <f t="shared" si="37"/>
        <v>70.118103524999995</v>
      </c>
      <c r="L295" s="25">
        <f t="shared" si="36"/>
        <v>1893.1887951749998</v>
      </c>
      <c r="M295" s="25">
        <f t="shared" si="40"/>
        <v>5752.7696856050998</v>
      </c>
      <c r="N295" s="605"/>
      <c r="O295" s="595">
        <v>0.93490804699999996</v>
      </c>
      <c r="Q295" s="608" t="s">
        <v>3047</v>
      </c>
      <c r="R295" s="600">
        <v>152.9</v>
      </c>
      <c r="S295" s="423"/>
      <c r="T295" s="423"/>
      <c r="U295" s="423"/>
      <c r="V295" s="423"/>
      <c r="W295" s="423"/>
      <c r="X295" s="423"/>
      <c r="Y295" s="423"/>
      <c r="Z295" s="205"/>
    </row>
    <row r="296" spans="1:32" ht="18.95" customHeight="1">
      <c r="A296" s="525"/>
      <c r="B296" s="582"/>
      <c r="C296" s="368" t="s">
        <v>3045</v>
      </c>
      <c r="D296" s="301"/>
      <c r="E296" s="25">
        <v>151</v>
      </c>
      <c r="F296" s="1181" t="s">
        <v>286</v>
      </c>
      <c r="G296" s="25">
        <v>224.4</v>
      </c>
      <c r="H296" s="25">
        <f t="shared" si="38"/>
        <v>209.79336574679999</v>
      </c>
      <c r="I296" s="25">
        <f t="shared" si="35"/>
        <v>31678.798227766798</v>
      </c>
      <c r="J296" s="25">
        <v>120</v>
      </c>
      <c r="K296" s="25">
        <f t="shared" si="37"/>
        <v>112.18896563999999</v>
      </c>
      <c r="L296" s="25">
        <f t="shared" si="36"/>
        <v>16940.533811639998</v>
      </c>
      <c r="M296" s="25">
        <f t="shared" si="40"/>
        <v>48619.3320394068</v>
      </c>
      <c r="N296" s="605"/>
      <c r="O296" s="595">
        <v>0.93490804699999996</v>
      </c>
      <c r="Q296" s="608" t="s">
        <v>3047</v>
      </c>
      <c r="R296" s="600">
        <v>224.4</v>
      </c>
      <c r="S296" s="423"/>
      <c r="T296" s="423"/>
      <c r="U296" s="423"/>
      <c r="V296" s="423"/>
      <c r="W296" s="423"/>
      <c r="X296" s="423"/>
      <c r="Y296" s="423"/>
      <c r="Z296" s="205"/>
    </row>
    <row r="297" spans="1:32" ht="18.95" customHeight="1">
      <c r="A297" s="525"/>
      <c r="B297" s="582"/>
      <c r="C297" s="368" t="s">
        <v>3120</v>
      </c>
      <c r="D297" s="301"/>
      <c r="E297" s="25">
        <v>36</v>
      </c>
      <c r="F297" s="1181" t="s">
        <v>286</v>
      </c>
      <c r="G297" s="25">
        <v>471.9</v>
      </c>
      <c r="H297" s="25">
        <f t="shared" si="38"/>
        <v>441.18310737929994</v>
      </c>
      <c r="I297" s="25">
        <f t="shared" si="35"/>
        <v>15882.591865654798</v>
      </c>
      <c r="J297" s="25">
        <v>250</v>
      </c>
      <c r="K297" s="25">
        <f t="shared" si="37"/>
        <v>233.72701175</v>
      </c>
      <c r="L297" s="25">
        <f t="shared" si="36"/>
        <v>8414.172423</v>
      </c>
      <c r="M297" s="25">
        <f t="shared" si="40"/>
        <v>24296.764288654798</v>
      </c>
      <c r="N297" s="21"/>
      <c r="O297" s="595">
        <v>0.93490804699999996</v>
      </c>
      <c r="Q297" s="608" t="s">
        <v>3047</v>
      </c>
      <c r="R297" s="600">
        <v>471.9</v>
      </c>
      <c r="S297" s="423"/>
      <c r="T297" s="423"/>
      <c r="U297" s="423"/>
      <c r="V297" s="423"/>
      <c r="W297" s="423"/>
      <c r="X297" s="423"/>
      <c r="Y297" s="423"/>
      <c r="Z297" s="205"/>
    </row>
    <row r="298" spans="1:32" ht="18.95" customHeight="1">
      <c r="A298" s="525"/>
      <c r="B298" s="582"/>
      <c r="C298" s="368" t="s">
        <v>3143</v>
      </c>
      <c r="D298" s="301"/>
      <c r="E298" s="25">
        <v>71</v>
      </c>
      <c r="F298" s="1181" t="s">
        <v>286</v>
      </c>
      <c r="G298" s="25">
        <v>915.2</v>
      </c>
      <c r="H298" s="25">
        <f t="shared" si="38"/>
        <v>855.62784461440003</v>
      </c>
      <c r="I298" s="25">
        <f t="shared" si="35"/>
        <v>60749.576967622401</v>
      </c>
      <c r="J298" s="25">
        <v>350</v>
      </c>
      <c r="K298" s="25">
        <f t="shared" si="37"/>
        <v>327.21781644999999</v>
      </c>
      <c r="L298" s="25">
        <f t="shared" si="36"/>
        <v>23232.46496795</v>
      </c>
      <c r="M298" s="25">
        <f t="shared" si="40"/>
        <v>83982.041935572401</v>
      </c>
      <c r="N298" s="21"/>
      <c r="O298" s="595">
        <v>0.93490804699999996</v>
      </c>
      <c r="Q298" s="608" t="s">
        <v>3047</v>
      </c>
      <c r="R298" s="600">
        <v>915.2</v>
      </c>
      <c r="S298" s="423"/>
      <c r="T298" s="423"/>
      <c r="U298" s="423"/>
      <c r="V298" s="423"/>
      <c r="W298" s="423"/>
      <c r="X298" s="423"/>
      <c r="Y298" s="423"/>
      <c r="Z298" s="205"/>
    </row>
    <row r="299" spans="1:32" ht="18.95" customHeight="1">
      <c r="A299" s="525"/>
      <c r="B299" s="582"/>
      <c r="C299" s="368" t="s">
        <v>3121</v>
      </c>
      <c r="D299" s="301"/>
      <c r="E299" s="25">
        <v>124</v>
      </c>
      <c r="F299" s="1181" t="s">
        <v>286</v>
      </c>
      <c r="G299" s="25">
        <v>1434.4</v>
      </c>
      <c r="H299" s="25">
        <f t="shared" si="38"/>
        <v>1341.0321026168001</v>
      </c>
      <c r="I299" s="25">
        <f t="shared" si="35"/>
        <v>166287.9807244832</v>
      </c>
      <c r="J299" s="25">
        <v>400</v>
      </c>
      <c r="K299" s="25">
        <f t="shared" si="37"/>
        <v>373.96321879999999</v>
      </c>
      <c r="L299" s="25">
        <f t="shared" si="36"/>
        <v>46371.439131200001</v>
      </c>
      <c r="M299" s="25">
        <f t="shared" si="40"/>
        <v>212659.4198556832</v>
      </c>
      <c r="N299" s="21"/>
      <c r="O299" s="595">
        <v>0.93490804699999996</v>
      </c>
      <c r="Q299" s="608" t="s">
        <v>3047</v>
      </c>
      <c r="R299" s="600">
        <v>1434.4</v>
      </c>
      <c r="S299" s="423"/>
      <c r="T299" s="423"/>
      <c r="U299" s="423"/>
      <c r="V299" s="423"/>
      <c r="W299" s="423"/>
      <c r="X299" s="423"/>
      <c r="Y299" s="423"/>
      <c r="Z299" s="205"/>
    </row>
    <row r="300" spans="1:32" ht="18.95" customHeight="1">
      <c r="A300" s="525"/>
      <c r="B300" s="582"/>
      <c r="C300" s="368" t="s">
        <v>3144</v>
      </c>
      <c r="D300" s="301"/>
      <c r="E300" s="25">
        <v>6</v>
      </c>
      <c r="F300" s="1181" t="s">
        <v>286</v>
      </c>
      <c r="G300" s="242">
        <v>2068</v>
      </c>
      <c r="H300" s="25">
        <f t="shared" si="38"/>
        <v>1933.3898411959999</v>
      </c>
      <c r="I300" s="25">
        <f t="shared" si="35"/>
        <v>11600.339047175999</v>
      </c>
      <c r="J300" s="242">
        <v>450</v>
      </c>
      <c r="K300" s="25">
        <f t="shared" si="37"/>
        <v>420.70862115</v>
      </c>
      <c r="L300" s="25">
        <f t="shared" si="36"/>
        <v>2524.2517269</v>
      </c>
      <c r="M300" s="242">
        <f t="shared" si="40"/>
        <v>14124.590774075999</v>
      </c>
      <c r="N300" s="21"/>
      <c r="O300" s="595">
        <v>0.93490804699999996</v>
      </c>
      <c r="Q300" s="608" t="s">
        <v>3047</v>
      </c>
      <c r="R300" s="600">
        <v>2068</v>
      </c>
      <c r="S300" s="423"/>
      <c r="T300" s="423"/>
      <c r="U300" s="423"/>
      <c r="V300" s="423"/>
      <c r="W300" s="423"/>
      <c r="X300" s="423"/>
      <c r="Y300" s="423"/>
      <c r="Z300" s="205"/>
    </row>
    <row r="301" spans="1:32" ht="18.95" customHeight="1">
      <c r="A301" s="525"/>
      <c r="B301" s="1164" t="s">
        <v>3145</v>
      </c>
      <c r="C301" s="368" t="s">
        <v>3048</v>
      </c>
      <c r="D301" s="301"/>
      <c r="E301" s="25">
        <v>1</v>
      </c>
      <c r="F301" s="1181" t="s">
        <v>2193</v>
      </c>
      <c r="G301" s="242">
        <v>253556.57</v>
      </c>
      <c r="H301" s="25">
        <f t="shared" si="38"/>
        <v>237052.07766271877</v>
      </c>
      <c r="I301" s="25">
        <f t="shared" si="35"/>
        <v>237052.07766271877</v>
      </c>
      <c r="J301" s="242">
        <v>76066.97</v>
      </c>
      <c r="K301" s="25">
        <f t="shared" si="37"/>
        <v>71115.622363907591</v>
      </c>
      <c r="L301" s="25">
        <f t="shared" si="36"/>
        <v>71115.622363907591</v>
      </c>
      <c r="M301" s="242">
        <f t="shared" si="40"/>
        <v>308167.70002662635</v>
      </c>
      <c r="N301" s="605"/>
      <c r="O301" s="595">
        <v>0.93490804699999996</v>
      </c>
      <c r="Q301" s="423"/>
      <c r="R301" s="423"/>
      <c r="S301" s="423"/>
      <c r="T301" s="423"/>
      <c r="U301" s="423"/>
      <c r="V301" s="423"/>
      <c r="W301" s="423"/>
      <c r="X301" s="423"/>
      <c r="Y301" s="423"/>
      <c r="Z301" s="205"/>
    </row>
    <row r="302" spans="1:32" ht="18.95" customHeight="1">
      <c r="A302" s="525"/>
      <c r="B302" s="1164" t="s">
        <v>3146</v>
      </c>
      <c r="C302" s="368" t="s">
        <v>3049</v>
      </c>
      <c r="D302" s="301"/>
      <c r="E302" s="25">
        <v>1</v>
      </c>
      <c r="F302" s="1181" t="s">
        <v>2193</v>
      </c>
      <c r="G302" s="242">
        <v>234751</v>
      </c>
      <c r="H302" s="25">
        <f t="shared" si="38"/>
        <v>219470.59894129698</v>
      </c>
      <c r="I302" s="25">
        <f t="shared" si="35"/>
        <v>219470.59894129698</v>
      </c>
      <c r="J302" s="242">
        <v>70426</v>
      </c>
      <c r="K302" s="25">
        <f t="shared" si="37"/>
        <v>65841.834118022001</v>
      </c>
      <c r="L302" s="25">
        <f t="shared" si="36"/>
        <v>65841.834118022001</v>
      </c>
      <c r="M302" s="242">
        <f t="shared" si="40"/>
        <v>285312.43305931898</v>
      </c>
      <c r="N302" s="605"/>
      <c r="O302" s="595">
        <v>0.93490804699999996</v>
      </c>
      <c r="Q302" s="423"/>
      <c r="R302" s="423"/>
      <c r="S302" s="423"/>
      <c r="T302" s="423"/>
      <c r="U302" s="423"/>
      <c r="V302" s="423"/>
      <c r="W302" s="423"/>
      <c r="X302" s="423"/>
      <c r="Y302" s="423"/>
      <c r="Z302" s="205"/>
    </row>
    <row r="303" spans="1:32" ht="18.95" customHeight="1">
      <c r="A303" s="525"/>
      <c r="B303" s="1164" t="s">
        <v>3147</v>
      </c>
      <c r="C303" s="368" t="s">
        <v>3050</v>
      </c>
      <c r="D303" s="301"/>
      <c r="E303" s="25">
        <v>1</v>
      </c>
      <c r="F303" s="1181" t="s">
        <v>2193</v>
      </c>
      <c r="G303" s="25">
        <v>117376</v>
      </c>
      <c r="H303" s="25">
        <f t="shared" si="38"/>
        <v>109735.76692467199</v>
      </c>
      <c r="I303" s="25">
        <f t="shared" si="35"/>
        <v>109735.76692467199</v>
      </c>
      <c r="J303" s="25">
        <v>35213</v>
      </c>
      <c r="K303" s="25">
        <f t="shared" si="37"/>
        <v>32920.917059011001</v>
      </c>
      <c r="L303" s="25">
        <f t="shared" si="36"/>
        <v>32920.917059011001</v>
      </c>
      <c r="M303" s="25">
        <f t="shared" si="40"/>
        <v>142656.683983683</v>
      </c>
      <c r="N303" s="605"/>
      <c r="O303" s="595">
        <v>0.93490804699999996</v>
      </c>
      <c r="Q303" s="423"/>
      <c r="R303" s="423"/>
      <c r="S303" s="423"/>
      <c r="T303" s="423"/>
      <c r="U303" s="423"/>
      <c r="V303" s="423"/>
      <c r="W303" s="423"/>
      <c r="X303" s="423"/>
      <c r="Y303" s="423"/>
      <c r="Z303" s="205"/>
    </row>
    <row r="304" spans="1:32" ht="18.95" customHeight="1">
      <c r="A304" s="525"/>
      <c r="B304" s="418" t="s">
        <v>3051</v>
      </c>
      <c r="C304" s="285"/>
      <c r="D304" s="267"/>
      <c r="E304" s="25"/>
      <c r="F304" s="30"/>
      <c r="G304" s="25"/>
      <c r="H304" s="25"/>
      <c r="I304" s="25"/>
      <c r="J304" s="25"/>
      <c r="K304" s="25"/>
      <c r="L304" s="25"/>
      <c r="M304" s="25"/>
      <c r="N304" s="605"/>
      <c r="O304" s="595">
        <v>0.93490804699999996</v>
      </c>
      <c r="Q304" s="423"/>
      <c r="R304" s="423"/>
      <c r="S304" s="423"/>
      <c r="T304" s="423"/>
      <c r="U304" s="423"/>
      <c r="V304" s="423"/>
      <c r="W304" s="423"/>
      <c r="X304" s="423"/>
      <c r="Y304" s="423"/>
      <c r="Z304" s="205"/>
      <c r="AF304" s="163"/>
    </row>
    <row r="305" spans="1:26" ht="18.95" customHeight="1">
      <c r="A305" s="525"/>
      <c r="B305" s="420">
        <v>4.7</v>
      </c>
      <c r="C305" s="368" t="s">
        <v>3148</v>
      </c>
      <c r="D305" s="301"/>
      <c r="E305" s="25"/>
      <c r="F305" s="30"/>
      <c r="G305" s="25"/>
      <c r="H305" s="25"/>
      <c r="I305" s="25"/>
      <c r="J305" s="25"/>
      <c r="K305" s="25"/>
      <c r="L305" s="25"/>
      <c r="M305" s="25"/>
      <c r="N305" s="21"/>
      <c r="O305" s="595">
        <v>0.93490804699999996</v>
      </c>
      <c r="Q305" s="423"/>
      <c r="R305" s="423"/>
      <c r="S305" s="601"/>
      <c r="T305" s="423"/>
      <c r="U305" s="423"/>
      <c r="V305" s="423"/>
      <c r="W305" s="423"/>
      <c r="X305" s="428"/>
      <c r="Y305" s="423"/>
      <c r="Z305" s="205"/>
    </row>
    <row r="306" spans="1:26" ht="18.95" customHeight="1">
      <c r="A306" s="525"/>
      <c r="B306" s="582"/>
      <c r="C306" s="368" t="s">
        <v>3054</v>
      </c>
      <c r="D306" s="301"/>
      <c r="E306" s="25">
        <v>0</v>
      </c>
      <c r="F306" s="1181" t="s">
        <v>349</v>
      </c>
      <c r="G306" s="25">
        <v>1623</v>
      </c>
      <c r="H306" s="25">
        <f t="shared" si="38"/>
        <v>1517.3557602809999</v>
      </c>
      <c r="I306" s="25">
        <f t="shared" si="35"/>
        <v>0</v>
      </c>
      <c r="J306" s="25">
        <v>400</v>
      </c>
      <c r="K306" s="25">
        <f t="shared" si="37"/>
        <v>373.96321879999999</v>
      </c>
      <c r="L306" s="25">
        <f t="shared" si="36"/>
        <v>0</v>
      </c>
      <c r="M306" s="25">
        <f>I306+L306</f>
        <v>0</v>
      </c>
      <c r="N306" s="21"/>
      <c r="O306" s="595">
        <v>0.93490804699999996</v>
      </c>
      <c r="Q306" s="423"/>
      <c r="R306" s="423"/>
      <c r="S306" s="422"/>
      <c r="T306" s="422"/>
      <c r="U306" s="423"/>
      <c r="V306" s="423"/>
      <c r="W306" s="423"/>
      <c r="X306" s="428"/>
      <c r="Y306" s="423"/>
      <c r="Z306" s="205"/>
    </row>
    <row r="307" spans="1:26" ht="18.95" customHeight="1">
      <c r="A307" s="525"/>
      <c r="B307" s="582"/>
      <c r="C307" s="368" t="s">
        <v>3089</v>
      </c>
      <c r="D307" s="301"/>
      <c r="E307" s="25">
        <v>14</v>
      </c>
      <c r="F307" s="1181" t="s">
        <v>349</v>
      </c>
      <c r="G307" s="25">
        <v>2664</v>
      </c>
      <c r="H307" s="25">
        <f t="shared" si="38"/>
        <v>2490.5950372080001</v>
      </c>
      <c r="I307" s="25">
        <f t="shared" si="35"/>
        <v>34868.330520912001</v>
      </c>
      <c r="J307" s="25">
        <v>600</v>
      </c>
      <c r="K307" s="25">
        <f t="shared" si="37"/>
        <v>560.94482819999996</v>
      </c>
      <c r="L307" s="25">
        <f t="shared" si="36"/>
        <v>7853.2275947999997</v>
      </c>
      <c r="M307" s="25">
        <f>I307+L307</f>
        <v>42721.558115712003</v>
      </c>
      <c r="N307" s="21"/>
      <c r="O307" s="595">
        <v>0.93490804699999996</v>
      </c>
      <c r="P307" s="611"/>
      <c r="Q307" s="609"/>
      <c r="R307" s="609"/>
      <c r="S307" s="609"/>
      <c r="T307" s="422"/>
      <c r="U307" s="423"/>
      <c r="V307" s="423"/>
      <c r="W307" s="423"/>
      <c r="X307" s="428"/>
      <c r="Y307" s="423"/>
      <c r="Z307" s="205"/>
    </row>
    <row r="308" spans="1:26" ht="18.95" customHeight="1">
      <c r="A308" s="525"/>
      <c r="B308" s="582"/>
      <c r="C308" s="368" t="s">
        <v>3126</v>
      </c>
      <c r="D308" s="301"/>
      <c r="E308" s="25">
        <v>2</v>
      </c>
      <c r="F308" s="1181" t="s">
        <v>349</v>
      </c>
      <c r="G308" s="25">
        <v>3720</v>
      </c>
      <c r="H308" s="25">
        <f t="shared" si="38"/>
        <v>3477.8579348399999</v>
      </c>
      <c r="I308" s="25">
        <f t="shared" si="35"/>
        <v>6955.7158696799997</v>
      </c>
      <c r="J308" s="25">
        <v>800</v>
      </c>
      <c r="K308" s="25">
        <f t="shared" si="37"/>
        <v>747.92643759999999</v>
      </c>
      <c r="L308" s="25">
        <f t="shared" si="36"/>
        <v>1495.8528752</v>
      </c>
      <c r="M308" s="25">
        <f>I308+L308</f>
        <v>8451.5687448799999</v>
      </c>
      <c r="N308" s="21"/>
      <c r="O308" s="595">
        <v>0.93490804699999996</v>
      </c>
      <c r="P308" s="611"/>
      <c r="Q308" s="609"/>
      <c r="R308" s="609"/>
      <c r="S308" s="609"/>
      <c r="T308" s="616"/>
      <c r="U308" s="423"/>
      <c r="V308" s="423"/>
      <c r="W308" s="423"/>
      <c r="X308" s="428"/>
      <c r="Y308" s="423"/>
      <c r="Z308" s="205"/>
    </row>
    <row r="309" spans="1:26" ht="18.95" customHeight="1">
      <c r="A309" s="525"/>
      <c r="B309" s="420">
        <v>4.8</v>
      </c>
      <c r="C309" s="368" t="s">
        <v>3149</v>
      </c>
      <c r="D309" s="301"/>
      <c r="E309" s="25"/>
      <c r="F309" s="30"/>
      <c r="G309" s="25"/>
      <c r="H309" s="25"/>
      <c r="I309" s="25"/>
      <c r="J309" s="25"/>
      <c r="K309" s="25"/>
      <c r="L309" s="25"/>
      <c r="M309" s="25"/>
      <c r="N309" s="21"/>
      <c r="O309" s="595">
        <v>0.93490804699999996</v>
      </c>
      <c r="P309" s="610"/>
      <c r="Q309" s="603"/>
      <c r="R309" s="603"/>
      <c r="S309" s="603"/>
      <c r="T309" s="603"/>
      <c r="U309" s="423"/>
      <c r="V309" s="423"/>
      <c r="W309" s="423"/>
      <c r="X309" s="428"/>
      <c r="Y309" s="423"/>
      <c r="Z309" s="205"/>
    </row>
    <row r="310" spans="1:26" ht="18.95" customHeight="1">
      <c r="A310" s="525"/>
      <c r="B310" s="582"/>
      <c r="C310" s="368" t="s">
        <v>3053</v>
      </c>
      <c r="D310" s="301"/>
      <c r="E310" s="25">
        <v>18</v>
      </c>
      <c r="F310" s="1181" t="s">
        <v>349</v>
      </c>
      <c r="G310" s="25">
        <v>816</v>
      </c>
      <c r="H310" s="25">
        <f t="shared" si="38"/>
        <v>762.88496635199999</v>
      </c>
      <c r="I310" s="25">
        <f t="shared" si="35"/>
        <v>13731.929394335999</v>
      </c>
      <c r="J310" s="25">
        <v>300</v>
      </c>
      <c r="K310" s="25">
        <f t="shared" si="37"/>
        <v>280.47241409999998</v>
      </c>
      <c r="L310" s="25">
        <f t="shared" si="36"/>
        <v>5048.5034538</v>
      </c>
      <c r="M310" s="25">
        <f>I310+L310</f>
        <v>18780.432848135999</v>
      </c>
      <c r="N310" s="21"/>
      <c r="O310" s="595">
        <v>0.93490804699999996</v>
      </c>
      <c r="P310" s="610"/>
      <c r="Q310" s="609"/>
      <c r="R310" s="603"/>
      <c r="S310" s="609"/>
      <c r="T310" s="603"/>
      <c r="U310" s="423"/>
      <c r="V310" s="423"/>
      <c r="W310" s="423"/>
      <c r="X310" s="428"/>
      <c r="Y310" s="423"/>
      <c r="Z310" s="205"/>
    </row>
    <row r="311" spans="1:26" ht="18.95" customHeight="1">
      <c r="A311" s="525"/>
      <c r="B311" s="582"/>
      <c r="C311" s="368" t="s">
        <v>3054</v>
      </c>
      <c r="D311" s="301"/>
      <c r="E311" s="25">
        <v>2</v>
      </c>
      <c r="F311" s="1181" t="s">
        <v>349</v>
      </c>
      <c r="G311" s="25">
        <v>1504</v>
      </c>
      <c r="H311" s="25">
        <f t="shared" si="38"/>
        <v>1406.1017026879999</v>
      </c>
      <c r="I311" s="25">
        <f t="shared" si="35"/>
        <v>2812.2034053759999</v>
      </c>
      <c r="J311" s="25">
        <v>400</v>
      </c>
      <c r="K311" s="25">
        <f t="shared" si="37"/>
        <v>373.96321879999999</v>
      </c>
      <c r="L311" s="25">
        <f t="shared" si="36"/>
        <v>747.92643759999999</v>
      </c>
      <c r="M311" s="25">
        <f>I311+L311</f>
        <v>3560.129842976</v>
      </c>
      <c r="N311" s="21"/>
      <c r="O311" s="595">
        <v>0.93490804699999996</v>
      </c>
      <c r="P311" s="610"/>
      <c r="Q311" s="609"/>
      <c r="R311" s="603"/>
      <c r="S311" s="609"/>
      <c r="T311" s="603"/>
      <c r="U311" s="423"/>
      <c r="V311" s="423"/>
      <c r="W311" s="423"/>
      <c r="X311" s="428"/>
      <c r="Y311" s="423"/>
      <c r="Z311" s="205"/>
    </row>
    <row r="312" spans="1:26" ht="18.95" customHeight="1">
      <c r="A312" s="525"/>
      <c r="B312" s="420">
        <v>4.9000000000000004</v>
      </c>
      <c r="C312" s="368" t="s">
        <v>3150</v>
      </c>
      <c r="D312" s="301"/>
      <c r="E312" s="25"/>
      <c r="F312" s="30"/>
      <c r="G312" s="25"/>
      <c r="H312" s="25"/>
      <c r="I312" s="25"/>
      <c r="J312" s="25"/>
      <c r="K312" s="25"/>
      <c r="L312" s="25"/>
      <c r="M312" s="25"/>
      <c r="N312" s="21"/>
      <c r="O312" s="595">
        <v>0.93490804699999996</v>
      </c>
      <c r="P312" s="203"/>
      <c r="Q312" s="422"/>
      <c r="R312" s="422"/>
      <c r="S312" s="422"/>
      <c r="T312" s="423"/>
      <c r="U312" s="601"/>
      <c r="V312" s="601"/>
      <c r="W312" s="601"/>
      <c r="X312" s="423"/>
      <c r="Y312" s="423"/>
      <c r="Z312" s="205"/>
    </row>
    <row r="313" spans="1:26" ht="18.95" customHeight="1">
      <c r="A313" s="525"/>
      <c r="B313" s="421"/>
      <c r="C313" s="368" t="s">
        <v>3062</v>
      </c>
      <c r="D313" s="301"/>
      <c r="E313" s="25">
        <v>2</v>
      </c>
      <c r="F313" s="1181" t="s">
        <v>349</v>
      </c>
      <c r="G313" s="25">
        <v>2065</v>
      </c>
      <c r="H313" s="25">
        <f t="shared" si="38"/>
        <v>1930.585117055</v>
      </c>
      <c r="I313" s="25">
        <f t="shared" si="35"/>
        <v>3861.1702341099999</v>
      </c>
      <c r="J313" s="25">
        <v>125</v>
      </c>
      <c r="K313" s="25">
        <f t="shared" si="37"/>
        <v>116.863505875</v>
      </c>
      <c r="L313" s="25">
        <f t="shared" si="36"/>
        <v>233.72701175</v>
      </c>
      <c r="M313" s="25">
        <f t="shared" ref="M313:M318" si="41">I313+L313</f>
        <v>4094.8972458600001</v>
      </c>
      <c r="N313" s="21"/>
      <c r="O313" s="595">
        <v>0.93490804699999996</v>
      </c>
      <c r="P313" s="203"/>
      <c r="Q313" s="422"/>
      <c r="R313" s="603"/>
      <c r="S313" s="422"/>
      <c r="T313" s="603"/>
      <c r="U313" s="423"/>
      <c r="V313" s="423"/>
      <c r="W313" s="423"/>
      <c r="X313" s="423"/>
      <c r="Y313" s="423"/>
      <c r="Z313" s="205"/>
    </row>
    <row r="314" spans="1:26" ht="18.95" customHeight="1">
      <c r="A314" s="525"/>
      <c r="B314" s="421"/>
      <c r="C314" s="368" t="s">
        <v>3054</v>
      </c>
      <c r="D314" s="301"/>
      <c r="E314" s="25">
        <v>1</v>
      </c>
      <c r="F314" s="1181" t="s">
        <v>349</v>
      </c>
      <c r="G314" s="25">
        <v>3100</v>
      </c>
      <c r="H314" s="25">
        <f t="shared" si="38"/>
        <v>2898.2149457</v>
      </c>
      <c r="I314" s="25">
        <f t="shared" si="35"/>
        <v>2898.2149457</v>
      </c>
      <c r="J314" s="25">
        <v>400</v>
      </c>
      <c r="K314" s="25">
        <f t="shared" si="37"/>
        <v>373.96321879999999</v>
      </c>
      <c r="L314" s="25">
        <f t="shared" si="36"/>
        <v>373.96321879999999</v>
      </c>
      <c r="M314" s="25">
        <f t="shared" si="41"/>
        <v>3272.1781645000001</v>
      </c>
      <c r="N314" s="21"/>
      <c r="O314" s="595">
        <v>0.93490804699999996</v>
      </c>
      <c r="P314" s="203"/>
      <c r="Q314" s="422"/>
      <c r="R314" s="603"/>
      <c r="S314" s="422"/>
      <c r="T314" s="603"/>
      <c r="U314" s="423"/>
      <c r="V314" s="423"/>
      <c r="W314" s="423"/>
      <c r="X314" s="423"/>
      <c r="Y314" s="423"/>
      <c r="Z314" s="205"/>
    </row>
    <row r="315" spans="1:26" ht="18.95" customHeight="1">
      <c r="A315" s="525"/>
      <c r="B315" s="421"/>
      <c r="C315" s="368" t="s">
        <v>3089</v>
      </c>
      <c r="D315" s="301"/>
      <c r="E315" s="25">
        <v>3</v>
      </c>
      <c r="F315" s="1181" t="s">
        <v>349</v>
      </c>
      <c r="G315" s="25">
        <v>5325</v>
      </c>
      <c r="H315" s="25">
        <f t="shared" si="38"/>
        <v>4978.3853502749998</v>
      </c>
      <c r="I315" s="25">
        <f t="shared" si="35"/>
        <v>14935.156050825</v>
      </c>
      <c r="J315" s="25">
        <v>300</v>
      </c>
      <c r="K315" s="25">
        <f t="shared" si="37"/>
        <v>280.47241409999998</v>
      </c>
      <c r="L315" s="25">
        <f t="shared" si="36"/>
        <v>841.4172423</v>
      </c>
      <c r="M315" s="25">
        <f t="shared" si="41"/>
        <v>15776.573293125</v>
      </c>
      <c r="N315" s="21"/>
      <c r="O315" s="595">
        <v>0.93490804699999996</v>
      </c>
      <c r="P315" s="203"/>
      <c r="Q315" s="422"/>
      <c r="R315" s="603"/>
      <c r="S315" s="422"/>
      <c r="T315" s="603"/>
      <c r="U315" s="423"/>
      <c r="V315" s="423"/>
      <c r="W315" s="423"/>
      <c r="X315" s="423"/>
      <c r="Y315" s="423"/>
      <c r="Z315" s="205"/>
    </row>
    <row r="316" spans="1:26" ht="18.95" customHeight="1">
      <c r="A316" s="525"/>
      <c r="B316" s="421"/>
      <c r="C316" s="368" t="s">
        <v>3139</v>
      </c>
      <c r="D316" s="301"/>
      <c r="E316" s="25">
        <v>3</v>
      </c>
      <c r="F316" s="1181" t="s">
        <v>349</v>
      </c>
      <c r="G316" s="25">
        <v>8990</v>
      </c>
      <c r="H316" s="25">
        <f t="shared" si="38"/>
        <v>8404.8233425300004</v>
      </c>
      <c r="I316" s="25">
        <f t="shared" si="35"/>
        <v>25214.470027590003</v>
      </c>
      <c r="J316" s="25">
        <v>400</v>
      </c>
      <c r="K316" s="25">
        <f t="shared" si="37"/>
        <v>373.96321879999999</v>
      </c>
      <c r="L316" s="25">
        <f t="shared" si="36"/>
        <v>1121.8896563999999</v>
      </c>
      <c r="M316" s="25">
        <f t="shared" si="41"/>
        <v>26336.359683990002</v>
      </c>
      <c r="N316" s="21"/>
      <c r="O316" s="595">
        <v>0.93490804699999996</v>
      </c>
      <c r="P316" s="203"/>
      <c r="Q316" s="422"/>
      <c r="R316" s="603"/>
      <c r="S316" s="422"/>
      <c r="T316" s="603"/>
      <c r="U316" s="423"/>
      <c r="V316" s="423"/>
      <c r="W316" s="423"/>
      <c r="X316" s="423"/>
      <c r="Y316" s="423"/>
      <c r="Z316" s="205"/>
    </row>
    <row r="317" spans="1:26" ht="18.95" customHeight="1">
      <c r="A317" s="525"/>
      <c r="B317" s="421"/>
      <c r="C317" s="368" t="s">
        <v>3140</v>
      </c>
      <c r="D317" s="301"/>
      <c r="E317" s="25">
        <v>3</v>
      </c>
      <c r="F317" s="1181" t="s">
        <v>349</v>
      </c>
      <c r="G317" s="25">
        <v>13825</v>
      </c>
      <c r="H317" s="25">
        <f t="shared" si="38"/>
        <v>12925.103749775</v>
      </c>
      <c r="I317" s="25">
        <f t="shared" si="35"/>
        <v>38775.311249325001</v>
      </c>
      <c r="J317" s="25">
        <v>500</v>
      </c>
      <c r="K317" s="25">
        <f t="shared" si="37"/>
        <v>467.45402350000001</v>
      </c>
      <c r="L317" s="25">
        <f t="shared" si="36"/>
        <v>1402.3620705000001</v>
      </c>
      <c r="M317" s="25">
        <f t="shared" si="41"/>
        <v>40177.673319825</v>
      </c>
      <c r="N317" s="21"/>
      <c r="O317" s="595">
        <v>0.93490804699999996</v>
      </c>
      <c r="P317" s="203"/>
      <c r="Q317" s="422"/>
      <c r="R317" s="603"/>
      <c r="S317" s="422"/>
      <c r="T317" s="603"/>
      <c r="U317" s="423"/>
      <c r="V317" s="423"/>
      <c r="W317" s="423"/>
      <c r="X317" s="423"/>
      <c r="Y317" s="423"/>
      <c r="Z317" s="205"/>
    </row>
    <row r="318" spans="1:26" ht="18.95" customHeight="1">
      <c r="A318" s="525"/>
      <c r="B318" s="421"/>
      <c r="C318" s="368" t="s">
        <v>3141</v>
      </c>
      <c r="D318" s="301"/>
      <c r="E318" s="25">
        <v>1</v>
      </c>
      <c r="F318" s="1181" t="s">
        <v>349</v>
      </c>
      <c r="G318" s="25">
        <v>16950</v>
      </c>
      <c r="H318" s="25">
        <f t="shared" si="38"/>
        <v>15846.69139665</v>
      </c>
      <c r="I318" s="25">
        <f t="shared" si="35"/>
        <v>15846.69139665</v>
      </c>
      <c r="J318" s="25">
        <v>600</v>
      </c>
      <c r="K318" s="25">
        <f t="shared" si="37"/>
        <v>560.94482819999996</v>
      </c>
      <c r="L318" s="25">
        <f t="shared" si="36"/>
        <v>560.94482819999996</v>
      </c>
      <c r="M318" s="25">
        <f t="shared" si="41"/>
        <v>16407.636224850001</v>
      </c>
      <c r="N318" s="21"/>
      <c r="O318" s="595">
        <v>0.93490804699999996</v>
      </c>
      <c r="P318" s="203"/>
      <c r="Q318" s="422"/>
      <c r="R318" s="603"/>
      <c r="S318" s="422"/>
      <c r="T318" s="603"/>
      <c r="U318" s="423"/>
      <c r="V318" s="423"/>
      <c r="W318" s="423"/>
      <c r="X318" s="428"/>
      <c r="Y318" s="423"/>
      <c r="Z318" s="205"/>
    </row>
    <row r="319" spans="1:26" ht="18.95" customHeight="1">
      <c r="A319" s="525"/>
      <c r="B319" s="583">
        <v>4.0999999999999996</v>
      </c>
      <c r="C319" s="285" t="s">
        <v>3151</v>
      </c>
      <c r="D319" s="267"/>
      <c r="E319" s="25"/>
      <c r="F319" s="30"/>
      <c r="G319" s="25"/>
      <c r="H319" s="25"/>
      <c r="I319" s="25"/>
      <c r="J319" s="25"/>
      <c r="K319" s="25"/>
      <c r="L319" s="25"/>
      <c r="M319" s="25"/>
      <c r="N319" s="605"/>
      <c r="O319" s="595">
        <v>0.93490804699999996</v>
      </c>
      <c r="Q319" s="423"/>
      <c r="R319" s="423"/>
      <c r="S319" s="423"/>
      <c r="T319" s="423"/>
      <c r="U319" s="423"/>
      <c r="V319" s="423"/>
      <c r="W319" s="423"/>
      <c r="X319" s="423"/>
      <c r="Y319" s="423"/>
      <c r="Z319" s="205"/>
    </row>
    <row r="320" spans="1:26" ht="18.95" customHeight="1">
      <c r="A320" s="525"/>
      <c r="B320" s="583"/>
      <c r="C320" s="285" t="s">
        <v>3152</v>
      </c>
      <c r="D320" s="267"/>
      <c r="E320" s="25">
        <v>6</v>
      </c>
      <c r="F320" s="1181" t="s">
        <v>349</v>
      </c>
      <c r="G320" s="25">
        <v>3250</v>
      </c>
      <c r="H320" s="25">
        <f t="shared" si="38"/>
        <v>3038.4511527499999</v>
      </c>
      <c r="I320" s="25">
        <f t="shared" si="35"/>
        <v>18230.706916499999</v>
      </c>
      <c r="J320" s="25">
        <v>1600</v>
      </c>
      <c r="K320" s="25">
        <f t="shared" si="37"/>
        <v>1495.8528752</v>
      </c>
      <c r="L320" s="25">
        <f t="shared" si="36"/>
        <v>8975.1172511999994</v>
      </c>
      <c r="M320" s="25">
        <f>I320+L320</f>
        <v>27205.824167699997</v>
      </c>
      <c r="N320" s="605"/>
      <c r="O320" s="595">
        <v>0.93490804699999996</v>
      </c>
      <c r="Q320" s="423"/>
      <c r="R320" s="423"/>
      <c r="S320" s="423"/>
      <c r="T320" s="423"/>
      <c r="U320" s="423"/>
      <c r="V320" s="423"/>
      <c r="W320" s="423"/>
      <c r="X320" s="423"/>
      <c r="Y320" s="423"/>
      <c r="Z320" s="205"/>
    </row>
    <row r="321" spans="1:48" ht="18.95" customHeight="1">
      <c r="A321" s="525"/>
      <c r="B321" s="583"/>
      <c r="C321" s="285" t="s">
        <v>3153</v>
      </c>
      <c r="D321" s="267"/>
      <c r="E321" s="25">
        <v>1</v>
      </c>
      <c r="F321" s="1181" t="s">
        <v>349</v>
      </c>
      <c r="G321" s="25">
        <v>6750</v>
      </c>
      <c r="H321" s="25">
        <f t="shared" si="38"/>
        <v>6310.62931725</v>
      </c>
      <c r="I321" s="25">
        <f t="shared" si="35"/>
        <v>6310.62931725</v>
      </c>
      <c r="J321" s="25">
        <v>2400</v>
      </c>
      <c r="K321" s="25">
        <f t="shared" si="37"/>
        <v>2243.7793127999998</v>
      </c>
      <c r="L321" s="25">
        <f t="shared" si="36"/>
        <v>2243.7793127999998</v>
      </c>
      <c r="M321" s="25">
        <f>I321+L321</f>
        <v>8554.4086300500003</v>
      </c>
      <c r="N321" s="605"/>
      <c r="O321" s="595">
        <v>0.93490804699999996</v>
      </c>
      <c r="Q321" s="423"/>
      <c r="R321" s="423"/>
      <c r="S321" s="423"/>
      <c r="T321" s="423"/>
      <c r="U321" s="423"/>
      <c r="V321" s="423"/>
      <c r="W321" s="423"/>
      <c r="X321" s="423"/>
      <c r="Y321" s="423"/>
      <c r="Z321" s="205"/>
    </row>
    <row r="322" spans="1:48" ht="18.95" customHeight="1">
      <c r="A322" s="525"/>
      <c r="B322" s="583"/>
      <c r="C322" s="285" t="s">
        <v>3154</v>
      </c>
      <c r="D322" s="267"/>
      <c r="E322" s="25">
        <v>27</v>
      </c>
      <c r="F322" s="1181" t="s">
        <v>349</v>
      </c>
      <c r="G322" s="25">
        <v>9000</v>
      </c>
      <c r="H322" s="25">
        <f t="shared" si="38"/>
        <v>8414.172423</v>
      </c>
      <c r="I322" s="25">
        <f t="shared" si="35"/>
        <v>227182.655421</v>
      </c>
      <c r="J322" s="25">
        <v>2700</v>
      </c>
      <c r="K322" s="25">
        <f t="shared" si="37"/>
        <v>2524.2517269</v>
      </c>
      <c r="L322" s="25">
        <f t="shared" si="36"/>
        <v>68154.796626299998</v>
      </c>
      <c r="M322" s="25">
        <f>I322+L322</f>
        <v>295337.4520473</v>
      </c>
      <c r="N322" s="605"/>
      <c r="O322" s="595">
        <v>0.93490804699999996</v>
      </c>
      <c r="Q322" s="423"/>
      <c r="R322" s="423"/>
      <c r="S322" s="423"/>
      <c r="T322" s="423"/>
      <c r="U322" s="423"/>
      <c r="V322" s="423"/>
      <c r="W322" s="423"/>
      <c r="X322" s="423"/>
      <c r="Y322" s="423"/>
      <c r="Z322" s="205"/>
    </row>
    <row r="323" spans="1:48" ht="18.95" customHeight="1">
      <c r="A323" s="525"/>
      <c r="B323" s="583">
        <v>4.1100000000000003</v>
      </c>
      <c r="C323" s="285" t="s">
        <v>3155</v>
      </c>
      <c r="D323" s="267"/>
      <c r="E323" s="25"/>
      <c r="F323" s="30"/>
      <c r="G323" s="25"/>
      <c r="H323" s="25"/>
      <c r="I323" s="25"/>
      <c r="J323" s="25"/>
      <c r="K323" s="25"/>
      <c r="L323" s="25"/>
      <c r="M323" s="25"/>
      <c r="N323" s="605"/>
      <c r="O323" s="595">
        <v>0.93490804699999996</v>
      </c>
      <c r="Q323" s="423"/>
      <c r="R323" s="423"/>
      <c r="S323" s="423"/>
      <c r="T323" s="423"/>
      <c r="U323" s="423"/>
      <c r="V323" s="423"/>
      <c r="W323" s="423"/>
      <c r="X323" s="423"/>
      <c r="Y323" s="423"/>
      <c r="Z323" s="205"/>
    </row>
    <row r="324" spans="1:48" ht="18.95" customHeight="1">
      <c r="A324" s="525"/>
      <c r="B324" s="583"/>
      <c r="C324" s="368" t="s">
        <v>3156</v>
      </c>
      <c r="D324" s="267"/>
      <c r="E324" s="25">
        <v>44</v>
      </c>
      <c r="F324" s="1181" t="s">
        <v>286</v>
      </c>
      <c r="G324" s="25">
        <v>310</v>
      </c>
      <c r="H324" s="25">
        <f t="shared" si="38"/>
        <v>289.82149456999997</v>
      </c>
      <c r="I324" s="25">
        <f t="shared" si="35"/>
        <v>12752.145761079999</v>
      </c>
      <c r="J324" s="25">
        <v>200</v>
      </c>
      <c r="K324" s="25">
        <f t="shared" si="37"/>
        <v>186.9816094</v>
      </c>
      <c r="L324" s="25">
        <f t="shared" si="36"/>
        <v>8227.1908136000002</v>
      </c>
      <c r="M324" s="25">
        <f>I324+L324</f>
        <v>20979.336574679997</v>
      </c>
      <c r="N324" s="605"/>
      <c r="O324" s="595">
        <v>0.93490804699999996</v>
      </c>
      <c r="Q324" s="423"/>
      <c r="R324" s="423"/>
      <c r="S324" s="423"/>
      <c r="T324" s="423"/>
      <c r="U324" s="423"/>
      <c r="V324" s="423"/>
      <c r="W324" s="423"/>
      <c r="X324" s="423"/>
      <c r="Y324" s="423"/>
      <c r="Z324" s="205"/>
    </row>
    <row r="325" spans="1:48" ht="18.95" customHeight="1">
      <c r="A325" s="115"/>
      <c r="B325" s="583"/>
      <c r="C325" s="368" t="s">
        <v>3131</v>
      </c>
      <c r="D325" s="267"/>
      <c r="E325" s="25">
        <v>80</v>
      </c>
      <c r="F325" s="1181" t="s">
        <v>286</v>
      </c>
      <c r="G325" s="25">
        <v>440</v>
      </c>
      <c r="H325" s="25">
        <f t="shared" si="38"/>
        <v>411.35954068000001</v>
      </c>
      <c r="I325" s="25">
        <f t="shared" si="35"/>
        <v>32908.763254400001</v>
      </c>
      <c r="J325" s="25">
        <v>300</v>
      </c>
      <c r="K325" s="25">
        <f t="shared" si="37"/>
        <v>280.47241409999998</v>
      </c>
      <c r="L325" s="25">
        <f t="shared" si="36"/>
        <v>22437.793127999998</v>
      </c>
      <c r="M325" s="25">
        <f>I325+L325</f>
        <v>55346.556382399998</v>
      </c>
      <c r="N325" s="605"/>
      <c r="O325" s="595">
        <v>0.93490804699999996</v>
      </c>
      <c r="Q325" s="423"/>
      <c r="R325" s="423"/>
      <c r="S325" s="423"/>
      <c r="T325" s="423"/>
      <c r="U325" s="423"/>
      <c r="V325" s="423"/>
      <c r="W325" s="423"/>
      <c r="X325" s="423"/>
      <c r="Y325" s="423"/>
      <c r="Z325" s="205"/>
    </row>
    <row r="326" spans="1:48" ht="18.95" customHeight="1">
      <c r="A326" s="115"/>
      <c r="B326" s="583"/>
      <c r="C326" s="368" t="s">
        <v>3130</v>
      </c>
      <c r="D326" s="267"/>
      <c r="E326" s="25">
        <v>105</v>
      </c>
      <c r="F326" s="1181" t="s">
        <v>286</v>
      </c>
      <c r="G326" s="25">
        <v>690</v>
      </c>
      <c r="H326" s="25">
        <f t="shared" si="38"/>
        <v>645.08655242999998</v>
      </c>
      <c r="I326" s="25">
        <f t="shared" si="35"/>
        <v>67734.088005149999</v>
      </c>
      <c r="J326" s="25">
        <v>400</v>
      </c>
      <c r="K326" s="25">
        <f t="shared" si="37"/>
        <v>373.96321879999999</v>
      </c>
      <c r="L326" s="25">
        <f t="shared" si="36"/>
        <v>39266.137973999997</v>
      </c>
      <c r="M326" s="25">
        <f>I326+L326</f>
        <v>107000.22597915</v>
      </c>
      <c r="N326" s="605"/>
      <c r="O326" s="595">
        <v>0.93490804699999996</v>
      </c>
      <c r="Q326" s="423"/>
      <c r="R326" s="423"/>
      <c r="S326" s="423"/>
      <c r="T326" s="423"/>
      <c r="U326" s="423"/>
      <c r="V326" s="423"/>
      <c r="W326" s="423"/>
      <c r="X326" s="423"/>
      <c r="Y326" s="423"/>
      <c r="Z326" s="205"/>
    </row>
    <row r="327" spans="1:48" ht="18.95" customHeight="1">
      <c r="A327" s="115"/>
      <c r="B327" s="583">
        <v>4.12</v>
      </c>
      <c r="C327" s="368" t="s">
        <v>3129</v>
      </c>
      <c r="D327" s="267"/>
      <c r="E327" s="25"/>
      <c r="F327" s="30"/>
      <c r="G327" s="25"/>
      <c r="H327" s="25"/>
      <c r="I327" s="25"/>
      <c r="J327" s="25"/>
      <c r="K327" s="25"/>
      <c r="L327" s="25"/>
      <c r="M327" s="25"/>
      <c r="N327" s="605"/>
      <c r="O327" s="595">
        <v>0.93490804699999996</v>
      </c>
      <c r="Q327" s="423"/>
      <c r="R327" s="423"/>
      <c r="S327" s="423"/>
      <c r="T327" s="423"/>
      <c r="U327" s="423"/>
      <c r="V327" s="423"/>
      <c r="W327" s="423"/>
      <c r="X327" s="423"/>
      <c r="Y327" s="423"/>
      <c r="Z327" s="205"/>
    </row>
    <row r="328" spans="1:48" ht="18.95" customHeight="1">
      <c r="A328" s="115"/>
      <c r="B328" s="582"/>
      <c r="C328" s="368" t="s">
        <v>3130</v>
      </c>
      <c r="D328" s="267"/>
      <c r="E328" s="25">
        <v>0</v>
      </c>
      <c r="F328" s="1181" t="s">
        <v>349</v>
      </c>
      <c r="G328" s="25">
        <v>15750</v>
      </c>
      <c r="H328" s="25">
        <f t="shared" si="38"/>
        <v>14724.801740249999</v>
      </c>
      <c r="I328" s="25">
        <f t="shared" si="35"/>
        <v>0</v>
      </c>
      <c r="J328" s="25">
        <v>1500</v>
      </c>
      <c r="K328" s="25">
        <f t="shared" si="37"/>
        <v>1402.3620704999998</v>
      </c>
      <c r="L328" s="25">
        <f t="shared" si="36"/>
        <v>0</v>
      </c>
      <c r="M328" s="25">
        <f>I328+L328</f>
        <v>0</v>
      </c>
      <c r="N328" s="605"/>
      <c r="O328" s="595">
        <v>0.93490804699999996</v>
      </c>
      <c r="Q328" s="601"/>
      <c r="R328" s="423"/>
      <c r="S328" s="601"/>
      <c r="T328" s="423"/>
      <c r="U328" s="423"/>
      <c r="V328" s="423"/>
      <c r="W328" s="423"/>
      <c r="X328" s="423"/>
      <c r="Y328" s="423"/>
      <c r="Z328" s="205"/>
    </row>
    <row r="329" spans="1:48" ht="18.95" customHeight="1">
      <c r="A329" s="115"/>
      <c r="B329" s="582"/>
      <c r="C329" s="368" t="s">
        <v>3131</v>
      </c>
      <c r="D329" s="267"/>
      <c r="E329" s="25">
        <v>10</v>
      </c>
      <c r="F329" s="1181" t="s">
        <v>349</v>
      </c>
      <c r="G329" s="25">
        <v>9960</v>
      </c>
      <c r="H329" s="25">
        <f t="shared" si="38"/>
        <v>9311.684148119999</v>
      </c>
      <c r="I329" s="25">
        <f t="shared" si="35"/>
        <v>93116.841481199983</v>
      </c>
      <c r="J329" s="25">
        <v>1500</v>
      </c>
      <c r="K329" s="25">
        <f t="shared" si="37"/>
        <v>1402.3620704999998</v>
      </c>
      <c r="L329" s="25">
        <f t="shared" si="36"/>
        <v>14023.620704999998</v>
      </c>
      <c r="M329" s="25">
        <f>I329+L329</f>
        <v>107140.46218619998</v>
      </c>
      <c r="N329" s="605"/>
      <c r="O329" s="595">
        <v>0.93490804699999996</v>
      </c>
      <c r="Q329" s="422"/>
      <c r="R329" s="423"/>
      <c r="S329" s="608"/>
      <c r="T329" s="597"/>
      <c r="U329" s="423"/>
      <c r="V329" s="423"/>
      <c r="W329" s="423"/>
      <c r="X329" s="423"/>
      <c r="Y329" s="423"/>
      <c r="Z329" s="205"/>
    </row>
    <row r="330" spans="1:48" ht="18.95" customHeight="1">
      <c r="A330" s="280"/>
      <c r="B330" s="1275" t="s">
        <v>2021</v>
      </c>
      <c r="C330" s="1276"/>
      <c r="D330" s="1277"/>
      <c r="E330" s="34"/>
      <c r="F330" s="102"/>
      <c r="G330" s="34"/>
      <c r="H330" s="25"/>
      <c r="I330" s="34">
        <f>SUM(I276:I329)</f>
        <v>2327575.9811680135</v>
      </c>
      <c r="J330" s="34"/>
      <c r="K330" s="25"/>
      <c r="L330" s="34">
        <f>SUM(L276:L329)</f>
        <v>547716.78619575559</v>
      </c>
      <c r="M330" s="34">
        <f>SUM(M276:M329)</f>
        <v>2875292.7673637685</v>
      </c>
      <c r="N330" s="21"/>
      <c r="O330" s="595">
        <v>0.93490804699999996</v>
      </c>
      <c r="Q330" s="423"/>
      <c r="R330" s="423"/>
      <c r="S330" s="423"/>
      <c r="T330" s="423"/>
      <c r="U330" s="423"/>
      <c r="V330" s="423"/>
      <c r="W330" s="423"/>
      <c r="X330" s="423"/>
      <c r="Y330" s="423"/>
      <c r="Z330" s="205"/>
    </row>
    <row r="331" spans="1:48" ht="18.95" customHeight="1">
      <c r="A331" s="523">
        <v>5</v>
      </c>
      <c r="B331" s="418" t="s">
        <v>3029</v>
      </c>
      <c r="C331" s="612"/>
      <c r="D331" s="301"/>
      <c r="E331" s="25"/>
      <c r="F331" s="30"/>
      <c r="G331" s="25"/>
      <c r="H331" s="25"/>
      <c r="I331" s="25"/>
      <c r="J331" s="25"/>
      <c r="K331" s="25"/>
      <c r="L331" s="25"/>
      <c r="M331" s="25"/>
      <c r="N331" s="21"/>
      <c r="O331" s="595">
        <v>0.93490804699999996</v>
      </c>
      <c r="Q331" s="423"/>
      <c r="R331" s="423"/>
      <c r="S331" s="423"/>
      <c r="T331" s="423"/>
      <c r="U331" s="423"/>
      <c r="V331" s="423"/>
      <c r="W331" s="423"/>
      <c r="X331" s="423"/>
      <c r="Y331" s="423"/>
      <c r="Z331" s="205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ht="18.95" customHeight="1">
      <c r="A332" s="268"/>
      <c r="B332" s="418" t="s">
        <v>2685</v>
      </c>
      <c r="C332" s="419"/>
      <c r="D332" s="267"/>
      <c r="E332" s="25"/>
      <c r="F332" s="30"/>
      <c r="G332" s="25"/>
      <c r="H332" s="25"/>
      <c r="I332" s="25"/>
      <c r="J332" s="25"/>
      <c r="K332" s="25"/>
      <c r="L332" s="25"/>
      <c r="M332" s="25"/>
      <c r="N332" s="21"/>
      <c r="O332" s="595">
        <v>0.93490804699999996</v>
      </c>
      <c r="Q332" s="423"/>
      <c r="R332" s="423"/>
      <c r="S332" s="423"/>
      <c r="T332" s="423"/>
      <c r="U332" s="423"/>
      <c r="V332" s="423"/>
      <c r="W332" s="423"/>
      <c r="X332" s="423"/>
      <c r="Y332" s="423"/>
      <c r="Z332" s="205"/>
    </row>
    <row r="333" spans="1:48" ht="18.95" customHeight="1">
      <c r="A333" s="525"/>
      <c r="B333" s="420">
        <v>5.0999999999999996</v>
      </c>
      <c r="C333" s="368" t="s">
        <v>3157</v>
      </c>
      <c r="D333" s="301"/>
      <c r="E333" s="25"/>
      <c r="F333" s="30"/>
      <c r="G333" s="25"/>
      <c r="H333" s="25"/>
      <c r="I333" s="25"/>
      <c r="J333" s="25"/>
      <c r="K333" s="25"/>
      <c r="L333" s="25"/>
      <c r="M333" s="25"/>
      <c r="N333" s="21"/>
      <c r="O333" s="595">
        <v>0.93490804699999996</v>
      </c>
      <c r="Q333" s="423"/>
      <c r="R333" s="423"/>
      <c r="S333" s="423"/>
      <c r="T333" s="423"/>
      <c r="U333" s="423"/>
      <c r="V333" s="423"/>
      <c r="W333" s="423"/>
      <c r="X333" s="423"/>
      <c r="Y333" s="423"/>
      <c r="Z333" s="205"/>
    </row>
    <row r="334" spans="1:48" ht="18.95" customHeight="1">
      <c r="A334" s="525"/>
      <c r="B334" s="421"/>
      <c r="C334" s="368" t="s">
        <v>3158</v>
      </c>
      <c r="D334" s="301"/>
      <c r="E334" s="25">
        <v>1</v>
      </c>
      <c r="F334" s="1181" t="s">
        <v>349</v>
      </c>
      <c r="G334" s="242"/>
      <c r="H334" s="25">
        <f t="shared" si="38"/>
        <v>0</v>
      </c>
      <c r="I334" s="25">
        <f t="shared" ref="I334:I396" si="42">E334*H334</f>
        <v>0</v>
      </c>
      <c r="J334" s="25">
        <v>20000</v>
      </c>
      <c r="K334" s="25">
        <f t="shared" si="37"/>
        <v>18698.160939999998</v>
      </c>
      <c r="L334" s="25">
        <f t="shared" ref="L334:L396" si="43">E334*K334</f>
        <v>18698.160939999998</v>
      </c>
      <c r="M334" s="242">
        <f>I334+L334</f>
        <v>18698.160939999998</v>
      </c>
      <c r="N334" s="21"/>
      <c r="O334" s="595">
        <v>0.93490804699999996</v>
      </c>
      <c r="Q334" s="608"/>
      <c r="R334" s="423"/>
      <c r="S334" s="608"/>
      <c r="T334" s="627"/>
      <c r="U334" s="428"/>
      <c r="V334" s="428"/>
      <c r="W334" s="428"/>
      <c r="X334" s="426"/>
      <c r="Y334" s="426"/>
      <c r="Z334" s="559"/>
    </row>
    <row r="335" spans="1:48" ht="18.95" customHeight="1">
      <c r="A335" s="525"/>
      <c r="B335" s="421"/>
      <c r="C335" s="368" t="s">
        <v>3159</v>
      </c>
      <c r="D335" s="301"/>
      <c r="E335" s="25">
        <v>1</v>
      </c>
      <c r="F335" s="1181" t="s">
        <v>349</v>
      </c>
      <c r="G335" s="242"/>
      <c r="H335" s="25">
        <f t="shared" si="38"/>
        <v>0</v>
      </c>
      <c r="I335" s="25">
        <f t="shared" si="42"/>
        <v>0</v>
      </c>
      <c r="J335" s="25">
        <v>10000</v>
      </c>
      <c r="K335" s="25">
        <f t="shared" si="37"/>
        <v>9349.080469999999</v>
      </c>
      <c r="L335" s="25">
        <f t="shared" si="43"/>
        <v>9349.080469999999</v>
      </c>
      <c r="M335" s="242">
        <f>I335+L335</f>
        <v>9349.080469999999</v>
      </c>
      <c r="N335" s="21"/>
      <c r="O335" s="595">
        <v>0.93490804699999996</v>
      </c>
      <c r="Q335" s="608"/>
      <c r="R335" s="423"/>
      <c r="S335" s="608"/>
      <c r="T335" s="627"/>
      <c r="U335" s="428"/>
      <c r="V335" s="428"/>
      <c r="W335" s="428"/>
      <c r="X335" s="423"/>
      <c r="Y335" s="423"/>
      <c r="Z335" s="205"/>
    </row>
    <row r="336" spans="1:48" ht="18.95" customHeight="1">
      <c r="A336" s="115"/>
      <c r="B336" s="418" t="s">
        <v>3033</v>
      </c>
      <c r="C336" s="285"/>
      <c r="D336" s="267"/>
      <c r="E336" s="25"/>
      <c r="F336" s="30"/>
      <c r="G336" s="30"/>
      <c r="H336" s="25"/>
      <c r="I336" s="25"/>
      <c r="J336" s="25"/>
      <c r="K336" s="25"/>
      <c r="L336" s="25"/>
      <c r="M336" s="25"/>
      <c r="N336" s="605"/>
      <c r="O336" s="595">
        <v>0.93490804699999996</v>
      </c>
      <c r="P336" s="596"/>
      <c r="Q336" s="428"/>
      <c r="R336" s="428"/>
      <c r="S336" s="428"/>
      <c r="T336" s="423"/>
      <c r="U336" s="426"/>
      <c r="V336" s="426"/>
      <c r="W336" s="426"/>
      <c r="X336" s="423"/>
      <c r="Y336" s="423"/>
      <c r="Z336" s="205"/>
    </row>
    <row r="337" spans="1:26" ht="18.95" customHeight="1">
      <c r="A337" s="525"/>
      <c r="B337" s="420">
        <v>5.2</v>
      </c>
      <c r="C337" s="368" t="s">
        <v>3160</v>
      </c>
      <c r="D337" s="301"/>
      <c r="E337" s="25"/>
      <c r="F337" s="30"/>
      <c r="G337" s="25"/>
      <c r="H337" s="25"/>
      <c r="I337" s="25"/>
      <c r="J337" s="25"/>
      <c r="K337" s="25"/>
      <c r="L337" s="25"/>
      <c r="M337" s="25"/>
      <c r="N337" s="21"/>
      <c r="O337" s="595">
        <v>0.93490804699999996</v>
      </c>
      <c r="Q337" s="423"/>
      <c r="R337" s="423"/>
      <c r="S337" s="423"/>
      <c r="T337" s="423"/>
      <c r="U337" s="423"/>
      <c r="V337" s="423"/>
      <c r="W337" s="423"/>
      <c r="X337" s="423"/>
      <c r="Y337" s="423"/>
      <c r="Z337" s="205"/>
    </row>
    <row r="338" spans="1:26" ht="18.95" customHeight="1">
      <c r="A338" s="525"/>
      <c r="B338" s="421"/>
      <c r="C338" s="368" t="s">
        <v>3161</v>
      </c>
      <c r="D338" s="301"/>
      <c r="E338" s="25"/>
      <c r="F338" s="30"/>
      <c r="G338" s="25"/>
      <c r="H338" s="25"/>
      <c r="I338" s="25"/>
      <c r="J338" s="25"/>
      <c r="K338" s="25"/>
      <c r="L338" s="25"/>
      <c r="M338" s="25"/>
      <c r="N338" s="21"/>
      <c r="O338" s="595">
        <v>0.93490804699999996</v>
      </c>
      <c r="Q338" s="423" t="s">
        <v>3034</v>
      </c>
      <c r="R338" s="423"/>
      <c r="S338" s="423"/>
      <c r="T338" s="423"/>
      <c r="U338" s="423"/>
      <c r="V338" s="423"/>
      <c r="W338" s="423"/>
      <c r="X338" s="423"/>
      <c r="Y338" s="423"/>
      <c r="Z338" s="205"/>
    </row>
    <row r="339" spans="1:26" ht="18.95" customHeight="1">
      <c r="A339" s="525"/>
      <c r="B339" s="421"/>
      <c r="C339" s="368" t="s">
        <v>3162</v>
      </c>
      <c r="D339" s="301"/>
      <c r="E339" s="25">
        <v>2996</v>
      </c>
      <c r="F339" s="1181" t="s">
        <v>286</v>
      </c>
      <c r="G339" s="25">
        <v>67.3</v>
      </c>
      <c r="H339" s="25">
        <f t="shared" si="38"/>
        <v>62.919311563099996</v>
      </c>
      <c r="I339" s="25">
        <f t="shared" si="42"/>
        <v>188506.25744304759</v>
      </c>
      <c r="J339" s="25">
        <v>45</v>
      </c>
      <c r="K339" s="25">
        <f t="shared" si="37"/>
        <v>42.070862114999997</v>
      </c>
      <c r="L339" s="25">
        <f t="shared" si="43"/>
        <v>126044.30289653999</v>
      </c>
      <c r="M339" s="25">
        <f t="shared" ref="M339:M348" si="44">I339+L339</f>
        <v>314550.56033958757</v>
      </c>
      <c r="N339" s="21"/>
      <c r="O339" s="595">
        <v>0.93490804699999996</v>
      </c>
      <c r="Q339" s="608"/>
      <c r="R339" s="423"/>
      <c r="S339" s="608"/>
      <c r="T339" s="600"/>
      <c r="U339" s="423"/>
      <c r="V339" s="423"/>
      <c r="W339" s="423"/>
      <c r="X339" s="423"/>
      <c r="Y339" s="423"/>
      <c r="Z339" s="205"/>
    </row>
    <row r="340" spans="1:26" ht="18.95" customHeight="1">
      <c r="A340" s="525"/>
      <c r="B340" s="421"/>
      <c r="C340" s="368" t="s">
        <v>3163</v>
      </c>
      <c r="D340" s="301"/>
      <c r="E340" s="25">
        <v>764</v>
      </c>
      <c r="F340" s="1181" t="s">
        <v>286</v>
      </c>
      <c r="G340" s="25">
        <v>91.83</v>
      </c>
      <c r="H340" s="25">
        <f t="shared" si="38"/>
        <v>85.852605956009995</v>
      </c>
      <c r="I340" s="25">
        <f t="shared" si="42"/>
        <v>65591.390950391637</v>
      </c>
      <c r="J340" s="25">
        <v>60</v>
      </c>
      <c r="K340" s="25">
        <f t="shared" si="37"/>
        <v>56.094482819999996</v>
      </c>
      <c r="L340" s="25">
        <f t="shared" si="43"/>
        <v>42856.184874479994</v>
      </c>
      <c r="M340" s="25">
        <f t="shared" si="44"/>
        <v>108447.57582487163</v>
      </c>
      <c r="N340" s="21"/>
      <c r="O340" s="595">
        <v>0.93490804699999996</v>
      </c>
      <c r="Q340" s="608"/>
      <c r="R340" s="423"/>
      <c r="S340" s="608"/>
      <c r="T340" s="600"/>
      <c r="U340" s="423"/>
      <c r="V340" s="423"/>
      <c r="W340" s="423"/>
      <c r="X340" s="423"/>
      <c r="Y340" s="423"/>
      <c r="Z340" s="205"/>
    </row>
    <row r="341" spans="1:26" ht="18.95" customHeight="1">
      <c r="A341" s="525"/>
      <c r="B341" s="421"/>
      <c r="C341" s="368" t="s">
        <v>3065</v>
      </c>
      <c r="D341" s="301"/>
      <c r="E341" s="25">
        <v>711</v>
      </c>
      <c r="F341" s="1181" t="s">
        <v>286</v>
      </c>
      <c r="G341" s="25">
        <v>106.33</v>
      </c>
      <c r="H341" s="25">
        <f t="shared" si="38"/>
        <v>99.408772637509998</v>
      </c>
      <c r="I341" s="25">
        <f t="shared" si="42"/>
        <v>70679.637345269613</v>
      </c>
      <c r="J341" s="25">
        <v>70</v>
      </c>
      <c r="K341" s="25">
        <f t="shared" si="37"/>
        <v>65.44356329</v>
      </c>
      <c r="L341" s="25">
        <f t="shared" si="43"/>
        <v>46530.373499189998</v>
      </c>
      <c r="M341" s="25">
        <f t="shared" si="44"/>
        <v>117210.01084445961</v>
      </c>
      <c r="N341" s="21"/>
      <c r="O341" s="595">
        <v>0.93490804699999996</v>
      </c>
      <c r="Q341" s="608"/>
      <c r="R341" s="423"/>
      <c r="S341" s="608"/>
      <c r="T341" s="600"/>
      <c r="U341" s="423"/>
      <c r="V341" s="423"/>
      <c r="W341" s="423"/>
      <c r="X341" s="423"/>
      <c r="Y341" s="423"/>
      <c r="Z341" s="205"/>
    </row>
    <row r="342" spans="1:26" ht="18.95" customHeight="1">
      <c r="A342" s="525"/>
      <c r="B342" s="421"/>
      <c r="C342" s="368" t="s">
        <v>3061</v>
      </c>
      <c r="D342" s="301"/>
      <c r="E342" s="25">
        <v>548</v>
      </c>
      <c r="F342" s="1181" t="s">
        <v>286</v>
      </c>
      <c r="G342" s="25">
        <v>145</v>
      </c>
      <c r="H342" s="25">
        <f t="shared" si="38"/>
        <v>135.561666815</v>
      </c>
      <c r="I342" s="25">
        <f t="shared" si="42"/>
        <v>74287.793414619999</v>
      </c>
      <c r="J342" s="25">
        <v>95</v>
      </c>
      <c r="K342" s="25">
        <f t="shared" si="37"/>
        <v>88.816264465000003</v>
      </c>
      <c r="L342" s="25">
        <f t="shared" si="43"/>
        <v>48671.312926819999</v>
      </c>
      <c r="M342" s="25">
        <f t="shared" si="44"/>
        <v>122959.10634144</v>
      </c>
      <c r="N342" s="21"/>
      <c r="O342" s="595">
        <v>0.93490804699999996</v>
      </c>
      <c r="Q342" s="608"/>
      <c r="R342" s="423"/>
      <c r="S342" s="608"/>
      <c r="T342" s="600"/>
      <c r="U342" s="423"/>
      <c r="V342" s="423"/>
      <c r="W342" s="423"/>
      <c r="X342" s="423"/>
      <c r="Y342" s="423"/>
      <c r="Z342" s="205"/>
    </row>
    <row r="343" spans="1:26" ht="18.95" customHeight="1">
      <c r="A343" s="525"/>
      <c r="B343" s="421"/>
      <c r="C343" s="368" t="s">
        <v>3062</v>
      </c>
      <c r="D343" s="301"/>
      <c r="E343" s="25">
        <v>393</v>
      </c>
      <c r="F343" s="1181" t="s">
        <v>286</v>
      </c>
      <c r="G343" s="25">
        <v>231.67</v>
      </c>
      <c r="H343" s="25">
        <f t="shared" si="38"/>
        <v>216.59014724848998</v>
      </c>
      <c r="I343" s="25">
        <f t="shared" si="42"/>
        <v>85119.927868656567</v>
      </c>
      <c r="J343" s="25">
        <v>150</v>
      </c>
      <c r="K343" s="25">
        <f t="shared" si="37"/>
        <v>140.23620704999999</v>
      </c>
      <c r="L343" s="25">
        <f t="shared" si="43"/>
        <v>55112.829370649997</v>
      </c>
      <c r="M343" s="25">
        <f t="shared" si="44"/>
        <v>140232.75723930658</v>
      </c>
      <c r="N343" s="21"/>
      <c r="O343" s="595">
        <v>0.93490804699999996</v>
      </c>
      <c r="Q343" s="608"/>
      <c r="R343" s="423"/>
      <c r="S343" s="608"/>
      <c r="T343" s="600"/>
      <c r="U343" s="423"/>
      <c r="V343" s="423"/>
      <c r="W343" s="423"/>
      <c r="X343" s="423"/>
      <c r="Y343" s="423"/>
      <c r="Z343" s="205"/>
    </row>
    <row r="344" spans="1:26" ht="18.95" customHeight="1">
      <c r="A344" s="525"/>
      <c r="B344" s="421"/>
      <c r="C344" s="368" t="s">
        <v>3053</v>
      </c>
      <c r="D344" s="301"/>
      <c r="E344" s="25">
        <v>244</v>
      </c>
      <c r="F344" s="1181" t="s">
        <v>286</v>
      </c>
      <c r="G344" s="25">
        <v>297.33</v>
      </c>
      <c r="H344" s="25">
        <f t="shared" si="38"/>
        <v>277.97620961450997</v>
      </c>
      <c r="I344" s="25">
        <f t="shared" si="42"/>
        <v>67826.195145940437</v>
      </c>
      <c r="J344" s="25">
        <v>200</v>
      </c>
      <c r="K344" s="25">
        <f t="shared" ref="K344:K407" si="45">J344*O344</f>
        <v>186.9816094</v>
      </c>
      <c r="L344" s="25">
        <f t="shared" si="43"/>
        <v>45623.512693600002</v>
      </c>
      <c r="M344" s="25">
        <f t="shared" si="44"/>
        <v>113449.70783954044</v>
      </c>
      <c r="N344" s="21"/>
      <c r="O344" s="595">
        <v>0.93490804699999996</v>
      </c>
      <c r="Q344" s="608"/>
      <c r="R344" s="423"/>
      <c r="S344" s="608"/>
      <c r="T344" s="600"/>
      <c r="U344" s="423"/>
      <c r="V344" s="423"/>
      <c r="W344" s="423"/>
      <c r="X344" s="423"/>
      <c r="Y344" s="423"/>
      <c r="Z344" s="205"/>
    </row>
    <row r="345" spans="1:26" ht="18.95" customHeight="1">
      <c r="A345" s="525"/>
      <c r="B345" s="421"/>
      <c r="C345" s="368" t="s">
        <v>3054</v>
      </c>
      <c r="D345" s="301"/>
      <c r="E345" s="25">
        <v>974</v>
      </c>
      <c r="F345" s="1181" t="s">
        <v>286</v>
      </c>
      <c r="G345" s="25">
        <v>428.33</v>
      </c>
      <c r="H345" s="25">
        <f t="shared" si="38"/>
        <v>400.44916377150997</v>
      </c>
      <c r="I345" s="25">
        <f t="shared" si="42"/>
        <v>390037.48551345069</v>
      </c>
      <c r="J345" s="25">
        <v>280</v>
      </c>
      <c r="K345" s="25">
        <f t="shared" si="45"/>
        <v>261.77425316</v>
      </c>
      <c r="L345" s="25">
        <f t="shared" si="43"/>
        <v>254968.12257784</v>
      </c>
      <c r="M345" s="25">
        <f t="shared" si="44"/>
        <v>645005.60809129069</v>
      </c>
      <c r="N345" s="21"/>
      <c r="O345" s="595">
        <v>0.93490804699999996</v>
      </c>
      <c r="Q345" s="608"/>
      <c r="R345" s="423"/>
      <c r="S345" s="608"/>
      <c r="T345" s="600"/>
      <c r="U345" s="423"/>
      <c r="V345" s="423"/>
      <c r="W345" s="423"/>
      <c r="X345" s="423"/>
      <c r="Y345" s="423"/>
      <c r="Z345" s="205"/>
    </row>
    <row r="346" spans="1:26" ht="18.95" customHeight="1">
      <c r="A346" s="525"/>
      <c r="B346" s="421"/>
      <c r="C346" s="368" t="s">
        <v>3164</v>
      </c>
      <c r="D346" s="301"/>
      <c r="E346" s="25">
        <v>0</v>
      </c>
      <c r="F346" s="1181" t="s">
        <v>286</v>
      </c>
      <c r="G346" s="25">
        <v>633</v>
      </c>
      <c r="H346" s="25">
        <f t="shared" si="38"/>
        <v>591.796793751</v>
      </c>
      <c r="I346" s="25">
        <f t="shared" si="42"/>
        <v>0</v>
      </c>
      <c r="J346" s="25">
        <v>400</v>
      </c>
      <c r="K346" s="25">
        <f t="shared" si="45"/>
        <v>373.96321879999999</v>
      </c>
      <c r="L346" s="25">
        <f t="shared" si="43"/>
        <v>0</v>
      </c>
      <c r="M346" s="25">
        <f t="shared" si="44"/>
        <v>0</v>
      </c>
      <c r="N346" s="21"/>
      <c r="O346" s="595">
        <v>0.93490804699999996</v>
      </c>
      <c r="Q346" s="608"/>
      <c r="R346" s="423"/>
      <c r="S346" s="423"/>
      <c r="T346" s="600"/>
      <c r="U346" s="423"/>
      <c r="V346" s="423"/>
      <c r="W346" s="423"/>
      <c r="X346" s="423"/>
      <c r="Y346" s="423"/>
      <c r="Z346" s="205"/>
    </row>
    <row r="347" spans="1:26" ht="18.95" customHeight="1">
      <c r="A347" s="525"/>
      <c r="B347" s="421"/>
      <c r="C347" s="368" t="s">
        <v>3089</v>
      </c>
      <c r="D347" s="301"/>
      <c r="E347" s="25">
        <v>560</v>
      </c>
      <c r="F347" s="1181" t="s">
        <v>286</v>
      </c>
      <c r="G347" s="25">
        <v>733.33</v>
      </c>
      <c r="H347" s="25">
        <f t="shared" si="38"/>
        <v>685.59611810651006</v>
      </c>
      <c r="I347" s="25">
        <f t="shared" si="42"/>
        <v>383933.82613964565</v>
      </c>
      <c r="J347" s="25">
        <v>500</v>
      </c>
      <c r="K347" s="25">
        <f t="shared" si="45"/>
        <v>467.45402350000001</v>
      </c>
      <c r="L347" s="25">
        <f t="shared" si="43"/>
        <v>261774.25315999999</v>
      </c>
      <c r="M347" s="25">
        <f t="shared" si="44"/>
        <v>645708.07929964561</v>
      </c>
      <c r="N347" s="21"/>
      <c r="O347" s="595">
        <v>0.93490804699999996</v>
      </c>
      <c r="Q347" s="608"/>
      <c r="R347" s="423"/>
      <c r="S347" s="608"/>
      <c r="T347" s="600"/>
      <c r="U347" s="423"/>
      <c r="V347" s="423"/>
      <c r="W347" s="423"/>
      <c r="X347" s="423"/>
      <c r="Y347" s="423"/>
      <c r="Z347" s="205"/>
    </row>
    <row r="348" spans="1:26" ht="18.95" customHeight="1">
      <c r="A348" s="525"/>
      <c r="B348" s="421"/>
      <c r="C348" s="368" t="s">
        <v>3126</v>
      </c>
      <c r="D348" s="301"/>
      <c r="E348" s="25">
        <v>24</v>
      </c>
      <c r="F348" s="1181" t="s">
        <v>286</v>
      </c>
      <c r="G348" s="25">
        <v>1135.83</v>
      </c>
      <c r="H348" s="25">
        <f t="shared" ref="H348:H411" si="46">G348*O348</f>
        <v>1061.8966070240099</v>
      </c>
      <c r="I348" s="25">
        <f t="shared" si="42"/>
        <v>25485.518568576237</v>
      </c>
      <c r="J348" s="25">
        <v>600</v>
      </c>
      <c r="K348" s="25">
        <f t="shared" si="45"/>
        <v>560.94482819999996</v>
      </c>
      <c r="L348" s="25">
        <f t="shared" si="43"/>
        <v>13462.6758768</v>
      </c>
      <c r="M348" s="25">
        <f t="shared" si="44"/>
        <v>38948.194445376241</v>
      </c>
      <c r="N348" s="21"/>
      <c r="O348" s="595">
        <v>0.93490804699999996</v>
      </c>
      <c r="Q348" s="608"/>
      <c r="R348" s="423"/>
      <c r="S348" s="608"/>
      <c r="T348" s="600"/>
      <c r="U348" s="423"/>
      <c r="V348" s="423"/>
      <c r="W348" s="423"/>
      <c r="X348" s="423"/>
      <c r="Y348" s="423"/>
      <c r="Z348" s="205"/>
    </row>
    <row r="349" spans="1:26" ht="18.95" customHeight="1">
      <c r="A349" s="525"/>
      <c r="B349" s="582">
        <v>5.3</v>
      </c>
      <c r="C349" s="368" t="s">
        <v>3165</v>
      </c>
      <c r="D349" s="301"/>
      <c r="E349" s="25"/>
      <c r="F349" s="30"/>
      <c r="G349" s="25"/>
      <c r="H349" s="25"/>
      <c r="I349" s="25"/>
      <c r="J349" s="25"/>
      <c r="K349" s="25"/>
      <c r="L349" s="25"/>
      <c r="M349" s="25"/>
      <c r="N349" s="21"/>
      <c r="O349" s="595">
        <v>0.93490804699999996</v>
      </c>
      <c r="Q349" s="423"/>
      <c r="R349" s="423"/>
      <c r="S349" s="423"/>
      <c r="T349" s="423"/>
      <c r="U349" s="423"/>
      <c r="V349" s="423"/>
      <c r="W349" s="423"/>
      <c r="X349" s="423"/>
      <c r="Y349" s="423"/>
      <c r="Z349" s="205"/>
    </row>
    <row r="350" spans="1:26" ht="18.95" customHeight="1">
      <c r="A350" s="525"/>
      <c r="B350" s="421"/>
      <c r="C350" s="368" t="s">
        <v>3166</v>
      </c>
      <c r="D350" s="301"/>
      <c r="E350" s="25">
        <v>90</v>
      </c>
      <c r="F350" s="1181" t="s">
        <v>286</v>
      </c>
      <c r="G350" s="25">
        <v>1037.3</v>
      </c>
      <c r="H350" s="25">
        <f t="shared" si="46"/>
        <v>969.78011715309992</v>
      </c>
      <c r="I350" s="25">
        <f t="shared" si="42"/>
        <v>87280.210543778987</v>
      </c>
      <c r="J350" s="25">
        <v>250</v>
      </c>
      <c r="K350" s="25">
        <f t="shared" si="45"/>
        <v>233.72701175</v>
      </c>
      <c r="L350" s="25">
        <f t="shared" si="43"/>
        <v>21035.431057500002</v>
      </c>
      <c r="M350" s="25">
        <f>I350+L350</f>
        <v>108315.64160127899</v>
      </c>
      <c r="N350" s="605"/>
      <c r="O350" s="595">
        <v>0.93490804699999996</v>
      </c>
      <c r="Q350" s="423"/>
      <c r="R350" s="423"/>
      <c r="S350" s="423"/>
      <c r="T350" s="423"/>
      <c r="U350" s="423"/>
      <c r="V350" s="423"/>
      <c r="W350" s="423"/>
      <c r="X350" s="423"/>
      <c r="Y350" s="423"/>
      <c r="Z350" s="205"/>
    </row>
    <row r="351" spans="1:26" ht="18.95" customHeight="1">
      <c r="A351" s="525"/>
      <c r="B351" s="421"/>
      <c r="C351" s="368" t="s">
        <v>3167</v>
      </c>
      <c r="D351" s="301"/>
      <c r="E351" s="25"/>
      <c r="F351" s="1181" t="s">
        <v>286</v>
      </c>
      <c r="G351" s="25">
        <v>1276.8</v>
      </c>
      <c r="H351" s="25">
        <f t="shared" si="46"/>
        <v>1193.6905944096</v>
      </c>
      <c r="I351" s="25">
        <f t="shared" si="42"/>
        <v>0</v>
      </c>
      <c r="J351" s="25">
        <v>350</v>
      </c>
      <c r="K351" s="25">
        <f t="shared" si="45"/>
        <v>327.21781644999999</v>
      </c>
      <c r="L351" s="25">
        <f t="shared" si="43"/>
        <v>0</v>
      </c>
      <c r="M351" s="25">
        <f>I351+L351</f>
        <v>0</v>
      </c>
      <c r="N351" s="605"/>
      <c r="O351" s="595">
        <v>0.93490804699999996</v>
      </c>
      <c r="Q351" s="423"/>
      <c r="R351" s="423"/>
      <c r="S351" s="423"/>
      <c r="T351" s="423"/>
      <c r="U351" s="423"/>
      <c r="V351" s="423"/>
      <c r="W351" s="423"/>
      <c r="X351" s="423"/>
      <c r="Y351" s="423"/>
      <c r="Z351" s="205"/>
    </row>
    <row r="352" spans="1:26" ht="18.95" customHeight="1">
      <c r="A352" s="525"/>
      <c r="B352" s="420">
        <v>5.4</v>
      </c>
      <c r="C352" s="368" t="s">
        <v>3168</v>
      </c>
      <c r="D352" s="301"/>
      <c r="E352" s="25"/>
      <c r="F352" s="30"/>
      <c r="G352" s="25"/>
      <c r="H352" s="25"/>
      <c r="I352" s="25"/>
      <c r="J352" s="25"/>
      <c r="K352" s="25"/>
      <c r="L352" s="25"/>
      <c r="M352" s="25"/>
      <c r="N352" s="605"/>
      <c r="O352" s="595">
        <v>0.93490804699999996</v>
      </c>
      <c r="Q352" s="423"/>
      <c r="R352" s="423"/>
      <c r="S352" s="423"/>
      <c r="T352" s="423"/>
      <c r="U352" s="423"/>
      <c r="V352" s="423"/>
      <c r="W352" s="423"/>
      <c r="X352" s="423"/>
      <c r="Y352" s="423"/>
      <c r="Z352" s="205"/>
    </row>
    <row r="353" spans="1:26" ht="18.95" customHeight="1">
      <c r="A353" s="115"/>
      <c r="B353" s="421"/>
      <c r="C353" s="368" t="s">
        <v>3162</v>
      </c>
      <c r="D353" s="301"/>
      <c r="E353" s="25">
        <v>61</v>
      </c>
      <c r="F353" s="1181" t="s">
        <v>286</v>
      </c>
      <c r="G353" s="25">
        <v>93.245000000000005</v>
      </c>
      <c r="H353" s="25">
        <f t="shared" si="46"/>
        <v>87.175500842515007</v>
      </c>
      <c r="I353" s="25">
        <f t="shared" si="42"/>
        <v>5317.7055513934156</v>
      </c>
      <c r="J353" s="25">
        <v>50</v>
      </c>
      <c r="K353" s="25">
        <f t="shared" si="45"/>
        <v>46.745402349999999</v>
      </c>
      <c r="L353" s="25">
        <f t="shared" si="43"/>
        <v>2851.4695433500001</v>
      </c>
      <c r="M353" s="25">
        <f t="shared" ref="M353:M357" si="47">I353+L353</f>
        <v>8169.1750947434157</v>
      </c>
      <c r="N353" s="605"/>
      <c r="O353" s="595">
        <v>0.93490804699999996</v>
      </c>
      <c r="Q353" s="422" t="s">
        <v>3038</v>
      </c>
      <c r="R353" s="423"/>
      <c r="S353" s="423"/>
      <c r="T353" s="423"/>
      <c r="U353" s="423"/>
      <c r="V353" s="423"/>
      <c r="W353" s="423"/>
      <c r="X353" s="423"/>
      <c r="Y353" s="423"/>
      <c r="Z353" s="205"/>
    </row>
    <row r="354" spans="1:26" ht="18.95" customHeight="1">
      <c r="A354" s="525"/>
      <c r="B354" s="421"/>
      <c r="C354" s="368" t="s">
        <v>3061</v>
      </c>
      <c r="D354" s="301"/>
      <c r="E354" s="25">
        <v>37</v>
      </c>
      <c r="F354" s="1181" t="s">
        <v>286</v>
      </c>
      <c r="G354" s="25">
        <v>194.31</v>
      </c>
      <c r="H354" s="25">
        <f t="shared" si="46"/>
        <v>181.66198261257</v>
      </c>
      <c r="I354" s="25">
        <f t="shared" si="42"/>
        <v>6721.4933566650898</v>
      </c>
      <c r="J354" s="25">
        <v>110</v>
      </c>
      <c r="K354" s="25">
        <f t="shared" si="45"/>
        <v>102.83988517</v>
      </c>
      <c r="L354" s="25">
        <f t="shared" si="43"/>
        <v>3805.07575129</v>
      </c>
      <c r="M354" s="25">
        <f t="shared" si="47"/>
        <v>10526.569107955089</v>
      </c>
      <c r="N354" s="605"/>
      <c r="O354" s="595">
        <v>0.93490804699999996</v>
      </c>
      <c r="Q354" s="422" t="s">
        <v>3038</v>
      </c>
      <c r="R354" s="423"/>
      <c r="S354" s="423"/>
      <c r="T354" s="423"/>
      <c r="U354" s="423"/>
      <c r="V354" s="423"/>
      <c r="W354" s="423"/>
      <c r="X354" s="423"/>
      <c r="Y354" s="423"/>
      <c r="Z354" s="205"/>
    </row>
    <row r="355" spans="1:26" ht="18.95" customHeight="1">
      <c r="A355" s="115"/>
      <c r="B355" s="420">
        <v>5.5</v>
      </c>
      <c r="C355" s="368" t="s">
        <v>3048</v>
      </c>
      <c r="D355" s="301"/>
      <c r="E355" s="25">
        <v>1</v>
      </c>
      <c r="F355" s="1181" t="s">
        <v>2193</v>
      </c>
      <c r="G355" s="25">
        <v>620719</v>
      </c>
      <c r="H355" s="25">
        <f t="shared" si="46"/>
        <v>580315.18802579294</v>
      </c>
      <c r="I355" s="25">
        <f t="shared" si="42"/>
        <v>580315.18802579294</v>
      </c>
      <c r="J355" s="25">
        <v>186216</v>
      </c>
      <c r="K355" s="25">
        <f t="shared" si="45"/>
        <v>174094.836880152</v>
      </c>
      <c r="L355" s="25">
        <f t="shared" si="43"/>
        <v>174094.836880152</v>
      </c>
      <c r="M355" s="25">
        <f t="shared" si="47"/>
        <v>754410.02490594494</v>
      </c>
      <c r="N355" s="21"/>
      <c r="O355" s="595">
        <v>0.93490804699999996</v>
      </c>
      <c r="Q355" s="423"/>
      <c r="R355" s="423"/>
      <c r="S355" s="423"/>
      <c r="T355" s="423"/>
      <c r="U355" s="423"/>
      <c r="V355" s="423"/>
      <c r="W355" s="423"/>
      <c r="X355" s="423"/>
      <c r="Y355" s="423"/>
      <c r="Z355" s="205"/>
    </row>
    <row r="356" spans="1:26" ht="18.95" customHeight="1">
      <c r="A356" s="115"/>
      <c r="B356" s="420">
        <v>5.6</v>
      </c>
      <c r="C356" s="368" t="s">
        <v>3049</v>
      </c>
      <c r="D356" s="301"/>
      <c r="E356" s="25">
        <v>1</v>
      </c>
      <c r="F356" s="1181" t="s">
        <v>2193</v>
      </c>
      <c r="G356" s="25">
        <v>310360</v>
      </c>
      <c r="H356" s="25">
        <f t="shared" si="46"/>
        <v>290158.06146692001</v>
      </c>
      <c r="I356" s="25">
        <f t="shared" si="42"/>
        <v>290158.06146692001</v>
      </c>
      <c r="J356" s="25">
        <v>93108</v>
      </c>
      <c r="K356" s="25">
        <f t="shared" si="45"/>
        <v>87047.418440075999</v>
      </c>
      <c r="L356" s="25">
        <f t="shared" si="43"/>
        <v>87047.418440075999</v>
      </c>
      <c r="M356" s="25">
        <f t="shared" si="47"/>
        <v>377205.47990699601</v>
      </c>
      <c r="N356" s="21"/>
      <c r="O356" s="595">
        <v>0.93490804699999996</v>
      </c>
      <c r="Q356" s="423"/>
      <c r="R356" s="423"/>
      <c r="S356" s="423"/>
      <c r="T356" s="423"/>
      <c r="U356" s="423"/>
      <c r="V356" s="423"/>
      <c r="W356" s="423"/>
      <c r="X356" s="423"/>
      <c r="Y356" s="423"/>
      <c r="Z356" s="205"/>
    </row>
    <row r="357" spans="1:26" ht="18.95" customHeight="1">
      <c r="A357" s="115"/>
      <c r="B357" s="420">
        <v>5.7</v>
      </c>
      <c r="C357" s="368" t="s">
        <v>3050</v>
      </c>
      <c r="D357" s="301"/>
      <c r="E357" s="25">
        <v>1</v>
      </c>
      <c r="F357" s="1181" t="s">
        <v>2193</v>
      </c>
      <c r="G357" s="25">
        <v>155180</v>
      </c>
      <c r="H357" s="25">
        <f t="shared" si="46"/>
        <v>145079.03073346001</v>
      </c>
      <c r="I357" s="25">
        <f t="shared" si="42"/>
        <v>145079.03073346001</v>
      </c>
      <c r="J357" s="25">
        <v>46554</v>
      </c>
      <c r="K357" s="25">
        <f t="shared" si="45"/>
        <v>43523.709220037999</v>
      </c>
      <c r="L357" s="25">
        <f t="shared" si="43"/>
        <v>43523.709220037999</v>
      </c>
      <c r="M357" s="25">
        <f t="shared" si="47"/>
        <v>188602.73995349801</v>
      </c>
      <c r="N357" s="21"/>
      <c r="O357" s="595">
        <v>0.93490804699999996</v>
      </c>
      <c r="Q357" s="423"/>
      <c r="R357" s="423"/>
      <c r="S357" s="423"/>
      <c r="T357" s="423"/>
      <c r="U357" s="423"/>
      <c r="V357" s="423"/>
      <c r="W357" s="423"/>
      <c r="X357" s="423"/>
      <c r="Y357" s="423"/>
      <c r="Z357" s="205"/>
    </row>
    <row r="358" spans="1:26" ht="18.95" customHeight="1">
      <c r="A358" s="115"/>
      <c r="B358" s="420"/>
      <c r="C358" s="368"/>
      <c r="D358" s="301"/>
      <c r="E358" s="25"/>
      <c r="F358" s="30"/>
      <c r="G358" s="25"/>
      <c r="H358" s="25"/>
      <c r="I358" s="25"/>
      <c r="J358" s="25"/>
      <c r="K358" s="25"/>
      <c r="L358" s="25"/>
      <c r="M358" s="25"/>
      <c r="N358" s="21"/>
      <c r="O358" s="595">
        <v>0.93490804699999996</v>
      </c>
      <c r="Q358" s="423"/>
      <c r="R358" s="423"/>
      <c r="S358" s="423"/>
      <c r="T358" s="601"/>
      <c r="U358" s="423"/>
      <c r="V358" s="423"/>
      <c r="W358" s="423"/>
      <c r="X358" s="423"/>
      <c r="Y358" s="423"/>
      <c r="Z358" s="205"/>
    </row>
    <row r="359" spans="1:26" ht="18.95" customHeight="1">
      <c r="A359" s="525"/>
      <c r="B359" s="418" t="s">
        <v>3051</v>
      </c>
      <c r="C359" s="285"/>
      <c r="D359" s="267"/>
      <c r="E359" s="25"/>
      <c r="F359" s="30"/>
      <c r="G359" s="25"/>
      <c r="H359" s="25"/>
      <c r="I359" s="25"/>
      <c r="J359" s="25"/>
      <c r="K359" s="25"/>
      <c r="L359" s="25"/>
      <c r="M359" s="25"/>
      <c r="N359" s="605"/>
      <c r="O359" s="595">
        <v>0.93490804699999996</v>
      </c>
      <c r="P359" s="596"/>
      <c r="Q359" s="428"/>
      <c r="R359" s="428"/>
      <c r="S359" s="428"/>
      <c r="T359" s="423"/>
      <c r="U359" s="423"/>
      <c r="V359" s="423"/>
      <c r="W359" s="423"/>
      <c r="X359" s="423"/>
      <c r="Y359" s="423"/>
      <c r="Z359" s="205"/>
    </row>
    <row r="360" spans="1:26" ht="18.95" customHeight="1">
      <c r="A360" s="21"/>
      <c r="B360" s="420">
        <v>5.8</v>
      </c>
      <c r="C360" s="368" t="s">
        <v>3169</v>
      </c>
      <c r="D360" s="301"/>
      <c r="E360" s="25"/>
      <c r="F360" s="30"/>
      <c r="G360" s="25"/>
      <c r="H360" s="25"/>
      <c r="I360" s="25"/>
      <c r="J360" s="25"/>
      <c r="K360" s="25"/>
      <c r="L360" s="25"/>
      <c r="M360" s="25"/>
      <c r="N360" s="21"/>
      <c r="O360" s="595">
        <v>0.93490804699999996</v>
      </c>
      <c r="P360" s="596"/>
      <c r="Q360" s="428"/>
      <c r="R360" s="428"/>
      <c r="S360" s="428"/>
      <c r="T360" s="601"/>
      <c r="U360" s="423"/>
      <c r="V360" s="423"/>
      <c r="W360" s="423"/>
      <c r="X360" s="423"/>
      <c r="Y360" s="423"/>
      <c r="Z360" s="205"/>
    </row>
    <row r="361" spans="1:26" ht="18.95" customHeight="1">
      <c r="A361" s="21"/>
      <c r="B361" s="421"/>
      <c r="C361" s="368" t="s">
        <v>3170</v>
      </c>
      <c r="D361" s="301"/>
      <c r="E361" s="25">
        <v>542</v>
      </c>
      <c r="F361" s="1181" t="s">
        <v>349</v>
      </c>
      <c r="G361" s="25">
        <v>140</v>
      </c>
      <c r="H361" s="25">
        <f t="shared" si="46"/>
        <v>130.88712658</v>
      </c>
      <c r="I361" s="25">
        <f t="shared" si="42"/>
        <v>70940.822606360001</v>
      </c>
      <c r="J361" s="25">
        <v>50</v>
      </c>
      <c r="K361" s="25">
        <f t="shared" si="45"/>
        <v>46.745402349999999</v>
      </c>
      <c r="L361" s="25">
        <f t="shared" si="43"/>
        <v>25336.008073699999</v>
      </c>
      <c r="M361" s="25">
        <f>I361+L361</f>
        <v>96276.830680059997</v>
      </c>
      <c r="N361" s="21"/>
      <c r="O361" s="595">
        <v>0.93490804699999996</v>
      </c>
      <c r="Q361" s="422"/>
      <c r="R361" s="422"/>
      <c r="S361" s="422"/>
      <c r="T361" s="598"/>
      <c r="U361" s="428"/>
      <c r="V361" s="422"/>
      <c r="W361" s="423"/>
      <c r="X361" s="428"/>
      <c r="Y361" s="423"/>
      <c r="Z361" s="205"/>
    </row>
    <row r="362" spans="1:26" ht="18.95" customHeight="1">
      <c r="A362" s="21"/>
      <c r="B362" s="421"/>
      <c r="C362" s="368" t="s">
        <v>3171</v>
      </c>
      <c r="D362" s="301"/>
      <c r="E362" s="25">
        <v>80</v>
      </c>
      <c r="F362" s="1181" t="s">
        <v>349</v>
      </c>
      <c r="G362" s="25">
        <v>140</v>
      </c>
      <c r="H362" s="25">
        <f t="shared" si="46"/>
        <v>130.88712658</v>
      </c>
      <c r="I362" s="25">
        <f t="shared" si="42"/>
        <v>10470.9701264</v>
      </c>
      <c r="J362" s="25">
        <v>75</v>
      </c>
      <c r="K362" s="25">
        <f t="shared" si="45"/>
        <v>70.118103524999995</v>
      </c>
      <c r="L362" s="25">
        <f t="shared" si="43"/>
        <v>5609.4482819999994</v>
      </c>
      <c r="M362" s="25">
        <f>I362+L362</f>
        <v>16080.418408399999</v>
      </c>
      <c r="N362" s="21"/>
      <c r="O362" s="595">
        <v>0.93490804699999996</v>
      </c>
      <c r="Q362" s="422"/>
      <c r="R362" s="422"/>
      <c r="S362" s="422"/>
      <c r="T362" s="598"/>
      <c r="U362" s="428"/>
      <c r="V362" s="422"/>
      <c r="W362" s="423"/>
      <c r="X362" s="428"/>
      <c r="Y362" s="423"/>
      <c r="Z362" s="205"/>
    </row>
    <row r="363" spans="1:26" ht="18.95" customHeight="1">
      <c r="A363" s="115"/>
      <c r="B363" s="421"/>
      <c r="C363" s="368" t="s">
        <v>3172</v>
      </c>
      <c r="D363" s="301"/>
      <c r="E363" s="25">
        <v>997</v>
      </c>
      <c r="F363" s="1181" t="s">
        <v>349</v>
      </c>
      <c r="G363" s="25">
        <v>760</v>
      </c>
      <c r="H363" s="25">
        <f t="shared" si="46"/>
        <v>710.53011572000003</v>
      </c>
      <c r="I363" s="25">
        <f t="shared" si="42"/>
        <v>708398.52537284</v>
      </c>
      <c r="J363" s="25">
        <v>90</v>
      </c>
      <c r="K363" s="25">
        <f t="shared" si="45"/>
        <v>84.141724229999994</v>
      </c>
      <c r="L363" s="25">
        <f t="shared" si="43"/>
        <v>83889.299057309996</v>
      </c>
      <c r="M363" s="25">
        <f>I363+L363</f>
        <v>792287.82443014998</v>
      </c>
      <c r="N363" s="21"/>
      <c r="O363" s="595">
        <v>0.93490804699999996</v>
      </c>
      <c r="Q363" s="422"/>
      <c r="R363" s="422"/>
      <c r="S363" s="422"/>
      <c r="T363" s="598"/>
      <c r="U363" s="428"/>
      <c r="V363" s="422"/>
      <c r="W363" s="423"/>
      <c r="X363" s="428"/>
      <c r="Y363" s="423"/>
      <c r="Z363" s="205"/>
    </row>
    <row r="364" spans="1:26" ht="18.95" customHeight="1">
      <c r="A364" s="525"/>
      <c r="B364" s="420">
        <v>5.9</v>
      </c>
      <c r="C364" s="368" t="s">
        <v>3173</v>
      </c>
      <c r="D364" s="301"/>
      <c r="E364" s="25"/>
      <c r="F364" s="30"/>
      <c r="G364" s="25"/>
      <c r="H364" s="25"/>
      <c r="I364" s="25"/>
      <c r="J364" s="25"/>
      <c r="K364" s="25"/>
      <c r="L364" s="25"/>
      <c r="M364" s="25"/>
      <c r="N364" s="605"/>
      <c r="O364" s="595">
        <v>0.93490804699999996</v>
      </c>
      <c r="P364" s="596"/>
      <c r="Q364" s="422"/>
      <c r="R364" s="422"/>
      <c r="S364" s="422"/>
      <c r="T364" s="598"/>
      <c r="U364" s="428"/>
      <c r="V364" s="422"/>
      <c r="W364" s="423"/>
      <c r="X364" s="423"/>
      <c r="Y364" s="423"/>
      <c r="Z364" s="205"/>
    </row>
    <row r="365" spans="1:26" ht="18.95" customHeight="1">
      <c r="A365" s="525"/>
      <c r="B365" s="421"/>
      <c r="C365" s="368" t="s">
        <v>3174</v>
      </c>
      <c r="D365" s="301"/>
      <c r="E365" s="25">
        <v>30</v>
      </c>
      <c r="F365" s="1181" t="s">
        <v>349</v>
      </c>
      <c r="G365" s="25">
        <v>3900</v>
      </c>
      <c r="H365" s="25">
        <f t="shared" si="46"/>
        <v>3646.1413832999997</v>
      </c>
      <c r="I365" s="25">
        <f t="shared" si="42"/>
        <v>109384.241499</v>
      </c>
      <c r="J365" s="25">
        <v>1000</v>
      </c>
      <c r="K365" s="25">
        <f t="shared" si="45"/>
        <v>934.90804700000001</v>
      </c>
      <c r="L365" s="25">
        <f t="shared" si="43"/>
        <v>28047.241409999999</v>
      </c>
      <c r="M365" s="25">
        <f t="shared" ref="M365:M370" si="48">I365+L365</f>
        <v>137431.48290899998</v>
      </c>
      <c r="N365" s="21"/>
      <c r="O365" s="595">
        <v>0.93490804699999996</v>
      </c>
      <c r="Q365" s="422"/>
      <c r="R365" s="422"/>
      <c r="S365" s="422"/>
      <c r="T365" s="598"/>
      <c r="U365" s="428"/>
      <c r="V365" s="422"/>
      <c r="W365" s="423"/>
      <c r="X365" s="428"/>
      <c r="Y365" s="423"/>
      <c r="Z365" s="205"/>
    </row>
    <row r="366" spans="1:26" ht="18.95" customHeight="1">
      <c r="A366" s="280"/>
      <c r="B366" s="421"/>
      <c r="C366" s="368" t="s">
        <v>3175</v>
      </c>
      <c r="D366" s="301"/>
      <c r="E366" s="25">
        <v>30</v>
      </c>
      <c r="F366" s="1181" t="s">
        <v>349</v>
      </c>
      <c r="G366" s="25">
        <v>1100</v>
      </c>
      <c r="H366" s="25">
        <f t="shared" si="46"/>
        <v>1028.3988517</v>
      </c>
      <c r="I366" s="25">
        <f t="shared" si="42"/>
        <v>30851.965551000001</v>
      </c>
      <c r="J366" s="25">
        <v>200</v>
      </c>
      <c r="K366" s="25">
        <f t="shared" si="45"/>
        <v>186.9816094</v>
      </c>
      <c r="L366" s="25">
        <f t="shared" si="43"/>
        <v>5609.4482820000003</v>
      </c>
      <c r="M366" s="25">
        <f t="shared" si="48"/>
        <v>36461.413832999999</v>
      </c>
      <c r="N366" s="21"/>
      <c r="O366" s="595">
        <v>0.93490804699999996</v>
      </c>
      <c r="Q366" s="422"/>
      <c r="R366" s="422"/>
      <c r="S366" s="422"/>
      <c r="T366" s="598"/>
      <c r="U366" s="428"/>
      <c r="V366" s="422"/>
      <c r="W366" s="423"/>
      <c r="X366" s="428"/>
      <c r="Y366" s="423"/>
      <c r="Z366" s="205"/>
    </row>
    <row r="367" spans="1:26" ht="18.95" customHeight="1">
      <c r="A367" s="525"/>
      <c r="B367" s="421"/>
      <c r="C367" s="368" t="s">
        <v>3176</v>
      </c>
      <c r="D367" s="301"/>
      <c r="E367" s="25">
        <v>30</v>
      </c>
      <c r="F367" s="1181" t="s">
        <v>349</v>
      </c>
      <c r="G367" s="25">
        <v>4500</v>
      </c>
      <c r="H367" s="25">
        <f t="shared" si="46"/>
        <v>4207.0862115</v>
      </c>
      <c r="I367" s="25">
        <f t="shared" si="42"/>
        <v>126212.586345</v>
      </c>
      <c r="J367" s="25">
        <v>200</v>
      </c>
      <c r="K367" s="25">
        <f t="shared" si="45"/>
        <v>186.9816094</v>
      </c>
      <c r="L367" s="25">
        <f t="shared" si="43"/>
        <v>5609.4482820000003</v>
      </c>
      <c r="M367" s="25">
        <f t="shared" si="48"/>
        <v>131822.03462700002</v>
      </c>
      <c r="N367" s="21"/>
      <c r="O367" s="595">
        <v>0.93490804699999996</v>
      </c>
      <c r="Q367" s="422"/>
      <c r="R367" s="422"/>
      <c r="S367" s="422"/>
      <c r="T367" s="598"/>
      <c r="U367" s="428"/>
      <c r="V367" s="422"/>
      <c r="W367" s="423"/>
      <c r="X367" s="428"/>
      <c r="Y367" s="423"/>
      <c r="Z367" s="205"/>
    </row>
    <row r="368" spans="1:26" ht="18.95" customHeight="1">
      <c r="A368" s="539"/>
      <c r="B368" s="421"/>
      <c r="C368" s="368" t="s">
        <v>3177</v>
      </c>
      <c r="D368" s="301"/>
      <c r="E368" s="25">
        <v>30</v>
      </c>
      <c r="F368" s="1181" t="s">
        <v>349</v>
      </c>
      <c r="G368" s="25">
        <v>4200</v>
      </c>
      <c r="H368" s="25">
        <f t="shared" si="46"/>
        <v>3926.6137973999998</v>
      </c>
      <c r="I368" s="25">
        <f t="shared" si="42"/>
        <v>117798.41392199999</v>
      </c>
      <c r="J368" s="25">
        <v>350</v>
      </c>
      <c r="K368" s="25">
        <f t="shared" si="45"/>
        <v>327.21781644999999</v>
      </c>
      <c r="L368" s="25">
        <f t="shared" si="43"/>
        <v>9816.5344934999994</v>
      </c>
      <c r="M368" s="25">
        <f t="shared" si="48"/>
        <v>127614.9484155</v>
      </c>
      <c r="N368" s="21"/>
      <c r="O368" s="595">
        <v>0.93490804699999996</v>
      </c>
      <c r="Q368" s="422"/>
      <c r="R368" s="422"/>
      <c r="S368" s="422"/>
      <c r="T368" s="598"/>
      <c r="U368" s="428"/>
      <c r="V368" s="422"/>
      <c r="W368" s="423"/>
      <c r="X368" s="428"/>
      <c r="Y368" s="423"/>
      <c r="Z368" s="205"/>
    </row>
    <row r="369" spans="1:26" ht="18.95" customHeight="1">
      <c r="A369" s="280"/>
      <c r="B369" s="421"/>
      <c r="C369" s="368" t="s">
        <v>3178</v>
      </c>
      <c r="D369" s="301"/>
      <c r="E369" s="25">
        <v>30</v>
      </c>
      <c r="F369" s="1181" t="s">
        <v>349</v>
      </c>
      <c r="G369" s="25">
        <v>880</v>
      </c>
      <c r="H369" s="25">
        <f t="shared" si="46"/>
        <v>822.71908136000002</v>
      </c>
      <c r="I369" s="25">
        <f t="shared" si="42"/>
        <v>24681.572440800002</v>
      </c>
      <c r="J369" s="25">
        <v>350</v>
      </c>
      <c r="K369" s="25">
        <f t="shared" si="45"/>
        <v>327.21781644999999</v>
      </c>
      <c r="L369" s="25">
        <f t="shared" si="43"/>
        <v>9816.5344934999994</v>
      </c>
      <c r="M369" s="25">
        <f t="shared" si="48"/>
        <v>34498.106934299998</v>
      </c>
      <c r="N369" s="21"/>
      <c r="O369" s="595">
        <v>0.93490804699999996</v>
      </c>
      <c r="Q369" s="422"/>
      <c r="R369" s="422"/>
      <c r="S369" s="422"/>
      <c r="T369" s="598"/>
      <c r="U369" s="428"/>
      <c r="V369" s="422"/>
      <c r="W369" s="423"/>
      <c r="X369" s="428"/>
      <c r="Y369" s="423"/>
      <c r="Z369" s="205"/>
    </row>
    <row r="370" spans="1:26" ht="18.95" customHeight="1">
      <c r="A370" s="539"/>
      <c r="B370" s="421"/>
      <c r="C370" s="368" t="s">
        <v>3179</v>
      </c>
      <c r="D370" s="301"/>
      <c r="E370" s="25">
        <v>30</v>
      </c>
      <c r="F370" s="1181" t="s">
        <v>349</v>
      </c>
      <c r="G370" s="25">
        <v>450</v>
      </c>
      <c r="H370" s="25">
        <f t="shared" si="46"/>
        <v>420.70862115</v>
      </c>
      <c r="I370" s="25">
        <f t="shared" si="42"/>
        <v>12621.2586345</v>
      </c>
      <c r="J370" s="25">
        <v>200</v>
      </c>
      <c r="K370" s="25">
        <f t="shared" si="45"/>
        <v>186.9816094</v>
      </c>
      <c r="L370" s="25">
        <f t="shared" si="43"/>
        <v>5609.4482820000003</v>
      </c>
      <c r="M370" s="25">
        <f t="shared" si="48"/>
        <v>18230.706916499999</v>
      </c>
      <c r="N370" s="21"/>
      <c r="O370" s="595">
        <v>0.93490804699999996</v>
      </c>
      <c r="Q370" s="422"/>
      <c r="R370" s="422"/>
      <c r="S370" s="422"/>
      <c r="T370" s="598"/>
      <c r="U370" s="428"/>
      <c r="V370" s="422"/>
      <c r="W370" s="423"/>
      <c r="X370" s="428"/>
      <c r="Y370" s="423"/>
      <c r="Z370" s="205"/>
    </row>
    <row r="371" spans="1:26" ht="18.95" customHeight="1">
      <c r="A371" s="280"/>
      <c r="B371" s="583">
        <v>5.0999999999999996</v>
      </c>
      <c r="C371" s="368" t="s">
        <v>3180</v>
      </c>
      <c r="D371" s="301"/>
      <c r="E371" s="25"/>
      <c r="F371" s="30"/>
      <c r="G371" s="25"/>
      <c r="H371" s="25"/>
      <c r="I371" s="25"/>
      <c r="J371" s="25"/>
      <c r="K371" s="25"/>
      <c r="L371" s="25"/>
      <c r="M371" s="25"/>
      <c r="N371" s="70"/>
      <c r="O371" s="595">
        <v>0.93490804699999996</v>
      </c>
      <c r="P371" s="596"/>
      <c r="Q371" s="422"/>
      <c r="R371" s="422"/>
      <c r="S371" s="422"/>
      <c r="T371" s="598"/>
      <c r="U371" s="428"/>
      <c r="V371" s="422"/>
      <c r="W371" s="423"/>
      <c r="X371" s="423"/>
      <c r="Y371" s="423"/>
      <c r="Z371" s="205"/>
    </row>
    <row r="372" spans="1:26" ht="18.95" customHeight="1">
      <c r="A372" s="525"/>
      <c r="B372" s="421"/>
      <c r="C372" s="368" t="s">
        <v>3181</v>
      </c>
      <c r="D372" s="301"/>
      <c r="E372" s="25">
        <v>23</v>
      </c>
      <c r="F372" s="1181" t="s">
        <v>349</v>
      </c>
      <c r="G372" s="25">
        <v>2650</v>
      </c>
      <c r="H372" s="25">
        <f t="shared" si="46"/>
        <v>2477.50632455</v>
      </c>
      <c r="I372" s="25">
        <f t="shared" si="42"/>
        <v>56982.645464649999</v>
      </c>
      <c r="J372" s="25">
        <v>200</v>
      </c>
      <c r="K372" s="25">
        <f t="shared" si="45"/>
        <v>186.9816094</v>
      </c>
      <c r="L372" s="25">
        <f t="shared" si="43"/>
        <v>4300.5770161999999</v>
      </c>
      <c r="M372" s="25">
        <f>I372+L372</f>
        <v>61283.222480849996</v>
      </c>
      <c r="N372" s="21"/>
      <c r="O372" s="595">
        <v>0.93490804699999996</v>
      </c>
      <c r="Q372" s="422"/>
      <c r="R372" s="422"/>
      <c r="S372" s="422"/>
      <c r="T372" s="598"/>
      <c r="U372" s="428"/>
      <c r="V372" s="422"/>
      <c r="W372" s="423"/>
      <c r="X372" s="423"/>
      <c r="Y372" s="423"/>
      <c r="Z372" s="205"/>
    </row>
    <row r="373" spans="1:26" ht="18.95" customHeight="1">
      <c r="A373" s="539"/>
      <c r="B373" s="421"/>
      <c r="C373" s="368" t="s">
        <v>3175</v>
      </c>
      <c r="D373" s="301"/>
      <c r="E373" s="25">
        <v>19</v>
      </c>
      <c r="F373" s="1181" t="s">
        <v>349</v>
      </c>
      <c r="G373" s="25">
        <v>1100</v>
      </c>
      <c r="H373" s="25">
        <f t="shared" si="46"/>
        <v>1028.3988517</v>
      </c>
      <c r="I373" s="25">
        <f t="shared" si="42"/>
        <v>19539.5781823</v>
      </c>
      <c r="J373" s="25">
        <v>200</v>
      </c>
      <c r="K373" s="25">
        <f t="shared" si="45"/>
        <v>186.9816094</v>
      </c>
      <c r="L373" s="25">
        <f t="shared" si="43"/>
        <v>3552.6505785999998</v>
      </c>
      <c r="M373" s="25">
        <f>I373+L373</f>
        <v>23092.228760899998</v>
      </c>
      <c r="N373" s="21"/>
      <c r="O373" s="595">
        <v>0.93490804699999996</v>
      </c>
      <c r="Q373" s="422"/>
      <c r="R373" s="422"/>
      <c r="S373" s="422"/>
      <c r="T373" s="598"/>
      <c r="U373" s="428"/>
      <c r="V373" s="422"/>
      <c r="W373" s="423"/>
      <c r="X373" s="423"/>
      <c r="Y373" s="423"/>
      <c r="Z373" s="205"/>
    </row>
    <row r="374" spans="1:26" ht="18.95" customHeight="1">
      <c r="A374" s="539"/>
      <c r="B374" s="421"/>
      <c r="C374" s="368" t="s">
        <v>3182</v>
      </c>
      <c r="D374" s="301"/>
      <c r="E374" s="25">
        <v>1</v>
      </c>
      <c r="F374" s="1181" t="s">
        <v>349</v>
      </c>
      <c r="G374" s="25">
        <v>7600</v>
      </c>
      <c r="H374" s="25">
        <f t="shared" si="46"/>
        <v>7105.3011571999996</v>
      </c>
      <c r="I374" s="25">
        <f t="shared" si="42"/>
        <v>7105.3011571999996</v>
      </c>
      <c r="J374" s="25">
        <v>200</v>
      </c>
      <c r="K374" s="25">
        <f t="shared" si="45"/>
        <v>186.9816094</v>
      </c>
      <c r="L374" s="25">
        <f t="shared" si="43"/>
        <v>186.9816094</v>
      </c>
      <c r="M374" s="25">
        <f>I374+L374</f>
        <v>7292.2827665999994</v>
      </c>
      <c r="N374" s="21"/>
      <c r="O374" s="595">
        <v>0.93490804699999996</v>
      </c>
      <c r="Q374" s="422"/>
      <c r="R374" s="422"/>
      <c r="S374" s="422"/>
      <c r="T374" s="598"/>
      <c r="U374" s="428"/>
      <c r="V374" s="422"/>
      <c r="W374" s="423"/>
      <c r="X374" s="428"/>
      <c r="Y374" s="423"/>
      <c r="Z374" s="205"/>
    </row>
    <row r="375" spans="1:26" ht="18.95" customHeight="1">
      <c r="A375" s="539"/>
      <c r="B375" s="583">
        <v>5.1100000000000003</v>
      </c>
      <c r="C375" s="368" t="s">
        <v>3183</v>
      </c>
      <c r="D375" s="301"/>
      <c r="E375" s="25"/>
      <c r="F375" s="30"/>
      <c r="G375" s="25"/>
      <c r="H375" s="25"/>
      <c r="I375" s="25"/>
      <c r="J375" s="25"/>
      <c r="K375" s="25"/>
      <c r="L375" s="25"/>
      <c r="M375" s="25"/>
      <c r="N375" s="21"/>
      <c r="O375" s="595">
        <v>0.93490804699999996</v>
      </c>
      <c r="Q375" s="422"/>
      <c r="R375" s="422"/>
      <c r="S375" s="422"/>
      <c r="T375" s="598"/>
      <c r="U375" s="428"/>
      <c r="V375" s="422"/>
      <c r="W375" s="423"/>
      <c r="X375" s="423"/>
      <c r="Y375" s="423"/>
      <c r="Z375" s="205"/>
    </row>
    <row r="376" spans="1:26" ht="18.95" customHeight="1">
      <c r="A376" s="525"/>
      <c r="B376" s="421"/>
      <c r="C376" s="368" t="s">
        <v>3091</v>
      </c>
      <c r="D376" s="301"/>
      <c r="E376" s="25">
        <v>2</v>
      </c>
      <c r="F376" s="1181" t="s">
        <v>349</v>
      </c>
      <c r="G376" s="25">
        <v>7800</v>
      </c>
      <c r="H376" s="25">
        <f t="shared" si="46"/>
        <v>7292.2827665999994</v>
      </c>
      <c r="I376" s="25">
        <f t="shared" si="42"/>
        <v>14584.565533199999</v>
      </c>
      <c r="J376" s="25">
        <v>400</v>
      </c>
      <c r="K376" s="25">
        <f t="shared" si="45"/>
        <v>373.96321879999999</v>
      </c>
      <c r="L376" s="25">
        <f t="shared" si="43"/>
        <v>747.92643759999999</v>
      </c>
      <c r="M376" s="25">
        <f>I376+L376</f>
        <v>15332.491970799998</v>
      </c>
      <c r="N376" s="21"/>
      <c r="O376" s="595">
        <v>0.93490804699999996</v>
      </c>
      <c r="Q376" s="422"/>
      <c r="R376" s="422"/>
      <c r="S376" s="422"/>
      <c r="T376" s="598"/>
      <c r="U376" s="428"/>
      <c r="V376" s="422"/>
      <c r="W376" s="423"/>
      <c r="X376" s="428"/>
      <c r="Y376" s="423"/>
      <c r="Z376" s="205"/>
    </row>
    <row r="377" spans="1:26" ht="18.95" customHeight="1">
      <c r="A377" s="539"/>
      <c r="B377" s="421"/>
      <c r="C377" s="368" t="s">
        <v>3184</v>
      </c>
      <c r="D377" s="301"/>
      <c r="E377" s="25">
        <v>0</v>
      </c>
      <c r="F377" s="1181" t="s">
        <v>349</v>
      </c>
      <c r="G377" s="25"/>
      <c r="H377" s="25">
        <f t="shared" si="46"/>
        <v>0</v>
      </c>
      <c r="I377" s="25">
        <f t="shared" si="42"/>
        <v>0</v>
      </c>
      <c r="J377" s="25"/>
      <c r="K377" s="25">
        <f t="shared" si="45"/>
        <v>0</v>
      </c>
      <c r="L377" s="25">
        <f t="shared" si="43"/>
        <v>0</v>
      </c>
      <c r="M377" s="25">
        <f>I377+L377</f>
        <v>0</v>
      </c>
      <c r="N377" s="21"/>
      <c r="O377" s="595">
        <v>0.93490804699999996</v>
      </c>
      <c r="Q377" s="422"/>
      <c r="R377" s="422"/>
      <c r="S377" s="422"/>
      <c r="T377" s="598"/>
      <c r="U377" s="428"/>
      <c r="V377" s="422"/>
      <c r="W377" s="423"/>
      <c r="X377" s="423"/>
      <c r="Y377" s="423"/>
      <c r="Z377" s="205"/>
    </row>
    <row r="378" spans="1:26" ht="18.95" customHeight="1">
      <c r="A378" s="280"/>
      <c r="B378" s="421"/>
      <c r="C378" s="368" t="s">
        <v>3185</v>
      </c>
      <c r="D378" s="301"/>
      <c r="E378" s="25">
        <v>2</v>
      </c>
      <c r="F378" s="1181" t="s">
        <v>349</v>
      </c>
      <c r="G378" s="25">
        <v>11700</v>
      </c>
      <c r="H378" s="25">
        <f t="shared" si="46"/>
        <v>10938.4241499</v>
      </c>
      <c r="I378" s="25">
        <f t="shared" si="42"/>
        <v>21876.8482998</v>
      </c>
      <c r="J378" s="25">
        <v>800</v>
      </c>
      <c r="K378" s="25">
        <f t="shared" si="45"/>
        <v>747.92643759999999</v>
      </c>
      <c r="L378" s="25">
        <f t="shared" si="43"/>
        <v>1495.8528752</v>
      </c>
      <c r="M378" s="25">
        <f>I378+L378</f>
        <v>23372.701174999998</v>
      </c>
      <c r="N378" s="21"/>
      <c r="O378" s="595">
        <v>0.93490804699999996</v>
      </c>
      <c r="Q378" s="422"/>
      <c r="R378" s="422"/>
      <c r="S378" s="422"/>
      <c r="T378" s="598"/>
      <c r="U378" s="428"/>
      <c r="V378" s="422"/>
      <c r="W378" s="423"/>
      <c r="X378" s="428"/>
      <c r="Y378" s="423"/>
      <c r="Z378" s="205"/>
    </row>
    <row r="379" spans="1:26" ht="18.95" customHeight="1">
      <c r="A379" s="115"/>
      <c r="B379" s="421"/>
      <c r="C379" s="368" t="s">
        <v>3186</v>
      </c>
      <c r="D379" s="301"/>
      <c r="E379" s="25">
        <v>8</v>
      </c>
      <c r="F379" s="1181" t="s">
        <v>349</v>
      </c>
      <c r="G379" s="25">
        <v>17400</v>
      </c>
      <c r="H379" s="25">
        <f t="shared" si="46"/>
        <v>16267.400017799999</v>
      </c>
      <c r="I379" s="25">
        <f t="shared" si="42"/>
        <v>130139.20014239999</v>
      </c>
      <c r="J379" s="25">
        <v>1500</v>
      </c>
      <c r="K379" s="25">
        <f t="shared" si="45"/>
        <v>1402.3620704999998</v>
      </c>
      <c r="L379" s="25">
        <f t="shared" si="43"/>
        <v>11218.896563999999</v>
      </c>
      <c r="M379" s="25">
        <f>I379+L379</f>
        <v>141358.09670639999</v>
      </c>
      <c r="N379" s="21"/>
      <c r="O379" s="595">
        <v>0.93490804699999996</v>
      </c>
      <c r="Q379" s="422"/>
      <c r="R379" s="422"/>
      <c r="S379" s="422"/>
      <c r="T379" s="598"/>
      <c r="U379" s="428"/>
      <c r="V379" s="422"/>
      <c r="W379" s="423"/>
      <c r="X379" s="428"/>
      <c r="Y379" s="423"/>
      <c r="Z379" s="205"/>
    </row>
    <row r="380" spans="1:26" ht="18.95" customHeight="1">
      <c r="A380" s="115"/>
      <c r="B380" s="421"/>
      <c r="C380" s="368" t="s">
        <v>3187</v>
      </c>
      <c r="D380" s="301"/>
      <c r="E380" s="25">
        <v>1</v>
      </c>
      <c r="F380" s="1181" t="s">
        <v>349</v>
      </c>
      <c r="G380" s="25">
        <v>28900</v>
      </c>
      <c r="H380" s="25">
        <f t="shared" si="46"/>
        <v>27018.842558299999</v>
      </c>
      <c r="I380" s="25">
        <f t="shared" si="42"/>
        <v>27018.842558299999</v>
      </c>
      <c r="J380" s="25">
        <v>2000</v>
      </c>
      <c r="K380" s="25">
        <f t="shared" si="45"/>
        <v>1869.816094</v>
      </c>
      <c r="L380" s="25">
        <f t="shared" si="43"/>
        <v>1869.816094</v>
      </c>
      <c r="M380" s="25">
        <f>I380+L380</f>
        <v>28888.658652300001</v>
      </c>
      <c r="N380" s="21"/>
      <c r="O380" s="595">
        <v>0.93490804699999996</v>
      </c>
      <c r="Q380" s="422"/>
      <c r="R380" s="422"/>
      <c r="S380" s="422"/>
      <c r="T380" s="598"/>
      <c r="U380" s="428"/>
      <c r="V380" s="422"/>
      <c r="W380" s="423"/>
      <c r="X380" s="428"/>
      <c r="Y380" s="423"/>
      <c r="Z380" s="205"/>
    </row>
    <row r="381" spans="1:26" ht="18.95" customHeight="1">
      <c r="A381" s="115"/>
      <c r="B381" s="583">
        <v>5.12</v>
      </c>
      <c r="C381" s="368" t="s">
        <v>3188</v>
      </c>
      <c r="D381" s="301"/>
      <c r="E381" s="25"/>
      <c r="F381" s="30"/>
      <c r="G381" s="25"/>
      <c r="H381" s="25"/>
      <c r="I381" s="25"/>
      <c r="J381" s="25"/>
      <c r="K381" s="25"/>
      <c r="L381" s="25"/>
      <c r="M381" s="25"/>
      <c r="N381" s="21"/>
      <c r="O381" s="595">
        <v>0.93490804699999996</v>
      </c>
      <c r="Q381" s="422"/>
      <c r="R381" s="422"/>
      <c r="S381" s="422"/>
      <c r="T381" s="598"/>
      <c r="U381" s="428"/>
      <c r="V381" s="422"/>
      <c r="W381" s="423"/>
      <c r="X381" s="423"/>
      <c r="Y381" s="423"/>
      <c r="Z381" s="205"/>
    </row>
    <row r="382" spans="1:26" ht="18.95" customHeight="1">
      <c r="A382" s="21"/>
      <c r="B382" s="421"/>
      <c r="C382" s="368" t="s">
        <v>3189</v>
      </c>
      <c r="D382" s="301"/>
      <c r="E382" s="25">
        <v>1</v>
      </c>
      <c r="F382" s="1181" t="s">
        <v>349</v>
      </c>
      <c r="G382" s="25">
        <v>7800</v>
      </c>
      <c r="H382" s="25">
        <f t="shared" si="46"/>
        <v>7292.2827665999994</v>
      </c>
      <c r="I382" s="25">
        <f t="shared" si="42"/>
        <v>7292.2827665999994</v>
      </c>
      <c r="J382" s="25">
        <v>400</v>
      </c>
      <c r="K382" s="25">
        <f t="shared" si="45"/>
        <v>373.96321879999999</v>
      </c>
      <c r="L382" s="25">
        <f t="shared" si="43"/>
        <v>373.96321879999999</v>
      </c>
      <c r="M382" s="25">
        <f>I382+L382</f>
        <v>7666.245985399999</v>
      </c>
      <c r="N382" s="21"/>
      <c r="O382" s="595">
        <v>0.93490804699999996</v>
      </c>
      <c r="Q382" s="422"/>
      <c r="R382" s="422"/>
      <c r="S382" s="422"/>
      <c r="T382" s="598"/>
      <c r="U382" s="428"/>
      <c r="V382" s="422"/>
      <c r="W382" s="423"/>
      <c r="X382" s="428"/>
      <c r="Y382" s="423"/>
      <c r="Z382" s="205"/>
    </row>
    <row r="383" spans="1:26" ht="18.95" customHeight="1">
      <c r="A383" s="21"/>
      <c r="B383" s="421"/>
      <c r="C383" s="368" t="s">
        <v>3187</v>
      </c>
      <c r="D383" s="301"/>
      <c r="E383" s="25">
        <v>4</v>
      </c>
      <c r="F383" s="1181" t="s">
        <v>349</v>
      </c>
      <c r="G383" s="25">
        <v>28900</v>
      </c>
      <c r="H383" s="25">
        <f t="shared" si="46"/>
        <v>27018.842558299999</v>
      </c>
      <c r="I383" s="25">
        <f t="shared" si="42"/>
        <v>108075.3702332</v>
      </c>
      <c r="J383" s="25">
        <v>1500</v>
      </c>
      <c r="K383" s="25">
        <f t="shared" si="45"/>
        <v>1402.3620704999998</v>
      </c>
      <c r="L383" s="25">
        <f t="shared" si="43"/>
        <v>5609.4482819999994</v>
      </c>
      <c r="M383" s="25">
        <f>I383+L383</f>
        <v>113684.81851519999</v>
      </c>
      <c r="N383" s="21"/>
      <c r="O383" s="595">
        <v>0.93490804699999996</v>
      </c>
      <c r="Q383" s="422"/>
      <c r="R383" s="422"/>
      <c r="S383" s="422"/>
      <c r="T383" s="598"/>
      <c r="U383" s="428"/>
      <c r="V383" s="422"/>
      <c r="W383" s="423"/>
      <c r="X383" s="423"/>
      <c r="Y383" s="423"/>
      <c r="Z383" s="205"/>
    </row>
    <row r="384" spans="1:26" ht="18.95" customHeight="1">
      <c r="A384" s="115"/>
      <c r="B384" s="583">
        <v>5.13</v>
      </c>
      <c r="C384" s="368" t="s">
        <v>3190</v>
      </c>
      <c r="D384" s="301"/>
      <c r="E384" s="25"/>
      <c r="F384" s="30"/>
      <c r="G384" s="25"/>
      <c r="H384" s="25"/>
      <c r="I384" s="25"/>
      <c r="J384" s="25"/>
      <c r="K384" s="25"/>
      <c r="L384" s="25"/>
      <c r="M384" s="25"/>
      <c r="N384" s="21"/>
      <c r="O384" s="595">
        <v>0.93490804699999996</v>
      </c>
      <c r="Q384" s="422"/>
      <c r="R384" s="422"/>
      <c r="S384" s="422"/>
      <c r="T384" s="598"/>
      <c r="U384" s="428"/>
      <c r="V384" s="422"/>
      <c r="W384" s="423"/>
      <c r="X384" s="423"/>
      <c r="Y384" s="423"/>
      <c r="Z384" s="205"/>
    </row>
    <row r="385" spans="1:26" ht="18.95" customHeight="1">
      <c r="A385" s="525"/>
      <c r="B385" s="421"/>
      <c r="C385" s="368" t="s">
        <v>3191</v>
      </c>
      <c r="D385" s="301"/>
      <c r="E385" s="25">
        <v>3</v>
      </c>
      <c r="F385" s="1181" t="s">
        <v>349</v>
      </c>
      <c r="G385" s="25">
        <v>9400</v>
      </c>
      <c r="H385" s="25">
        <f t="shared" si="46"/>
        <v>8788.1356417999996</v>
      </c>
      <c r="I385" s="25">
        <f t="shared" si="42"/>
        <v>26364.406925399999</v>
      </c>
      <c r="J385" s="25">
        <v>1500</v>
      </c>
      <c r="K385" s="25">
        <f t="shared" si="45"/>
        <v>1402.3620704999998</v>
      </c>
      <c r="L385" s="25">
        <f t="shared" si="43"/>
        <v>4207.0862115</v>
      </c>
      <c r="M385" s="25">
        <f>I385+L385</f>
        <v>30571.493136899997</v>
      </c>
      <c r="N385" s="605"/>
      <c r="O385" s="595">
        <v>0.93490804699999996</v>
      </c>
      <c r="Q385" s="422"/>
      <c r="R385" s="422"/>
      <c r="S385" s="422"/>
      <c r="T385" s="598"/>
      <c r="U385" s="428"/>
      <c r="V385" s="422"/>
      <c r="W385" s="423"/>
      <c r="X385" s="428"/>
      <c r="Y385" s="423"/>
      <c r="Z385" s="205"/>
    </row>
    <row r="386" spans="1:26" ht="18.95" customHeight="1">
      <c r="A386" s="525"/>
      <c r="B386" s="421"/>
      <c r="C386" s="368" t="s">
        <v>3192</v>
      </c>
      <c r="D386" s="301"/>
      <c r="E386" s="25">
        <v>1</v>
      </c>
      <c r="F386" s="1181" t="s">
        <v>349</v>
      </c>
      <c r="G386" s="25">
        <v>14500</v>
      </c>
      <c r="H386" s="25">
        <f t="shared" si="46"/>
        <v>13556.166681499999</v>
      </c>
      <c r="I386" s="25">
        <f t="shared" si="42"/>
        <v>13556.166681499999</v>
      </c>
      <c r="J386" s="25">
        <v>2000</v>
      </c>
      <c r="K386" s="25">
        <f t="shared" si="45"/>
        <v>1869.816094</v>
      </c>
      <c r="L386" s="25">
        <f t="shared" si="43"/>
        <v>1869.816094</v>
      </c>
      <c r="M386" s="25">
        <f>I386+L386</f>
        <v>15425.982775499999</v>
      </c>
      <c r="N386" s="605"/>
      <c r="O386" s="595">
        <v>0.93490804699999996</v>
      </c>
      <c r="Q386" s="422"/>
      <c r="R386" s="422"/>
      <c r="S386" s="422"/>
      <c r="T386" s="598"/>
      <c r="U386" s="428"/>
      <c r="V386" s="422"/>
      <c r="W386" s="423"/>
      <c r="X386" s="428"/>
      <c r="Y386" s="423"/>
      <c r="Z386" s="205"/>
    </row>
    <row r="387" spans="1:26" ht="18.95" customHeight="1">
      <c r="A387" s="525"/>
      <c r="B387" s="583">
        <v>5.14</v>
      </c>
      <c r="C387" s="368" t="s">
        <v>3193</v>
      </c>
      <c r="D387" s="301"/>
      <c r="E387" s="25"/>
      <c r="F387" s="30"/>
      <c r="G387" s="25"/>
      <c r="H387" s="25"/>
      <c r="I387" s="25"/>
      <c r="J387" s="25"/>
      <c r="K387" s="25"/>
      <c r="L387" s="25"/>
      <c r="M387" s="25"/>
      <c r="N387" s="21"/>
      <c r="O387" s="595">
        <v>0.93490804699999996</v>
      </c>
      <c r="Q387" s="422"/>
      <c r="R387" s="422"/>
      <c r="S387" s="422"/>
      <c r="T387" s="598"/>
      <c r="U387" s="428"/>
      <c r="V387" s="422"/>
      <c r="W387" s="423"/>
      <c r="X387" s="423"/>
      <c r="Y387" s="423"/>
      <c r="Z387" s="205"/>
    </row>
    <row r="388" spans="1:26" ht="18.95" customHeight="1">
      <c r="A388" s="539"/>
      <c r="B388" s="421"/>
      <c r="C388" s="368" t="s">
        <v>3185</v>
      </c>
      <c r="D388" s="301"/>
      <c r="E388" s="25">
        <v>2</v>
      </c>
      <c r="F388" s="1181" t="s">
        <v>349</v>
      </c>
      <c r="G388" s="25">
        <v>3600</v>
      </c>
      <c r="H388" s="25">
        <f t="shared" si="46"/>
        <v>3365.6689692</v>
      </c>
      <c r="I388" s="25">
        <f t="shared" si="42"/>
        <v>6731.3379384</v>
      </c>
      <c r="J388" s="25">
        <v>800</v>
      </c>
      <c r="K388" s="25">
        <f t="shared" si="45"/>
        <v>747.92643759999999</v>
      </c>
      <c r="L388" s="25">
        <f t="shared" si="43"/>
        <v>1495.8528752</v>
      </c>
      <c r="M388" s="25">
        <f>I388+L388</f>
        <v>8227.1908136000002</v>
      </c>
      <c r="N388" s="21"/>
      <c r="O388" s="595">
        <v>0.93490804699999996</v>
      </c>
      <c r="Q388" s="422"/>
      <c r="R388" s="422"/>
      <c r="S388" s="422"/>
      <c r="T388" s="598"/>
      <c r="U388" s="428"/>
      <c r="V388" s="422"/>
      <c r="W388" s="423"/>
      <c r="X388" s="428"/>
      <c r="Y388" s="423"/>
      <c r="Z388" s="205"/>
    </row>
    <row r="389" spans="1:26" ht="18.95" customHeight="1">
      <c r="A389" s="280"/>
      <c r="B389" s="421"/>
      <c r="C389" s="368" t="s">
        <v>3186</v>
      </c>
      <c r="D389" s="301"/>
      <c r="E389" s="25">
        <v>8</v>
      </c>
      <c r="F389" s="1181" t="s">
        <v>349</v>
      </c>
      <c r="G389" s="25">
        <v>3600</v>
      </c>
      <c r="H389" s="25">
        <f t="shared" si="46"/>
        <v>3365.6689692</v>
      </c>
      <c r="I389" s="25">
        <f t="shared" si="42"/>
        <v>26925.3517536</v>
      </c>
      <c r="J389" s="25">
        <v>1200</v>
      </c>
      <c r="K389" s="25">
        <f t="shared" si="45"/>
        <v>1121.8896563999999</v>
      </c>
      <c r="L389" s="25">
        <f t="shared" si="43"/>
        <v>8975.1172511999994</v>
      </c>
      <c r="M389" s="25">
        <f>I389+L389</f>
        <v>35900.469004799997</v>
      </c>
      <c r="N389" s="21"/>
      <c r="O389" s="595">
        <v>0.93490804699999996</v>
      </c>
      <c r="Q389" s="422"/>
      <c r="R389" s="422"/>
      <c r="S389" s="422"/>
      <c r="T389" s="598"/>
      <c r="U389" s="428"/>
      <c r="V389" s="422"/>
      <c r="W389" s="423"/>
      <c r="X389" s="423"/>
      <c r="Y389" s="423"/>
      <c r="Z389" s="205"/>
    </row>
    <row r="390" spans="1:26" ht="18.95" customHeight="1">
      <c r="A390" s="115"/>
      <c r="B390" s="583">
        <v>5.15</v>
      </c>
      <c r="C390" s="368" t="s">
        <v>3056</v>
      </c>
      <c r="D390" s="301"/>
      <c r="E390" s="25"/>
      <c r="F390" s="30"/>
      <c r="G390" s="25"/>
      <c r="H390" s="25"/>
      <c r="I390" s="25"/>
      <c r="J390" s="25"/>
      <c r="K390" s="25"/>
      <c r="L390" s="25"/>
      <c r="M390" s="25"/>
      <c r="N390" s="21"/>
      <c r="O390" s="595">
        <v>0.93490804699999996</v>
      </c>
      <c r="Q390" s="422"/>
      <c r="R390" s="422"/>
      <c r="S390" s="422"/>
      <c r="T390" s="598"/>
      <c r="U390" s="428"/>
      <c r="V390" s="422"/>
      <c r="W390" s="423"/>
      <c r="X390" s="423"/>
      <c r="Y390" s="423"/>
      <c r="Z390" s="205"/>
    </row>
    <row r="391" spans="1:26" ht="18.95" customHeight="1">
      <c r="A391" s="525"/>
      <c r="B391" s="421"/>
      <c r="C391" s="368" t="s">
        <v>3194</v>
      </c>
      <c r="D391" s="301"/>
      <c r="E391" s="25">
        <v>3</v>
      </c>
      <c r="F391" s="1181" t="s">
        <v>349</v>
      </c>
      <c r="G391" s="25">
        <v>370</v>
      </c>
      <c r="H391" s="25">
        <f t="shared" si="46"/>
        <v>345.91597738999997</v>
      </c>
      <c r="I391" s="25">
        <f t="shared" si="42"/>
        <v>1037.7479321699998</v>
      </c>
      <c r="J391" s="25">
        <v>150</v>
      </c>
      <c r="K391" s="25">
        <f t="shared" si="45"/>
        <v>140.23620704999999</v>
      </c>
      <c r="L391" s="25">
        <f t="shared" si="43"/>
        <v>420.70862115</v>
      </c>
      <c r="M391" s="25">
        <f>I391+L391</f>
        <v>1458.4565533199998</v>
      </c>
      <c r="N391" s="605"/>
      <c r="O391" s="595">
        <v>0.93490804699999996</v>
      </c>
      <c r="Q391" s="422"/>
      <c r="R391" s="422"/>
      <c r="S391" s="422"/>
      <c r="T391" s="598"/>
      <c r="U391" s="428"/>
      <c r="V391" s="422"/>
      <c r="W391" s="423"/>
      <c r="X391" s="423"/>
      <c r="Y391" s="423"/>
      <c r="Z391" s="205"/>
    </row>
    <row r="392" spans="1:26" ht="18.95" customHeight="1">
      <c r="A392" s="525"/>
      <c r="B392" s="421"/>
      <c r="C392" s="368" t="s">
        <v>3189</v>
      </c>
      <c r="D392" s="301"/>
      <c r="E392" s="25">
        <v>3</v>
      </c>
      <c r="F392" s="1181" t="s">
        <v>349</v>
      </c>
      <c r="G392" s="25">
        <v>510</v>
      </c>
      <c r="H392" s="25">
        <f t="shared" si="46"/>
        <v>476.80310397</v>
      </c>
      <c r="I392" s="25">
        <f t="shared" si="42"/>
        <v>1430.40931191</v>
      </c>
      <c r="J392" s="25">
        <v>400</v>
      </c>
      <c r="K392" s="25">
        <f t="shared" si="45"/>
        <v>373.96321879999999</v>
      </c>
      <c r="L392" s="25">
        <f t="shared" si="43"/>
        <v>1121.8896563999999</v>
      </c>
      <c r="M392" s="25">
        <f>I392+L392</f>
        <v>2552.29896831</v>
      </c>
      <c r="N392" s="605"/>
      <c r="O392" s="595">
        <v>0.93490804699999996</v>
      </c>
      <c r="Q392" s="422"/>
      <c r="R392" s="422"/>
      <c r="S392" s="422"/>
      <c r="T392" s="598"/>
      <c r="U392" s="428"/>
      <c r="V392" s="422"/>
      <c r="W392" s="423"/>
      <c r="X392" s="423"/>
      <c r="Y392" s="423"/>
      <c r="Z392" s="205"/>
    </row>
    <row r="393" spans="1:26" ht="18.95" customHeight="1">
      <c r="A393" s="525"/>
      <c r="B393" s="583">
        <v>5.16</v>
      </c>
      <c r="C393" s="368" t="s">
        <v>3195</v>
      </c>
      <c r="D393" s="301"/>
      <c r="E393" s="25"/>
      <c r="F393" s="30"/>
      <c r="G393" s="25"/>
      <c r="H393" s="25"/>
      <c r="I393" s="25"/>
      <c r="J393" s="25"/>
      <c r="K393" s="25"/>
      <c r="L393" s="25"/>
      <c r="M393" s="25"/>
      <c r="N393" s="605"/>
      <c r="O393" s="595">
        <v>0.93490804699999996</v>
      </c>
      <c r="Q393" s="422"/>
      <c r="R393" s="422"/>
      <c r="S393" s="422"/>
      <c r="T393" s="598"/>
      <c r="U393" s="428"/>
      <c r="V393" s="422"/>
      <c r="W393" s="423"/>
      <c r="X393" s="423"/>
      <c r="Y393" s="423"/>
      <c r="Z393" s="205"/>
    </row>
    <row r="394" spans="1:26" ht="18.95" customHeight="1">
      <c r="A394" s="115"/>
      <c r="B394" s="421"/>
      <c r="C394" s="368" t="s">
        <v>3196</v>
      </c>
      <c r="D394" s="301"/>
      <c r="E394" s="25">
        <v>0</v>
      </c>
      <c r="F394" s="1181" t="s">
        <v>349</v>
      </c>
      <c r="G394" s="25">
        <v>515</v>
      </c>
      <c r="H394" s="25">
        <f t="shared" si="46"/>
        <v>481.47764420499999</v>
      </c>
      <c r="I394" s="25">
        <f t="shared" si="42"/>
        <v>0</v>
      </c>
      <c r="J394" s="25">
        <v>100</v>
      </c>
      <c r="K394" s="25">
        <f t="shared" si="45"/>
        <v>93.490804699999998</v>
      </c>
      <c r="L394" s="25">
        <f t="shared" si="43"/>
        <v>0</v>
      </c>
      <c r="M394" s="25">
        <f>I394+L394</f>
        <v>0</v>
      </c>
      <c r="N394" s="605"/>
      <c r="O394" s="595">
        <v>0.93490804699999996</v>
      </c>
      <c r="Q394" s="422"/>
      <c r="R394" s="422"/>
      <c r="S394" s="422"/>
      <c r="T394" s="598"/>
      <c r="U394" s="428"/>
      <c r="V394" s="422"/>
      <c r="W394" s="423"/>
      <c r="X394" s="423"/>
      <c r="Y394" s="423"/>
      <c r="Z394" s="205"/>
    </row>
    <row r="395" spans="1:26" ht="18.95" customHeight="1">
      <c r="A395" s="525"/>
      <c r="B395" s="421"/>
      <c r="C395" s="368" t="s">
        <v>3197</v>
      </c>
      <c r="D395" s="301"/>
      <c r="E395" s="25">
        <v>10</v>
      </c>
      <c r="F395" s="1181" t="s">
        <v>349</v>
      </c>
      <c r="G395" s="25">
        <v>450</v>
      </c>
      <c r="H395" s="25">
        <f t="shared" si="46"/>
        <v>420.70862115</v>
      </c>
      <c r="I395" s="25">
        <f t="shared" si="42"/>
        <v>4207.0862115</v>
      </c>
      <c r="J395" s="25">
        <v>200</v>
      </c>
      <c r="K395" s="25">
        <f t="shared" si="45"/>
        <v>186.9816094</v>
      </c>
      <c r="L395" s="25">
        <f t="shared" si="43"/>
        <v>1869.816094</v>
      </c>
      <c r="M395" s="25">
        <f>I395+L395</f>
        <v>6076.9023054999998</v>
      </c>
      <c r="N395" s="605"/>
      <c r="O395" s="595">
        <v>0.93490804699999996</v>
      </c>
      <c r="Q395" s="422"/>
      <c r="R395" s="422"/>
      <c r="S395" s="422"/>
      <c r="T395" s="598"/>
      <c r="U395" s="428"/>
      <c r="V395" s="422"/>
      <c r="W395" s="423"/>
      <c r="X395" s="423"/>
      <c r="Y395" s="423"/>
      <c r="Z395" s="205"/>
    </row>
    <row r="396" spans="1:26" ht="18.95" customHeight="1">
      <c r="A396" s="21"/>
      <c r="B396" s="583">
        <v>5.17</v>
      </c>
      <c r="C396" s="368" t="s">
        <v>3198</v>
      </c>
      <c r="D396" s="301"/>
      <c r="E396" s="25">
        <v>10</v>
      </c>
      <c r="F396" s="1181" t="s">
        <v>349</v>
      </c>
      <c r="G396" s="25">
        <v>1500</v>
      </c>
      <c r="H396" s="25">
        <f t="shared" si="46"/>
        <v>1402.3620704999998</v>
      </c>
      <c r="I396" s="25">
        <f t="shared" si="42"/>
        <v>14023.620704999998</v>
      </c>
      <c r="J396" s="25">
        <v>200</v>
      </c>
      <c r="K396" s="25">
        <f t="shared" si="45"/>
        <v>186.9816094</v>
      </c>
      <c r="L396" s="25">
        <f t="shared" si="43"/>
        <v>1869.816094</v>
      </c>
      <c r="M396" s="25">
        <f>I396+L396</f>
        <v>15893.436798999997</v>
      </c>
      <c r="N396" s="21"/>
      <c r="O396" s="595">
        <v>0.93490804699999996</v>
      </c>
      <c r="Q396" s="422"/>
      <c r="R396" s="422"/>
      <c r="S396" s="422"/>
      <c r="T396" s="598"/>
      <c r="U396" s="428"/>
      <c r="V396" s="422"/>
      <c r="W396" s="423"/>
      <c r="X396" s="423"/>
      <c r="Y396" s="423"/>
      <c r="Z396" s="205"/>
    </row>
    <row r="397" spans="1:26" ht="18.95" customHeight="1">
      <c r="A397" s="525"/>
      <c r="B397" s="583">
        <v>5.18</v>
      </c>
      <c r="C397" s="368" t="s">
        <v>3199</v>
      </c>
      <c r="D397" s="301"/>
      <c r="E397" s="25"/>
      <c r="F397" s="30"/>
      <c r="G397" s="25"/>
      <c r="H397" s="25"/>
      <c r="I397" s="25"/>
      <c r="J397" s="25"/>
      <c r="K397" s="25"/>
      <c r="L397" s="25"/>
      <c r="M397" s="25"/>
      <c r="N397" s="21"/>
      <c r="O397" s="595">
        <v>0.93490804699999996</v>
      </c>
      <c r="Q397" s="422"/>
      <c r="R397" s="422"/>
      <c r="S397" s="422"/>
      <c r="T397" s="598"/>
      <c r="U397" s="428"/>
      <c r="V397" s="422"/>
      <c r="W397" s="423"/>
      <c r="X397" s="423"/>
      <c r="Y397" s="423"/>
      <c r="Z397" s="205"/>
    </row>
    <row r="398" spans="1:26" ht="18.95" customHeight="1">
      <c r="A398" s="539"/>
      <c r="B398" s="421"/>
      <c r="C398" s="368" t="s">
        <v>3058</v>
      </c>
      <c r="D398" s="301"/>
      <c r="E398" s="25">
        <v>10</v>
      </c>
      <c r="F398" s="1181" t="s">
        <v>349</v>
      </c>
      <c r="G398" s="25">
        <v>400</v>
      </c>
      <c r="H398" s="25">
        <f t="shared" si="46"/>
        <v>373.96321879999999</v>
      </c>
      <c r="I398" s="25">
        <f t="shared" ref="I398:I436" si="49">E398*H398</f>
        <v>3739.632188</v>
      </c>
      <c r="J398" s="25">
        <v>200</v>
      </c>
      <c r="K398" s="25">
        <f t="shared" si="45"/>
        <v>186.9816094</v>
      </c>
      <c r="L398" s="25">
        <f t="shared" ref="L398:L436" si="50">E398*K398</f>
        <v>1869.816094</v>
      </c>
      <c r="M398" s="25">
        <f>I398+L398</f>
        <v>5609.4482820000003</v>
      </c>
      <c r="N398" s="21"/>
      <c r="O398" s="595">
        <v>0.93490804699999996</v>
      </c>
      <c r="Q398" s="422"/>
      <c r="R398" s="422"/>
      <c r="S398" s="422"/>
      <c r="T398" s="598"/>
      <c r="U398" s="428"/>
      <c r="V398" s="422"/>
      <c r="W398" s="423"/>
      <c r="X398" s="423"/>
      <c r="Y398" s="423"/>
      <c r="Z398" s="205"/>
    </row>
    <row r="399" spans="1:26" ht="18.95" customHeight="1">
      <c r="A399" s="525"/>
      <c r="B399" s="583">
        <v>5.19</v>
      </c>
      <c r="C399" s="368" t="s">
        <v>3090</v>
      </c>
      <c r="D399" s="301"/>
      <c r="E399" s="25"/>
      <c r="F399" s="30"/>
      <c r="G399" s="25"/>
      <c r="H399" s="25"/>
      <c r="I399" s="25"/>
      <c r="J399" s="25"/>
      <c r="K399" s="25"/>
      <c r="L399" s="25"/>
      <c r="M399" s="25"/>
      <c r="N399" s="21"/>
      <c r="O399" s="595">
        <v>0.93490804699999996</v>
      </c>
      <c r="Q399" s="422"/>
      <c r="R399" s="422"/>
      <c r="S399" s="422"/>
      <c r="T399" s="598"/>
      <c r="U399" s="428"/>
      <c r="V399" s="422"/>
      <c r="W399" s="423"/>
      <c r="X399" s="423"/>
      <c r="Y399" s="423"/>
      <c r="Z399" s="205"/>
    </row>
    <row r="400" spans="1:26" ht="18.95" customHeight="1">
      <c r="A400" s="539"/>
      <c r="B400" s="421"/>
      <c r="C400" s="368" t="s">
        <v>3196</v>
      </c>
      <c r="D400" s="301"/>
      <c r="E400" s="25">
        <v>4</v>
      </c>
      <c r="F400" s="1181" t="s">
        <v>349</v>
      </c>
      <c r="G400" s="25">
        <v>370</v>
      </c>
      <c r="H400" s="25">
        <f t="shared" si="46"/>
        <v>345.91597738999997</v>
      </c>
      <c r="I400" s="25">
        <f t="shared" si="49"/>
        <v>1383.6639095599999</v>
      </c>
      <c r="J400" s="25">
        <v>100</v>
      </c>
      <c r="K400" s="25">
        <f t="shared" si="45"/>
        <v>93.490804699999998</v>
      </c>
      <c r="L400" s="25">
        <f t="shared" si="50"/>
        <v>373.96321879999999</v>
      </c>
      <c r="M400" s="25">
        <f>I400+L400</f>
        <v>1757.6271283599999</v>
      </c>
      <c r="N400" s="21"/>
      <c r="O400" s="595">
        <v>0.93490804699999996</v>
      </c>
      <c r="Q400" s="422"/>
      <c r="R400" s="422"/>
      <c r="S400" s="422"/>
      <c r="T400" s="598"/>
      <c r="U400" s="428"/>
      <c r="V400" s="422"/>
      <c r="W400" s="423"/>
      <c r="X400" s="428"/>
      <c r="Y400" s="423"/>
      <c r="Z400" s="205"/>
    </row>
    <row r="401" spans="1:26" ht="18.95" customHeight="1">
      <c r="A401" s="539"/>
      <c r="B401" s="421"/>
      <c r="C401" s="368" t="s">
        <v>3091</v>
      </c>
      <c r="D401" s="301"/>
      <c r="E401" s="25">
        <v>1</v>
      </c>
      <c r="F401" s="1181" t="s">
        <v>349</v>
      </c>
      <c r="G401" s="25">
        <v>2150</v>
      </c>
      <c r="H401" s="25">
        <f t="shared" si="46"/>
        <v>2010.0523010499999</v>
      </c>
      <c r="I401" s="25">
        <f t="shared" si="49"/>
        <v>2010.0523010499999</v>
      </c>
      <c r="J401" s="25">
        <v>400</v>
      </c>
      <c r="K401" s="25">
        <f t="shared" si="45"/>
        <v>373.96321879999999</v>
      </c>
      <c r="L401" s="25">
        <f t="shared" si="50"/>
        <v>373.96321879999999</v>
      </c>
      <c r="M401" s="25">
        <f>I401+L401</f>
        <v>2384.0155198499997</v>
      </c>
      <c r="N401" s="21"/>
      <c r="O401" s="595">
        <v>0.93490804699999996</v>
      </c>
      <c r="Q401" s="422"/>
      <c r="R401" s="422"/>
      <c r="S401" s="422"/>
      <c r="T401" s="598"/>
      <c r="U401" s="428"/>
      <c r="V401" s="422"/>
      <c r="W401" s="423"/>
      <c r="X401" s="428"/>
      <c r="Y401" s="423"/>
      <c r="Z401" s="205"/>
    </row>
    <row r="402" spans="1:26" ht="18.95" customHeight="1">
      <c r="A402" s="280"/>
      <c r="B402" s="421"/>
      <c r="C402" s="368" t="s">
        <v>3185</v>
      </c>
      <c r="D402" s="301"/>
      <c r="E402" s="25">
        <v>2</v>
      </c>
      <c r="F402" s="1181" t="s">
        <v>349</v>
      </c>
      <c r="G402" s="25">
        <v>5600</v>
      </c>
      <c r="H402" s="25">
        <f t="shared" si="46"/>
        <v>5235.4850631999998</v>
      </c>
      <c r="I402" s="25">
        <f t="shared" si="49"/>
        <v>10470.9701264</v>
      </c>
      <c r="J402" s="25">
        <v>800</v>
      </c>
      <c r="K402" s="25">
        <f t="shared" si="45"/>
        <v>747.92643759999999</v>
      </c>
      <c r="L402" s="25">
        <f t="shared" si="50"/>
        <v>1495.8528752</v>
      </c>
      <c r="M402" s="25">
        <f>I402+L402</f>
        <v>11966.8230016</v>
      </c>
      <c r="N402" s="21"/>
      <c r="O402" s="595">
        <v>0.93490804699999996</v>
      </c>
      <c r="Q402" s="422"/>
      <c r="R402" s="422"/>
      <c r="S402" s="422"/>
      <c r="T402" s="598"/>
      <c r="U402" s="428"/>
      <c r="V402" s="422"/>
      <c r="W402" s="423"/>
      <c r="X402" s="428"/>
      <c r="Y402" s="423"/>
      <c r="Z402" s="205"/>
    </row>
    <row r="403" spans="1:26" ht="18.95" customHeight="1">
      <c r="A403" s="525"/>
      <c r="B403" s="421"/>
      <c r="C403" s="368" t="s">
        <v>3187</v>
      </c>
      <c r="D403" s="301"/>
      <c r="E403" s="25">
        <v>1</v>
      </c>
      <c r="F403" s="1181" t="s">
        <v>349</v>
      </c>
      <c r="G403" s="25">
        <v>10400</v>
      </c>
      <c r="H403" s="25">
        <f t="shared" si="46"/>
        <v>9723.0436888000004</v>
      </c>
      <c r="I403" s="25">
        <f t="shared" si="49"/>
        <v>9723.0436888000004</v>
      </c>
      <c r="J403" s="25">
        <v>2000</v>
      </c>
      <c r="K403" s="25">
        <f t="shared" si="45"/>
        <v>1869.816094</v>
      </c>
      <c r="L403" s="25">
        <f t="shared" si="50"/>
        <v>1869.816094</v>
      </c>
      <c r="M403" s="25">
        <f>I403+L403</f>
        <v>11592.8597828</v>
      </c>
      <c r="N403" s="21"/>
      <c r="O403" s="595">
        <v>0.93490804699999996</v>
      </c>
      <c r="Q403" s="422"/>
      <c r="R403" s="422"/>
      <c r="S403" s="422"/>
      <c r="T403" s="598"/>
      <c r="U403" s="428"/>
      <c r="V403" s="422"/>
      <c r="W403" s="423"/>
      <c r="X403" s="428"/>
      <c r="Y403" s="423"/>
      <c r="Z403" s="205"/>
    </row>
    <row r="404" spans="1:26" ht="18.95" customHeight="1">
      <c r="A404" s="115"/>
      <c r="B404" s="583">
        <v>5.2</v>
      </c>
      <c r="C404" s="368" t="s">
        <v>3200</v>
      </c>
      <c r="D404" s="301"/>
      <c r="E404" s="25"/>
      <c r="F404" s="30"/>
      <c r="G404" s="25"/>
      <c r="H404" s="25"/>
      <c r="I404" s="25"/>
      <c r="J404" s="25"/>
      <c r="K404" s="25"/>
      <c r="L404" s="25"/>
      <c r="M404" s="25"/>
      <c r="N404" s="21"/>
      <c r="O404" s="595">
        <v>0.93490804699999996</v>
      </c>
      <c r="Q404" s="422"/>
      <c r="R404" s="422"/>
      <c r="S404" s="422"/>
      <c r="T404" s="598"/>
      <c r="U404" s="428"/>
      <c r="V404" s="422"/>
      <c r="W404" s="423"/>
      <c r="X404" s="423"/>
      <c r="Y404" s="423"/>
      <c r="Z404" s="205"/>
    </row>
    <row r="405" spans="1:26" ht="18.95" customHeight="1">
      <c r="A405" s="525"/>
      <c r="B405" s="421"/>
      <c r="C405" s="368" t="s">
        <v>3196</v>
      </c>
      <c r="D405" s="301"/>
      <c r="E405" s="25">
        <v>4</v>
      </c>
      <c r="F405" s="1181" t="s">
        <v>349</v>
      </c>
      <c r="G405" s="25">
        <v>350</v>
      </c>
      <c r="H405" s="25">
        <f t="shared" si="46"/>
        <v>327.21781644999999</v>
      </c>
      <c r="I405" s="25">
        <f t="shared" si="49"/>
        <v>1308.8712657999999</v>
      </c>
      <c r="J405" s="25">
        <v>100</v>
      </c>
      <c r="K405" s="25">
        <f t="shared" si="45"/>
        <v>93.490804699999998</v>
      </c>
      <c r="L405" s="25">
        <f t="shared" si="50"/>
        <v>373.96321879999999</v>
      </c>
      <c r="M405" s="25">
        <f>I405+L405</f>
        <v>1682.8344846</v>
      </c>
      <c r="N405" s="605"/>
      <c r="O405" s="595">
        <v>0.93490804699999996</v>
      </c>
      <c r="Q405" s="422"/>
      <c r="R405" s="422"/>
      <c r="S405" s="422"/>
      <c r="T405" s="598"/>
      <c r="U405" s="428"/>
      <c r="V405" s="422"/>
      <c r="W405" s="423"/>
      <c r="X405" s="423"/>
      <c r="Y405" s="423"/>
      <c r="Z405" s="205"/>
    </row>
    <row r="406" spans="1:26" ht="18.95" customHeight="1">
      <c r="A406" s="525"/>
      <c r="B406" s="583">
        <v>5.21</v>
      </c>
      <c r="C406" s="368" t="s">
        <v>3201</v>
      </c>
      <c r="D406" s="301"/>
      <c r="E406" s="25"/>
      <c r="F406" s="30"/>
      <c r="G406" s="25"/>
      <c r="H406" s="25"/>
      <c r="I406" s="25"/>
      <c r="J406" s="25"/>
      <c r="K406" s="25"/>
      <c r="L406" s="25"/>
      <c r="M406" s="25"/>
      <c r="N406" s="605"/>
      <c r="O406" s="595">
        <v>0.93490804699999996</v>
      </c>
      <c r="Q406" s="422"/>
      <c r="R406" s="422"/>
      <c r="S406" s="422"/>
      <c r="T406" s="598"/>
      <c r="U406" s="428"/>
      <c r="V406" s="422"/>
      <c r="W406" s="423"/>
      <c r="X406" s="423"/>
      <c r="Y406" s="423"/>
      <c r="Z406" s="205"/>
    </row>
    <row r="407" spans="1:26" ht="18.95" customHeight="1">
      <c r="A407" s="525"/>
      <c r="B407" s="421"/>
      <c r="C407" s="368" t="s">
        <v>3057</v>
      </c>
      <c r="D407" s="301"/>
      <c r="E407" s="25">
        <v>3</v>
      </c>
      <c r="F407" s="1181" t="s">
        <v>349</v>
      </c>
      <c r="G407" s="25">
        <v>3550</v>
      </c>
      <c r="H407" s="25">
        <f t="shared" si="46"/>
        <v>3318.92356685</v>
      </c>
      <c r="I407" s="25">
        <f t="shared" si="49"/>
        <v>9956.7707005499997</v>
      </c>
      <c r="J407" s="25">
        <v>150</v>
      </c>
      <c r="K407" s="25">
        <f t="shared" si="45"/>
        <v>140.23620704999999</v>
      </c>
      <c r="L407" s="25">
        <f t="shared" si="50"/>
        <v>420.70862115</v>
      </c>
      <c r="M407" s="25">
        <f>I407+L407</f>
        <v>10377.479321700001</v>
      </c>
      <c r="N407" s="605"/>
      <c r="O407" s="595">
        <v>0.93490804699999996</v>
      </c>
      <c r="Q407" s="422"/>
      <c r="R407" s="422"/>
      <c r="S407" s="422"/>
      <c r="T407" s="598"/>
      <c r="U407" s="428"/>
      <c r="V407" s="422"/>
      <c r="W407" s="423"/>
      <c r="X407" s="423"/>
      <c r="Y407" s="423"/>
      <c r="Z407" s="205"/>
    </row>
    <row r="408" spans="1:26" ht="18.95" customHeight="1">
      <c r="A408" s="525"/>
      <c r="B408" s="283"/>
      <c r="C408" s="285" t="s">
        <v>3064</v>
      </c>
      <c r="D408" s="301"/>
      <c r="E408" s="30"/>
      <c r="F408" s="25"/>
      <c r="G408" s="25"/>
      <c r="H408" s="25"/>
      <c r="I408" s="25"/>
      <c r="J408" s="25"/>
      <c r="K408" s="25"/>
      <c r="L408" s="25"/>
      <c r="M408" s="25"/>
      <c r="N408" s="21"/>
      <c r="O408" s="595">
        <v>0.93490804699999996</v>
      </c>
      <c r="Q408" s="422"/>
      <c r="R408" s="422"/>
      <c r="S408" s="422"/>
      <c r="T408" s="598"/>
      <c r="U408" s="428"/>
      <c r="V408" s="422"/>
      <c r="W408" s="423"/>
      <c r="X408" s="423"/>
      <c r="Y408" s="423"/>
      <c r="Z408" s="205"/>
    </row>
    <row r="409" spans="1:26" ht="18.95" customHeight="1">
      <c r="A409" s="525"/>
      <c r="B409" s="283"/>
      <c r="C409" s="285" t="s">
        <v>3091</v>
      </c>
      <c r="D409" s="301"/>
      <c r="E409" s="25">
        <v>1</v>
      </c>
      <c r="F409" s="1181" t="s">
        <v>349</v>
      </c>
      <c r="G409" s="30">
        <v>3600</v>
      </c>
      <c r="H409" s="25">
        <f t="shared" si="46"/>
        <v>3365.6689692</v>
      </c>
      <c r="I409" s="25">
        <f t="shared" si="49"/>
        <v>3365.6689692</v>
      </c>
      <c r="J409" s="25">
        <v>400</v>
      </c>
      <c r="K409" s="25">
        <f t="shared" ref="K409:K436" si="51">J409*O409</f>
        <v>373.96321879999999</v>
      </c>
      <c r="L409" s="25">
        <f t="shared" si="50"/>
        <v>373.96321879999999</v>
      </c>
      <c r="M409" s="25">
        <f>I409+L409</f>
        <v>3739.632188</v>
      </c>
      <c r="N409" s="21"/>
      <c r="O409" s="595">
        <v>0.93490804699999996</v>
      </c>
      <c r="Q409" s="422"/>
      <c r="R409" s="422"/>
      <c r="S409" s="422"/>
      <c r="T409" s="598"/>
      <c r="U409" s="428"/>
      <c r="V409" s="422"/>
      <c r="W409" s="423"/>
      <c r="X409" s="423"/>
      <c r="Y409" s="423"/>
      <c r="Z409" s="205"/>
    </row>
    <row r="410" spans="1:26" ht="18.95" customHeight="1">
      <c r="A410" s="525"/>
      <c r="B410" s="583">
        <v>5.22</v>
      </c>
      <c r="C410" s="368" t="s">
        <v>3202</v>
      </c>
      <c r="D410" s="301"/>
      <c r="E410" s="25"/>
      <c r="F410" s="30"/>
      <c r="G410" s="25"/>
      <c r="H410" s="25"/>
      <c r="I410" s="25"/>
      <c r="J410" s="25"/>
      <c r="K410" s="25"/>
      <c r="L410" s="25"/>
      <c r="M410" s="25"/>
      <c r="N410" s="21"/>
      <c r="O410" s="595">
        <v>0.93490804699999996</v>
      </c>
      <c r="Q410" s="422"/>
      <c r="R410" s="422"/>
      <c r="S410" s="422"/>
      <c r="T410" s="598"/>
      <c r="U410" s="428"/>
      <c r="V410" s="422"/>
      <c r="W410" s="423"/>
      <c r="X410" s="423"/>
      <c r="Y410" s="423"/>
      <c r="Z410" s="205"/>
    </row>
    <row r="411" spans="1:26" ht="18.95" customHeight="1">
      <c r="A411" s="525"/>
      <c r="B411" s="421"/>
      <c r="C411" s="368" t="s">
        <v>3187</v>
      </c>
      <c r="D411" s="301"/>
      <c r="E411" s="25">
        <v>1</v>
      </c>
      <c r="F411" s="1181" t="s">
        <v>349</v>
      </c>
      <c r="G411" s="25">
        <v>56000</v>
      </c>
      <c r="H411" s="25">
        <f t="shared" si="46"/>
        <v>52354.850632000001</v>
      </c>
      <c r="I411" s="25">
        <f t="shared" si="49"/>
        <v>52354.850632000001</v>
      </c>
      <c r="J411" s="25">
        <v>2500</v>
      </c>
      <c r="K411" s="25">
        <f t="shared" si="51"/>
        <v>2337.2701174999997</v>
      </c>
      <c r="L411" s="25">
        <f t="shared" si="50"/>
        <v>2337.2701174999997</v>
      </c>
      <c r="M411" s="25">
        <f>I411+L411</f>
        <v>54692.120749499998</v>
      </c>
      <c r="N411" s="21"/>
      <c r="O411" s="595">
        <v>0.93490804699999996</v>
      </c>
      <c r="Q411" s="422"/>
      <c r="R411" s="422"/>
      <c r="S411" s="422"/>
      <c r="T411" s="598"/>
      <c r="U411" s="428"/>
      <c r="V411" s="422"/>
      <c r="W411" s="423"/>
      <c r="X411" s="423"/>
      <c r="Y411" s="423"/>
      <c r="Z411" s="205"/>
    </row>
    <row r="412" spans="1:26" ht="18.95" customHeight="1">
      <c r="A412" s="280"/>
      <c r="B412" s="583">
        <v>5.23</v>
      </c>
      <c r="C412" s="368" t="s">
        <v>3203</v>
      </c>
      <c r="D412" s="301"/>
      <c r="E412" s="25">
        <v>4</v>
      </c>
      <c r="F412" s="1181" t="s">
        <v>349</v>
      </c>
      <c r="G412" s="25">
        <v>12000</v>
      </c>
      <c r="H412" s="25">
        <f t="shared" ref="H412:H436" si="52">G412*O412</f>
        <v>11218.896563999999</v>
      </c>
      <c r="I412" s="25">
        <f t="shared" si="49"/>
        <v>44875.586255999995</v>
      </c>
      <c r="J412" s="25">
        <v>1500</v>
      </c>
      <c r="K412" s="25">
        <f t="shared" si="51"/>
        <v>1402.3620704999998</v>
      </c>
      <c r="L412" s="25">
        <f t="shared" si="50"/>
        <v>5609.4482819999994</v>
      </c>
      <c r="M412" s="25">
        <f>I412+L412</f>
        <v>50485.034537999993</v>
      </c>
      <c r="N412" s="21"/>
      <c r="O412" s="595">
        <v>0.93490804699999996</v>
      </c>
      <c r="Q412" s="422"/>
      <c r="R412" s="422"/>
      <c r="S412" s="422"/>
      <c r="T412" s="598"/>
      <c r="U412" s="428"/>
      <c r="V412" s="422"/>
      <c r="W412" s="423"/>
      <c r="X412" s="428"/>
      <c r="Y412" s="423"/>
      <c r="Z412" s="205"/>
    </row>
    <row r="413" spans="1:26" ht="18.95" customHeight="1">
      <c r="A413" s="115"/>
      <c r="B413" s="583">
        <v>5.24</v>
      </c>
      <c r="C413" s="368" t="s">
        <v>3204</v>
      </c>
      <c r="D413" s="301"/>
      <c r="E413" s="25">
        <v>1</v>
      </c>
      <c r="F413" s="1181" t="s">
        <v>349</v>
      </c>
      <c r="G413" s="25">
        <v>39000</v>
      </c>
      <c r="H413" s="25">
        <f t="shared" si="52"/>
        <v>36461.413832999999</v>
      </c>
      <c r="I413" s="25">
        <f t="shared" si="49"/>
        <v>36461.413832999999</v>
      </c>
      <c r="J413" s="25">
        <v>1000</v>
      </c>
      <c r="K413" s="25">
        <f t="shared" si="51"/>
        <v>934.90804700000001</v>
      </c>
      <c r="L413" s="25">
        <f t="shared" si="50"/>
        <v>934.90804700000001</v>
      </c>
      <c r="M413" s="25">
        <f>I413+L413</f>
        <v>37396.321879999996</v>
      </c>
      <c r="N413" s="21"/>
      <c r="O413" s="595">
        <v>0.93490804699999996</v>
      </c>
      <c r="Q413" s="422"/>
      <c r="R413" s="422"/>
      <c r="S413" s="422"/>
      <c r="T413" s="598"/>
      <c r="U413" s="428"/>
      <c r="V413" s="422"/>
      <c r="W413" s="423"/>
      <c r="X413" s="423"/>
      <c r="Y413" s="423"/>
      <c r="Z413" s="205"/>
    </row>
    <row r="414" spans="1:26" ht="18.95" customHeight="1">
      <c r="A414" s="115"/>
      <c r="B414" s="583"/>
      <c r="C414" s="368"/>
      <c r="D414" s="301"/>
      <c r="E414" s="25"/>
      <c r="F414" s="30"/>
      <c r="G414" s="25"/>
      <c r="H414" s="25"/>
      <c r="I414" s="25"/>
      <c r="J414" s="25"/>
      <c r="K414" s="25"/>
      <c r="L414" s="25"/>
      <c r="M414" s="25"/>
      <c r="N414" s="21"/>
      <c r="O414" s="595">
        <v>0.93490804699999996</v>
      </c>
      <c r="Q414" s="422"/>
      <c r="R414" s="422"/>
      <c r="S414" s="422"/>
      <c r="T414" s="598"/>
      <c r="U414" s="428"/>
      <c r="V414" s="422"/>
      <c r="W414" s="423"/>
      <c r="X414" s="423"/>
      <c r="Y414" s="423"/>
      <c r="Z414" s="205"/>
    </row>
    <row r="415" spans="1:26" ht="18.95" customHeight="1">
      <c r="A415" s="525"/>
      <c r="B415" s="583">
        <v>5.25</v>
      </c>
      <c r="C415" s="368" t="s">
        <v>3205</v>
      </c>
      <c r="D415" s="301"/>
      <c r="E415" s="25"/>
      <c r="F415" s="30"/>
      <c r="G415" s="25"/>
      <c r="H415" s="25"/>
      <c r="I415" s="25"/>
      <c r="J415" s="25"/>
      <c r="K415" s="25"/>
      <c r="L415" s="25"/>
      <c r="M415" s="25"/>
      <c r="N415" s="21"/>
      <c r="O415" s="595">
        <v>0.93490804699999996</v>
      </c>
      <c r="Q415" s="422"/>
      <c r="R415" s="422"/>
      <c r="S415" s="422"/>
      <c r="T415" s="598"/>
      <c r="U415" s="428"/>
      <c r="V415" s="422"/>
      <c r="W415" s="423"/>
      <c r="X415" s="423"/>
      <c r="Y415" s="423"/>
      <c r="Z415" s="205"/>
    </row>
    <row r="416" spans="1:26" ht="18.95" customHeight="1">
      <c r="A416" s="280"/>
      <c r="B416" s="421"/>
      <c r="C416" s="368" t="s">
        <v>3061</v>
      </c>
      <c r="D416" s="301"/>
      <c r="E416" s="25">
        <v>1</v>
      </c>
      <c r="F416" s="1181" t="s">
        <v>349</v>
      </c>
      <c r="G416" s="25">
        <v>22000</v>
      </c>
      <c r="H416" s="25">
        <f t="shared" si="52"/>
        <v>20567.977034</v>
      </c>
      <c r="I416" s="25">
        <f t="shared" si="49"/>
        <v>20567.977034</v>
      </c>
      <c r="J416" s="25">
        <v>250</v>
      </c>
      <c r="K416" s="25">
        <f t="shared" si="51"/>
        <v>233.72701175</v>
      </c>
      <c r="L416" s="25">
        <f t="shared" si="50"/>
        <v>233.72701175</v>
      </c>
      <c r="M416" s="25">
        <f>I416+L416</f>
        <v>20801.704045750001</v>
      </c>
      <c r="N416" s="21"/>
      <c r="O416" s="595">
        <v>0.93490804699999996</v>
      </c>
      <c r="Q416" s="422"/>
      <c r="R416" s="422"/>
      <c r="S416" s="422"/>
      <c r="T416" s="598"/>
      <c r="U416" s="428"/>
      <c r="V416" s="422"/>
      <c r="W416" s="423"/>
      <c r="X416" s="423"/>
      <c r="Y416" s="423"/>
      <c r="Z416" s="205"/>
    </row>
    <row r="417" spans="1:27" ht="18.95" customHeight="1">
      <c r="A417" s="525"/>
      <c r="B417" s="421"/>
      <c r="C417" s="368" t="s">
        <v>3089</v>
      </c>
      <c r="D417" s="301"/>
      <c r="E417" s="25">
        <v>1</v>
      </c>
      <c r="F417" s="1181" t="s">
        <v>349</v>
      </c>
      <c r="G417" s="25">
        <v>55000</v>
      </c>
      <c r="H417" s="25">
        <f t="shared" si="52"/>
        <v>51419.942584999997</v>
      </c>
      <c r="I417" s="25">
        <f t="shared" si="49"/>
        <v>51419.942584999997</v>
      </c>
      <c r="J417" s="25">
        <v>1000</v>
      </c>
      <c r="K417" s="25">
        <f t="shared" si="51"/>
        <v>934.90804700000001</v>
      </c>
      <c r="L417" s="25">
        <f t="shared" si="50"/>
        <v>934.90804700000001</v>
      </c>
      <c r="M417" s="25">
        <f>I417+L417</f>
        <v>52354.850631999994</v>
      </c>
      <c r="N417" s="21"/>
      <c r="O417" s="595">
        <v>0.93490804699999996</v>
      </c>
      <c r="Q417" s="422"/>
      <c r="R417" s="422"/>
      <c r="S417" s="422"/>
      <c r="T417" s="598"/>
      <c r="U417" s="428"/>
      <c r="V417" s="422"/>
      <c r="W417" s="423"/>
      <c r="X417" s="423"/>
      <c r="Y417" s="423"/>
      <c r="Z417" s="205"/>
    </row>
    <row r="418" spans="1:27" ht="18.95" customHeight="1">
      <c r="A418" s="525"/>
      <c r="B418" s="583">
        <v>5.26</v>
      </c>
      <c r="C418" s="368" t="s">
        <v>3206</v>
      </c>
      <c r="D418" s="301"/>
      <c r="E418" s="25">
        <v>1</v>
      </c>
      <c r="F418" s="1181" t="s">
        <v>349</v>
      </c>
      <c r="G418" s="25">
        <v>1815</v>
      </c>
      <c r="H418" s="25">
        <f t="shared" si="52"/>
        <v>1696.858105305</v>
      </c>
      <c r="I418" s="25">
        <f t="shared" si="49"/>
        <v>1696.858105305</v>
      </c>
      <c r="J418" s="25">
        <v>1000</v>
      </c>
      <c r="K418" s="25">
        <f t="shared" si="51"/>
        <v>934.90804700000001</v>
      </c>
      <c r="L418" s="25">
        <f t="shared" si="50"/>
        <v>934.90804700000001</v>
      </c>
      <c r="M418" s="25">
        <f>I418+L418</f>
        <v>2631.7661523050001</v>
      </c>
      <c r="N418" s="605"/>
      <c r="O418" s="595">
        <v>0.93490804699999996</v>
      </c>
      <c r="Q418" s="422"/>
      <c r="R418" s="422"/>
      <c r="S418" s="422"/>
      <c r="T418" s="598"/>
      <c r="U418" s="428"/>
      <c r="V418" s="422"/>
      <c r="W418" s="423"/>
      <c r="X418" s="423"/>
      <c r="Y418" s="423"/>
      <c r="Z418" s="205"/>
    </row>
    <row r="419" spans="1:27" ht="18.95" customHeight="1">
      <c r="A419" s="525"/>
      <c r="B419" s="583">
        <v>5.27</v>
      </c>
      <c r="C419" s="368" t="s">
        <v>3207</v>
      </c>
      <c r="D419" s="301"/>
      <c r="E419" s="25">
        <v>4</v>
      </c>
      <c r="F419" s="1181" t="s">
        <v>349</v>
      </c>
      <c r="G419" s="25">
        <v>1100</v>
      </c>
      <c r="H419" s="25">
        <f t="shared" si="52"/>
        <v>1028.3988517</v>
      </c>
      <c r="I419" s="25">
        <f t="shared" si="49"/>
        <v>4113.5954068000001</v>
      </c>
      <c r="J419" s="25">
        <v>200</v>
      </c>
      <c r="K419" s="25">
        <f t="shared" si="51"/>
        <v>186.9816094</v>
      </c>
      <c r="L419" s="25">
        <f t="shared" si="50"/>
        <v>747.92643759999999</v>
      </c>
      <c r="M419" s="25">
        <f>I419+L419</f>
        <v>4861.5218444000002</v>
      </c>
      <c r="N419" s="605"/>
      <c r="O419" s="595">
        <v>0.93490804699999996</v>
      </c>
      <c r="Q419" s="422"/>
      <c r="R419" s="422"/>
      <c r="S419" s="422"/>
      <c r="T419" s="598"/>
      <c r="U419" s="428"/>
      <c r="V419" s="422"/>
      <c r="W419" s="423"/>
      <c r="X419" s="423"/>
      <c r="Y419" s="423"/>
      <c r="Z419" s="205"/>
    </row>
    <row r="420" spans="1:27" ht="18.95" customHeight="1">
      <c r="A420" s="525"/>
      <c r="B420" s="583">
        <v>5.28</v>
      </c>
      <c r="C420" s="368" t="s">
        <v>3208</v>
      </c>
      <c r="D420" s="301"/>
      <c r="E420" s="25">
        <v>1</v>
      </c>
      <c r="F420" s="1181" t="s">
        <v>349</v>
      </c>
      <c r="G420" s="25">
        <v>84000</v>
      </c>
      <c r="H420" s="25">
        <f t="shared" si="52"/>
        <v>78532.275947999995</v>
      </c>
      <c r="I420" s="25">
        <f t="shared" si="49"/>
        <v>78532.275947999995</v>
      </c>
      <c r="J420" s="25">
        <v>10000</v>
      </c>
      <c r="K420" s="25">
        <f t="shared" si="51"/>
        <v>9349.080469999999</v>
      </c>
      <c r="L420" s="25">
        <f t="shared" si="50"/>
        <v>9349.080469999999</v>
      </c>
      <c r="M420" s="25">
        <f>I420+L420</f>
        <v>87881.356417999996</v>
      </c>
      <c r="N420" s="605"/>
      <c r="O420" s="595">
        <v>0.93490804699999996</v>
      </c>
      <c r="Q420" s="423"/>
      <c r="R420" s="423"/>
      <c r="S420" s="423"/>
      <c r="T420" s="423"/>
      <c r="U420" s="423"/>
      <c r="V420" s="423"/>
      <c r="W420" s="423"/>
      <c r="X420" s="423"/>
      <c r="Y420" s="423"/>
      <c r="Z420" s="205"/>
    </row>
    <row r="421" spans="1:27" ht="18.95" customHeight="1">
      <c r="A421" s="525"/>
      <c r="B421" s="418" t="s">
        <v>3209</v>
      </c>
      <c r="C421" s="368"/>
      <c r="D421" s="301"/>
      <c r="E421" s="25"/>
      <c r="F421" s="30"/>
      <c r="G421" s="25"/>
      <c r="H421" s="25"/>
      <c r="I421" s="25"/>
      <c r="J421" s="25"/>
      <c r="K421" s="25"/>
      <c r="L421" s="25"/>
      <c r="M421" s="25"/>
      <c r="N421" s="605"/>
      <c r="O421" s="595">
        <v>0.93490804699999996</v>
      </c>
      <c r="Q421" s="423"/>
      <c r="R421" s="423"/>
      <c r="S421" s="423"/>
      <c r="T421" s="423"/>
      <c r="U421" s="423"/>
      <c r="V421" s="423"/>
      <c r="W421" s="423"/>
      <c r="X421" s="423"/>
      <c r="Y421" s="423"/>
      <c r="Z421" s="205"/>
    </row>
    <row r="422" spans="1:27" ht="18.95" customHeight="1">
      <c r="A422" s="525"/>
      <c r="B422" s="583">
        <v>5.29</v>
      </c>
      <c r="C422" s="368" t="s">
        <v>3210</v>
      </c>
      <c r="D422" s="301"/>
      <c r="E422" s="25"/>
      <c r="F422" s="30"/>
      <c r="G422" s="25"/>
      <c r="H422" s="25"/>
      <c r="I422" s="25"/>
      <c r="J422" s="25"/>
      <c r="K422" s="25"/>
      <c r="L422" s="25"/>
      <c r="M422" s="25"/>
      <c r="N422" s="605"/>
      <c r="O422" s="595">
        <v>0.93490804699999996</v>
      </c>
      <c r="P422" s="596"/>
      <c r="Q422" s="428"/>
      <c r="R422" s="428"/>
      <c r="S422" s="428"/>
      <c r="T422" s="601"/>
      <c r="U422" s="423"/>
      <c r="V422" s="423"/>
      <c r="W422" s="423"/>
      <c r="X422" s="423"/>
      <c r="Y422" s="423"/>
      <c r="Z422" s="205"/>
    </row>
    <row r="423" spans="1:27" ht="18.95" customHeight="1">
      <c r="A423" s="115"/>
      <c r="B423" s="421"/>
      <c r="C423" s="368" t="s">
        <v>3211</v>
      </c>
      <c r="D423" s="301"/>
      <c r="E423" s="25">
        <v>1</v>
      </c>
      <c r="F423" s="1181" t="s">
        <v>349</v>
      </c>
      <c r="G423" s="25">
        <v>356680</v>
      </c>
      <c r="H423" s="25">
        <f t="shared" si="52"/>
        <v>333463.00220395997</v>
      </c>
      <c r="I423" s="25">
        <f t="shared" si="49"/>
        <v>333463.00220395997</v>
      </c>
      <c r="J423" s="25">
        <v>40000</v>
      </c>
      <c r="K423" s="25">
        <f t="shared" si="51"/>
        <v>37396.321879999996</v>
      </c>
      <c r="L423" s="25">
        <f t="shared" si="50"/>
        <v>37396.321879999996</v>
      </c>
      <c r="M423" s="25">
        <f t="shared" ref="M423:M436" si="53">I423+L423</f>
        <v>370859.32408395997</v>
      </c>
      <c r="N423" s="21"/>
      <c r="O423" s="595">
        <v>0.93490804699999996</v>
      </c>
      <c r="Q423" s="422"/>
      <c r="R423" s="422"/>
      <c r="S423" s="422"/>
      <c r="T423" s="598"/>
      <c r="U423" s="600"/>
      <c r="V423" s="423"/>
      <c r="W423" s="423"/>
      <c r="X423" s="428"/>
      <c r="Y423" s="426"/>
      <c r="Z423" s="559"/>
    </row>
    <row r="424" spans="1:27" ht="18.95" customHeight="1">
      <c r="A424" s="115"/>
      <c r="B424" s="421"/>
      <c r="C424" s="368" t="s">
        <v>3212</v>
      </c>
      <c r="D424" s="301"/>
      <c r="E424" s="25">
        <v>1</v>
      </c>
      <c r="F424" s="1181" t="s">
        <v>349</v>
      </c>
      <c r="G424" s="25">
        <v>387800</v>
      </c>
      <c r="H424" s="25">
        <f t="shared" si="52"/>
        <v>362557.34062659997</v>
      </c>
      <c r="I424" s="25">
        <f t="shared" si="49"/>
        <v>362557.34062659997</v>
      </c>
      <c r="J424" s="25">
        <v>40000</v>
      </c>
      <c r="K424" s="25">
        <f t="shared" si="51"/>
        <v>37396.321879999996</v>
      </c>
      <c r="L424" s="25">
        <f t="shared" si="50"/>
        <v>37396.321879999996</v>
      </c>
      <c r="M424" s="25">
        <f t="shared" si="53"/>
        <v>399953.66250659997</v>
      </c>
      <c r="N424" s="21"/>
      <c r="O424" s="595">
        <v>0.93490804699999996</v>
      </c>
      <c r="Q424" s="422"/>
      <c r="R424" s="422"/>
      <c r="S424" s="422"/>
      <c r="T424" s="598"/>
      <c r="U424" s="600"/>
      <c r="V424" s="423"/>
      <c r="W424" s="423"/>
      <c r="X424" s="428"/>
      <c r="Y424" s="426"/>
      <c r="Z424" s="559"/>
    </row>
    <row r="425" spans="1:27" ht="18.95" customHeight="1">
      <c r="A425" s="115"/>
      <c r="B425" s="421"/>
      <c r="C425" s="368" t="s">
        <v>3213</v>
      </c>
      <c r="D425" s="301"/>
      <c r="E425" s="25">
        <v>1</v>
      </c>
      <c r="F425" s="1181" t="s">
        <v>349</v>
      </c>
      <c r="G425" s="25">
        <v>387800</v>
      </c>
      <c r="H425" s="25">
        <f t="shared" si="52"/>
        <v>362557.34062659997</v>
      </c>
      <c r="I425" s="25">
        <f t="shared" si="49"/>
        <v>362557.34062659997</v>
      </c>
      <c r="J425" s="25">
        <v>40000</v>
      </c>
      <c r="K425" s="25">
        <f t="shared" si="51"/>
        <v>37396.321879999996</v>
      </c>
      <c r="L425" s="25">
        <f t="shared" si="50"/>
        <v>37396.321879999996</v>
      </c>
      <c r="M425" s="25">
        <f t="shared" si="53"/>
        <v>399953.66250659997</v>
      </c>
      <c r="N425" s="21"/>
      <c r="O425" s="595">
        <v>0.93490804699999996</v>
      </c>
      <c r="Q425" s="422"/>
      <c r="R425" s="422"/>
      <c r="S425" s="422"/>
      <c r="T425" s="598"/>
      <c r="U425" s="600"/>
      <c r="V425" s="423"/>
      <c r="W425" s="423"/>
      <c r="X425" s="428"/>
      <c r="Y425" s="426"/>
      <c r="Z425" s="559"/>
    </row>
    <row r="426" spans="1:27" ht="18.95" customHeight="1">
      <c r="A426" s="115"/>
      <c r="B426" s="421"/>
      <c r="C426" s="368" t="s">
        <v>3214</v>
      </c>
      <c r="D426" s="301"/>
      <c r="E426" s="25">
        <v>1</v>
      </c>
      <c r="F426" s="1181" t="s">
        <v>349</v>
      </c>
      <c r="G426" s="25">
        <v>354840</v>
      </c>
      <c r="H426" s="25">
        <f t="shared" si="52"/>
        <v>331742.77139747998</v>
      </c>
      <c r="I426" s="25">
        <f t="shared" si="49"/>
        <v>331742.77139747998</v>
      </c>
      <c r="J426" s="25">
        <v>40000</v>
      </c>
      <c r="K426" s="25">
        <f t="shared" si="51"/>
        <v>37396.321879999996</v>
      </c>
      <c r="L426" s="25">
        <f t="shared" si="50"/>
        <v>37396.321879999996</v>
      </c>
      <c r="M426" s="25">
        <f t="shared" si="53"/>
        <v>369139.09327747999</v>
      </c>
      <c r="N426" s="21"/>
      <c r="O426" s="595">
        <v>0.93490804699999996</v>
      </c>
      <c r="Q426" s="422"/>
      <c r="R426" s="422"/>
      <c r="S426" s="422"/>
      <c r="T426" s="598"/>
      <c r="U426" s="600"/>
      <c r="V426" s="423"/>
      <c r="W426" s="423"/>
      <c r="X426" s="428"/>
      <c r="Y426" s="426"/>
      <c r="Z426" s="559"/>
    </row>
    <row r="427" spans="1:27" ht="18.95" customHeight="1">
      <c r="A427" s="115"/>
      <c r="B427" s="421"/>
      <c r="C427" s="368" t="s">
        <v>3215</v>
      </c>
      <c r="D427" s="301"/>
      <c r="E427" s="25">
        <v>1</v>
      </c>
      <c r="F427" s="1181" t="s">
        <v>349</v>
      </c>
      <c r="G427" s="25">
        <v>449080</v>
      </c>
      <c r="H427" s="25">
        <f t="shared" si="52"/>
        <v>419848.50574676</v>
      </c>
      <c r="I427" s="25">
        <f t="shared" si="49"/>
        <v>419848.50574676</v>
      </c>
      <c r="J427" s="25">
        <v>40000</v>
      </c>
      <c r="K427" s="25">
        <f t="shared" si="51"/>
        <v>37396.321879999996</v>
      </c>
      <c r="L427" s="25">
        <f t="shared" si="50"/>
        <v>37396.321879999996</v>
      </c>
      <c r="M427" s="25">
        <f t="shared" si="53"/>
        <v>457244.82762676</v>
      </c>
      <c r="N427" s="21"/>
      <c r="O427" s="595">
        <v>0.93490804699999996</v>
      </c>
      <c r="Q427" s="422"/>
      <c r="R427" s="422"/>
      <c r="S427" s="422"/>
      <c r="T427" s="598"/>
      <c r="U427" s="600"/>
      <c r="V427" s="423"/>
      <c r="W427" s="423"/>
      <c r="X427" s="428"/>
      <c r="Y427" s="426"/>
      <c r="Z427" s="559"/>
    </row>
    <row r="428" spans="1:27" ht="18.95" customHeight="1">
      <c r="A428" s="115"/>
      <c r="B428" s="421"/>
      <c r="C428" s="368" t="s">
        <v>3216</v>
      </c>
      <c r="D428" s="301"/>
      <c r="E428" s="25">
        <v>1</v>
      </c>
      <c r="F428" s="1181" t="s">
        <v>349</v>
      </c>
      <c r="G428" s="25">
        <v>370400</v>
      </c>
      <c r="H428" s="25">
        <f t="shared" si="52"/>
        <v>346289.94060879998</v>
      </c>
      <c r="I428" s="25">
        <f t="shared" si="49"/>
        <v>346289.94060879998</v>
      </c>
      <c r="J428" s="25">
        <v>40000</v>
      </c>
      <c r="K428" s="25">
        <f t="shared" si="51"/>
        <v>37396.321879999996</v>
      </c>
      <c r="L428" s="25">
        <f t="shared" si="50"/>
        <v>37396.321879999996</v>
      </c>
      <c r="M428" s="25">
        <f t="shared" si="53"/>
        <v>383686.26248879998</v>
      </c>
      <c r="N428" s="21"/>
      <c r="O428" s="595">
        <v>0.93490804699999996</v>
      </c>
      <c r="Q428" s="422"/>
      <c r="R428" s="422"/>
      <c r="S428" s="422"/>
      <c r="T428" s="598"/>
      <c r="U428" s="600"/>
      <c r="V428" s="423"/>
      <c r="W428" s="423"/>
      <c r="X428" s="428"/>
      <c r="Y428" s="426"/>
      <c r="Z428" s="559"/>
    </row>
    <row r="429" spans="1:27" ht="18.95" customHeight="1">
      <c r="A429" s="115"/>
      <c r="B429" s="421"/>
      <c r="C429" s="368" t="s">
        <v>3217</v>
      </c>
      <c r="D429" s="301"/>
      <c r="E429" s="25"/>
      <c r="F429" s="30"/>
      <c r="G429" s="25"/>
      <c r="H429" s="25"/>
      <c r="I429" s="25"/>
      <c r="J429" s="34"/>
      <c r="K429" s="25"/>
      <c r="L429" s="25"/>
      <c r="M429" s="34"/>
      <c r="N429" s="624"/>
      <c r="O429" s="595">
        <v>0.93490804699999996</v>
      </c>
      <c r="Q429" s="422"/>
      <c r="R429" s="422"/>
      <c r="S429" s="422"/>
      <c r="T429" s="598"/>
      <c r="U429" s="628"/>
      <c r="V429" s="629"/>
      <c r="W429" s="629"/>
      <c r="X429" s="422"/>
      <c r="Y429" s="422"/>
    </row>
    <row r="430" spans="1:27" ht="18.95" customHeight="1">
      <c r="A430" s="280"/>
      <c r="B430" s="583">
        <v>5.3</v>
      </c>
      <c r="C430" s="368" t="s">
        <v>3218</v>
      </c>
      <c r="D430" s="301"/>
      <c r="E430" s="25"/>
      <c r="F430" s="30"/>
      <c r="G430" s="25"/>
      <c r="H430" s="25"/>
      <c r="I430" s="25"/>
      <c r="J430" s="25"/>
      <c r="K430" s="25"/>
      <c r="L430" s="25"/>
      <c r="M430" s="25"/>
      <c r="N430" s="21"/>
      <c r="O430" s="595">
        <v>0.93490804699999996</v>
      </c>
      <c r="P430" s="596"/>
      <c r="Q430" s="422"/>
      <c r="R430" s="422"/>
      <c r="S430" s="422"/>
      <c r="T430" s="598"/>
      <c r="U430" s="600"/>
      <c r="V430" s="423"/>
      <c r="W430" s="423"/>
      <c r="X430" s="423"/>
      <c r="Y430" s="423"/>
      <c r="Z430" s="205"/>
    </row>
    <row r="431" spans="1:27" ht="18.95" customHeight="1">
      <c r="A431" s="21"/>
      <c r="B431" s="315"/>
      <c r="C431" s="47" t="s">
        <v>3219</v>
      </c>
      <c r="D431" s="286"/>
      <c r="E431" s="25">
        <v>1</v>
      </c>
      <c r="F431" s="1181" t="s">
        <v>788</v>
      </c>
      <c r="G431" s="25">
        <v>711200</v>
      </c>
      <c r="H431" s="25">
        <f t="shared" si="52"/>
        <v>664906.60302639997</v>
      </c>
      <c r="I431" s="25">
        <f t="shared" si="49"/>
        <v>664906.60302639997</v>
      </c>
      <c r="J431" s="25">
        <v>160000</v>
      </c>
      <c r="K431" s="25">
        <f t="shared" si="51"/>
        <v>149585.28751999998</v>
      </c>
      <c r="L431" s="25">
        <f t="shared" si="50"/>
        <v>149585.28751999998</v>
      </c>
      <c r="M431" s="25">
        <f t="shared" si="53"/>
        <v>814491.89054639998</v>
      </c>
      <c r="N431" s="21"/>
      <c r="O431" s="595">
        <v>0.93490804699999996</v>
      </c>
      <c r="Q431" s="422"/>
      <c r="R431" s="422"/>
      <c r="S431" s="422"/>
      <c r="T431" s="598"/>
      <c r="U431" s="600"/>
      <c r="V431" s="630"/>
      <c r="W431" s="630"/>
      <c r="X431" s="428"/>
      <c r="Y431" s="426"/>
      <c r="Z431" s="559"/>
      <c r="AA431" s="163"/>
    </row>
    <row r="432" spans="1:27" ht="18.95" customHeight="1">
      <c r="A432" s="21"/>
      <c r="B432" s="315"/>
      <c r="C432" s="47" t="s">
        <v>3220</v>
      </c>
      <c r="D432" s="286"/>
      <c r="E432" s="25">
        <v>1</v>
      </c>
      <c r="F432" s="1181" t="s">
        <v>788</v>
      </c>
      <c r="G432" s="25">
        <v>502560</v>
      </c>
      <c r="H432" s="25">
        <f t="shared" si="52"/>
        <v>469847.38810032001</v>
      </c>
      <c r="I432" s="25">
        <f t="shared" si="49"/>
        <v>469847.38810032001</v>
      </c>
      <c r="J432" s="25">
        <v>144000</v>
      </c>
      <c r="K432" s="25">
        <f t="shared" si="51"/>
        <v>134626.758768</v>
      </c>
      <c r="L432" s="25">
        <f t="shared" si="50"/>
        <v>134626.758768</v>
      </c>
      <c r="M432" s="25">
        <f t="shared" si="53"/>
        <v>604474.14686831995</v>
      </c>
      <c r="N432" s="21"/>
      <c r="O432" s="595">
        <v>0.93490804699999996</v>
      </c>
      <c r="Q432" s="422"/>
      <c r="R432" s="422"/>
      <c r="S432" s="422"/>
      <c r="T432" s="598"/>
      <c r="U432" s="600"/>
      <c r="V432" s="630"/>
      <c r="W432" s="630"/>
      <c r="X432" s="428"/>
      <c r="Y432" s="426"/>
      <c r="Z432" s="559"/>
      <c r="AA432" s="163"/>
    </row>
    <row r="433" spans="1:27" ht="18.95" customHeight="1">
      <c r="A433" s="21"/>
      <c r="B433" s="315"/>
      <c r="C433" s="47" t="s">
        <v>3221</v>
      </c>
      <c r="D433" s="286"/>
      <c r="E433" s="25">
        <v>1</v>
      </c>
      <c r="F433" s="1181" t="s">
        <v>788</v>
      </c>
      <c r="G433" s="25">
        <v>514560</v>
      </c>
      <c r="H433" s="25">
        <f t="shared" si="52"/>
        <v>481066.28466432</v>
      </c>
      <c r="I433" s="25">
        <f t="shared" si="49"/>
        <v>481066.28466432</v>
      </c>
      <c r="J433" s="25">
        <v>144000</v>
      </c>
      <c r="K433" s="25">
        <f t="shared" si="51"/>
        <v>134626.758768</v>
      </c>
      <c r="L433" s="25">
        <f t="shared" si="50"/>
        <v>134626.758768</v>
      </c>
      <c r="M433" s="25">
        <f t="shared" si="53"/>
        <v>615693.04343232</v>
      </c>
      <c r="N433" s="21"/>
      <c r="O433" s="595">
        <v>0.93490804699999996</v>
      </c>
      <c r="Q433" s="422"/>
      <c r="R433" s="422"/>
      <c r="S433" s="422"/>
      <c r="T433" s="598"/>
      <c r="U433" s="600"/>
      <c r="V433" s="630"/>
      <c r="W433" s="630"/>
      <c r="X433" s="428"/>
      <c r="Y433" s="426"/>
      <c r="Z433" s="559"/>
      <c r="AA433" s="163"/>
    </row>
    <row r="434" spans="1:27" ht="18.95" customHeight="1">
      <c r="A434" s="21"/>
      <c r="B434" s="315"/>
      <c r="C434" s="47" t="s">
        <v>3219</v>
      </c>
      <c r="D434" s="286"/>
      <c r="E434" s="25">
        <v>1</v>
      </c>
      <c r="F434" s="1181" t="s">
        <v>788</v>
      </c>
      <c r="G434" s="25">
        <v>528960</v>
      </c>
      <c r="H434" s="25">
        <f t="shared" si="52"/>
        <v>494528.96054111997</v>
      </c>
      <c r="I434" s="25">
        <f t="shared" si="49"/>
        <v>494528.96054111997</v>
      </c>
      <c r="J434" s="25">
        <v>144000</v>
      </c>
      <c r="K434" s="25">
        <f t="shared" si="51"/>
        <v>134626.758768</v>
      </c>
      <c r="L434" s="25">
        <f t="shared" si="50"/>
        <v>134626.758768</v>
      </c>
      <c r="M434" s="25">
        <f t="shared" si="53"/>
        <v>629155.71930911997</v>
      </c>
      <c r="N434" s="21"/>
      <c r="O434" s="595">
        <v>0.93490804699999996</v>
      </c>
      <c r="Q434" s="422"/>
      <c r="R434" s="422"/>
      <c r="S434" s="422"/>
      <c r="T434" s="598"/>
      <c r="U434" s="600"/>
      <c r="V434" s="630"/>
      <c r="W434" s="630"/>
      <c r="X434" s="428"/>
      <c r="Y434" s="426"/>
      <c r="Z434" s="559"/>
      <c r="AA434" s="163"/>
    </row>
    <row r="435" spans="1:27" ht="18.95" customHeight="1">
      <c r="A435" s="21"/>
      <c r="B435" s="315"/>
      <c r="C435" s="47" t="s">
        <v>3222</v>
      </c>
      <c r="D435" s="286"/>
      <c r="E435" s="25">
        <v>1</v>
      </c>
      <c r="F435" s="1181" t="s">
        <v>788</v>
      </c>
      <c r="G435" s="25">
        <v>637120</v>
      </c>
      <c r="H435" s="25">
        <f t="shared" si="52"/>
        <v>595648.61490464001</v>
      </c>
      <c r="I435" s="25">
        <f t="shared" si="49"/>
        <v>595648.61490464001</v>
      </c>
      <c r="J435" s="25">
        <v>160000</v>
      </c>
      <c r="K435" s="25">
        <f t="shared" si="51"/>
        <v>149585.28751999998</v>
      </c>
      <c r="L435" s="25">
        <f t="shared" si="50"/>
        <v>149585.28751999998</v>
      </c>
      <c r="M435" s="25">
        <f t="shared" si="53"/>
        <v>745233.90242464002</v>
      </c>
      <c r="N435" s="21"/>
      <c r="O435" s="595">
        <v>0.93490804699999996</v>
      </c>
      <c r="Q435" s="422"/>
      <c r="R435" s="422"/>
      <c r="S435" s="422"/>
      <c r="T435" s="598"/>
      <c r="U435" s="600"/>
      <c r="V435" s="630"/>
      <c r="W435" s="630"/>
      <c r="X435" s="428"/>
      <c r="Y435" s="426"/>
      <c r="Z435" s="559"/>
      <c r="AA435" s="163"/>
    </row>
    <row r="436" spans="1:27" ht="18.95" customHeight="1">
      <c r="A436" s="21"/>
      <c r="B436" s="315"/>
      <c r="C436" s="47" t="s">
        <v>3223</v>
      </c>
      <c r="D436" s="286"/>
      <c r="E436" s="25">
        <v>1</v>
      </c>
      <c r="F436" s="1181" t="s">
        <v>788</v>
      </c>
      <c r="G436" s="25">
        <v>866400</v>
      </c>
      <c r="H436" s="25">
        <f t="shared" si="52"/>
        <v>810004.33192079992</v>
      </c>
      <c r="I436" s="25">
        <f t="shared" si="49"/>
        <v>810004.33192079992</v>
      </c>
      <c r="J436" s="25">
        <v>184000</v>
      </c>
      <c r="K436" s="25">
        <f t="shared" si="51"/>
        <v>172023.080648</v>
      </c>
      <c r="L436" s="25">
        <f t="shared" si="50"/>
        <v>172023.080648</v>
      </c>
      <c r="M436" s="25">
        <f t="shared" si="53"/>
        <v>982027.41256879992</v>
      </c>
      <c r="N436" s="21"/>
      <c r="O436" s="595">
        <v>0.93490804699999996</v>
      </c>
      <c r="Q436" s="422"/>
      <c r="R436" s="422"/>
      <c r="S436" s="422"/>
      <c r="T436" s="598"/>
      <c r="U436" s="600"/>
      <c r="V436" s="630"/>
      <c r="W436" s="630"/>
      <c r="X436" s="428"/>
      <c r="Y436" s="426"/>
      <c r="Z436" s="559"/>
      <c r="AA436" s="163"/>
    </row>
    <row r="437" spans="1:27" ht="18.95" customHeight="1">
      <c r="A437" s="21"/>
      <c r="B437" s="1275" t="s">
        <v>2138</v>
      </c>
      <c r="C437" s="1276"/>
      <c r="D437" s="1277"/>
      <c r="E437" s="34"/>
      <c r="F437" s="102"/>
      <c r="G437" s="34"/>
      <c r="H437" s="34"/>
      <c r="I437" s="34">
        <f>SUM(I331:I436)</f>
        <v>10169033.097679906</v>
      </c>
      <c r="J437" s="34"/>
      <c r="K437" s="34"/>
      <c r="L437" s="34">
        <f>SUM(L331:L436)</f>
        <v>2613664.4626989844</v>
      </c>
      <c r="M437" s="34">
        <f>SUM(M331:M436)</f>
        <v>12782697.560378883</v>
      </c>
      <c r="N437" s="21"/>
      <c r="O437" s="205"/>
      <c r="Q437" s="423"/>
      <c r="R437" s="423"/>
      <c r="S437" s="423"/>
      <c r="T437" s="423"/>
      <c r="U437" s="423"/>
      <c r="V437" s="423"/>
      <c r="W437" s="423"/>
      <c r="X437" s="423"/>
      <c r="Y437" s="423"/>
      <c r="Z437" s="205"/>
    </row>
    <row r="438" spans="1:27" ht="18.95" customHeight="1">
      <c r="A438" s="50"/>
      <c r="B438" s="1360"/>
      <c r="C438" s="1361"/>
      <c r="D438" s="1362"/>
      <c r="E438" s="143"/>
      <c r="F438" s="392"/>
      <c r="G438" s="143"/>
      <c r="H438" s="143"/>
      <c r="I438" s="143"/>
      <c r="J438" s="143"/>
      <c r="K438" s="143"/>
      <c r="L438" s="143"/>
      <c r="M438" s="143"/>
      <c r="N438" s="50"/>
      <c r="O438" s="205"/>
      <c r="Q438" s="423"/>
      <c r="R438" s="423"/>
      <c r="S438" s="423"/>
      <c r="T438" s="423"/>
      <c r="U438" s="423"/>
      <c r="V438" s="423"/>
      <c r="W438" s="423"/>
      <c r="X438" s="423"/>
      <c r="Y438" s="423"/>
      <c r="Z438" s="205"/>
    </row>
  </sheetData>
  <mergeCells count="19">
    <mergeCell ref="B438:D438"/>
    <mergeCell ref="A5:A6"/>
    <mergeCell ref="S7:U7"/>
    <mergeCell ref="W7:Y7"/>
    <mergeCell ref="B16:D16"/>
    <mergeCell ref="B96:D96"/>
    <mergeCell ref="B180:D180"/>
    <mergeCell ref="N5:N6"/>
    <mergeCell ref="B5:D6"/>
    <mergeCell ref="B271:D271"/>
    <mergeCell ref="B330:D330"/>
    <mergeCell ref="B437:D437"/>
    <mergeCell ref="A1:C1"/>
    <mergeCell ref="A2:C2"/>
    <mergeCell ref="A3:C3"/>
    <mergeCell ref="G5:I5"/>
    <mergeCell ref="J5:L5"/>
    <mergeCell ref="E5:E6"/>
    <mergeCell ref="F5:F6"/>
  </mergeCells>
  <printOptions horizontalCentered="1"/>
  <pageMargins left="0.39370078740157499" right="0.39370078740157499" top="1.1811023622047201" bottom="0" header="0.78740157480314998" footer="0"/>
  <pageSetup paperSize="9" scale="68" firstPageNumber="136" fitToHeight="1000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New,Regular"&amp;14แบบปร.4(ก) แผ่นที่ &amp;P/166</oddHeader>
  </headerFooter>
  <rowBreaks count="15" manualBreakCount="15">
    <brk id="18" max="11" man="1"/>
    <brk id="46" max="11" man="1"/>
    <brk id="77" max="11" man="1"/>
    <brk id="107" max="11" man="1"/>
    <brk id="133" max="11" man="1"/>
    <brk id="163" max="11" man="1"/>
    <brk id="196" max="11" man="1"/>
    <brk id="222" max="11" man="1"/>
    <brk id="252" max="11" man="1"/>
    <brk id="274" max="11" man="1"/>
    <brk id="303" max="11" man="1"/>
    <brk id="330" max="11" man="1"/>
    <brk id="358" max="11" man="1"/>
    <brk id="386" max="11" man="1"/>
    <brk id="414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D338"/>
  <sheetViews>
    <sheetView showGridLines="0" view="pageBreakPreview" topLeftCell="A301" zoomScale="110" zoomScaleNormal="100" workbookViewId="0">
      <selection activeCell="D27" sqref="D27"/>
    </sheetView>
  </sheetViews>
  <sheetFormatPr defaultColWidth="10.453125" defaultRowHeight="18.95" customHeight="1"/>
  <cols>
    <col min="1" max="1" width="6.7265625" style="203" customWidth="1"/>
    <col min="2" max="2" width="5.453125" style="205" customWidth="1"/>
    <col min="3" max="3" width="24.453125" style="205" customWidth="1"/>
    <col min="4" max="4" width="37.1796875" style="203" customWidth="1"/>
    <col min="5" max="5" width="11.7265625" style="157" customWidth="1"/>
    <col min="6" max="6" width="9.54296875" style="157" customWidth="1"/>
    <col min="7" max="7" width="15.7265625" style="157" hidden="1" customWidth="1"/>
    <col min="8" max="9" width="15.7265625" style="157" customWidth="1"/>
    <col min="10" max="10" width="15.7265625" style="157" hidden="1" customWidth="1"/>
    <col min="11" max="13" width="15.7265625" style="157" customWidth="1"/>
    <col min="14" max="14" width="16.81640625" style="157" customWidth="1"/>
    <col min="15" max="15" width="19.54296875" style="157" customWidth="1"/>
    <col min="16" max="16" width="15.7265625" style="157" customWidth="1"/>
    <col min="17" max="18" width="10.453125" style="203"/>
    <col min="19" max="19" width="17.453125" style="203" customWidth="1"/>
    <col min="20" max="20" width="12.81640625" style="203" customWidth="1"/>
    <col min="21" max="21" width="9.7265625" style="203" customWidth="1"/>
    <col min="22" max="22" width="41.1796875" style="203" customWidth="1"/>
    <col min="23" max="23" width="17.453125" style="203" customWidth="1"/>
    <col min="24" max="24" width="11.1796875" style="203" customWidth="1"/>
    <col min="25" max="25" width="10.453125" style="203"/>
    <col min="26" max="26" width="11" style="203" customWidth="1"/>
    <col min="27" max="27" width="9.7265625" style="203" customWidth="1"/>
    <col min="28" max="28" width="42" style="203" customWidth="1"/>
    <col min="29" max="29" width="9.1796875" style="203" customWidth="1"/>
    <col min="30" max="30" width="11.1796875" style="203" customWidth="1"/>
    <col min="31" max="16384" width="10.453125" style="203"/>
  </cols>
  <sheetData>
    <row r="1" spans="1:26" s="1" customFormat="1" ht="18.95" customHeight="1">
      <c r="A1" s="1229" t="s">
        <v>181</v>
      </c>
      <c r="B1" s="1229"/>
      <c r="C1" s="1229"/>
      <c r="D1" s="1367" t="str">
        <f>+'RKCA1_ปร.5 (ก)'!C4</f>
        <v>โครงการจัดตั้งศูนย์การเรียนรู้แห่งชาติ OKMD : OKMD National Knowledge Center (Ratchadamnoen Center 1 และ 2)</v>
      </c>
      <c r="E1" s="1367"/>
      <c r="F1" s="1367"/>
      <c r="G1" s="1367"/>
      <c r="H1" s="1367"/>
      <c r="I1" s="1367"/>
      <c r="J1" s="95" t="s">
        <v>182</v>
      </c>
      <c r="K1" s="95" t="s">
        <v>182</v>
      </c>
      <c r="L1" s="1368" t="s">
        <v>3224</v>
      </c>
      <c r="M1" s="1368"/>
      <c r="N1" s="1368"/>
      <c r="O1" s="3"/>
      <c r="P1" s="3"/>
    </row>
    <row r="2" spans="1:26" s="1" customFormat="1" ht="18.95" customHeight="1">
      <c r="A2" s="1231" t="s">
        <v>125</v>
      </c>
      <c r="B2" s="1231"/>
      <c r="C2" s="1231"/>
      <c r="D2" s="9" t="str">
        <f>+'RKCA1_ปร.5 (ก)'!C5</f>
        <v>แขวงตลาดยอด เขตพระนคร กรุงเทพมหานคร</v>
      </c>
      <c r="E2" s="8"/>
      <c r="F2" s="8"/>
      <c r="G2" s="8"/>
      <c r="H2" s="8"/>
      <c r="I2" s="8"/>
      <c r="J2" s="96" t="s">
        <v>184</v>
      </c>
      <c r="K2" s="96" t="s">
        <v>184</v>
      </c>
      <c r="L2" s="97" t="str">
        <f>+'RKCA1_ปร.5 (ก)'!C10</f>
        <v xml:space="preserve">  16 กรกฎาคม 2568</v>
      </c>
      <c r="M2" s="8"/>
      <c r="N2" s="8"/>
      <c r="O2" s="3"/>
      <c r="P2" s="3"/>
    </row>
    <row r="3" spans="1:26" s="1" customFormat="1" ht="18.95" customHeight="1">
      <c r="A3" s="1231" t="s">
        <v>185</v>
      </c>
      <c r="B3" s="1231"/>
      <c r="C3" s="1231"/>
      <c r="D3" s="9" t="str">
        <f>+'RKCA1_ปร.5 (ก)'!C9</f>
        <v>คณะกรรมการกำหนดราคากลาง</v>
      </c>
      <c r="E3" s="8"/>
      <c r="F3" s="8"/>
      <c r="G3" s="8"/>
      <c r="H3" s="8"/>
      <c r="I3" s="96"/>
      <c r="J3" s="96"/>
      <c r="K3" s="96"/>
      <c r="L3" s="97"/>
      <c r="M3" s="8"/>
      <c r="N3" s="8"/>
      <c r="O3" s="3"/>
      <c r="P3" s="3"/>
    </row>
    <row r="4" spans="1:26" s="1" customFormat="1" ht="18.95" customHeight="1">
      <c r="B4" s="2"/>
      <c r="C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ht="18.95" customHeight="1">
      <c r="A5" s="1270" t="s">
        <v>186</v>
      </c>
      <c r="B5" s="1235" t="s">
        <v>138</v>
      </c>
      <c r="C5" s="1287"/>
      <c r="D5" s="1288"/>
      <c r="E5" s="1237" t="s">
        <v>187</v>
      </c>
      <c r="F5" s="1237" t="s">
        <v>188</v>
      </c>
      <c r="G5" s="1369" t="s">
        <v>189</v>
      </c>
      <c r="H5" s="1369"/>
      <c r="I5" s="1369"/>
      <c r="J5" s="1369" t="s">
        <v>190</v>
      </c>
      <c r="K5" s="1369"/>
      <c r="L5" s="1369"/>
      <c r="M5" s="10" t="s">
        <v>191</v>
      </c>
      <c r="N5" s="1237" t="s">
        <v>140</v>
      </c>
    </row>
    <row r="6" spans="1:26" ht="18.95" customHeight="1">
      <c r="A6" s="1271"/>
      <c r="B6" s="1236"/>
      <c r="C6" s="1289"/>
      <c r="D6" s="1290"/>
      <c r="E6" s="1238"/>
      <c r="F6" s="1238"/>
      <c r="G6" s="12" t="s">
        <v>192</v>
      </c>
      <c r="H6" s="12" t="s">
        <v>192</v>
      </c>
      <c r="I6" s="12" t="s">
        <v>193</v>
      </c>
      <c r="J6" s="12" t="s">
        <v>192</v>
      </c>
      <c r="K6" s="12" t="s">
        <v>192</v>
      </c>
      <c r="L6" s="12" t="s">
        <v>193</v>
      </c>
      <c r="M6" s="12" t="s">
        <v>194</v>
      </c>
      <c r="N6" s="1238"/>
    </row>
    <row r="7" spans="1:26" ht="18.95" customHeight="1">
      <c r="A7" s="14"/>
      <c r="B7" s="216" t="s">
        <v>3225</v>
      </c>
      <c r="C7" s="16"/>
      <c r="D7" s="17"/>
      <c r="E7" s="18"/>
      <c r="F7" s="19"/>
      <c r="G7" s="18"/>
      <c r="H7" s="18"/>
      <c r="I7" s="18"/>
      <c r="J7" s="20"/>
      <c r="K7" s="20"/>
      <c r="L7" s="218"/>
      <c r="M7" s="19"/>
      <c r="N7" s="19"/>
      <c r="T7" s="559"/>
      <c r="V7" s="205"/>
      <c r="Z7" s="561"/>
    </row>
    <row r="8" spans="1:26" ht="18.95" customHeight="1">
      <c r="A8" s="21"/>
      <c r="B8" s="22" t="s">
        <v>162</v>
      </c>
      <c r="C8" s="23"/>
      <c r="D8" s="24"/>
      <c r="E8" s="25"/>
      <c r="F8" s="26"/>
      <c r="G8" s="72"/>
      <c r="H8" s="72"/>
      <c r="I8" s="72"/>
      <c r="J8" s="30"/>
      <c r="K8" s="30"/>
      <c r="L8" s="30"/>
      <c r="M8" s="72"/>
      <c r="N8" s="26"/>
      <c r="T8" s="559"/>
      <c r="V8" s="205"/>
      <c r="Z8" s="561"/>
    </row>
    <row r="9" spans="1:26" ht="18.95" customHeight="1">
      <c r="A9" s="549">
        <v>1</v>
      </c>
      <c r="B9" s="436" t="s">
        <v>3226</v>
      </c>
      <c r="C9" s="29"/>
      <c r="D9" s="24"/>
      <c r="E9" s="25">
        <v>1</v>
      </c>
      <c r="F9" s="26" t="s">
        <v>788</v>
      </c>
      <c r="G9" s="25"/>
      <c r="H9" s="25"/>
      <c r="I9" s="25">
        <f>I143</f>
        <v>0</v>
      </c>
      <c r="J9" s="30"/>
      <c r="K9" s="30"/>
      <c r="L9" s="30">
        <f>L143</f>
        <v>636859.36161639937</v>
      </c>
      <c r="M9" s="72">
        <f>I9+L9</f>
        <v>636859.36161639937</v>
      </c>
      <c r="N9" s="26"/>
      <c r="O9" s="157">
        <f>P9*0.934908047</f>
        <v>636859.36161639995</v>
      </c>
      <c r="P9" s="157">
        <v>681200</v>
      </c>
      <c r="Q9" s="560">
        <f>M9-O9</f>
        <v>0</v>
      </c>
      <c r="T9" s="559"/>
      <c r="V9" s="205"/>
      <c r="Z9" s="561"/>
    </row>
    <row r="10" spans="1:26" ht="18.95" customHeight="1">
      <c r="A10" s="207">
        <v>2</v>
      </c>
      <c r="B10" s="550" t="s">
        <v>3227</v>
      </c>
      <c r="C10" s="29"/>
      <c r="D10" s="24"/>
      <c r="E10" s="25">
        <v>1</v>
      </c>
      <c r="F10" s="26" t="s">
        <v>788</v>
      </c>
      <c r="G10" s="25"/>
      <c r="H10" s="25"/>
      <c r="I10" s="25">
        <f>I171</f>
        <v>3068978.7052086908</v>
      </c>
      <c r="J10" s="30"/>
      <c r="K10" s="30"/>
      <c r="L10" s="25">
        <f>L171</f>
        <v>55159.574773</v>
      </c>
      <c r="M10" s="72">
        <f t="shared" ref="M10:M16" si="0">I10+L10</f>
        <v>3124138.2799816909</v>
      </c>
      <c r="N10" s="26"/>
      <c r="O10" s="157">
        <f t="shared" ref="O10:O16" si="1">P10*0.934908047</f>
        <v>3124138.2799816909</v>
      </c>
      <c r="P10" s="157">
        <v>3341653</v>
      </c>
      <c r="Q10" s="560">
        <f t="shared" ref="Q10:Q18" si="2">M10-O10</f>
        <v>0</v>
      </c>
      <c r="T10" s="559"/>
      <c r="V10" s="205"/>
      <c r="Z10" s="561"/>
    </row>
    <row r="11" spans="1:26" ht="18.95" customHeight="1">
      <c r="A11" s="207">
        <v>3</v>
      </c>
      <c r="B11" s="550" t="s">
        <v>3228</v>
      </c>
      <c r="C11" s="29"/>
      <c r="D11" s="24"/>
      <c r="E11" s="25">
        <v>1</v>
      </c>
      <c r="F11" s="26" t="s">
        <v>788</v>
      </c>
      <c r="G11" s="25"/>
      <c r="H11" s="25"/>
      <c r="I11" s="25">
        <f>I200</f>
        <v>1905902.3666300611</v>
      </c>
      <c r="J11" s="30"/>
      <c r="K11" s="30"/>
      <c r="L11" s="25">
        <f>L200</f>
        <v>568288.57952440344</v>
      </c>
      <c r="M11" s="72">
        <f t="shared" si="0"/>
        <v>2474190.9461544645</v>
      </c>
      <c r="N11" s="26"/>
      <c r="O11" s="157">
        <f t="shared" si="1"/>
        <v>2474190.9442846482</v>
      </c>
      <c r="P11" s="157">
        <v>2646453.79</v>
      </c>
      <c r="Q11" s="560">
        <f t="shared" si="2"/>
        <v>1.8698163330554962E-3</v>
      </c>
      <c r="T11" s="559"/>
      <c r="V11" s="205"/>
      <c r="Z11" s="561"/>
    </row>
    <row r="12" spans="1:26" ht="18.95" customHeight="1">
      <c r="A12" s="207">
        <v>4</v>
      </c>
      <c r="B12" s="550" t="s">
        <v>3229</v>
      </c>
      <c r="C12" s="29"/>
      <c r="D12" s="24"/>
      <c r="E12" s="25">
        <v>1</v>
      </c>
      <c r="F12" s="26" t="s">
        <v>788</v>
      </c>
      <c r="G12" s="25"/>
      <c r="H12" s="25"/>
      <c r="I12" s="25">
        <f>I216</f>
        <v>4118218.5270924149</v>
      </c>
      <c r="J12" s="30"/>
      <c r="K12" s="30"/>
      <c r="L12" s="25">
        <f>L216</f>
        <v>1662251.0815832247</v>
      </c>
      <c r="M12" s="72">
        <f t="shared" si="0"/>
        <v>5780469.6086756401</v>
      </c>
      <c r="N12" s="26"/>
      <c r="O12" s="157">
        <f t="shared" si="1"/>
        <v>5780469.6086756391</v>
      </c>
      <c r="P12" s="157">
        <v>6182928.5</v>
      </c>
      <c r="Q12" s="560">
        <f t="shared" si="2"/>
        <v>0</v>
      </c>
      <c r="T12" s="559"/>
      <c r="V12" s="205"/>
      <c r="Z12" s="561"/>
    </row>
    <row r="13" spans="1:26" ht="18.95" customHeight="1">
      <c r="A13" s="207">
        <v>5</v>
      </c>
      <c r="B13" s="550" t="s">
        <v>3230</v>
      </c>
      <c r="C13" s="29"/>
      <c r="D13" s="24"/>
      <c r="E13" s="25">
        <v>1</v>
      </c>
      <c r="F13" s="26" t="s">
        <v>788</v>
      </c>
      <c r="G13" s="30"/>
      <c r="H13" s="30"/>
      <c r="I13" s="30">
        <f>I261</f>
        <v>2115348.7926751589</v>
      </c>
      <c r="J13" s="30"/>
      <c r="K13" s="30"/>
      <c r="L13" s="30">
        <f>L261</f>
        <v>188793.09050404534</v>
      </c>
      <c r="M13" s="72">
        <f t="shared" si="0"/>
        <v>2304141.8831792041</v>
      </c>
      <c r="N13" s="26"/>
      <c r="O13" s="157">
        <f t="shared" si="1"/>
        <v>2304141.8752324865</v>
      </c>
      <c r="P13" s="157">
        <v>2464565.2400000002</v>
      </c>
      <c r="Q13" s="560">
        <f t="shared" si="2"/>
        <v>7.9467175528407097E-3</v>
      </c>
      <c r="T13" s="559"/>
      <c r="V13" s="205"/>
      <c r="Z13" s="561"/>
    </row>
    <row r="14" spans="1:26" ht="18.95" customHeight="1">
      <c r="A14" s="207">
        <v>6</v>
      </c>
      <c r="B14" s="550" t="s">
        <v>3231</v>
      </c>
      <c r="C14" s="29"/>
      <c r="D14" s="24"/>
      <c r="E14" s="25">
        <v>1</v>
      </c>
      <c r="F14" s="26" t="s">
        <v>788</v>
      </c>
      <c r="G14" s="30"/>
      <c r="H14" s="30"/>
      <c r="I14" s="30">
        <f>I275</f>
        <v>858146.48689301801</v>
      </c>
      <c r="J14" s="30"/>
      <c r="K14" s="30"/>
      <c r="L14" s="30">
        <f>L275</f>
        <v>138886.9477565696</v>
      </c>
      <c r="M14" s="72">
        <f t="shared" si="0"/>
        <v>997033.43464958761</v>
      </c>
      <c r="N14" s="26"/>
      <c r="O14" s="157">
        <f t="shared" si="1"/>
        <v>997033.43464958761</v>
      </c>
      <c r="P14" s="157">
        <v>1066450.8</v>
      </c>
      <c r="Q14" s="560">
        <f t="shared" si="2"/>
        <v>0</v>
      </c>
      <c r="T14" s="559"/>
      <c r="V14" s="205"/>
      <c r="Z14" s="561"/>
    </row>
    <row r="15" spans="1:26" ht="18.95" customHeight="1">
      <c r="A15" s="207">
        <v>7</v>
      </c>
      <c r="B15" s="550" t="s">
        <v>3232</v>
      </c>
      <c r="C15" s="29"/>
      <c r="D15" s="24"/>
      <c r="E15" s="25">
        <v>1</v>
      </c>
      <c r="F15" s="26" t="s">
        <v>788</v>
      </c>
      <c r="G15" s="30"/>
      <c r="H15" s="30"/>
      <c r="I15" s="30">
        <f>I322</f>
        <v>2711233.3362999992</v>
      </c>
      <c r="J15" s="30"/>
      <c r="K15" s="30"/>
      <c r="L15" s="30">
        <f>L322</f>
        <v>224845.38530350031</v>
      </c>
      <c r="M15" s="72">
        <f t="shared" si="0"/>
        <v>2936078.7216034993</v>
      </c>
      <c r="N15" s="26"/>
      <c r="O15" s="157">
        <f t="shared" si="1"/>
        <v>2936078.7216034997</v>
      </c>
      <c r="P15" s="157">
        <v>3140500</v>
      </c>
      <c r="Q15" s="560">
        <f t="shared" si="2"/>
        <v>0</v>
      </c>
      <c r="T15" s="559"/>
      <c r="V15" s="205"/>
      <c r="Z15" s="561"/>
    </row>
    <row r="16" spans="1:26" ht="18.95" customHeight="1">
      <c r="A16" s="207">
        <v>8</v>
      </c>
      <c r="B16" s="550" t="s">
        <v>3233</v>
      </c>
      <c r="C16" s="29"/>
      <c r="D16" s="24"/>
      <c r="E16" s="25">
        <v>1</v>
      </c>
      <c r="F16" s="26" t="s">
        <v>788</v>
      </c>
      <c r="G16" s="25"/>
      <c r="H16" s="25"/>
      <c r="I16" s="25">
        <f>I326</f>
        <v>186981.60939999999</v>
      </c>
      <c r="J16" s="30"/>
      <c r="K16" s="30"/>
      <c r="L16" s="25">
        <f>L326</f>
        <v>46745.402349999997</v>
      </c>
      <c r="M16" s="72">
        <f t="shared" si="0"/>
        <v>233727.01174999998</v>
      </c>
      <c r="N16" s="26"/>
      <c r="O16" s="157">
        <f t="shared" si="1"/>
        <v>233727.01175000001</v>
      </c>
      <c r="P16" s="157">
        <v>250000</v>
      </c>
      <c r="Q16" s="560">
        <f t="shared" si="2"/>
        <v>0</v>
      </c>
      <c r="T16" s="559"/>
      <c r="V16" s="205"/>
      <c r="Z16" s="561"/>
    </row>
    <row r="17" spans="1:26" ht="18.95" customHeight="1">
      <c r="A17" s="207"/>
      <c r="B17" s="551"/>
      <c r="C17" s="552"/>
      <c r="D17" s="267"/>
      <c r="E17" s="25"/>
      <c r="F17" s="26"/>
      <c r="G17" s="30"/>
      <c r="H17" s="30"/>
      <c r="I17" s="30"/>
      <c r="J17" s="30"/>
      <c r="K17" s="30"/>
      <c r="L17" s="72"/>
      <c r="M17" s="72"/>
      <c r="N17" s="26"/>
      <c r="Q17" s="560">
        <f t="shared" si="2"/>
        <v>0</v>
      </c>
      <c r="T17" s="559"/>
      <c r="V17" s="205"/>
      <c r="Z17" s="561"/>
    </row>
    <row r="18" spans="1:26" ht="18.95" customHeight="1">
      <c r="A18" s="207"/>
      <c r="B18" s="1364" t="s">
        <v>3234</v>
      </c>
      <c r="C18" s="1365"/>
      <c r="D18" s="1366"/>
      <c r="E18" s="25"/>
      <c r="F18" s="26"/>
      <c r="G18" s="30"/>
      <c r="H18" s="30"/>
      <c r="I18" s="102">
        <f>SUM(I9:I17)</f>
        <v>14964809.824199345</v>
      </c>
      <c r="J18" s="102"/>
      <c r="K18" s="102"/>
      <c r="L18" s="102">
        <f>SUM(L9:L17)</f>
        <v>3521829.4234111421</v>
      </c>
      <c r="M18" s="126">
        <f>I18+L18</f>
        <v>18486639.247610487</v>
      </c>
      <c r="N18" s="26"/>
      <c r="O18" s="157">
        <f>SUM(O9:O17)</f>
        <v>18486639.237793956</v>
      </c>
      <c r="P18" s="157">
        <f>SUM(P9:P17)</f>
        <v>19773751.329999998</v>
      </c>
      <c r="Q18" s="560">
        <f t="shared" si="2"/>
        <v>9.8165310919284821E-3</v>
      </c>
      <c r="T18" s="559"/>
      <c r="V18" s="205"/>
      <c r="Z18" s="561"/>
    </row>
    <row r="19" spans="1:26" ht="18.95" customHeight="1">
      <c r="A19" s="207"/>
      <c r="B19" s="553"/>
      <c r="C19" s="554"/>
      <c r="D19" s="555"/>
      <c r="E19" s="25"/>
      <c r="F19" s="26"/>
      <c r="G19" s="30"/>
      <c r="H19" s="30"/>
      <c r="I19" s="102"/>
      <c r="J19" s="102"/>
      <c r="K19" s="102"/>
      <c r="L19" s="102"/>
      <c r="M19" s="126"/>
      <c r="N19" s="26"/>
      <c r="T19" s="559"/>
      <c r="V19" s="205"/>
      <c r="Z19" s="561"/>
    </row>
    <row r="20" spans="1:26" ht="43.5" customHeight="1">
      <c r="A20" s="207"/>
      <c r="B20" s="553"/>
      <c r="C20" s="554"/>
      <c r="D20" s="555"/>
      <c r="E20" s="25"/>
      <c r="F20" s="26"/>
      <c r="G20" s="30"/>
      <c r="H20" s="30"/>
      <c r="I20" s="102"/>
      <c r="J20" s="102"/>
      <c r="K20" s="102"/>
      <c r="L20" s="102"/>
      <c r="M20" s="126"/>
      <c r="N20" s="26"/>
      <c r="T20" s="559"/>
      <c r="V20" s="205"/>
      <c r="Z20" s="561"/>
    </row>
    <row r="21" spans="1:26" ht="18.95" customHeight="1">
      <c r="A21" s="207"/>
      <c r="B21" s="553"/>
      <c r="C21" s="554"/>
      <c r="D21" s="555"/>
      <c r="E21" s="25"/>
      <c r="F21" s="26"/>
      <c r="G21" s="30"/>
      <c r="H21" s="30"/>
      <c r="I21" s="102"/>
      <c r="J21" s="102"/>
      <c r="K21" s="102"/>
      <c r="L21" s="102"/>
      <c r="M21" s="126"/>
      <c r="N21" s="26"/>
      <c r="T21" s="559"/>
      <c r="V21" s="205"/>
      <c r="Z21" s="561"/>
    </row>
    <row r="22" spans="1:26" ht="18.95" customHeight="1">
      <c r="A22" s="207"/>
      <c r="B22" s="553"/>
      <c r="C22" s="554"/>
      <c r="D22" s="555"/>
      <c r="E22" s="25"/>
      <c r="F22" s="26"/>
      <c r="G22" s="30"/>
      <c r="H22" s="30"/>
      <c r="I22" s="102"/>
      <c r="J22" s="102"/>
      <c r="K22" s="102"/>
      <c r="L22" s="102"/>
      <c r="M22" s="126"/>
      <c r="N22" s="26"/>
      <c r="T22" s="559"/>
      <c r="V22" s="205"/>
      <c r="Z22" s="561"/>
    </row>
    <row r="23" spans="1:26" ht="18.95" customHeight="1">
      <c r="A23" s="207"/>
      <c r="B23" s="553"/>
      <c r="C23" s="554"/>
      <c r="D23" s="555"/>
      <c r="E23" s="25"/>
      <c r="F23" s="26"/>
      <c r="G23" s="30"/>
      <c r="H23" s="30"/>
      <c r="I23" s="102"/>
      <c r="J23" s="102"/>
      <c r="K23" s="102"/>
      <c r="L23" s="102"/>
      <c r="M23" s="126"/>
      <c r="N23" s="26"/>
      <c r="T23" s="559"/>
      <c r="V23" s="205"/>
      <c r="Z23" s="561"/>
    </row>
    <row r="24" spans="1:26" ht="18.95" customHeight="1">
      <c r="A24" s="207"/>
      <c r="B24" s="553"/>
      <c r="C24" s="554"/>
      <c r="D24" s="555"/>
      <c r="E24" s="25"/>
      <c r="F24" s="26"/>
      <c r="G24" s="30"/>
      <c r="H24" s="30"/>
      <c r="I24" s="102"/>
      <c r="J24" s="102"/>
      <c r="K24" s="102"/>
      <c r="L24" s="102"/>
      <c r="M24" s="126"/>
      <c r="N24" s="26"/>
      <c r="T24" s="559"/>
      <c r="V24" s="205"/>
      <c r="Z24" s="561"/>
    </row>
    <row r="25" spans="1:26" ht="18.95" customHeight="1">
      <c r="A25" s="207"/>
      <c r="B25" s="553"/>
      <c r="C25" s="554"/>
      <c r="D25" s="555"/>
      <c r="E25" s="25"/>
      <c r="F25" s="26"/>
      <c r="G25" s="30"/>
      <c r="H25" s="30"/>
      <c r="I25" s="102"/>
      <c r="J25" s="102"/>
      <c r="K25" s="102"/>
      <c r="L25" s="102"/>
      <c r="M25" s="126"/>
      <c r="N25" s="26"/>
      <c r="T25" s="559"/>
      <c r="V25" s="205"/>
      <c r="Z25" s="561"/>
    </row>
    <row r="26" spans="1:26" ht="18.95" customHeight="1">
      <c r="A26" s="207"/>
      <c r="B26" s="553"/>
      <c r="C26" s="554"/>
      <c r="D26" s="555"/>
      <c r="E26" s="25"/>
      <c r="F26" s="26"/>
      <c r="G26" s="30"/>
      <c r="H26" s="30"/>
      <c r="I26" s="102"/>
      <c r="J26" s="102"/>
      <c r="K26" s="102"/>
      <c r="L26" s="102"/>
      <c r="M26" s="126"/>
      <c r="N26" s="26"/>
      <c r="T26" s="559"/>
      <c r="V26" s="205"/>
      <c r="Z26" s="561"/>
    </row>
    <row r="27" spans="1:26" ht="18.95" customHeight="1">
      <c r="A27" s="207"/>
      <c r="B27" s="553"/>
      <c r="C27" s="554"/>
      <c r="D27" s="555"/>
      <c r="E27" s="25"/>
      <c r="F27" s="26"/>
      <c r="G27" s="30"/>
      <c r="H27" s="30"/>
      <c r="I27" s="102"/>
      <c r="J27" s="102"/>
      <c r="K27" s="102"/>
      <c r="L27" s="102"/>
      <c r="M27" s="126"/>
      <c r="N27" s="26"/>
      <c r="T27" s="559"/>
      <c r="V27" s="205"/>
      <c r="Z27" s="561"/>
    </row>
    <row r="28" spans="1:26" ht="18.95" customHeight="1">
      <c r="A28" s="207"/>
      <c r="B28" s="553"/>
      <c r="C28" s="554"/>
      <c r="D28" s="555"/>
      <c r="E28" s="25"/>
      <c r="F28" s="26"/>
      <c r="G28" s="30"/>
      <c r="H28" s="30"/>
      <c r="I28" s="102"/>
      <c r="J28" s="102"/>
      <c r="K28" s="102"/>
      <c r="L28" s="102"/>
      <c r="M28" s="126"/>
      <c r="N28" s="26"/>
      <c r="T28" s="559"/>
      <c r="V28" s="205"/>
      <c r="Z28" s="561"/>
    </row>
    <row r="29" spans="1:26" ht="18.95" customHeight="1">
      <c r="A29" s="207"/>
      <c r="B29" s="553"/>
      <c r="C29" s="554"/>
      <c r="D29" s="555"/>
      <c r="E29" s="25"/>
      <c r="F29" s="26"/>
      <c r="G29" s="30"/>
      <c r="H29" s="30"/>
      <c r="I29" s="102"/>
      <c r="J29" s="102"/>
      <c r="K29" s="102"/>
      <c r="L29" s="102"/>
      <c r="M29" s="126"/>
      <c r="N29" s="26"/>
      <c r="T29" s="559"/>
      <c r="V29" s="205"/>
      <c r="Z29" s="561"/>
    </row>
    <row r="30" spans="1:26" ht="18.95" customHeight="1">
      <c r="A30" s="207"/>
      <c r="B30" s="553"/>
      <c r="C30" s="554"/>
      <c r="D30" s="555"/>
      <c r="E30" s="25"/>
      <c r="F30" s="26"/>
      <c r="G30" s="30"/>
      <c r="H30" s="30"/>
      <c r="I30" s="102"/>
      <c r="J30" s="102"/>
      <c r="K30" s="102"/>
      <c r="L30" s="102"/>
      <c r="M30" s="126"/>
      <c r="N30" s="26"/>
      <c r="T30" s="559"/>
      <c r="V30" s="205"/>
      <c r="Z30" s="561"/>
    </row>
    <row r="31" spans="1:26" ht="18.95" customHeight="1">
      <c r="A31" s="556">
        <v>1</v>
      </c>
      <c r="B31" s="557" t="s">
        <v>3226</v>
      </c>
      <c r="C31" s="221"/>
      <c r="D31" s="267"/>
      <c r="E31" s="25"/>
      <c r="F31" s="26"/>
      <c r="G31" s="25"/>
      <c r="H31" s="25"/>
      <c r="I31" s="25"/>
      <c r="J31" s="30"/>
      <c r="K31" s="30"/>
      <c r="L31" s="30"/>
      <c r="M31" s="72"/>
      <c r="N31" s="26"/>
      <c r="T31" s="559"/>
      <c r="V31" s="205"/>
      <c r="Z31" s="561"/>
    </row>
    <row r="32" spans="1:26" ht="18.95" customHeight="1">
      <c r="A32" s="556"/>
      <c r="B32" s="348">
        <v>1.1000000000000001</v>
      </c>
      <c r="C32" s="414" t="s">
        <v>3226</v>
      </c>
      <c r="D32" s="267"/>
      <c r="E32" s="25"/>
      <c r="F32" s="26"/>
      <c r="G32" s="25"/>
      <c r="H32" s="25"/>
      <c r="I32" s="25"/>
      <c r="J32" s="30"/>
      <c r="K32" s="30"/>
      <c r="L32" s="30"/>
      <c r="M32" s="72"/>
      <c r="N32" s="26"/>
      <c r="T32" s="559"/>
      <c r="V32" s="205"/>
      <c r="Z32" s="561"/>
    </row>
    <row r="33" spans="1:26" ht="18.95" customHeight="1">
      <c r="A33" s="549"/>
      <c r="B33" s="436" t="s">
        <v>3235</v>
      </c>
      <c r="C33" s="29"/>
      <c r="D33" s="24"/>
      <c r="E33" s="25"/>
      <c r="F33" s="26"/>
      <c r="G33" s="25"/>
      <c r="H33" s="25"/>
      <c r="I33" s="25"/>
      <c r="J33" s="30"/>
      <c r="K33" s="30"/>
      <c r="L33" s="30"/>
      <c r="M33" s="72"/>
      <c r="N33" s="26"/>
      <c r="P33" s="169"/>
      <c r="Q33" s="205"/>
      <c r="R33" s="205"/>
      <c r="T33" s="559"/>
      <c r="V33" s="205"/>
      <c r="Z33" s="561"/>
    </row>
    <row r="34" spans="1:26" ht="18.95" customHeight="1">
      <c r="A34" s="558"/>
      <c r="B34" s="38"/>
      <c r="C34" s="416" t="s">
        <v>3236</v>
      </c>
      <c r="D34" s="437" t="s">
        <v>3237</v>
      </c>
      <c r="E34" s="25">
        <v>2</v>
      </c>
      <c r="F34" s="1188" t="s">
        <v>349</v>
      </c>
      <c r="G34" s="25">
        <v>0</v>
      </c>
      <c r="H34" s="25"/>
      <c r="I34" s="30">
        <f>E34*G34</f>
        <v>0</v>
      </c>
      <c r="J34" s="72">
        <v>1500</v>
      </c>
      <c r="K34" s="72">
        <f>J34*O34</f>
        <v>1402.3620704999998</v>
      </c>
      <c r="L34" s="72">
        <f>E34*K34</f>
        <v>2804.7241409999997</v>
      </c>
      <c r="M34" s="72">
        <f t="shared" ref="M34:M53" si="3">I34+L34</f>
        <v>2804.7241409999997</v>
      </c>
      <c r="N34" s="26"/>
      <c r="O34" s="103">
        <v>0.93490804699999996</v>
      </c>
      <c r="T34" s="559"/>
      <c r="V34" s="205"/>
      <c r="Z34" s="561"/>
    </row>
    <row r="35" spans="1:26" ht="18.95" customHeight="1">
      <c r="A35" s="558"/>
      <c r="B35" s="38"/>
      <c r="C35" s="416" t="s">
        <v>3238</v>
      </c>
      <c r="D35" s="417" t="s">
        <v>3239</v>
      </c>
      <c r="E35" s="25">
        <v>2</v>
      </c>
      <c r="F35" s="1188" t="s">
        <v>349</v>
      </c>
      <c r="G35" s="25">
        <v>0</v>
      </c>
      <c r="H35" s="25"/>
      <c r="I35" s="30">
        <f t="shared" ref="I35:I53" si="4">ROUNDDOWN(E35*G35,2)</f>
        <v>0</v>
      </c>
      <c r="J35" s="72">
        <v>3000</v>
      </c>
      <c r="K35" s="72">
        <f t="shared" ref="K35:K98" si="5">J35*O35</f>
        <v>2804.7241409999997</v>
      </c>
      <c r="L35" s="72">
        <f t="shared" ref="L35:L98" si="6">E35*K35</f>
        <v>5609.4482819999994</v>
      </c>
      <c r="M35" s="72">
        <f t="shared" si="3"/>
        <v>5609.4482819999994</v>
      </c>
      <c r="N35" s="26"/>
      <c r="O35" s="103">
        <v>0.93490804699999996</v>
      </c>
      <c r="T35" s="559"/>
      <c r="V35" s="205"/>
      <c r="Z35" s="561"/>
    </row>
    <row r="36" spans="1:26" ht="18.95" customHeight="1">
      <c r="A36" s="558"/>
      <c r="B36" s="38"/>
      <c r="C36" s="416" t="s">
        <v>3240</v>
      </c>
      <c r="D36" s="417" t="s">
        <v>3241</v>
      </c>
      <c r="E36" s="25">
        <v>2</v>
      </c>
      <c r="F36" s="1188" t="s">
        <v>349</v>
      </c>
      <c r="G36" s="25">
        <v>0</v>
      </c>
      <c r="H36" s="25"/>
      <c r="I36" s="30">
        <f t="shared" si="4"/>
        <v>0</v>
      </c>
      <c r="J36" s="72">
        <v>1500</v>
      </c>
      <c r="K36" s="72">
        <f t="shared" si="5"/>
        <v>1402.3620704999998</v>
      </c>
      <c r="L36" s="72">
        <f t="shared" si="6"/>
        <v>2804.7241409999997</v>
      </c>
      <c r="M36" s="72">
        <f t="shared" si="3"/>
        <v>2804.7241409999997</v>
      </c>
      <c r="N36" s="26"/>
      <c r="O36" s="103">
        <v>0.93490804699999996</v>
      </c>
      <c r="T36" s="559"/>
      <c r="V36" s="205"/>
      <c r="Z36" s="561"/>
    </row>
    <row r="37" spans="1:26" ht="18.95" customHeight="1">
      <c r="A37" s="558"/>
      <c r="B37" s="38"/>
      <c r="C37" s="416" t="s">
        <v>3242</v>
      </c>
      <c r="D37" s="417" t="s">
        <v>3243</v>
      </c>
      <c r="E37" s="25">
        <v>5</v>
      </c>
      <c r="F37" s="1188" t="s">
        <v>349</v>
      </c>
      <c r="G37" s="25">
        <v>0</v>
      </c>
      <c r="H37" s="25"/>
      <c r="I37" s="30">
        <f t="shared" si="4"/>
        <v>0</v>
      </c>
      <c r="J37" s="72">
        <v>3000</v>
      </c>
      <c r="K37" s="72">
        <f t="shared" si="5"/>
        <v>2804.7241409999997</v>
      </c>
      <c r="L37" s="72">
        <f t="shared" si="6"/>
        <v>14023.620704999998</v>
      </c>
      <c r="M37" s="72">
        <f t="shared" si="3"/>
        <v>14023.620704999998</v>
      </c>
      <c r="N37" s="26"/>
      <c r="O37" s="103">
        <v>0.93490804699999996</v>
      </c>
      <c r="T37" s="559"/>
      <c r="V37" s="205"/>
      <c r="Z37" s="561"/>
    </row>
    <row r="38" spans="1:26" ht="18.95" customHeight="1">
      <c r="A38" s="558"/>
      <c r="B38" s="38"/>
      <c r="C38" s="416" t="s">
        <v>3244</v>
      </c>
      <c r="D38" s="417" t="s">
        <v>3243</v>
      </c>
      <c r="E38" s="25">
        <v>1</v>
      </c>
      <c r="F38" s="1188" t="s">
        <v>349</v>
      </c>
      <c r="G38" s="25">
        <v>0</v>
      </c>
      <c r="H38" s="25"/>
      <c r="I38" s="30">
        <f t="shared" si="4"/>
        <v>0</v>
      </c>
      <c r="J38" s="72">
        <v>3000</v>
      </c>
      <c r="K38" s="72">
        <f t="shared" si="5"/>
        <v>2804.7241409999997</v>
      </c>
      <c r="L38" s="72">
        <f t="shared" si="6"/>
        <v>2804.7241409999997</v>
      </c>
      <c r="M38" s="72">
        <f t="shared" si="3"/>
        <v>2804.7241409999997</v>
      </c>
      <c r="N38" s="26"/>
      <c r="O38" s="103">
        <v>0.93490804699999996</v>
      </c>
      <c r="T38" s="559"/>
      <c r="V38" s="205"/>
      <c r="Z38" s="561"/>
    </row>
    <row r="39" spans="1:26" ht="18.95" customHeight="1">
      <c r="A39" s="558"/>
      <c r="B39" s="38"/>
      <c r="C39" s="416" t="s">
        <v>3245</v>
      </c>
      <c r="D39" s="437" t="s">
        <v>3246</v>
      </c>
      <c r="E39" s="25">
        <v>1</v>
      </c>
      <c r="F39" s="1188" t="s">
        <v>349</v>
      </c>
      <c r="G39" s="25">
        <v>0</v>
      </c>
      <c r="H39" s="25"/>
      <c r="I39" s="30">
        <f t="shared" si="4"/>
        <v>0</v>
      </c>
      <c r="J39" s="72">
        <v>1500</v>
      </c>
      <c r="K39" s="72">
        <f t="shared" si="5"/>
        <v>1402.3620704999998</v>
      </c>
      <c r="L39" s="72">
        <f t="shared" si="6"/>
        <v>1402.3620704999998</v>
      </c>
      <c r="M39" s="72">
        <f t="shared" si="3"/>
        <v>1402.3620704999998</v>
      </c>
      <c r="N39" s="26"/>
      <c r="O39" s="103">
        <v>0.93490804699999996</v>
      </c>
      <c r="T39" s="559"/>
      <c r="V39" s="205"/>
      <c r="Z39" s="561"/>
    </row>
    <row r="40" spans="1:26" ht="18.95" customHeight="1">
      <c r="A40" s="558"/>
      <c r="B40" s="38"/>
      <c r="C40" s="416" t="s">
        <v>3247</v>
      </c>
      <c r="D40" s="437" t="s">
        <v>3248</v>
      </c>
      <c r="E40" s="25">
        <v>1</v>
      </c>
      <c r="F40" s="1188" t="s">
        <v>349</v>
      </c>
      <c r="G40" s="25">
        <v>0</v>
      </c>
      <c r="H40" s="25"/>
      <c r="I40" s="30">
        <f t="shared" si="4"/>
        <v>0</v>
      </c>
      <c r="J40" s="72">
        <v>1500</v>
      </c>
      <c r="K40" s="72">
        <f t="shared" si="5"/>
        <v>1402.3620704999998</v>
      </c>
      <c r="L40" s="72">
        <f t="shared" si="6"/>
        <v>1402.3620704999998</v>
      </c>
      <c r="M40" s="72">
        <f t="shared" si="3"/>
        <v>1402.3620704999998</v>
      </c>
      <c r="N40" s="26"/>
      <c r="O40" s="103">
        <v>0.93490804699999996</v>
      </c>
      <c r="T40" s="559"/>
      <c r="V40" s="205"/>
      <c r="Z40" s="561"/>
    </row>
    <row r="41" spans="1:26" ht="18.95" customHeight="1">
      <c r="A41" s="558"/>
      <c r="B41" s="38"/>
      <c r="C41" s="416" t="s">
        <v>3249</v>
      </c>
      <c r="D41" s="437" t="s">
        <v>3250</v>
      </c>
      <c r="E41" s="25">
        <v>1</v>
      </c>
      <c r="F41" s="1188" t="s">
        <v>349</v>
      </c>
      <c r="G41" s="25">
        <v>0</v>
      </c>
      <c r="H41" s="25"/>
      <c r="I41" s="30">
        <f t="shared" si="4"/>
        <v>0</v>
      </c>
      <c r="J41" s="72">
        <v>1500</v>
      </c>
      <c r="K41" s="72">
        <f t="shared" si="5"/>
        <v>1402.3620704999998</v>
      </c>
      <c r="L41" s="72">
        <f t="shared" si="6"/>
        <v>1402.3620704999998</v>
      </c>
      <c r="M41" s="72">
        <f t="shared" si="3"/>
        <v>1402.3620704999998</v>
      </c>
      <c r="N41" s="26"/>
      <c r="O41" s="103">
        <v>0.93490804699999996</v>
      </c>
      <c r="T41" s="559"/>
      <c r="V41" s="205"/>
      <c r="Z41" s="561"/>
    </row>
    <row r="42" spans="1:26" ht="18.95" customHeight="1">
      <c r="A42" s="558"/>
      <c r="B42" s="38"/>
      <c r="C42" s="416" t="s">
        <v>3251</v>
      </c>
      <c r="D42" s="437" t="s">
        <v>3252</v>
      </c>
      <c r="E42" s="25">
        <v>2</v>
      </c>
      <c r="F42" s="1188" t="s">
        <v>349</v>
      </c>
      <c r="G42" s="25">
        <v>0</v>
      </c>
      <c r="H42" s="25"/>
      <c r="I42" s="30">
        <f t="shared" si="4"/>
        <v>0</v>
      </c>
      <c r="J42" s="72">
        <v>1500</v>
      </c>
      <c r="K42" s="72">
        <f t="shared" si="5"/>
        <v>1402.3620704999998</v>
      </c>
      <c r="L42" s="72">
        <f t="shared" si="6"/>
        <v>2804.7241409999997</v>
      </c>
      <c r="M42" s="72">
        <f t="shared" si="3"/>
        <v>2804.7241409999997</v>
      </c>
      <c r="N42" s="26"/>
      <c r="O42" s="103">
        <v>0.93490804699999996</v>
      </c>
      <c r="T42" s="559"/>
      <c r="V42" s="205"/>
      <c r="Z42" s="561"/>
    </row>
    <row r="43" spans="1:26" ht="18.95" customHeight="1">
      <c r="A43" s="558"/>
      <c r="B43" s="38"/>
      <c r="C43" s="416" t="s">
        <v>3253</v>
      </c>
      <c r="D43" s="437" t="s">
        <v>3254</v>
      </c>
      <c r="E43" s="25">
        <v>1</v>
      </c>
      <c r="F43" s="1188" t="s">
        <v>349</v>
      </c>
      <c r="G43" s="25">
        <v>0</v>
      </c>
      <c r="H43" s="25"/>
      <c r="I43" s="30">
        <f t="shared" si="4"/>
        <v>0</v>
      </c>
      <c r="J43" s="72">
        <v>1500</v>
      </c>
      <c r="K43" s="72">
        <f t="shared" si="5"/>
        <v>1402.3620704999998</v>
      </c>
      <c r="L43" s="72">
        <f t="shared" si="6"/>
        <v>1402.3620704999998</v>
      </c>
      <c r="M43" s="72">
        <f t="shared" si="3"/>
        <v>1402.3620704999998</v>
      </c>
      <c r="N43" s="26"/>
      <c r="O43" s="103">
        <v>0.93490804699999996</v>
      </c>
      <c r="T43" s="559"/>
      <c r="V43" s="205"/>
      <c r="Z43" s="561"/>
    </row>
    <row r="44" spans="1:26" ht="18.95" customHeight="1">
      <c r="A44" s="558"/>
      <c r="B44" s="38"/>
      <c r="C44" s="416" t="s">
        <v>3255</v>
      </c>
      <c r="D44" s="437" t="s">
        <v>3254</v>
      </c>
      <c r="E44" s="25">
        <v>1</v>
      </c>
      <c r="F44" s="1188" t="s">
        <v>349</v>
      </c>
      <c r="G44" s="25">
        <v>0</v>
      </c>
      <c r="H44" s="25"/>
      <c r="I44" s="30">
        <f t="shared" si="4"/>
        <v>0</v>
      </c>
      <c r="J44" s="72">
        <v>1500</v>
      </c>
      <c r="K44" s="72">
        <f t="shared" si="5"/>
        <v>1402.3620704999998</v>
      </c>
      <c r="L44" s="72">
        <f t="shared" si="6"/>
        <v>1402.3620704999998</v>
      </c>
      <c r="M44" s="72">
        <f t="shared" si="3"/>
        <v>1402.3620704999998</v>
      </c>
      <c r="N44" s="26"/>
      <c r="O44" s="103">
        <v>0.93490804699999996</v>
      </c>
      <c r="T44" s="559"/>
      <c r="V44" s="205"/>
      <c r="Z44" s="561"/>
    </row>
    <row r="45" spans="1:26" ht="18.95" customHeight="1">
      <c r="A45" s="558"/>
      <c r="B45" s="38"/>
      <c r="C45" s="416" t="s">
        <v>3256</v>
      </c>
      <c r="D45" s="437" t="s">
        <v>3250</v>
      </c>
      <c r="E45" s="25">
        <v>1</v>
      </c>
      <c r="F45" s="1188" t="s">
        <v>349</v>
      </c>
      <c r="G45" s="25">
        <v>0</v>
      </c>
      <c r="H45" s="25"/>
      <c r="I45" s="30">
        <f t="shared" si="4"/>
        <v>0</v>
      </c>
      <c r="J45" s="72">
        <v>1500</v>
      </c>
      <c r="K45" s="72">
        <f t="shared" si="5"/>
        <v>1402.3620704999998</v>
      </c>
      <c r="L45" s="72">
        <f t="shared" si="6"/>
        <v>1402.3620704999998</v>
      </c>
      <c r="M45" s="72">
        <f t="shared" si="3"/>
        <v>1402.3620704999998</v>
      </c>
      <c r="N45" s="26"/>
      <c r="O45" s="103">
        <v>0.93490804699999996</v>
      </c>
      <c r="T45" s="559"/>
      <c r="V45" s="205"/>
      <c r="Z45" s="561"/>
    </row>
    <row r="46" spans="1:26" ht="18.95" customHeight="1">
      <c r="A46" s="558"/>
      <c r="B46" s="38"/>
      <c r="C46" s="416" t="s">
        <v>3257</v>
      </c>
      <c r="D46" s="437" t="s">
        <v>3252</v>
      </c>
      <c r="E46" s="25">
        <v>1</v>
      </c>
      <c r="F46" s="1188" t="s">
        <v>349</v>
      </c>
      <c r="G46" s="25">
        <v>0</v>
      </c>
      <c r="H46" s="25"/>
      <c r="I46" s="30">
        <f t="shared" si="4"/>
        <v>0</v>
      </c>
      <c r="J46" s="72">
        <v>1500</v>
      </c>
      <c r="K46" s="72">
        <f t="shared" si="5"/>
        <v>1402.3620704999998</v>
      </c>
      <c r="L46" s="72">
        <f t="shared" si="6"/>
        <v>1402.3620704999998</v>
      </c>
      <c r="M46" s="72">
        <f t="shared" si="3"/>
        <v>1402.3620704999998</v>
      </c>
      <c r="N46" s="26"/>
      <c r="O46" s="103">
        <v>0.93490804699999996</v>
      </c>
      <c r="T46" s="559"/>
      <c r="V46" s="205"/>
      <c r="Z46" s="561"/>
    </row>
    <row r="47" spans="1:26" ht="18.95" customHeight="1">
      <c r="A47" s="558"/>
      <c r="B47" s="38"/>
      <c r="C47" s="416" t="s">
        <v>3258</v>
      </c>
      <c r="D47" s="437" t="s">
        <v>3252</v>
      </c>
      <c r="E47" s="25">
        <v>1</v>
      </c>
      <c r="F47" s="1188" t="s">
        <v>349</v>
      </c>
      <c r="G47" s="25">
        <v>0</v>
      </c>
      <c r="H47" s="25"/>
      <c r="I47" s="30">
        <f t="shared" si="4"/>
        <v>0</v>
      </c>
      <c r="J47" s="72">
        <v>1500</v>
      </c>
      <c r="K47" s="72">
        <f t="shared" si="5"/>
        <v>1402.3620704999998</v>
      </c>
      <c r="L47" s="72">
        <f t="shared" si="6"/>
        <v>1402.3620704999998</v>
      </c>
      <c r="M47" s="72">
        <f t="shared" si="3"/>
        <v>1402.3620704999998</v>
      </c>
      <c r="N47" s="26"/>
      <c r="O47" s="103">
        <v>0.93490804699999996</v>
      </c>
      <c r="T47" s="559"/>
      <c r="V47" s="205"/>
      <c r="Z47" s="561"/>
    </row>
    <row r="48" spans="1:26" ht="18.95" customHeight="1">
      <c r="A48" s="558"/>
      <c r="B48" s="38"/>
      <c r="C48" s="416" t="s">
        <v>3259</v>
      </c>
      <c r="D48" s="437" t="s">
        <v>3260</v>
      </c>
      <c r="E48" s="25">
        <v>1</v>
      </c>
      <c r="F48" s="1188" t="s">
        <v>349</v>
      </c>
      <c r="G48" s="25">
        <v>0</v>
      </c>
      <c r="H48" s="25"/>
      <c r="I48" s="30">
        <f t="shared" si="4"/>
        <v>0</v>
      </c>
      <c r="J48" s="72">
        <v>1500</v>
      </c>
      <c r="K48" s="72">
        <f t="shared" si="5"/>
        <v>1402.3620704999998</v>
      </c>
      <c r="L48" s="72">
        <f t="shared" si="6"/>
        <v>1402.3620704999998</v>
      </c>
      <c r="M48" s="72">
        <f t="shared" si="3"/>
        <v>1402.3620704999998</v>
      </c>
      <c r="N48" s="26"/>
      <c r="O48" s="103">
        <v>0.93490804699999996</v>
      </c>
      <c r="T48" s="559"/>
      <c r="V48" s="205"/>
      <c r="Z48" s="561"/>
    </row>
    <row r="49" spans="1:26" ht="18.95" customHeight="1">
      <c r="A49" s="558"/>
      <c r="B49" s="38"/>
      <c r="C49" s="416" t="s">
        <v>3261</v>
      </c>
      <c r="D49" s="437" t="s">
        <v>3260</v>
      </c>
      <c r="E49" s="25">
        <v>1</v>
      </c>
      <c r="F49" s="1188" t="s">
        <v>349</v>
      </c>
      <c r="G49" s="25">
        <v>0</v>
      </c>
      <c r="H49" s="25"/>
      <c r="I49" s="30">
        <f t="shared" si="4"/>
        <v>0</v>
      </c>
      <c r="J49" s="72">
        <v>1500</v>
      </c>
      <c r="K49" s="72">
        <f t="shared" si="5"/>
        <v>1402.3620704999998</v>
      </c>
      <c r="L49" s="72">
        <f t="shared" si="6"/>
        <v>1402.3620704999998</v>
      </c>
      <c r="M49" s="72">
        <f t="shared" si="3"/>
        <v>1402.3620704999998</v>
      </c>
      <c r="N49" s="26"/>
      <c r="O49" s="103">
        <v>0.93490804699999996</v>
      </c>
      <c r="T49" s="559"/>
      <c r="V49" s="205"/>
      <c r="Z49" s="561"/>
    </row>
    <row r="50" spans="1:26" ht="18.95" customHeight="1">
      <c r="A50" s="558"/>
      <c r="B50" s="38"/>
      <c r="C50" s="416" t="s">
        <v>3262</v>
      </c>
      <c r="D50" s="437" t="s">
        <v>3263</v>
      </c>
      <c r="E50" s="25">
        <v>1</v>
      </c>
      <c r="F50" s="1188" t="s">
        <v>349</v>
      </c>
      <c r="G50" s="25">
        <v>0</v>
      </c>
      <c r="H50" s="25"/>
      <c r="I50" s="30">
        <f t="shared" si="4"/>
        <v>0</v>
      </c>
      <c r="J50" s="72">
        <v>2000</v>
      </c>
      <c r="K50" s="72">
        <f t="shared" si="5"/>
        <v>1869.816094</v>
      </c>
      <c r="L50" s="72">
        <f t="shared" si="6"/>
        <v>1869.816094</v>
      </c>
      <c r="M50" s="72">
        <f t="shared" si="3"/>
        <v>1869.816094</v>
      </c>
      <c r="N50" s="26"/>
      <c r="O50" s="103">
        <v>0.93490804699999996</v>
      </c>
      <c r="T50" s="559"/>
      <c r="V50" s="205"/>
      <c r="Z50" s="561"/>
    </row>
    <row r="51" spans="1:26" ht="18.95" customHeight="1">
      <c r="A51" s="558"/>
      <c r="B51" s="38"/>
      <c r="C51" s="416" t="s">
        <v>3264</v>
      </c>
      <c r="D51" s="437" t="s">
        <v>3265</v>
      </c>
      <c r="E51" s="25">
        <v>2</v>
      </c>
      <c r="F51" s="1188" t="s">
        <v>349</v>
      </c>
      <c r="G51" s="25">
        <v>0</v>
      </c>
      <c r="H51" s="25"/>
      <c r="I51" s="30">
        <f t="shared" si="4"/>
        <v>0</v>
      </c>
      <c r="J51" s="72">
        <v>2400</v>
      </c>
      <c r="K51" s="72">
        <f t="shared" si="5"/>
        <v>2243.7793127999998</v>
      </c>
      <c r="L51" s="72">
        <f t="shared" si="6"/>
        <v>4487.5586255999997</v>
      </c>
      <c r="M51" s="72">
        <f t="shared" si="3"/>
        <v>4487.5586255999997</v>
      </c>
      <c r="N51" s="26"/>
      <c r="O51" s="103">
        <v>0.93490804699999996</v>
      </c>
      <c r="T51" s="559"/>
      <c r="V51" s="205"/>
      <c r="Z51" s="561"/>
    </row>
    <row r="52" spans="1:26" ht="18.95" customHeight="1">
      <c r="A52" s="558"/>
      <c r="B52" s="38"/>
      <c r="C52" s="416" t="s">
        <v>3266</v>
      </c>
      <c r="D52" s="437" t="s">
        <v>3267</v>
      </c>
      <c r="E52" s="25">
        <v>1</v>
      </c>
      <c r="F52" s="1188" t="s">
        <v>349</v>
      </c>
      <c r="G52" s="25">
        <v>0</v>
      </c>
      <c r="H52" s="25"/>
      <c r="I52" s="30">
        <f t="shared" si="4"/>
        <v>0</v>
      </c>
      <c r="J52" s="72">
        <v>1500</v>
      </c>
      <c r="K52" s="72">
        <f t="shared" si="5"/>
        <v>1402.3620704999998</v>
      </c>
      <c r="L52" s="72">
        <f t="shared" si="6"/>
        <v>1402.3620704999998</v>
      </c>
      <c r="M52" s="72">
        <f t="shared" si="3"/>
        <v>1402.3620704999998</v>
      </c>
      <c r="N52" s="26"/>
      <c r="O52" s="103">
        <v>0.93490804699999996</v>
      </c>
      <c r="T52" s="559"/>
      <c r="V52" s="205"/>
      <c r="Z52" s="561"/>
    </row>
    <row r="53" spans="1:26" ht="18.95" customHeight="1">
      <c r="A53" s="558"/>
      <c r="B53" s="38"/>
      <c r="C53" s="416" t="s">
        <v>3268</v>
      </c>
      <c r="D53" s="437" t="s">
        <v>3269</v>
      </c>
      <c r="E53" s="25">
        <v>1</v>
      </c>
      <c r="F53" s="1188" t="s">
        <v>349</v>
      </c>
      <c r="G53" s="25">
        <v>0</v>
      </c>
      <c r="H53" s="25"/>
      <c r="I53" s="30">
        <f t="shared" si="4"/>
        <v>0</v>
      </c>
      <c r="J53" s="72">
        <v>2000</v>
      </c>
      <c r="K53" s="72">
        <f t="shared" si="5"/>
        <v>1869.816094</v>
      </c>
      <c r="L53" s="72">
        <f t="shared" si="6"/>
        <v>1869.816094</v>
      </c>
      <c r="M53" s="72">
        <f t="shared" si="3"/>
        <v>1869.816094</v>
      </c>
      <c r="N53" s="26"/>
      <c r="O53" s="103">
        <v>0.93490804699999996</v>
      </c>
      <c r="T53" s="559"/>
      <c r="V53" s="205"/>
      <c r="Z53" s="561"/>
    </row>
    <row r="54" spans="1:26" ht="18.95" customHeight="1">
      <c r="A54" s="558"/>
      <c r="B54" s="38" t="s">
        <v>3270</v>
      </c>
      <c r="C54" s="416"/>
      <c r="D54" s="417"/>
      <c r="E54" s="25"/>
      <c r="F54" s="26"/>
      <c r="G54" s="25"/>
      <c r="H54" s="25"/>
      <c r="I54" s="30"/>
      <c r="J54" s="72"/>
      <c r="K54" s="72"/>
      <c r="L54" s="72">
        <f t="shared" si="6"/>
        <v>0</v>
      </c>
      <c r="M54" s="72"/>
      <c r="N54" s="26"/>
      <c r="O54" s="103">
        <v>0.93490804699999996</v>
      </c>
      <c r="T54" s="559"/>
      <c r="V54" s="205"/>
      <c r="Z54" s="561"/>
    </row>
    <row r="55" spans="1:26" ht="18.95" customHeight="1">
      <c r="A55" s="558"/>
      <c r="B55" s="38"/>
      <c r="C55" s="416" t="s">
        <v>3271</v>
      </c>
      <c r="D55" s="417" t="s">
        <v>3243</v>
      </c>
      <c r="E55" s="25">
        <v>1</v>
      </c>
      <c r="F55" s="1188" t="s">
        <v>349</v>
      </c>
      <c r="G55" s="25">
        <v>0</v>
      </c>
      <c r="H55" s="25"/>
      <c r="I55" s="30">
        <f t="shared" ref="I55:I67" si="7">ROUNDDOWN(E55*G55,2)</f>
        <v>0</v>
      </c>
      <c r="J55" s="72">
        <v>3000</v>
      </c>
      <c r="K55" s="72">
        <f t="shared" si="5"/>
        <v>2804.7241409999997</v>
      </c>
      <c r="L55" s="72">
        <f t="shared" si="6"/>
        <v>2804.7241409999997</v>
      </c>
      <c r="M55" s="72">
        <f t="shared" ref="M55:M67" si="8">I55+L55</f>
        <v>2804.7241409999997</v>
      </c>
      <c r="N55" s="26"/>
      <c r="O55" s="103">
        <v>0.93490804699999996</v>
      </c>
      <c r="T55" s="559"/>
      <c r="V55" s="205"/>
      <c r="Z55" s="561"/>
    </row>
    <row r="56" spans="1:26" ht="18.95" customHeight="1">
      <c r="A56" s="558"/>
      <c r="B56" s="38"/>
      <c r="C56" s="416" t="s">
        <v>3272</v>
      </c>
      <c r="D56" s="417" t="s">
        <v>3260</v>
      </c>
      <c r="E56" s="25">
        <v>1</v>
      </c>
      <c r="F56" s="1188" t="s">
        <v>349</v>
      </c>
      <c r="G56" s="25">
        <v>0</v>
      </c>
      <c r="H56" s="25"/>
      <c r="I56" s="30">
        <f t="shared" si="7"/>
        <v>0</v>
      </c>
      <c r="J56" s="72">
        <v>1500</v>
      </c>
      <c r="K56" s="72">
        <f t="shared" si="5"/>
        <v>1402.3620704999998</v>
      </c>
      <c r="L56" s="72">
        <f t="shared" si="6"/>
        <v>1402.3620704999998</v>
      </c>
      <c r="M56" s="72">
        <f t="shared" si="8"/>
        <v>1402.3620704999998</v>
      </c>
      <c r="N56" s="26"/>
      <c r="O56" s="103">
        <v>0.93490804699999996</v>
      </c>
      <c r="T56" s="559"/>
      <c r="V56" s="205"/>
      <c r="Z56" s="561"/>
    </row>
    <row r="57" spans="1:26" ht="18.95" customHeight="1">
      <c r="A57" s="558"/>
      <c r="B57" s="38"/>
      <c r="C57" s="416" t="s">
        <v>3273</v>
      </c>
      <c r="D57" s="417" t="s">
        <v>3274</v>
      </c>
      <c r="E57" s="25">
        <v>1</v>
      </c>
      <c r="F57" s="1188" t="s">
        <v>349</v>
      </c>
      <c r="G57" s="25">
        <v>0</v>
      </c>
      <c r="H57" s="25"/>
      <c r="I57" s="30">
        <f t="shared" si="7"/>
        <v>0</v>
      </c>
      <c r="J57" s="72">
        <v>1500</v>
      </c>
      <c r="K57" s="72">
        <f t="shared" si="5"/>
        <v>1402.3620704999998</v>
      </c>
      <c r="L57" s="72">
        <f t="shared" si="6"/>
        <v>1402.3620704999998</v>
      </c>
      <c r="M57" s="72">
        <f t="shared" si="8"/>
        <v>1402.3620704999998</v>
      </c>
      <c r="N57" s="26"/>
      <c r="O57" s="103">
        <v>0.93490804699999996</v>
      </c>
      <c r="T57" s="559"/>
      <c r="V57" s="205"/>
      <c r="Z57" s="561"/>
    </row>
    <row r="58" spans="1:26" ht="18.95" customHeight="1">
      <c r="A58" s="558"/>
      <c r="B58" s="38"/>
      <c r="C58" s="416" t="s">
        <v>3275</v>
      </c>
      <c r="D58" s="417" t="s">
        <v>3243</v>
      </c>
      <c r="E58" s="25">
        <v>1</v>
      </c>
      <c r="F58" s="1188" t="s">
        <v>349</v>
      </c>
      <c r="G58" s="25">
        <v>0</v>
      </c>
      <c r="H58" s="25"/>
      <c r="I58" s="30">
        <f t="shared" si="7"/>
        <v>0</v>
      </c>
      <c r="J58" s="72">
        <v>3000</v>
      </c>
      <c r="K58" s="72">
        <f t="shared" si="5"/>
        <v>2804.7241409999997</v>
      </c>
      <c r="L58" s="72">
        <f t="shared" si="6"/>
        <v>2804.7241409999997</v>
      </c>
      <c r="M58" s="72">
        <f t="shared" si="8"/>
        <v>2804.7241409999997</v>
      </c>
      <c r="N58" s="26"/>
      <c r="O58" s="103">
        <v>0.93490804699999996</v>
      </c>
      <c r="T58" s="559"/>
      <c r="V58" s="205"/>
      <c r="Z58" s="561"/>
    </row>
    <row r="59" spans="1:26" ht="18.95" customHeight="1">
      <c r="A59" s="558"/>
      <c r="B59" s="38"/>
      <c r="C59" s="416" t="s">
        <v>3276</v>
      </c>
      <c r="D59" s="417" t="s">
        <v>3277</v>
      </c>
      <c r="E59" s="25">
        <v>1</v>
      </c>
      <c r="F59" s="1188" t="s">
        <v>349</v>
      </c>
      <c r="G59" s="25">
        <v>0</v>
      </c>
      <c r="H59" s="25"/>
      <c r="I59" s="30">
        <f t="shared" si="7"/>
        <v>0</v>
      </c>
      <c r="J59" s="72">
        <v>1500</v>
      </c>
      <c r="K59" s="72">
        <f t="shared" si="5"/>
        <v>1402.3620704999998</v>
      </c>
      <c r="L59" s="72">
        <f t="shared" si="6"/>
        <v>1402.3620704999998</v>
      </c>
      <c r="M59" s="72">
        <f t="shared" si="8"/>
        <v>1402.3620704999998</v>
      </c>
      <c r="N59" s="26"/>
      <c r="O59" s="103">
        <v>0.93490804699999996</v>
      </c>
      <c r="T59" s="559"/>
      <c r="V59" s="205"/>
      <c r="Z59" s="561"/>
    </row>
    <row r="60" spans="1:26" ht="18.95" customHeight="1">
      <c r="A60" s="558"/>
      <c r="B60" s="38"/>
      <c r="C60" s="416" t="s">
        <v>3278</v>
      </c>
      <c r="D60" s="417" t="s">
        <v>3239</v>
      </c>
      <c r="E60" s="25">
        <v>25</v>
      </c>
      <c r="F60" s="1188" t="s">
        <v>349</v>
      </c>
      <c r="G60" s="25">
        <v>0</v>
      </c>
      <c r="H60" s="25"/>
      <c r="I60" s="30">
        <f t="shared" si="7"/>
        <v>0</v>
      </c>
      <c r="J60" s="72">
        <v>3000</v>
      </c>
      <c r="K60" s="72">
        <f t="shared" si="5"/>
        <v>2804.7241409999997</v>
      </c>
      <c r="L60" s="72">
        <f t="shared" si="6"/>
        <v>70118.103524999999</v>
      </c>
      <c r="M60" s="72">
        <f t="shared" si="8"/>
        <v>70118.103524999999</v>
      </c>
      <c r="N60" s="26"/>
      <c r="O60" s="103">
        <v>0.93490804699999996</v>
      </c>
      <c r="T60" s="559"/>
      <c r="V60" s="205"/>
      <c r="Z60" s="561"/>
    </row>
    <row r="61" spans="1:26" ht="18.95" customHeight="1">
      <c r="A61" s="558"/>
      <c r="B61" s="38"/>
      <c r="C61" s="416" t="s">
        <v>3279</v>
      </c>
      <c r="D61" s="417" t="s">
        <v>3243</v>
      </c>
      <c r="E61" s="25">
        <v>2</v>
      </c>
      <c r="F61" s="1188" t="s">
        <v>349</v>
      </c>
      <c r="G61" s="25">
        <v>0</v>
      </c>
      <c r="H61" s="25"/>
      <c r="I61" s="30">
        <f t="shared" si="7"/>
        <v>0</v>
      </c>
      <c r="J61" s="72">
        <v>3000</v>
      </c>
      <c r="K61" s="72">
        <f t="shared" si="5"/>
        <v>2804.7241409999997</v>
      </c>
      <c r="L61" s="72">
        <f t="shared" si="6"/>
        <v>5609.4482819999994</v>
      </c>
      <c r="M61" s="72">
        <f t="shared" si="8"/>
        <v>5609.4482819999994</v>
      </c>
      <c r="N61" s="26"/>
      <c r="O61" s="103">
        <v>0.93490804699999996</v>
      </c>
      <c r="T61" s="559"/>
      <c r="V61" s="205"/>
      <c r="Z61" s="561"/>
    </row>
    <row r="62" spans="1:26" ht="18.95" customHeight="1">
      <c r="A62" s="558"/>
      <c r="B62" s="38"/>
      <c r="C62" s="416" t="s">
        <v>3280</v>
      </c>
      <c r="D62" s="417" t="s">
        <v>3281</v>
      </c>
      <c r="E62" s="25">
        <v>10</v>
      </c>
      <c r="F62" s="1188" t="s">
        <v>349</v>
      </c>
      <c r="G62" s="25">
        <v>0</v>
      </c>
      <c r="H62" s="25"/>
      <c r="I62" s="30">
        <f t="shared" si="7"/>
        <v>0</v>
      </c>
      <c r="J62" s="72">
        <v>2400</v>
      </c>
      <c r="K62" s="72">
        <f t="shared" si="5"/>
        <v>2243.7793127999998</v>
      </c>
      <c r="L62" s="72">
        <f t="shared" si="6"/>
        <v>22437.793127999998</v>
      </c>
      <c r="M62" s="72">
        <f t="shared" si="8"/>
        <v>22437.793127999998</v>
      </c>
      <c r="N62" s="26"/>
      <c r="O62" s="103">
        <v>0.93490804699999996</v>
      </c>
      <c r="T62" s="559"/>
      <c r="V62" s="205"/>
      <c r="Z62" s="561"/>
    </row>
    <row r="63" spans="1:26" ht="18.95" customHeight="1">
      <c r="A63" s="558"/>
      <c r="B63" s="38"/>
      <c r="C63" s="416" t="s">
        <v>3282</v>
      </c>
      <c r="D63" s="417" t="s">
        <v>3283</v>
      </c>
      <c r="E63" s="25">
        <v>1</v>
      </c>
      <c r="F63" s="1188" t="s">
        <v>349</v>
      </c>
      <c r="G63" s="25">
        <v>0</v>
      </c>
      <c r="H63" s="25"/>
      <c r="I63" s="30">
        <f t="shared" si="7"/>
        <v>0</v>
      </c>
      <c r="J63" s="72">
        <v>1500</v>
      </c>
      <c r="K63" s="72">
        <f t="shared" si="5"/>
        <v>1402.3620704999998</v>
      </c>
      <c r="L63" s="72">
        <f t="shared" si="6"/>
        <v>1402.3620704999998</v>
      </c>
      <c r="M63" s="72">
        <f t="shared" si="8"/>
        <v>1402.3620704999998</v>
      </c>
      <c r="N63" s="26"/>
      <c r="O63" s="103">
        <v>0.93490804699999996</v>
      </c>
      <c r="T63" s="559"/>
      <c r="V63" s="205"/>
      <c r="Z63" s="561"/>
    </row>
    <row r="64" spans="1:26" ht="18.95" customHeight="1">
      <c r="A64" s="558"/>
      <c r="B64" s="38"/>
      <c r="C64" s="416" t="s">
        <v>3284</v>
      </c>
      <c r="D64" s="417" t="s">
        <v>3285</v>
      </c>
      <c r="E64" s="25">
        <v>2</v>
      </c>
      <c r="F64" s="1188" t="s">
        <v>349</v>
      </c>
      <c r="G64" s="25">
        <v>0</v>
      </c>
      <c r="H64" s="25"/>
      <c r="I64" s="30">
        <f t="shared" si="7"/>
        <v>0</v>
      </c>
      <c r="J64" s="72">
        <v>2400</v>
      </c>
      <c r="K64" s="72">
        <f t="shared" si="5"/>
        <v>2243.7793127999998</v>
      </c>
      <c r="L64" s="72">
        <f t="shared" si="6"/>
        <v>4487.5586255999997</v>
      </c>
      <c r="M64" s="72">
        <f t="shared" si="8"/>
        <v>4487.5586255999997</v>
      </c>
      <c r="N64" s="26"/>
      <c r="O64" s="103">
        <v>0.93490804699999996</v>
      </c>
      <c r="T64" s="559"/>
      <c r="V64" s="205"/>
      <c r="Z64" s="561"/>
    </row>
    <row r="65" spans="1:26" ht="18.95" customHeight="1">
      <c r="A65" s="558"/>
      <c r="B65" s="38"/>
      <c r="C65" s="416" t="s">
        <v>3286</v>
      </c>
      <c r="D65" s="417" t="s">
        <v>3250</v>
      </c>
      <c r="E65" s="25">
        <v>1</v>
      </c>
      <c r="F65" s="1188" t="s">
        <v>349</v>
      </c>
      <c r="G65" s="25">
        <v>0</v>
      </c>
      <c r="H65" s="25"/>
      <c r="I65" s="30">
        <f t="shared" si="7"/>
        <v>0</v>
      </c>
      <c r="J65" s="72">
        <v>1500</v>
      </c>
      <c r="K65" s="72">
        <f t="shared" si="5"/>
        <v>1402.3620704999998</v>
      </c>
      <c r="L65" s="72">
        <f t="shared" si="6"/>
        <v>1402.3620704999998</v>
      </c>
      <c r="M65" s="72">
        <f t="shared" si="8"/>
        <v>1402.3620704999998</v>
      </c>
      <c r="N65" s="26"/>
      <c r="O65" s="103">
        <v>0.93490804699999996</v>
      </c>
      <c r="T65" s="559"/>
      <c r="V65" s="205"/>
      <c r="Z65" s="561"/>
    </row>
    <row r="66" spans="1:26" ht="18.95" customHeight="1">
      <c r="A66" s="558"/>
      <c r="B66" s="38"/>
      <c r="C66" s="416" t="s">
        <v>3287</v>
      </c>
      <c r="D66" s="417" t="s">
        <v>3252</v>
      </c>
      <c r="E66" s="25">
        <v>1</v>
      </c>
      <c r="F66" s="1188" t="s">
        <v>349</v>
      </c>
      <c r="G66" s="25">
        <v>0</v>
      </c>
      <c r="H66" s="25"/>
      <c r="I66" s="30">
        <f t="shared" si="7"/>
        <v>0</v>
      </c>
      <c r="J66" s="72">
        <v>1500</v>
      </c>
      <c r="K66" s="72">
        <f t="shared" si="5"/>
        <v>1402.3620704999998</v>
      </c>
      <c r="L66" s="72">
        <f t="shared" si="6"/>
        <v>1402.3620704999998</v>
      </c>
      <c r="M66" s="72">
        <f t="shared" si="8"/>
        <v>1402.3620704999998</v>
      </c>
      <c r="N66" s="26"/>
      <c r="O66" s="103">
        <v>0.93490804699999996</v>
      </c>
      <c r="T66" s="559"/>
      <c r="V66" s="205"/>
      <c r="Z66" s="561"/>
    </row>
    <row r="67" spans="1:26" ht="18.95" customHeight="1">
      <c r="A67" s="558"/>
      <c r="B67" s="38"/>
      <c r="C67" s="416" t="s">
        <v>3288</v>
      </c>
      <c r="D67" s="417" t="s">
        <v>3237</v>
      </c>
      <c r="E67" s="25">
        <v>1</v>
      </c>
      <c r="F67" s="1188" t="s">
        <v>349</v>
      </c>
      <c r="G67" s="25">
        <v>0</v>
      </c>
      <c r="H67" s="25"/>
      <c r="I67" s="30">
        <f t="shared" si="7"/>
        <v>0</v>
      </c>
      <c r="J67" s="72">
        <v>1500</v>
      </c>
      <c r="K67" s="72">
        <f t="shared" si="5"/>
        <v>1402.3620704999998</v>
      </c>
      <c r="L67" s="72">
        <f t="shared" si="6"/>
        <v>1402.3620704999998</v>
      </c>
      <c r="M67" s="72">
        <f t="shared" si="8"/>
        <v>1402.3620704999998</v>
      </c>
      <c r="N67" s="26"/>
      <c r="O67" s="103">
        <v>0.93490804699999996</v>
      </c>
      <c r="T67" s="559"/>
      <c r="V67" s="205"/>
      <c r="Z67" s="561"/>
    </row>
    <row r="68" spans="1:26" ht="18.95" customHeight="1">
      <c r="A68" s="558"/>
      <c r="B68" s="38" t="s">
        <v>3289</v>
      </c>
      <c r="C68" s="416"/>
      <c r="D68" s="417"/>
      <c r="E68" s="25"/>
      <c r="F68" s="26"/>
      <c r="G68" s="25"/>
      <c r="H68" s="25"/>
      <c r="I68" s="30"/>
      <c r="J68" s="72"/>
      <c r="K68" s="72">
        <f t="shared" si="5"/>
        <v>0</v>
      </c>
      <c r="L68" s="72">
        <f t="shared" si="6"/>
        <v>0</v>
      </c>
      <c r="M68" s="72"/>
      <c r="N68" s="26"/>
      <c r="O68" s="103">
        <v>0.93490804699999996</v>
      </c>
      <c r="T68" s="559"/>
      <c r="V68" s="205"/>
      <c r="Z68" s="561"/>
    </row>
    <row r="69" spans="1:26" ht="18.95" customHeight="1">
      <c r="A69" s="558"/>
      <c r="B69" s="38"/>
      <c r="C69" s="416" t="s">
        <v>3290</v>
      </c>
      <c r="D69" s="417" t="s">
        <v>3263</v>
      </c>
      <c r="E69" s="25">
        <v>2</v>
      </c>
      <c r="F69" s="1188" t="s">
        <v>349</v>
      </c>
      <c r="G69" s="25">
        <v>0</v>
      </c>
      <c r="H69" s="25"/>
      <c r="I69" s="30">
        <f t="shared" ref="I69:I78" si="9">ROUNDDOWN(E69*G69,2)</f>
        <v>0</v>
      </c>
      <c r="J69" s="72">
        <v>1500</v>
      </c>
      <c r="K69" s="72">
        <f t="shared" si="5"/>
        <v>1402.3620704999998</v>
      </c>
      <c r="L69" s="72">
        <f t="shared" si="6"/>
        <v>2804.7241409999997</v>
      </c>
      <c r="M69" s="72">
        <f t="shared" ref="M69:M78" si="10">I69+L69</f>
        <v>2804.7241409999997</v>
      </c>
      <c r="N69" s="26"/>
      <c r="O69" s="103">
        <v>0.93490804699999996</v>
      </c>
      <c r="T69" s="559"/>
      <c r="V69" s="205"/>
      <c r="Z69" s="561"/>
    </row>
    <row r="70" spans="1:26" ht="18.95" customHeight="1">
      <c r="A70" s="558"/>
      <c r="B70" s="38"/>
      <c r="C70" s="416" t="s">
        <v>3291</v>
      </c>
      <c r="D70" s="417" t="s">
        <v>3263</v>
      </c>
      <c r="E70" s="25">
        <v>2</v>
      </c>
      <c r="F70" s="1188" t="s">
        <v>349</v>
      </c>
      <c r="G70" s="25">
        <v>0</v>
      </c>
      <c r="H70" s="25"/>
      <c r="I70" s="30">
        <f t="shared" si="9"/>
        <v>0</v>
      </c>
      <c r="J70" s="72">
        <v>1500</v>
      </c>
      <c r="K70" s="72">
        <f t="shared" si="5"/>
        <v>1402.3620704999998</v>
      </c>
      <c r="L70" s="72">
        <f t="shared" si="6"/>
        <v>2804.7241409999997</v>
      </c>
      <c r="M70" s="72">
        <f t="shared" si="10"/>
        <v>2804.7241409999997</v>
      </c>
      <c r="N70" s="26"/>
      <c r="O70" s="103">
        <v>0.93490804699999996</v>
      </c>
      <c r="T70" s="559"/>
      <c r="V70" s="205"/>
      <c r="Z70" s="561"/>
    </row>
    <row r="71" spans="1:26" ht="18.95" customHeight="1">
      <c r="A71" s="558"/>
      <c r="B71" s="38"/>
      <c r="C71" s="416" t="s">
        <v>3292</v>
      </c>
      <c r="D71" s="417" t="s">
        <v>3239</v>
      </c>
      <c r="E71" s="25">
        <v>10</v>
      </c>
      <c r="F71" s="1188" t="s">
        <v>349</v>
      </c>
      <c r="G71" s="25">
        <v>0</v>
      </c>
      <c r="H71" s="25"/>
      <c r="I71" s="30">
        <f t="shared" si="9"/>
        <v>0</v>
      </c>
      <c r="J71" s="72">
        <v>3000</v>
      </c>
      <c r="K71" s="72">
        <f t="shared" si="5"/>
        <v>2804.7241409999997</v>
      </c>
      <c r="L71" s="72">
        <f t="shared" si="6"/>
        <v>28047.241409999995</v>
      </c>
      <c r="M71" s="72">
        <f t="shared" si="10"/>
        <v>28047.241409999995</v>
      </c>
      <c r="N71" s="26"/>
      <c r="O71" s="103">
        <v>0.93490804699999996</v>
      </c>
      <c r="T71" s="559"/>
      <c r="V71" s="205"/>
      <c r="Z71" s="561"/>
    </row>
    <row r="72" spans="1:26" ht="18.95" customHeight="1">
      <c r="A72" s="558"/>
      <c r="B72" s="38"/>
      <c r="C72" s="416" t="s">
        <v>3293</v>
      </c>
      <c r="D72" s="417" t="s">
        <v>3294</v>
      </c>
      <c r="E72" s="25">
        <v>24</v>
      </c>
      <c r="F72" s="1188" t="s">
        <v>349</v>
      </c>
      <c r="G72" s="25">
        <v>0</v>
      </c>
      <c r="H72" s="25"/>
      <c r="I72" s="30">
        <f t="shared" si="9"/>
        <v>0</v>
      </c>
      <c r="J72" s="72">
        <v>3000</v>
      </c>
      <c r="K72" s="72">
        <f t="shared" si="5"/>
        <v>2804.7241409999997</v>
      </c>
      <c r="L72" s="72">
        <f t="shared" si="6"/>
        <v>67313.379384</v>
      </c>
      <c r="M72" s="72">
        <f t="shared" si="10"/>
        <v>67313.379384</v>
      </c>
      <c r="N72" s="26"/>
      <c r="O72" s="103">
        <v>0.93490804699999996</v>
      </c>
      <c r="T72" s="559"/>
      <c r="V72" s="205"/>
      <c r="Z72" s="561"/>
    </row>
    <row r="73" spans="1:26" ht="18.95" customHeight="1">
      <c r="A73" s="558"/>
      <c r="B73" s="38"/>
      <c r="C73" s="416" t="s">
        <v>3295</v>
      </c>
      <c r="D73" s="417" t="s">
        <v>3296</v>
      </c>
      <c r="E73" s="25">
        <v>4</v>
      </c>
      <c r="F73" s="1188" t="s">
        <v>349</v>
      </c>
      <c r="G73" s="25">
        <v>0</v>
      </c>
      <c r="H73" s="25"/>
      <c r="I73" s="30">
        <f t="shared" si="9"/>
        <v>0</v>
      </c>
      <c r="J73" s="72">
        <v>2000</v>
      </c>
      <c r="K73" s="72">
        <f t="shared" si="5"/>
        <v>1869.816094</v>
      </c>
      <c r="L73" s="72">
        <f t="shared" si="6"/>
        <v>7479.2643760000001</v>
      </c>
      <c r="M73" s="72">
        <f t="shared" si="10"/>
        <v>7479.2643760000001</v>
      </c>
      <c r="N73" s="26"/>
      <c r="O73" s="103">
        <v>0.93490804699999996</v>
      </c>
      <c r="T73" s="559"/>
      <c r="V73" s="205"/>
      <c r="Z73" s="561"/>
    </row>
    <row r="74" spans="1:26" ht="18.95" customHeight="1">
      <c r="A74" s="558"/>
      <c r="B74" s="38"/>
      <c r="C74" s="416" t="s">
        <v>3297</v>
      </c>
      <c r="D74" s="417" t="s">
        <v>3298</v>
      </c>
      <c r="E74" s="25">
        <v>1</v>
      </c>
      <c r="F74" s="1188" t="s">
        <v>349</v>
      </c>
      <c r="G74" s="25">
        <v>0</v>
      </c>
      <c r="H74" s="25"/>
      <c r="I74" s="30">
        <f t="shared" si="9"/>
        <v>0</v>
      </c>
      <c r="J74" s="72">
        <v>1500</v>
      </c>
      <c r="K74" s="72">
        <f t="shared" si="5"/>
        <v>1402.3620704999998</v>
      </c>
      <c r="L74" s="72">
        <f t="shared" si="6"/>
        <v>1402.3620704999998</v>
      </c>
      <c r="M74" s="72">
        <f t="shared" si="10"/>
        <v>1402.3620704999998</v>
      </c>
      <c r="N74" s="26"/>
      <c r="O74" s="103">
        <v>0.93490804699999996</v>
      </c>
      <c r="T74" s="559"/>
      <c r="V74" s="205"/>
      <c r="Z74" s="561"/>
    </row>
    <row r="75" spans="1:26" ht="18.95" customHeight="1">
      <c r="A75" s="558"/>
      <c r="B75" s="38"/>
      <c r="C75" s="416" t="s">
        <v>3299</v>
      </c>
      <c r="D75" s="417" t="s">
        <v>3300</v>
      </c>
      <c r="E75" s="25">
        <v>2</v>
      </c>
      <c r="F75" s="1188" t="s">
        <v>349</v>
      </c>
      <c r="G75" s="25">
        <v>0</v>
      </c>
      <c r="H75" s="25"/>
      <c r="I75" s="30">
        <f t="shared" si="9"/>
        <v>0</v>
      </c>
      <c r="J75" s="72">
        <v>1500</v>
      </c>
      <c r="K75" s="72">
        <f t="shared" si="5"/>
        <v>1402.3620704999998</v>
      </c>
      <c r="L75" s="72">
        <f t="shared" si="6"/>
        <v>2804.7241409999997</v>
      </c>
      <c r="M75" s="72">
        <f t="shared" si="10"/>
        <v>2804.7241409999997</v>
      </c>
      <c r="N75" s="26"/>
      <c r="O75" s="103">
        <v>0.93490804699999996</v>
      </c>
      <c r="T75" s="559"/>
      <c r="V75" s="205"/>
      <c r="Z75" s="561"/>
    </row>
    <row r="76" spans="1:26" ht="18.95" customHeight="1">
      <c r="A76" s="558"/>
      <c r="B76" s="38"/>
      <c r="C76" s="416" t="s">
        <v>3301</v>
      </c>
      <c r="D76" s="417" t="s">
        <v>3302</v>
      </c>
      <c r="E76" s="25">
        <v>1</v>
      </c>
      <c r="F76" s="1188" t="s">
        <v>349</v>
      </c>
      <c r="G76" s="25">
        <v>0</v>
      </c>
      <c r="H76" s="25"/>
      <c r="I76" s="30">
        <f t="shared" si="9"/>
        <v>0</v>
      </c>
      <c r="J76" s="72">
        <v>1500</v>
      </c>
      <c r="K76" s="72">
        <f t="shared" si="5"/>
        <v>1402.3620704999998</v>
      </c>
      <c r="L76" s="72">
        <f t="shared" si="6"/>
        <v>1402.3620704999998</v>
      </c>
      <c r="M76" s="72">
        <f t="shared" si="10"/>
        <v>1402.3620704999998</v>
      </c>
      <c r="N76" s="26"/>
      <c r="O76" s="103">
        <v>0.93490804699999996</v>
      </c>
      <c r="T76" s="559"/>
      <c r="V76" s="205"/>
      <c r="Z76" s="561"/>
    </row>
    <row r="77" spans="1:26" ht="18.95" customHeight="1">
      <c r="A77" s="558"/>
      <c r="B77" s="38"/>
      <c r="C77" s="416" t="s">
        <v>3303</v>
      </c>
      <c r="D77" s="417" t="s">
        <v>3302</v>
      </c>
      <c r="E77" s="25">
        <v>1</v>
      </c>
      <c r="F77" s="1188" t="s">
        <v>349</v>
      </c>
      <c r="G77" s="25">
        <v>0</v>
      </c>
      <c r="H77" s="25"/>
      <c r="I77" s="30">
        <f t="shared" si="9"/>
        <v>0</v>
      </c>
      <c r="J77" s="72">
        <v>1500</v>
      </c>
      <c r="K77" s="72">
        <f t="shared" si="5"/>
        <v>1402.3620704999998</v>
      </c>
      <c r="L77" s="72">
        <f t="shared" si="6"/>
        <v>1402.3620704999998</v>
      </c>
      <c r="M77" s="72">
        <f t="shared" si="10"/>
        <v>1402.3620704999998</v>
      </c>
      <c r="N77" s="26"/>
      <c r="O77" s="103">
        <v>0.93490804699999996</v>
      </c>
      <c r="T77" s="559"/>
      <c r="V77" s="205"/>
      <c r="Z77" s="561"/>
    </row>
    <row r="78" spans="1:26" ht="18.95" customHeight="1">
      <c r="A78" s="558"/>
      <c r="B78" s="38"/>
      <c r="C78" s="416" t="s">
        <v>3304</v>
      </c>
      <c r="D78" s="417" t="s">
        <v>3239</v>
      </c>
      <c r="E78" s="25">
        <v>2</v>
      </c>
      <c r="F78" s="1188" t="s">
        <v>349</v>
      </c>
      <c r="G78" s="25">
        <v>0</v>
      </c>
      <c r="H78" s="25"/>
      <c r="I78" s="30">
        <f t="shared" si="9"/>
        <v>0</v>
      </c>
      <c r="J78" s="72">
        <v>3000</v>
      </c>
      <c r="K78" s="72">
        <f t="shared" si="5"/>
        <v>2804.7241409999997</v>
      </c>
      <c r="L78" s="72">
        <f t="shared" si="6"/>
        <v>5609.4482819999994</v>
      </c>
      <c r="M78" s="72">
        <f t="shared" si="10"/>
        <v>5609.4482819999994</v>
      </c>
      <c r="N78" s="26"/>
      <c r="O78" s="103">
        <v>0.93490804699999996</v>
      </c>
      <c r="T78" s="559"/>
      <c r="V78" s="205"/>
      <c r="Z78" s="561"/>
    </row>
    <row r="79" spans="1:26" ht="18.95" customHeight="1">
      <c r="A79" s="558"/>
      <c r="B79" s="38" t="s">
        <v>3305</v>
      </c>
      <c r="C79" s="416"/>
      <c r="D79" s="417"/>
      <c r="E79" s="25"/>
      <c r="F79" s="26"/>
      <c r="G79" s="25"/>
      <c r="H79" s="25"/>
      <c r="I79" s="30"/>
      <c r="J79" s="72"/>
      <c r="K79" s="72">
        <f t="shared" si="5"/>
        <v>0</v>
      </c>
      <c r="L79" s="72">
        <f t="shared" si="6"/>
        <v>0</v>
      </c>
      <c r="M79" s="72"/>
      <c r="N79" s="26"/>
      <c r="O79" s="103">
        <v>0.93490804699999996</v>
      </c>
      <c r="T79" s="559"/>
      <c r="V79" s="205"/>
      <c r="Z79" s="561"/>
    </row>
    <row r="80" spans="1:26" ht="18.95" customHeight="1">
      <c r="A80" s="558"/>
      <c r="B80" s="38"/>
      <c r="C80" s="416" t="s">
        <v>3306</v>
      </c>
      <c r="D80" s="417" t="s">
        <v>3285</v>
      </c>
      <c r="E80" s="25">
        <v>2</v>
      </c>
      <c r="F80" s="1188" t="s">
        <v>349</v>
      </c>
      <c r="G80" s="25">
        <v>0</v>
      </c>
      <c r="H80" s="25"/>
      <c r="I80" s="30">
        <f t="shared" ref="I80:I91" si="11">ROUNDDOWN(E80*G80,2)</f>
        <v>0</v>
      </c>
      <c r="J80" s="72">
        <v>2400</v>
      </c>
      <c r="K80" s="72">
        <f t="shared" si="5"/>
        <v>2243.7793127999998</v>
      </c>
      <c r="L80" s="72">
        <f t="shared" si="6"/>
        <v>4487.5586255999997</v>
      </c>
      <c r="M80" s="72">
        <f t="shared" ref="M80:M91" si="12">I80+L80</f>
        <v>4487.5586255999997</v>
      </c>
      <c r="N80" s="26"/>
      <c r="O80" s="103">
        <v>0.93490804699999996</v>
      </c>
      <c r="T80" s="559"/>
      <c r="V80" s="205"/>
      <c r="Z80" s="561"/>
    </row>
    <row r="81" spans="1:26" ht="18.95" customHeight="1">
      <c r="A81" s="558"/>
      <c r="B81" s="38"/>
      <c r="C81" s="416" t="s">
        <v>3307</v>
      </c>
      <c r="D81" s="417" t="s">
        <v>3308</v>
      </c>
      <c r="E81" s="25">
        <v>2</v>
      </c>
      <c r="F81" s="1188" t="s">
        <v>349</v>
      </c>
      <c r="G81" s="25">
        <v>0</v>
      </c>
      <c r="H81" s="25"/>
      <c r="I81" s="30">
        <f t="shared" si="11"/>
        <v>0</v>
      </c>
      <c r="J81" s="72">
        <v>2000</v>
      </c>
      <c r="K81" s="72">
        <f t="shared" si="5"/>
        <v>1869.816094</v>
      </c>
      <c r="L81" s="72">
        <f t="shared" si="6"/>
        <v>3739.632188</v>
      </c>
      <c r="M81" s="72">
        <f t="shared" si="12"/>
        <v>3739.632188</v>
      </c>
      <c r="N81" s="26"/>
      <c r="O81" s="103">
        <v>0.93490804699999996</v>
      </c>
      <c r="T81" s="559"/>
      <c r="V81" s="205"/>
      <c r="Z81" s="561"/>
    </row>
    <row r="82" spans="1:26" ht="18.95" customHeight="1">
      <c r="A82" s="558"/>
      <c r="B82" s="38"/>
      <c r="C82" s="416" t="s">
        <v>3309</v>
      </c>
      <c r="D82" s="417" t="s">
        <v>3310</v>
      </c>
      <c r="E82" s="25">
        <v>1</v>
      </c>
      <c r="F82" s="1188" t="s">
        <v>349</v>
      </c>
      <c r="G82" s="25">
        <v>0</v>
      </c>
      <c r="H82" s="25"/>
      <c r="I82" s="30">
        <f t="shared" si="11"/>
        <v>0</v>
      </c>
      <c r="J82" s="72">
        <v>1500</v>
      </c>
      <c r="K82" s="72">
        <f t="shared" si="5"/>
        <v>1402.3620704999998</v>
      </c>
      <c r="L82" s="72">
        <f t="shared" si="6"/>
        <v>1402.3620704999998</v>
      </c>
      <c r="M82" s="72">
        <f t="shared" si="12"/>
        <v>1402.3620704999998</v>
      </c>
      <c r="N82" s="26"/>
      <c r="O82" s="103">
        <v>0.93490804699999996</v>
      </c>
      <c r="T82" s="559"/>
      <c r="V82" s="205"/>
      <c r="Z82" s="561"/>
    </row>
    <row r="83" spans="1:26" ht="18.95" customHeight="1">
      <c r="A83" s="558"/>
      <c r="B83" s="38"/>
      <c r="C83" s="416" t="s">
        <v>3311</v>
      </c>
      <c r="D83" s="417" t="s">
        <v>3310</v>
      </c>
      <c r="E83" s="25">
        <v>1</v>
      </c>
      <c r="F83" s="1188" t="s">
        <v>349</v>
      </c>
      <c r="G83" s="25">
        <v>0</v>
      </c>
      <c r="H83" s="25"/>
      <c r="I83" s="30">
        <f t="shared" si="11"/>
        <v>0</v>
      </c>
      <c r="J83" s="72">
        <v>1500</v>
      </c>
      <c r="K83" s="72">
        <f t="shared" si="5"/>
        <v>1402.3620704999998</v>
      </c>
      <c r="L83" s="72">
        <f t="shared" si="6"/>
        <v>1402.3620704999998</v>
      </c>
      <c r="M83" s="72">
        <f t="shared" si="12"/>
        <v>1402.3620704999998</v>
      </c>
      <c r="N83" s="26"/>
      <c r="O83" s="103">
        <v>0.93490804699999996</v>
      </c>
      <c r="T83" s="559"/>
      <c r="V83" s="205"/>
      <c r="Z83" s="561"/>
    </row>
    <row r="84" spans="1:26" ht="18.95" customHeight="1">
      <c r="A84" s="558"/>
      <c r="B84" s="38"/>
      <c r="C84" s="416" t="s">
        <v>3312</v>
      </c>
      <c r="D84" s="417" t="s">
        <v>3239</v>
      </c>
      <c r="E84" s="25">
        <v>24</v>
      </c>
      <c r="F84" s="1188" t="s">
        <v>349</v>
      </c>
      <c r="G84" s="25">
        <v>0</v>
      </c>
      <c r="H84" s="25"/>
      <c r="I84" s="30">
        <f t="shared" si="11"/>
        <v>0</v>
      </c>
      <c r="J84" s="72">
        <v>3000</v>
      </c>
      <c r="K84" s="72">
        <f t="shared" si="5"/>
        <v>2804.7241409999997</v>
      </c>
      <c r="L84" s="72">
        <f t="shared" si="6"/>
        <v>67313.379384</v>
      </c>
      <c r="M84" s="72">
        <f t="shared" si="12"/>
        <v>67313.379384</v>
      </c>
      <c r="N84" s="26"/>
      <c r="O84" s="103">
        <v>0.93490804699999996</v>
      </c>
      <c r="T84" s="559"/>
      <c r="V84" s="205"/>
      <c r="Z84" s="561"/>
    </row>
    <row r="85" spans="1:26" ht="18.95" customHeight="1">
      <c r="A85" s="558"/>
      <c r="B85" s="38"/>
      <c r="C85" s="416" t="s">
        <v>3313</v>
      </c>
      <c r="D85" s="417" t="s">
        <v>3314</v>
      </c>
      <c r="E85" s="25">
        <v>19</v>
      </c>
      <c r="F85" s="1188" t="s">
        <v>349</v>
      </c>
      <c r="G85" s="25">
        <v>0</v>
      </c>
      <c r="H85" s="25"/>
      <c r="I85" s="30">
        <f t="shared" si="11"/>
        <v>0</v>
      </c>
      <c r="J85" s="72">
        <v>3000</v>
      </c>
      <c r="K85" s="72">
        <f t="shared" si="5"/>
        <v>2804.7241409999997</v>
      </c>
      <c r="L85" s="72">
        <f t="shared" si="6"/>
        <v>53289.758678999991</v>
      </c>
      <c r="M85" s="72">
        <f t="shared" si="12"/>
        <v>53289.758678999991</v>
      </c>
      <c r="N85" s="26"/>
      <c r="O85" s="103">
        <v>0.93490804699999996</v>
      </c>
      <c r="T85" s="559"/>
      <c r="V85" s="205"/>
      <c r="Z85" s="561"/>
    </row>
    <row r="86" spans="1:26" ht="18.95" customHeight="1">
      <c r="A86" s="558"/>
      <c r="B86" s="38"/>
      <c r="C86" s="416" t="s">
        <v>3315</v>
      </c>
      <c r="D86" s="417" t="s">
        <v>3265</v>
      </c>
      <c r="E86" s="25">
        <v>3</v>
      </c>
      <c r="F86" s="1188" t="s">
        <v>349</v>
      </c>
      <c r="G86" s="25">
        <v>0</v>
      </c>
      <c r="H86" s="25"/>
      <c r="I86" s="30">
        <f t="shared" si="11"/>
        <v>0</v>
      </c>
      <c r="J86" s="72">
        <v>2400</v>
      </c>
      <c r="K86" s="72">
        <f t="shared" si="5"/>
        <v>2243.7793127999998</v>
      </c>
      <c r="L86" s="72">
        <f t="shared" si="6"/>
        <v>6731.3379384</v>
      </c>
      <c r="M86" s="72">
        <f t="shared" si="12"/>
        <v>6731.3379384</v>
      </c>
      <c r="N86" s="26"/>
      <c r="O86" s="103">
        <v>0.93490804699999996</v>
      </c>
      <c r="T86" s="559"/>
      <c r="V86" s="205"/>
      <c r="Z86" s="561"/>
    </row>
    <row r="87" spans="1:26" ht="18.95" customHeight="1">
      <c r="A87" s="558"/>
      <c r="B87" s="38"/>
      <c r="C87" s="416" t="s">
        <v>3316</v>
      </c>
      <c r="D87" s="417" t="s">
        <v>3317</v>
      </c>
      <c r="E87" s="25">
        <v>1</v>
      </c>
      <c r="F87" s="1188" t="s">
        <v>349</v>
      </c>
      <c r="G87" s="25">
        <v>0</v>
      </c>
      <c r="H87" s="25"/>
      <c r="I87" s="30">
        <f t="shared" si="11"/>
        <v>0</v>
      </c>
      <c r="J87" s="72">
        <v>2400</v>
      </c>
      <c r="K87" s="72">
        <f t="shared" si="5"/>
        <v>2243.7793127999998</v>
      </c>
      <c r="L87" s="72">
        <f t="shared" si="6"/>
        <v>2243.7793127999998</v>
      </c>
      <c r="M87" s="72">
        <f t="shared" si="12"/>
        <v>2243.7793127999998</v>
      </c>
      <c r="N87" s="26"/>
      <c r="O87" s="103">
        <v>0.93490804699999996</v>
      </c>
      <c r="T87" s="559"/>
      <c r="V87" s="205"/>
      <c r="Z87" s="561"/>
    </row>
    <row r="88" spans="1:26" ht="18.95" customHeight="1">
      <c r="A88" s="558"/>
      <c r="B88" s="38"/>
      <c r="C88" s="416" t="s">
        <v>3318</v>
      </c>
      <c r="D88" s="417" t="s">
        <v>3285</v>
      </c>
      <c r="E88" s="25">
        <v>2</v>
      </c>
      <c r="F88" s="1188" t="s">
        <v>349</v>
      </c>
      <c r="G88" s="25">
        <v>0</v>
      </c>
      <c r="H88" s="25"/>
      <c r="I88" s="30">
        <f t="shared" si="11"/>
        <v>0</v>
      </c>
      <c r="J88" s="72">
        <v>2400</v>
      </c>
      <c r="K88" s="72">
        <f t="shared" si="5"/>
        <v>2243.7793127999998</v>
      </c>
      <c r="L88" s="72">
        <f t="shared" si="6"/>
        <v>4487.5586255999997</v>
      </c>
      <c r="M88" s="72">
        <f t="shared" si="12"/>
        <v>4487.5586255999997</v>
      </c>
      <c r="N88" s="26"/>
      <c r="O88" s="103">
        <v>0.93490804699999996</v>
      </c>
      <c r="T88" s="559"/>
      <c r="V88" s="205"/>
      <c r="Z88" s="561"/>
    </row>
    <row r="89" spans="1:26" ht="18.95" customHeight="1">
      <c r="A89" s="558"/>
      <c r="B89" s="38"/>
      <c r="C89" s="416" t="s">
        <v>3319</v>
      </c>
      <c r="D89" s="417" t="s">
        <v>3274</v>
      </c>
      <c r="E89" s="25">
        <v>1</v>
      </c>
      <c r="F89" s="1188" t="s">
        <v>349</v>
      </c>
      <c r="G89" s="25">
        <v>0</v>
      </c>
      <c r="H89" s="25"/>
      <c r="I89" s="30">
        <f t="shared" si="11"/>
        <v>0</v>
      </c>
      <c r="J89" s="72">
        <v>1500</v>
      </c>
      <c r="K89" s="72">
        <f t="shared" si="5"/>
        <v>1402.3620704999998</v>
      </c>
      <c r="L89" s="72">
        <f t="shared" si="6"/>
        <v>1402.3620704999998</v>
      </c>
      <c r="M89" s="72">
        <f t="shared" si="12"/>
        <v>1402.3620704999998</v>
      </c>
      <c r="N89" s="26"/>
      <c r="O89" s="103">
        <v>0.93490804699999996</v>
      </c>
      <c r="T89" s="559"/>
      <c r="V89" s="205"/>
      <c r="Z89" s="561"/>
    </row>
    <row r="90" spans="1:26" ht="18.95" customHeight="1">
      <c r="A90" s="558"/>
      <c r="B90" s="38"/>
      <c r="C90" s="416" t="s">
        <v>3320</v>
      </c>
      <c r="D90" s="417" t="s">
        <v>3237</v>
      </c>
      <c r="E90" s="25">
        <v>1</v>
      </c>
      <c r="F90" s="1188" t="s">
        <v>349</v>
      </c>
      <c r="G90" s="25">
        <v>0</v>
      </c>
      <c r="H90" s="25"/>
      <c r="I90" s="30">
        <f t="shared" si="11"/>
        <v>0</v>
      </c>
      <c r="J90" s="72">
        <v>1500</v>
      </c>
      <c r="K90" s="72">
        <f t="shared" si="5"/>
        <v>1402.3620704999998</v>
      </c>
      <c r="L90" s="72">
        <f t="shared" si="6"/>
        <v>1402.3620704999998</v>
      </c>
      <c r="M90" s="72">
        <f t="shared" si="12"/>
        <v>1402.3620704999998</v>
      </c>
      <c r="N90" s="26"/>
      <c r="O90" s="103">
        <v>0.93490804699999996</v>
      </c>
      <c r="T90" s="559"/>
      <c r="V90" s="205"/>
      <c r="Z90" s="561"/>
    </row>
    <row r="91" spans="1:26" ht="18.95" customHeight="1">
      <c r="A91" s="558"/>
      <c r="B91" s="38"/>
      <c r="C91" s="416" t="s">
        <v>3321</v>
      </c>
      <c r="D91" s="417" t="s">
        <v>3322</v>
      </c>
      <c r="E91" s="25">
        <v>1</v>
      </c>
      <c r="F91" s="1188" t="s">
        <v>349</v>
      </c>
      <c r="G91" s="25">
        <v>0</v>
      </c>
      <c r="H91" s="25"/>
      <c r="I91" s="30">
        <f t="shared" si="11"/>
        <v>0</v>
      </c>
      <c r="J91" s="72">
        <v>3000</v>
      </c>
      <c r="K91" s="72">
        <f t="shared" si="5"/>
        <v>2804.7241409999997</v>
      </c>
      <c r="L91" s="72">
        <f t="shared" si="6"/>
        <v>2804.7241409999997</v>
      </c>
      <c r="M91" s="72">
        <f t="shared" si="12"/>
        <v>2804.7241409999997</v>
      </c>
      <c r="N91" s="26"/>
      <c r="O91" s="103">
        <v>0.93490804699999996</v>
      </c>
      <c r="T91" s="559"/>
      <c r="V91" s="205"/>
      <c r="Z91" s="561"/>
    </row>
    <row r="92" spans="1:26" ht="18.95" customHeight="1">
      <c r="A92" s="558"/>
      <c r="B92" s="38" t="s">
        <v>3323</v>
      </c>
      <c r="C92" s="416"/>
      <c r="D92" s="417"/>
      <c r="E92" s="25"/>
      <c r="F92" s="26"/>
      <c r="G92" s="25"/>
      <c r="H92" s="25"/>
      <c r="I92" s="30"/>
      <c r="J92" s="72"/>
      <c r="K92" s="72">
        <f t="shared" si="5"/>
        <v>0</v>
      </c>
      <c r="L92" s="72">
        <f t="shared" si="6"/>
        <v>0</v>
      </c>
      <c r="M92" s="72"/>
      <c r="N92" s="26"/>
      <c r="O92" s="103">
        <v>0.93490804699999996</v>
      </c>
      <c r="T92" s="559"/>
      <c r="V92" s="205"/>
      <c r="Z92" s="561"/>
    </row>
    <row r="93" spans="1:26" ht="18.95" customHeight="1">
      <c r="A93" s="558"/>
      <c r="B93" s="38"/>
      <c r="C93" s="416" t="s">
        <v>3324</v>
      </c>
      <c r="D93" s="417" t="s">
        <v>3265</v>
      </c>
      <c r="E93" s="25">
        <v>2</v>
      </c>
      <c r="F93" s="1188" t="s">
        <v>349</v>
      </c>
      <c r="G93" s="25">
        <v>0</v>
      </c>
      <c r="H93" s="25"/>
      <c r="I93" s="30">
        <f t="shared" ref="I93:I102" si="13">ROUNDDOWN(E93*G93,2)</f>
        <v>0</v>
      </c>
      <c r="J93" s="72">
        <v>2400</v>
      </c>
      <c r="K93" s="72">
        <f t="shared" si="5"/>
        <v>2243.7793127999998</v>
      </c>
      <c r="L93" s="72">
        <f t="shared" si="6"/>
        <v>4487.5586255999997</v>
      </c>
      <c r="M93" s="72">
        <f t="shared" ref="M93:M102" si="14">I93+L93</f>
        <v>4487.5586255999997</v>
      </c>
      <c r="N93" s="26"/>
      <c r="O93" s="103">
        <v>0.93490804699999996</v>
      </c>
      <c r="T93" s="559"/>
      <c r="V93" s="205"/>
      <c r="Z93" s="561"/>
    </row>
    <row r="94" spans="1:26" ht="18.95" customHeight="1">
      <c r="A94" s="558"/>
      <c r="B94" s="38"/>
      <c r="C94" s="416" t="s">
        <v>3325</v>
      </c>
      <c r="D94" s="417" t="s">
        <v>3265</v>
      </c>
      <c r="E94" s="25">
        <v>2</v>
      </c>
      <c r="F94" s="1188" t="s">
        <v>349</v>
      </c>
      <c r="G94" s="25">
        <v>0</v>
      </c>
      <c r="H94" s="25"/>
      <c r="I94" s="30">
        <f t="shared" si="13"/>
        <v>0</v>
      </c>
      <c r="J94" s="72">
        <v>2400</v>
      </c>
      <c r="K94" s="72">
        <f t="shared" si="5"/>
        <v>2243.7793127999998</v>
      </c>
      <c r="L94" s="72">
        <f t="shared" si="6"/>
        <v>4487.5586255999997</v>
      </c>
      <c r="M94" s="72">
        <f t="shared" si="14"/>
        <v>4487.5586255999997</v>
      </c>
      <c r="N94" s="26"/>
      <c r="O94" s="103">
        <v>0.93490804699999996</v>
      </c>
      <c r="T94" s="559"/>
      <c r="V94" s="205"/>
      <c r="Z94" s="561"/>
    </row>
    <row r="95" spans="1:26" ht="18.95" customHeight="1">
      <c r="A95" s="558"/>
      <c r="B95" s="38"/>
      <c r="C95" s="416" t="s">
        <v>3326</v>
      </c>
      <c r="D95" s="417" t="s">
        <v>3265</v>
      </c>
      <c r="E95" s="25">
        <v>1</v>
      </c>
      <c r="F95" s="1188" t="s">
        <v>349</v>
      </c>
      <c r="G95" s="25">
        <v>0</v>
      </c>
      <c r="H95" s="25"/>
      <c r="I95" s="30">
        <f t="shared" si="13"/>
        <v>0</v>
      </c>
      <c r="J95" s="72">
        <v>1500</v>
      </c>
      <c r="K95" s="72">
        <f t="shared" si="5"/>
        <v>1402.3620704999998</v>
      </c>
      <c r="L95" s="72">
        <f t="shared" si="6"/>
        <v>1402.3620704999998</v>
      </c>
      <c r="M95" s="72">
        <f t="shared" si="14"/>
        <v>1402.3620704999998</v>
      </c>
      <c r="N95" s="26"/>
      <c r="O95" s="103">
        <v>0.93490804699999996</v>
      </c>
      <c r="T95" s="559"/>
      <c r="V95" s="205"/>
      <c r="Y95" s="205"/>
      <c r="Z95" s="561"/>
    </row>
    <row r="96" spans="1:26" ht="18.95" customHeight="1">
      <c r="A96" s="558"/>
      <c r="B96" s="38"/>
      <c r="C96" s="416" t="s">
        <v>3327</v>
      </c>
      <c r="D96" s="417" t="s">
        <v>3265</v>
      </c>
      <c r="E96" s="25">
        <v>1</v>
      </c>
      <c r="F96" s="1188" t="s">
        <v>349</v>
      </c>
      <c r="G96" s="25">
        <v>0</v>
      </c>
      <c r="H96" s="25"/>
      <c r="I96" s="30">
        <f t="shared" si="13"/>
        <v>0</v>
      </c>
      <c r="J96" s="72">
        <v>1500</v>
      </c>
      <c r="K96" s="72">
        <f t="shared" si="5"/>
        <v>1402.3620704999998</v>
      </c>
      <c r="L96" s="72">
        <f t="shared" si="6"/>
        <v>1402.3620704999998</v>
      </c>
      <c r="M96" s="72">
        <f t="shared" si="14"/>
        <v>1402.3620704999998</v>
      </c>
      <c r="N96" s="26"/>
      <c r="O96" s="103">
        <v>0.93490804699999996</v>
      </c>
      <c r="T96" s="559"/>
      <c r="V96" s="205"/>
      <c r="Z96" s="561"/>
    </row>
    <row r="97" spans="1:26" ht="18.95" customHeight="1">
      <c r="A97" s="558"/>
      <c r="B97" s="38"/>
      <c r="C97" s="416" t="s">
        <v>3328</v>
      </c>
      <c r="D97" s="417" t="s">
        <v>3265</v>
      </c>
      <c r="E97" s="25">
        <v>1</v>
      </c>
      <c r="F97" s="1188" t="s">
        <v>349</v>
      </c>
      <c r="G97" s="25">
        <v>0</v>
      </c>
      <c r="H97" s="25"/>
      <c r="I97" s="30">
        <f t="shared" si="13"/>
        <v>0</v>
      </c>
      <c r="J97" s="72">
        <v>1500</v>
      </c>
      <c r="K97" s="72">
        <f t="shared" si="5"/>
        <v>1402.3620704999998</v>
      </c>
      <c r="L97" s="72">
        <f t="shared" si="6"/>
        <v>1402.3620704999998</v>
      </c>
      <c r="M97" s="72">
        <f t="shared" si="14"/>
        <v>1402.3620704999998</v>
      </c>
      <c r="N97" s="26"/>
      <c r="O97" s="103">
        <v>0.93490804699999996</v>
      </c>
      <c r="T97" s="559"/>
      <c r="V97" s="205"/>
      <c r="Z97" s="561"/>
    </row>
    <row r="98" spans="1:26" ht="18.95" customHeight="1">
      <c r="A98" s="558"/>
      <c r="B98" s="38"/>
      <c r="C98" s="416" t="s">
        <v>3329</v>
      </c>
      <c r="D98" s="417" t="s">
        <v>3265</v>
      </c>
      <c r="E98" s="25">
        <v>1</v>
      </c>
      <c r="F98" s="1188" t="s">
        <v>349</v>
      </c>
      <c r="G98" s="25">
        <v>0</v>
      </c>
      <c r="H98" s="25"/>
      <c r="I98" s="30">
        <f t="shared" si="13"/>
        <v>0</v>
      </c>
      <c r="J98" s="72">
        <v>1500</v>
      </c>
      <c r="K98" s="72">
        <f t="shared" si="5"/>
        <v>1402.3620704999998</v>
      </c>
      <c r="L98" s="72">
        <f t="shared" si="6"/>
        <v>1402.3620704999998</v>
      </c>
      <c r="M98" s="72">
        <f t="shared" si="14"/>
        <v>1402.3620704999998</v>
      </c>
      <c r="N98" s="26"/>
      <c r="O98" s="103">
        <v>0.93490804699999996</v>
      </c>
      <c r="T98" s="559"/>
      <c r="V98" s="205"/>
      <c r="Z98" s="561"/>
    </row>
    <row r="99" spans="1:26" ht="18.95" customHeight="1">
      <c r="A99" s="558"/>
      <c r="B99" s="38"/>
      <c r="C99" s="416" t="s">
        <v>3330</v>
      </c>
      <c r="D99" s="417" t="s">
        <v>3265</v>
      </c>
      <c r="E99" s="25">
        <v>1</v>
      </c>
      <c r="F99" s="1188" t="s">
        <v>349</v>
      </c>
      <c r="G99" s="25">
        <v>0</v>
      </c>
      <c r="H99" s="25"/>
      <c r="I99" s="30">
        <f t="shared" si="13"/>
        <v>0</v>
      </c>
      <c r="J99" s="72">
        <v>1500</v>
      </c>
      <c r="K99" s="72">
        <f t="shared" ref="K99:K161" si="15">J99*O99</f>
        <v>1402.3620704999998</v>
      </c>
      <c r="L99" s="72">
        <f t="shared" ref="L99:L139" si="16">E99*K99</f>
        <v>1402.3620704999998</v>
      </c>
      <c r="M99" s="72">
        <f t="shared" si="14"/>
        <v>1402.3620704999998</v>
      </c>
      <c r="N99" s="26"/>
      <c r="O99" s="103">
        <v>0.93490804699999996</v>
      </c>
      <c r="T99" s="559"/>
      <c r="V99" s="205"/>
      <c r="Z99" s="561"/>
    </row>
    <row r="100" spans="1:26" ht="18.95" customHeight="1">
      <c r="A100" s="558"/>
      <c r="B100" s="38"/>
      <c r="C100" s="416" t="s">
        <v>3331</v>
      </c>
      <c r="D100" s="417" t="s">
        <v>3250</v>
      </c>
      <c r="E100" s="25">
        <v>1</v>
      </c>
      <c r="F100" s="1188" t="s">
        <v>349</v>
      </c>
      <c r="G100" s="25">
        <v>0</v>
      </c>
      <c r="H100" s="25"/>
      <c r="I100" s="30">
        <f t="shared" si="13"/>
        <v>0</v>
      </c>
      <c r="J100" s="72">
        <v>1500</v>
      </c>
      <c r="K100" s="72">
        <f t="shared" si="15"/>
        <v>1402.3620704999998</v>
      </c>
      <c r="L100" s="72">
        <f t="shared" si="16"/>
        <v>1402.3620704999998</v>
      </c>
      <c r="M100" s="72">
        <f t="shared" si="14"/>
        <v>1402.3620704999998</v>
      </c>
      <c r="N100" s="26"/>
      <c r="O100" s="103">
        <v>0.93490804699999996</v>
      </c>
      <c r="T100" s="559"/>
      <c r="V100" s="205"/>
      <c r="Z100" s="561"/>
    </row>
    <row r="101" spans="1:26" ht="18.95" customHeight="1">
      <c r="A101" s="558"/>
      <c r="B101" s="38"/>
      <c r="C101" s="416" t="s">
        <v>3332</v>
      </c>
      <c r="D101" s="417" t="s">
        <v>3250</v>
      </c>
      <c r="E101" s="25">
        <v>1</v>
      </c>
      <c r="F101" s="1188" t="s">
        <v>349</v>
      </c>
      <c r="G101" s="25">
        <v>0</v>
      </c>
      <c r="H101" s="25"/>
      <c r="I101" s="30">
        <f t="shared" si="13"/>
        <v>0</v>
      </c>
      <c r="J101" s="72">
        <v>1500</v>
      </c>
      <c r="K101" s="72">
        <f t="shared" si="15"/>
        <v>1402.3620704999998</v>
      </c>
      <c r="L101" s="72">
        <f t="shared" si="16"/>
        <v>1402.3620704999998</v>
      </c>
      <c r="M101" s="72">
        <f t="shared" si="14"/>
        <v>1402.3620704999998</v>
      </c>
      <c r="N101" s="26"/>
      <c r="O101" s="103">
        <v>0.93490804699999996</v>
      </c>
      <c r="T101" s="559"/>
      <c r="V101" s="205"/>
      <c r="Z101" s="561"/>
    </row>
    <row r="102" spans="1:26" ht="18.95" customHeight="1">
      <c r="A102" s="558"/>
      <c r="B102" s="38"/>
      <c r="C102" s="416" t="s">
        <v>3333</v>
      </c>
      <c r="D102" s="417" t="s">
        <v>3317</v>
      </c>
      <c r="E102" s="25">
        <v>2</v>
      </c>
      <c r="F102" s="1188" t="s">
        <v>349</v>
      </c>
      <c r="G102" s="25">
        <v>0</v>
      </c>
      <c r="H102" s="25"/>
      <c r="I102" s="30">
        <f t="shared" si="13"/>
        <v>0</v>
      </c>
      <c r="J102" s="72">
        <v>2400</v>
      </c>
      <c r="K102" s="72">
        <f t="shared" si="15"/>
        <v>2243.7793127999998</v>
      </c>
      <c r="L102" s="72">
        <f t="shared" si="16"/>
        <v>4487.5586255999997</v>
      </c>
      <c r="M102" s="72">
        <f t="shared" si="14"/>
        <v>4487.5586255999997</v>
      </c>
      <c r="N102" s="26"/>
      <c r="O102" s="103">
        <v>0.93490804699999996</v>
      </c>
      <c r="T102" s="559"/>
      <c r="V102" s="205"/>
      <c r="Z102" s="561"/>
    </row>
    <row r="103" spans="1:26" ht="18.95" customHeight="1">
      <c r="A103" s="558"/>
      <c r="B103" s="38" t="s">
        <v>3334</v>
      </c>
      <c r="C103" s="416"/>
      <c r="D103" s="417"/>
      <c r="E103" s="25"/>
      <c r="F103" s="26"/>
      <c r="G103" s="25"/>
      <c r="H103" s="25"/>
      <c r="I103" s="30"/>
      <c r="J103" s="72"/>
      <c r="K103" s="72">
        <f t="shared" si="15"/>
        <v>0</v>
      </c>
      <c r="L103" s="72">
        <f t="shared" si="16"/>
        <v>0</v>
      </c>
      <c r="M103" s="72"/>
      <c r="N103" s="26"/>
      <c r="O103" s="103">
        <v>0.93490804699999996</v>
      </c>
      <c r="T103" s="559"/>
      <c r="V103" s="205"/>
      <c r="Z103" s="561"/>
    </row>
    <row r="104" spans="1:26" ht="18.95" customHeight="1">
      <c r="A104" s="558"/>
      <c r="B104" s="38"/>
      <c r="C104" s="416" t="s">
        <v>3335</v>
      </c>
      <c r="D104" s="437" t="s">
        <v>3336</v>
      </c>
      <c r="E104" s="25">
        <v>1</v>
      </c>
      <c r="F104" s="1188" t="s">
        <v>349</v>
      </c>
      <c r="G104" s="25">
        <v>0</v>
      </c>
      <c r="H104" s="25"/>
      <c r="I104" s="30">
        <f t="shared" ref="I104:I105" si="17">ROUNDDOWN(E104*G104,2)</f>
        <v>0</v>
      </c>
      <c r="J104" s="72">
        <v>3000</v>
      </c>
      <c r="K104" s="72">
        <f t="shared" si="15"/>
        <v>2804.7241409999997</v>
      </c>
      <c r="L104" s="72">
        <f t="shared" si="16"/>
        <v>2804.7241409999997</v>
      </c>
      <c r="M104" s="72">
        <f t="shared" ref="M104:M105" si="18">I104+L104</f>
        <v>2804.7241409999997</v>
      </c>
      <c r="N104" s="26"/>
      <c r="O104" s="103">
        <v>0.93490804699999996</v>
      </c>
      <c r="T104" s="559"/>
      <c r="V104" s="205"/>
      <c r="Z104" s="561"/>
    </row>
    <row r="105" spans="1:26" ht="18.95" customHeight="1">
      <c r="A105" s="558"/>
      <c r="B105" s="38"/>
      <c r="C105" s="416" t="s">
        <v>3337</v>
      </c>
      <c r="D105" s="417" t="s">
        <v>3338</v>
      </c>
      <c r="E105" s="25">
        <v>1</v>
      </c>
      <c r="F105" s="1188" t="s">
        <v>349</v>
      </c>
      <c r="G105" s="25">
        <v>0</v>
      </c>
      <c r="H105" s="25"/>
      <c r="I105" s="30">
        <f t="shared" si="17"/>
        <v>0</v>
      </c>
      <c r="J105" s="72">
        <v>3000</v>
      </c>
      <c r="K105" s="72">
        <f t="shared" si="15"/>
        <v>2804.7241409999997</v>
      </c>
      <c r="L105" s="72">
        <f t="shared" si="16"/>
        <v>2804.7241409999997</v>
      </c>
      <c r="M105" s="72">
        <f t="shared" si="18"/>
        <v>2804.7241409999997</v>
      </c>
      <c r="N105" s="26"/>
      <c r="O105" s="103">
        <v>0.93490804699999996</v>
      </c>
      <c r="T105" s="559"/>
      <c r="V105" s="205"/>
      <c r="Z105" s="561"/>
    </row>
    <row r="106" spans="1:26" ht="18.95" customHeight="1">
      <c r="A106" s="558"/>
      <c r="B106" s="352" t="s">
        <v>3339</v>
      </c>
      <c r="C106" s="416"/>
      <c r="D106" s="267"/>
      <c r="E106" s="25"/>
      <c r="F106" s="26"/>
      <c r="G106" s="72"/>
      <c r="H106" s="72"/>
      <c r="I106" s="72"/>
      <c r="J106" s="25"/>
      <c r="K106" s="72">
        <f t="shared" si="15"/>
        <v>0</v>
      </c>
      <c r="L106" s="72">
        <f t="shared" si="16"/>
        <v>0</v>
      </c>
      <c r="M106" s="26"/>
      <c r="N106" s="26"/>
      <c r="O106" s="103">
        <v>0.93490804699999996</v>
      </c>
      <c r="T106" s="559"/>
      <c r="V106" s="205"/>
      <c r="Z106" s="561"/>
    </row>
    <row r="107" spans="1:26" ht="18.95" customHeight="1">
      <c r="A107" s="558"/>
      <c r="B107" s="38"/>
      <c r="C107" s="416" t="s">
        <v>3340</v>
      </c>
      <c r="D107" s="437" t="s">
        <v>3341</v>
      </c>
      <c r="E107" s="25">
        <v>1</v>
      </c>
      <c r="F107" s="1188" t="s">
        <v>349</v>
      </c>
      <c r="G107" s="25">
        <v>0</v>
      </c>
      <c r="H107" s="25"/>
      <c r="I107" s="30">
        <f t="shared" ref="I107:I139" si="19">ROUNDDOWN(E107*G107,2)</f>
        <v>0</v>
      </c>
      <c r="J107" s="72">
        <v>5000</v>
      </c>
      <c r="K107" s="72">
        <f t="shared" si="15"/>
        <v>4674.5402349999995</v>
      </c>
      <c r="L107" s="72">
        <f t="shared" si="16"/>
        <v>4674.5402349999995</v>
      </c>
      <c r="M107" s="72">
        <f t="shared" ref="M107:M139" si="20">I107+L107</f>
        <v>4674.5402349999995</v>
      </c>
      <c r="N107" s="26"/>
      <c r="O107" s="103">
        <v>0.93490804699999996</v>
      </c>
      <c r="T107" s="559"/>
      <c r="V107" s="205"/>
      <c r="Z107" s="561"/>
    </row>
    <row r="108" spans="1:26" ht="18.95" customHeight="1">
      <c r="A108" s="558"/>
      <c r="B108" s="38"/>
      <c r="C108" s="416" t="s">
        <v>3342</v>
      </c>
      <c r="D108" s="417" t="s">
        <v>3343</v>
      </c>
      <c r="E108" s="25">
        <v>1</v>
      </c>
      <c r="F108" s="1188" t="s">
        <v>349</v>
      </c>
      <c r="G108" s="25">
        <v>0</v>
      </c>
      <c r="H108" s="25"/>
      <c r="I108" s="30">
        <f t="shared" si="19"/>
        <v>0</v>
      </c>
      <c r="J108" s="72">
        <v>5000</v>
      </c>
      <c r="K108" s="72">
        <f t="shared" si="15"/>
        <v>4674.5402349999995</v>
      </c>
      <c r="L108" s="72">
        <f t="shared" si="16"/>
        <v>4674.5402349999995</v>
      </c>
      <c r="M108" s="72">
        <f t="shared" si="20"/>
        <v>4674.5402349999995</v>
      </c>
      <c r="N108" s="26"/>
      <c r="O108" s="103">
        <v>0.93490804699999996</v>
      </c>
      <c r="T108" s="559"/>
      <c r="V108" s="205"/>
      <c r="Z108" s="561"/>
    </row>
    <row r="109" spans="1:26" ht="18.95" customHeight="1">
      <c r="A109" s="558"/>
      <c r="B109" s="38"/>
      <c r="C109" s="416" t="s">
        <v>3344</v>
      </c>
      <c r="D109" s="417" t="s">
        <v>3345</v>
      </c>
      <c r="E109" s="25">
        <v>1</v>
      </c>
      <c r="F109" s="1188" t="s">
        <v>349</v>
      </c>
      <c r="G109" s="25">
        <v>0</v>
      </c>
      <c r="H109" s="25"/>
      <c r="I109" s="30">
        <f t="shared" si="19"/>
        <v>0</v>
      </c>
      <c r="J109" s="72">
        <v>5000</v>
      </c>
      <c r="K109" s="72">
        <f t="shared" si="15"/>
        <v>4674.5402349999995</v>
      </c>
      <c r="L109" s="72">
        <f t="shared" si="16"/>
        <v>4674.5402349999995</v>
      </c>
      <c r="M109" s="72">
        <f t="shared" si="20"/>
        <v>4674.5402349999995</v>
      </c>
      <c r="N109" s="26"/>
      <c r="O109" s="103">
        <v>0.93490804699999996</v>
      </c>
      <c r="T109" s="559"/>
      <c r="V109" s="205"/>
      <c r="Z109" s="561"/>
    </row>
    <row r="110" spans="1:26" ht="18.95" customHeight="1">
      <c r="A110" s="558"/>
      <c r="B110" s="38"/>
      <c r="C110" s="416" t="s">
        <v>3346</v>
      </c>
      <c r="D110" s="417" t="s">
        <v>3347</v>
      </c>
      <c r="E110" s="25">
        <v>1</v>
      </c>
      <c r="F110" s="1188" t="s">
        <v>349</v>
      </c>
      <c r="G110" s="25">
        <v>0</v>
      </c>
      <c r="H110" s="25"/>
      <c r="I110" s="30">
        <f t="shared" si="19"/>
        <v>0</v>
      </c>
      <c r="J110" s="72">
        <v>5000</v>
      </c>
      <c r="K110" s="72">
        <f t="shared" si="15"/>
        <v>4674.5402349999995</v>
      </c>
      <c r="L110" s="72">
        <f t="shared" si="16"/>
        <v>4674.5402349999995</v>
      </c>
      <c r="M110" s="72">
        <f t="shared" si="20"/>
        <v>4674.5402349999995</v>
      </c>
      <c r="N110" s="26"/>
      <c r="O110" s="103">
        <v>0.93490804699999996</v>
      </c>
      <c r="T110" s="559"/>
      <c r="V110" s="205"/>
      <c r="Z110" s="561"/>
    </row>
    <row r="111" spans="1:26" ht="18.95" customHeight="1">
      <c r="A111" s="558"/>
      <c r="B111" s="38"/>
      <c r="C111" s="416" t="s">
        <v>3348</v>
      </c>
      <c r="D111" s="417" t="s">
        <v>3349</v>
      </c>
      <c r="E111" s="25">
        <v>1</v>
      </c>
      <c r="F111" s="1188" t="s">
        <v>349</v>
      </c>
      <c r="G111" s="25">
        <v>0</v>
      </c>
      <c r="H111" s="25"/>
      <c r="I111" s="30">
        <f t="shared" si="19"/>
        <v>0</v>
      </c>
      <c r="J111" s="72">
        <v>5000</v>
      </c>
      <c r="K111" s="72">
        <f t="shared" si="15"/>
        <v>4674.5402349999995</v>
      </c>
      <c r="L111" s="72">
        <f t="shared" si="16"/>
        <v>4674.5402349999995</v>
      </c>
      <c r="M111" s="72">
        <f t="shared" si="20"/>
        <v>4674.5402349999995</v>
      </c>
      <c r="N111" s="26"/>
      <c r="O111" s="103">
        <v>0.93490804699999996</v>
      </c>
      <c r="T111" s="559"/>
      <c r="V111" s="205"/>
      <c r="Z111" s="561"/>
    </row>
    <row r="112" spans="1:26" ht="18.95" customHeight="1">
      <c r="A112" s="558"/>
      <c r="B112" s="38"/>
      <c r="C112" s="416" t="s">
        <v>3350</v>
      </c>
      <c r="D112" s="417" t="s">
        <v>3347</v>
      </c>
      <c r="E112" s="25">
        <v>1</v>
      </c>
      <c r="F112" s="1188" t="s">
        <v>349</v>
      </c>
      <c r="G112" s="25">
        <v>0</v>
      </c>
      <c r="H112" s="25"/>
      <c r="I112" s="30">
        <f t="shared" si="19"/>
        <v>0</v>
      </c>
      <c r="J112" s="72">
        <v>5000</v>
      </c>
      <c r="K112" s="72">
        <f t="shared" si="15"/>
        <v>4674.5402349999995</v>
      </c>
      <c r="L112" s="72">
        <f t="shared" si="16"/>
        <v>4674.5402349999995</v>
      </c>
      <c r="M112" s="72">
        <f t="shared" si="20"/>
        <v>4674.5402349999995</v>
      </c>
      <c r="N112" s="26"/>
      <c r="O112" s="103">
        <v>0.93490804699999996</v>
      </c>
      <c r="T112" s="559"/>
      <c r="V112" s="205"/>
      <c r="Z112" s="561"/>
    </row>
    <row r="113" spans="1:26" ht="18.95" customHeight="1">
      <c r="A113" s="558"/>
      <c r="B113" s="38"/>
      <c r="C113" s="416" t="s">
        <v>3351</v>
      </c>
      <c r="D113" s="417" t="s">
        <v>3341</v>
      </c>
      <c r="E113" s="25">
        <v>1</v>
      </c>
      <c r="F113" s="1188" t="s">
        <v>349</v>
      </c>
      <c r="G113" s="25">
        <v>0</v>
      </c>
      <c r="H113" s="25"/>
      <c r="I113" s="30">
        <f t="shared" si="19"/>
        <v>0</v>
      </c>
      <c r="J113" s="72">
        <v>5000</v>
      </c>
      <c r="K113" s="72">
        <f t="shared" si="15"/>
        <v>4674.5402349999995</v>
      </c>
      <c r="L113" s="72">
        <f t="shared" si="16"/>
        <v>4674.5402349999995</v>
      </c>
      <c r="M113" s="72">
        <f t="shared" si="20"/>
        <v>4674.5402349999995</v>
      </c>
      <c r="N113" s="26"/>
      <c r="O113" s="103">
        <v>0.93490804699999996</v>
      </c>
      <c r="T113" s="559"/>
      <c r="V113" s="205"/>
      <c r="Z113" s="561"/>
    </row>
    <row r="114" spans="1:26" ht="18.95" customHeight="1">
      <c r="A114" s="558"/>
      <c r="B114" s="38"/>
      <c r="C114" s="416" t="s">
        <v>3352</v>
      </c>
      <c r="D114" s="417" t="s">
        <v>3353</v>
      </c>
      <c r="E114" s="25">
        <v>1</v>
      </c>
      <c r="F114" s="1188" t="s">
        <v>349</v>
      </c>
      <c r="G114" s="25">
        <v>0</v>
      </c>
      <c r="H114" s="25"/>
      <c r="I114" s="30">
        <f t="shared" si="19"/>
        <v>0</v>
      </c>
      <c r="J114" s="72">
        <v>5000</v>
      </c>
      <c r="K114" s="72">
        <f t="shared" si="15"/>
        <v>4674.5402349999995</v>
      </c>
      <c r="L114" s="72">
        <f t="shared" si="16"/>
        <v>4674.5402349999995</v>
      </c>
      <c r="M114" s="72">
        <f t="shared" si="20"/>
        <v>4674.5402349999995</v>
      </c>
      <c r="N114" s="26"/>
      <c r="O114" s="103">
        <v>0.93490804699999996</v>
      </c>
      <c r="T114" s="559"/>
      <c r="V114" s="205"/>
      <c r="Z114" s="561"/>
    </row>
    <row r="115" spans="1:26" ht="18.95" customHeight="1">
      <c r="A115" s="558"/>
      <c r="B115" s="38"/>
      <c r="C115" s="416" t="s">
        <v>3354</v>
      </c>
      <c r="D115" s="417" t="s">
        <v>3347</v>
      </c>
      <c r="E115" s="25">
        <v>1</v>
      </c>
      <c r="F115" s="1188" t="s">
        <v>349</v>
      </c>
      <c r="G115" s="25">
        <v>0</v>
      </c>
      <c r="H115" s="25"/>
      <c r="I115" s="30">
        <f t="shared" si="19"/>
        <v>0</v>
      </c>
      <c r="J115" s="72">
        <v>5000</v>
      </c>
      <c r="K115" s="72">
        <f t="shared" si="15"/>
        <v>4674.5402349999995</v>
      </c>
      <c r="L115" s="72">
        <f t="shared" si="16"/>
        <v>4674.5402349999995</v>
      </c>
      <c r="M115" s="72">
        <f t="shared" si="20"/>
        <v>4674.5402349999995</v>
      </c>
      <c r="N115" s="26"/>
      <c r="O115" s="103">
        <v>0.93490804699999996</v>
      </c>
      <c r="T115" s="559"/>
      <c r="V115" s="205"/>
      <c r="Z115" s="561"/>
    </row>
    <row r="116" spans="1:26" ht="18.95" customHeight="1">
      <c r="A116" s="558"/>
      <c r="B116" s="38"/>
      <c r="C116" s="416" t="s">
        <v>3355</v>
      </c>
      <c r="D116" s="417" t="s">
        <v>3353</v>
      </c>
      <c r="E116" s="25">
        <v>1</v>
      </c>
      <c r="F116" s="1188" t="s">
        <v>349</v>
      </c>
      <c r="G116" s="25">
        <v>0</v>
      </c>
      <c r="H116" s="25"/>
      <c r="I116" s="30">
        <f t="shared" si="19"/>
        <v>0</v>
      </c>
      <c r="J116" s="72">
        <v>5000</v>
      </c>
      <c r="K116" s="72">
        <f t="shared" si="15"/>
        <v>4674.5402349999995</v>
      </c>
      <c r="L116" s="72">
        <f t="shared" si="16"/>
        <v>4674.5402349999995</v>
      </c>
      <c r="M116" s="72">
        <f t="shared" si="20"/>
        <v>4674.5402349999995</v>
      </c>
      <c r="N116" s="26"/>
      <c r="O116" s="103">
        <v>0.93490804699999996</v>
      </c>
      <c r="T116" s="559"/>
      <c r="V116" s="205"/>
      <c r="Z116" s="561"/>
    </row>
    <row r="117" spans="1:26" ht="18.95" customHeight="1">
      <c r="A117" s="558"/>
      <c r="B117" s="38"/>
      <c r="C117" s="416" t="s">
        <v>3356</v>
      </c>
      <c r="D117" s="417" t="s">
        <v>3353</v>
      </c>
      <c r="E117" s="25">
        <v>1</v>
      </c>
      <c r="F117" s="1188" t="s">
        <v>349</v>
      </c>
      <c r="G117" s="25">
        <v>0</v>
      </c>
      <c r="H117" s="25"/>
      <c r="I117" s="30">
        <f t="shared" si="19"/>
        <v>0</v>
      </c>
      <c r="J117" s="72">
        <v>5000</v>
      </c>
      <c r="K117" s="72">
        <f t="shared" si="15"/>
        <v>4674.5402349999995</v>
      </c>
      <c r="L117" s="72">
        <f t="shared" si="16"/>
        <v>4674.5402349999995</v>
      </c>
      <c r="M117" s="72">
        <f t="shared" si="20"/>
        <v>4674.5402349999995</v>
      </c>
      <c r="N117" s="26"/>
      <c r="O117" s="103">
        <v>0.93490804699999996</v>
      </c>
      <c r="T117" s="559"/>
      <c r="V117" s="205"/>
      <c r="Z117" s="561"/>
    </row>
    <row r="118" spans="1:26" ht="18.95" customHeight="1">
      <c r="A118" s="558"/>
      <c r="B118" s="38"/>
      <c r="C118" s="416" t="s">
        <v>3357</v>
      </c>
      <c r="D118" s="417" t="s">
        <v>3353</v>
      </c>
      <c r="E118" s="25">
        <v>1</v>
      </c>
      <c r="F118" s="1188" t="s">
        <v>349</v>
      </c>
      <c r="G118" s="25">
        <v>0</v>
      </c>
      <c r="H118" s="25"/>
      <c r="I118" s="30">
        <f t="shared" si="19"/>
        <v>0</v>
      </c>
      <c r="J118" s="72">
        <v>5000</v>
      </c>
      <c r="K118" s="72">
        <f t="shared" si="15"/>
        <v>4674.5402349999995</v>
      </c>
      <c r="L118" s="72">
        <f t="shared" si="16"/>
        <v>4674.5402349999995</v>
      </c>
      <c r="M118" s="72">
        <f t="shared" si="20"/>
        <v>4674.5402349999995</v>
      </c>
      <c r="N118" s="26"/>
      <c r="O118" s="103">
        <v>0.93490804699999996</v>
      </c>
      <c r="T118" s="559"/>
      <c r="V118" s="205"/>
      <c r="Z118" s="561"/>
    </row>
    <row r="119" spans="1:26" ht="18.95" customHeight="1">
      <c r="A119" s="558"/>
      <c r="B119" s="38"/>
      <c r="C119" s="416" t="s">
        <v>3358</v>
      </c>
      <c r="D119" s="417" t="s">
        <v>3353</v>
      </c>
      <c r="E119" s="25">
        <v>1</v>
      </c>
      <c r="F119" s="1188" t="s">
        <v>349</v>
      </c>
      <c r="G119" s="25">
        <v>0</v>
      </c>
      <c r="H119" s="25"/>
      <c r="I119" s="30">
        <f t="shared" si="19"/>
        <v>0</v>
      </c>
      <c r="J119" s="72">
        <v>5000</v>
      </c>
      <c r="K119" s="72">
        <f t="shared" si="15"/>
        <v>4674.5402349999995</v>
      </c>
      <c r="L119" s="72">
        <f t="shared" si="16"/>
        <v>4674.5402349999995</v>
      </c>
      <c r="M119" s="72">
        <f t="shared" si="20"/>
        <v>4674.5402349999995</v>
      </c>
      <c r="N119" s="26"/>
      <c r="O119" s="103">
        <v>0.93490804699999996</v>
      </c>
      <c r="T119" s="559"/>
      <c r="V119" s="205"/>
      <c r="Z119" s="561"/>
    </row>
    <row r="120" spans="1:26" ht="18.95" customHeight="1">
      <c r="A120" s="558"/>
      <c r="B120" s="38"/>
      <c r="C120" s="416" t="s">
        <v>3359</v>
      </c>
      <c r="D120" s="417" t="s">
        <v>3353</v>
      </c>
      <c r="E120" s="25">
        <v>1</v>
      </c>
      <c r="F120" s="1188" t="s">
        <v>349</v>
      </c>
      <c r="G120" s="25">
        <v>0</v>
      </c>
      <c r="H120" s="25"/>
      <c r="I120" s="30">
        <f t="shared" si="19"/>
        <v>0</v>
      </c>
      <c r="J120" s="72">
        <v>5000</v>
      </c>
      <c r="K120" s="72">
        <f t="shared" si="15"/>
        <v>4674.5402349999995</v>
      </c>
      <c r="L120" s="72">
        <f t="shared" si="16"/>
        <v>4674.5402349999995</v>
      </c>
      <c r="M120" s="72">
        <f t="shared" si="20"/>
        <v>4674.5402349999995</v>
      </c>
      <c r="N120" s="26"/>
      <c r="O120" s="103">
        <v>0.93490804699999996</v>
      </c>
      <c r="T120" s="559"/>
      <c r="V120" s="205"/>
      <c r="Z120" s="561"/>
    </row>
    <row r="121" spans="1:26" ht="18.95" customHeight="1">
      <c r="A121" s="558"/>
      <c r="B121" s="38"/>
      <c r="C121" s="416" t="s">
        <v>3360</v>
      </c>
      <c r="D121" s="417" t="s">
        <v>3361</v>
      </c>
      <c r="E121" s="25">
        <v>1</v>
      </c>
      <c r="F121" s="1188" t="s">
        <v>349</v>
      </c>
      <c r="G121" s="25">
        <v>0</v>
      </c>
      <c r="H121" s="25"/>
      <c r="I121" s="30">
        <f t="shared" si="19"/>
        <v>0</v>
      </c>
      <c r="J121" s="72">
        <v>5000</v>
      </c>
      <c r="K121" s="72">
        <f t="shared" si="15"/>
        <v>4674.5402349999995</v>
      </c>
      <c r="L121" s="72">
        <f t="shared" si="16"/>
        <v>4674.5402349999995</v>
      </c>
      <c r="M121" s="72">
        <f t="shared" si="20"/>
        <v>4674.5402349999995</v>
      </c>
      <c r="N121" s="26"/>
      <c r="O121" s="103">
        <v>0.93490804699999996</v>
      </c>
      <c r="T121" s="559"/>
      <c r="V121" s="205"/>
      <c r="Z121" s="561"/>
    </row>
    <row r="122" spans="1:26" ht="18.95" customHeight="1">
      <c r="A122" s="558"/>
      <c r="B122" s="38"/>
      <c r="C122" s="416" t="s">
        <v>3362</v>
      </c>
      <c r="D122" s="417" t="s">
        <v>3353</v>
      </c>
      <c r="E122" s="25">
        <v>1</v>
      </c>
      <c r="F122" s="1188" t="s">
        <v>349</v>
      </c>
      <c r="G122" s="25">
        <v>0</v>
      </c>
      <c r="H122" s="25"/>
      <c r="I122" s="30">
        <f t="shared" si="19"/>
        <v>0</v>
      </c>
      <c r="J122" s="72">
        <v>5000</v>
      </c>
      <c r="K122" s="72">
        <f t="shared" si="15"/>
        <v>4674.5402349999995</v>
      </c>
      <c r="L122" s="72">
        <f t="shared" si="16"/>
        <v>4674.5402349999995</v>
      </c>
      <c r="M122" s="72">
        <f t="shared" si="20"/>
        <v>4674.5402349999995</v>
      </c>
      <c r="N122" s="26"/>
      <c r="O122" s="103">
        <v>0.93490804699999996</v>
      </c>
      <c r="T122" s="559"/>
      <c r="V122" s="205"/>
      <c r="Z122" s="561"/>
    </row>
    <row r="123" spans="1:26" ht="18.95" customHeight="1">
      <c r="A123" s="558"/>
      <c r="B123" s="38"/>
      <c r="C123" s="416" t="s">
        <v>3363</v>
      </c>
      <c r="D123" s="417" t="s">
        <v>3353</v>
      </c>
      <c r="E123" s="25">
        <v>1</v>
      </c>
      <c r="F123" s="1188" t="s">
        <v>349</v>
      </c>
      <c r="G123" s="25">
        <v>0</v>
      </c>
      <c r="H123" s="25"/>
      <c r="I123" s="30">
        <f t="shared" si="19"/>
        <v>0</v>
      </c>
      <c r="J123" s="72">
        <v>5000</v>
      </c>
      <c r="K123" s="72">
        <f t="shared" si="15"/>
        <v>4674.5402349999995</v>
      </c>
      <c r="L123" s="72">
        <f t="shared" si="16"/>
        <v>4674.5402349999995</v>
      </c>
      <c r="M123" s="72">
        <f t="shared" si="20"/>
        <v>4674.5402349999995</v>
      </c>
      <c r="N123" s="26"/>
      <c r="O123" s="103">
        <v>0.93490804699999996</v>
      </c>
      <c r="T123" s="559"/>
      <c r="V123" s="205"/>
      <c r="Z123" s="561"/>
    </row>
    <row r="124" spans="1:26" ht="18.95" customHeight="1">
      <c r="A124" s="558"/>
      <c r="B124" s="38"/>
      <c r="C124" s="416" t="s">
        <v>3364</v>
      </c>
      <c r="D124" s="417" t="s">
        <v>3365</v>
      </c>
      <c r="E124" s="25">
        <v>1</v>
      </c>
      <c r="F124" s="1188" t="s">
        <v>349</v>
      </c>
      <c r="G124" s="25">
        <v>0</v>
      </c>
      <c r="H124" s="25"/>
      <c r="I124" s="30">
        <f t="shared" si="19"/>
        <v>0</v>
      </c>
      <c r="J124" s="72">
        <v>5000</v>
      </c>
      <c r="K124" s="72">
        <f t="shared" si="15"/>
        <v>4674.5402349999995</v>
      </c>
      <c r="L124" s="72">
        <f t="shared" si="16"/>
        <v>4674.5402349999995</v>
      </c>
      <c r="M124" s="72">
        <f t="shared" si="20"/>
        <v>4674.5402349999995</v>
      </c>
      <c r="N124" s="26"/>
      <c r="O124" s="103">
        <v>0.93490804699999996</v>
      </c>
      <c r="T124" s="559"/>
      <c r="V124" s="205"/>
      <c r="Z124" s="561"/>
    </row>
    <row r="125" spans="1:26" ht="18.95" customHeight="1">
      <c r="A125" s="558"/>
      <c r="B125" s="38"/>
      <c r="C125" s="416" t="s">
        <v>3366</v>
      </c>
      <c r="D125" s="417" t="s">
        <v>3367</v>
      </c>
      <c r="E125" s="25">
        <v>1</v>
      </c>
      <c r="F125" s="1188" t="s">
        <v>349</v>
      </c>
      <c r="G125" s="25">
        <v>0</v>
      </c>
      <c r="H125" s="25"/>
      <c r="I125" s="30">
        <f t="shared" si="19"/>
        <v>0</v>
      </c>
      <c r="J125" s="72">
        <v>5000</v>
      </c>
      <c r="K125" s="72">
        <f t="shared" si="15"/>
        <v>4674.5402349999995</v>
      </c>
      <c r="L125" s="72">
        <f t="shared" si="16"/>
        <v>4674.5402349999995</v>
      </c>
      <c r="M125" s="72">
        <f t="shared" si="20"/>
        <v>4674.5402349999995</v>
      </c>
      <c r="N125" s="26"/>
      <c r="O125" s="103">
        <v>0.93490804699999996</v>
      </c>
      <c r="T125" s="559"/>
      <c r="V125" s="205"/>
      <c r="Z125" s="561"/>
    </row>
    <row r="126" spans="1:26" ht="18.95" customHeight="1">
      <c r="A126" s="558"/>
      <c r="B126" s="38"/>
      <c r="C126" s="416" t="s">
        <v>3368</v>
      </c>
      <c r="D126" s="417" t="s">
        <v>3369</v>
      </c>
      <c r="E126" s="25">
        <v>1</v>
      </c>
      <c r="F126" s="1188" t="s">
        <v>349</v>
      </c>
      <c r="G126" s="25">
        <v>0</v>
      </c>
      <c r="H126" s="25"/>
      <c r="I126" s="30">
        <f t="shared" si="19"/>
        <v>0</v>
      </c>
      <c r="J126" s="72">
        <v>5000</v>
      </c>
      <c r="K126" s="72">
        <f t="shared" si="15"/>
        <v>4674.5402349999995</v>
      </c>
      <c r="L126" s="72">
        <f t="shared" si="16"/>
        <v>4674.5402349999995</v>
      </c>
      <c r="M126" s="72">
        <f t="shared" si="20"/>
        <v>4674.5402349999995</v>
      </c>
      <c r="N126" s="26"/>
      <c r="O126" s="103">
        <v>0.93490804699999996</v>
      </c>
      <c r="T126" s="559"/>
      <c r="V126" s="205"/>
      <c r="Z126" s="561"/>
    </row>
    <row r="127" spans="1:26" ht="18.95" customHeight="1">
      <c r="A127" s="558"/>
      <c r="B127" s="38"/>
      <c r="C127" s="416" t="s">
        <v>3370</v>
      </c>
      <c r="D127" s="417" t="s">
        <v>3369</v>
      </c>
      <c r="E127" s="25">
        <v>1</v>
      </c>
      <c r="F127" s="1188" t="s">
        <v>349</v>
      </c>
      <c r="G127" s="25">
        <v>0</v>
      </c>
      <c r="H127" s="25"/>
      <c r="I127" s="30">
        <f t="shared" si="19"/>
        <v>0</v>
      </c>
      <c r="J127" s="72">
        <v>5000</v>
      </c>
      <c r="K127" s="72">
        <f t="shared" si="15"/>
        <v>4674.5402349999995</v>
      </c>
      <c r="L127" s="72">
        <f t="shared" si="16"/>
        <v>4674.5402349999995</v>
      </c>
      <c r="M127" s="72">
        <f t="shared" si="20"/>
        <v>4674.5402349999995</v>
      </c>
      <c r="N127" s="26"/>
      <c r="O127" s="103">
        <v>0.93490804699999996</v>
      </c>
      <c r="T127" s="559"/>
      <c r="V127" s="205"/>
      <c r="Z127" s="561"/>
    </row>
    <row r="128" spans="1:26" ht="18.95" customHeight="1">
      <c r="A128" s="558"/>
      <c r="B128" s="38"/>
      <c r="C128" s="416" t="s">
        <v>3371</v>
      </c>
      <c r="D128" s="417" t="s">
        <v>3372</v>
      </c>
      <c r="E128" s="25">
        <v>1</v>
      </c>
      <c r="F128" s="1188" t="s">
        <v>349</v>
      </c>
      <c r="G128" s="25">
        <v>0</v>
      </c>
      <c r="H128" s="25"/>
      <c r="I128" s="30">
        <f t="shared" si="19"/>
        <v>0</v>
      </c>
      <c r="J128" s="72">
        <v>5000</v>
      </c>
      <c r="K128" s="72">
        <f t="shared" si="15"/>
        <v>4674.5402349999995</v>
      </c>
      <c r="L128" s="72">
        <f t="shared" si="16"/>
        <v>4674.5402349999995</v>
      </c>
      <c r="M128" s="72">
        <f t="shared" si="20"/>
        <v>4674.5402349999995</v>
      </c>
      <c r="N128" s="26"/>
      <c r="O128" s="103">
        <v>0.93490804699999996</v>
      </c>
      <c r="T128" s="559"/>
      <c r="V128" s="205"/>
      <c r="Z128" s="561"/>
    </row>
    <row r="129" spans="1:30" ht="18.95" customHeight="1">
      <c r="A129" s="558"/>
      <c r="B129" s="38"/>
      <c r="C129" s="416" t="s">
        <v>3373</v>
      </c>
      <c r="D129" s="417" t="s">
        <v>3341</v>
      </c>
      <c r="E129" s="25">
        <v>1</v>
      </c>
      <c r="F129" s="1188" t="s">
        <v>349</v>
      </c>
      <c r="G129" s="25">
        <v>0</v>
      </c>
      <c r="H129" s="25"/>
      <c r="I129" s="30">
        <f t="shared" si="19"/>
        <v>0</v>
      </c>
      <c r="J129" s="72">
        <v>5000</v>
      </c>
      <c r="K129" s="72">
        <f t="shared" si="15"/>
        <v>4674.5402349999995</v>
      </c>
      <c r="L129" s="72">
        <f t="shared" si="16"/>
        <v>4674.5402349999995</v>
      </c>
      <c r="M129" s="72">
        <f t="shared" si="20"/>
        <v>4674.5402349999995</v>
      </c>
      <c r="N129" s="26"/>
      <c r="O129" s="103">
        <v>0.93490804699999996</v>
      </c>
      <c r="T129" s="559"/>
      <c r="V129" s="205"/>
      <c r="Z129" s="561"/>
    </row>
    <row r="130" spans="1:30" ht="18.95" customHeight="1">
      <c r="A130" s="558"/>
      <c r="B130" s="38"/>
      <c r="C130" s="416" t="s">
        <v>3374</v>
      </c>
      <c r="D130" s="417" t="s">
        <v>3341</v>
      </c>
      <c r="E130" s="25">
        <v>1</v>
      </c>
      <c r="F130" s="1188" t="s">
        <v>349</v>
      </c>
      <c r="G130" s="25">
        <v>0</v>
      </c>
      <c r="H130" s="25"/>
      <c r="I130" s="30">
        <f t="shared" si="19"/>
        <v>0</v>
      </c>
      <c r="J130" s="72">
        <v>5000</v>
      </c>
      <c r="K130" s="72">
        <f t="shared" si="15"/>
        <v>4674.5402349999995</v>
      </c>
      <c r="L130" s="72">
        <f t="shared" si="16"/>
        <v>4674.5402349999995</v>
      </c>
      <c r="M130" s="72">
        <f t="shared" si="20"/>
        <v>4674.5402349999995</v>
      </c>
      <c r="N130" s="26"/>
      <c r="O130" s="103">
        <v>0.93490804699999996</v>
      </c>
      <c r="T130" s="559"/>
      <c r="V130" s="205"/>
      <c r="Z130" s="561"/>
    </row>
    <row r="131" spans="1:30" ht="18.95" customHeight="1">
      <c r="A131" s="558"/>
      <c r="B131" s="38"/>
      <c r="C131" s="416" t="s">
        <v>3375</v>
      </c>
      <c r="D131" s="417" t="s">
        <v>3341</v>
      </c>
      <c r="E131" s="25">
        <v>1</v>
      </c>
      <c r="F131" s="1188" t="s">
        <v>349</v>
      </c>
      <c r="G131" s="25">
        <v>0</v>
      </c>
      <c r="H131" s="25"/>
      <c r="I131" s="30">
        <f t="shared" si="19"/>
        <v>0</v>
      </c>
      <c r="J131" s="72">
        <v>5000</v>
      </c>
      <c r="K131" s="72">
        <f t="shared" si="15"/>
        <v>4674.5402349999995</v>
      </c>
      <c r="L131" s="72">
        <f t="shared" si="16"/>
        <v>4674.5402349999995</v>
      </c>
      <c r="M131" s="72">
        <f t="shared" si="20"/>
        <v>4674.5402349999995</v>
      </c>
      <c r="N131" s="26"/>
      <c r="O131" s="103">
        <v>0.93490804699999996</v>
      </c>
      <c r="T131" s="559"/>
      <c r="V131" s="205"/>
      <c r="Z131" s="561"/>
    </row>
    <row r="132" spans="1:30" ht="18.95" customHeight="1">
      <c r="A132" s="558"/>
      <c r="B132" s="38"/>
      <c r="C132" s="416" t="s">
        <v>3376</v>
      </c>
      <c r="D132" s="417" t="s">
        <v>3341</v>
      </c>
      <c r="E132" s="25">
        <v>1</v>
      </c>
      <c r="F132" s="1188" t="s">
        <v>349</v>
      </c>
      <c r="G132" s="25">
        <v>0</v>
      </c>
      <c r="H132" s="25"/>
      <c r="I132" s="30">
        <f t="shared" si="19"/>
        <v>0</v>
      </c>
      <c r="J132" s="72">
        <v>5000</v>
      </c>
      <c r="K132" s="72">
        <f t="shared" si="15"/>
        <v>4674.5402349999995</v>
      </c>
      <c r="L132" s="72">
        <f t="shared" si="16"/>
        <v>4674.5402349999995</v>
      </c>
      <c r="M132" s="72">
        <f t="shared" si="20"/>
        <v>4674.5402349999995</v>
      </c>
      <c r="N132" s="26"/>
      <c r="O132" s="103">
        <v>0.93490804699999996</v>
      </c>
      <c r="T132" s="559"/>
      <c r="V132" s="205"/>
      <c r="Z132" s="561"/>
    </row>
    <row r="133" spans="1:30" ht="18.95" customHeight="1">
      <c r="A133" s="558"/>
      <c r="B133" s="38"/>
      <c r="C133" s="416" t="s">
        <v>3377</v>
      </c>
      <c r="D133" s="417" t="s">
        <v>3341</v>
      </c>
      <c r="E133" s="25">
        <v>1</v>
      </c>
      <c r="F133" s="1188" t="s">
        <v>349</v>
      </c>
      <c r="G133" s="25">
        <v>0</v>
      </c>
      <c r="H133" s="25"/>
      <c r="I133" s="30">
        <f t="shared" si="19"/>
        <v>0</v>
      </c>
      <c r="J133" s="72">
        <v>5000</v>
      </c>
      <c r="K133" s="72">
        <f t="shared" si="15"/>
        <v>4674.5402349999995</v>
      </c>
      <c r="L133" s="72">
        <f t="shared" si="16"/>
        <v>4674.5402349999995</v>
      </c>
      <c r="M133" s="72">
        <f t="shared" si="20"/>
        <v>4674.5402349999995</v>
      </c>
      <c r="N133" s="26"/>
      <c r="O133" s="103">
        <v>0.93490804699999996</v>
      </c>
      <c r="T133" s="559"/>
      <c r="V133" s="205"/>
      <c r="Z133" s="561"/>
    </row>
    <row r="134" spans="1:30" ht="18.95" customHeight="1">
      <c r="A134" s="558"/>
      <c r="B134" s="38"/>
      <c r="C134" s="416" t="s">
        <v>3378</v>
      </c>
      <c r="D134" s="417" t="s">
        <v>3341</v>
      </c>
      <c r="E134" s="25">
        <v>1</v>
      </c>
      <c r="F134" s="1188" t="s">
        <v>349</v>
      </c>
      <c r="G134" s="25">
        <v>0</v>
      </c>
      <c r="H134" s="25"/>
      <c r="I134" s="30">
        <f t="shared" si="19"/>
        <v>0</v>
      </c>
      <c r="J134" s="72">
        <v>5000</v>
      </c>
      <c r="K134" s="72">
        <f t="shared" si="15"/>
        <v>4674.5402349999995</v>
      </c>
      <c r="L134" s="72">
        <f t="shared" si="16"/>
        <v>4674.5402349999995</v>
      </c>
      <c r="M134" s="72">
        <f t="shared" si="20"/>
        <v>4674.5402349999995</v>
      </c>
      <c r="N134" s="26"/>
      <c r="O134" s="103">
        <v>0.93490804699999996</v>
      </c>
      <c r="T134" s="559"/>
      <c r="V134" s="205"/>
      <c r="Z134" s="561"/>
    </row>
    <row r="135" spans="1:30" ht="18.95" customHeight="1">
      <c r="A135" s="558"/>
      <c r="B135" s="38"/>
      <c r="C135" s="416" t="s">
        <v>3379</v>
      </c>
      <c r="D135" s="417" t="s">
        <v>3341</v>
      </c>
      <c r="E135" s="25">
        <v>1</v>
      </c>
      <c r="F135" s="1188" t="s">
        <v>349</v>
      </c>
      <c r="G135" s="25">
        <v>0</v>
      </c>
      <c r="H135" s="25"/>
      <c r="I135" s="30">
        <f t="shared" si="19"/>
        <v>0</v>
      </c>
      <c r="J135" s="72">
        <v>5000</v>
      </c>
      <c r="K135" s="72">
        <f t="shared" si="15"/>
        <v>4674.5402349999995</v>
      </c>
      <c r="L135" s="72">
        <f t="shared" si="16"/>
        <v>4674.5402349999995</v>
      </c>
      <c r="M135" s="72">
        <f t="shared" si="20"/>
        <v>4674.5402349999995</v>
      </c>
      <c r="N135" s="26"/>
      <c r="O135" s="103">
        <v>0.93490804699999996</v>
      </c>
      <c r="T135" s="559"/>
      <c r="V135" s="205"/>
      <c r="Z135" s="561"/>
    </row>
    <row r="136" spans="1:30" ht="18.95" customHeight="1">
      <c r="A136" s="558"/>
      <c r="B136" s="38"/>
      <c r="C136" s="416" t="s">
        <v>3380</v>
      </c>
      <c r="D136" s="417" t="s">
        <v>3381</v>
      </c>
      <c r="E136" s="25">
        <v>1</v>
      </c>
      <c r="F136" s="1188" t="s">
        <v>349</v>
      </c>
      <c r="G136" s="25">
        <v>0</v>
      </c>
      <c r="H136" s="25"/>
      <c r="I136" s="30">
        <f t="shared" si="19"/>
        <v>0</v>
      </c>
      <c r="J136" s="72">
        <v>5000</v>
      </c>
      <c r="K136" s="72">
        <f t="shared" si="15"/>
        <v>4674.5402349999995</v>
      </c>
      <c r="L136" s="72">
        <f t="shared" si="16"/>
        <v>4674.5402349999995</v>
      </c>
      <c r="M136" s="72">
        <f t="shared" si="20"/>
        <v>4674.5402349999995</v>
      </c>
      <c r="N136" s="26"/>
      <c r="O136" s="103">
        <v>0.93490804699999996</v>
      </c>
      <c r="T136" s="559"/>
      <c r="V136" s="205"/>
      <c r="Z136" s="561"/>
    </row>
    <row r="137" spans="1:30" ht="18.95" customHeight="1">
      <c r="A137" s="558"/>
      <c r="B137" s="38"/>
      <c r="C137" s="416" t="s">
        <v>3382</v>
      </c>
      <c r="D137" s="417" t="s">
        <v>3367</v>
      </c>
      <c r="E137" s="25">
        <v>1</v>
      </c>
      <c r="F137" s="1188" t="s">
        <v>349</v>
      </c>
      <c r="G137" s="25">
        <v>0</v>
      </c>
      <c r="H137" s="25"/>
      <c r="I137" s="30">
        <f t="shared" si="19"/>
        <v>0</v>
      </c>
      <c r="J137" s="72">
        <v>5000</v>
      </c>
      <c r="K137" s="72">
        <f t="shared" si="15"/>
        <v>4674.5402349999995</v>
      </c>
      <c r="L137" s="72">
        <f t="shared" si="16"/>
        <v>4674.5402349999995</v>
      </c>
      <c r="M137" s="72">
        <f t="shared" si="20"/>
        <v>4674.5402349999995</v>
      </c>
      <c r="N137" s="26"/>
      <c r="O137" s="103">
        <v>0.93490804699999996</v>
      </c>
      <c r="T137" s="559"/>
      <c r="V137" s="205"/>
      <c r="Z137" s="561"/>
    </row>
    <row r="138" spans="1:30" ht="18.95" customHeight="1">
      <c r="A138" s="558"/>
      <c r="B138" s="38"/>
      <c r="C138" s="416" t="s">
        <v>3383</v>
      </c>
      <c r="D138" s="417" t="s">
        <v>3353</v>
      </c>
      <c r="E138" s="25">
        <v>2</v>
      </c>
      <c r="F138" s="1188" t="s">
        <v>349</v>
      </c>
      <c r="G138" s="25">
        <v>0</v>
      </c>
      <c r="H138" s="25"/>
      <c r="I138" s="30">
        <f t="shared" si="19"/>
        <v>0</v>
      </c>
      <c r="J138" s="72">
        <v>5000</v>
      </c>
      <c r="K138" s="72">
        <f t="shared" si="15"/>
        <v>4674.5402349999995</v>
      </c>
      <c r="L138" s="72">
        <f t="shared" si="16"/>
        <v>9349.080469999999</v>
      </c>
      <c r="M138" s="72">
        <f t="shared" si="20"/>
        <v>9349.080469999999</v>
      </c>
      <c r="N138" s="26"/>
      <c r="O138" s="103">
        <v>0.93490804699999996</v>
      </c>
      <c r="T138" s="559"/>
      <c r="V138" s="205"/>
      <c r="Z138" s="561"/>
    </row>
    <row r="139" spans="1:30" ht="18.95" customHeight="1">
      <c r="A139" s="558"/>
      <c r="B139" s="38"/>
      <c r="C139" s="416" t="s">
        <v>3384</v>
      </c>
      <c r="D139" s="417" t="s">
        <v>3353</v>
      </c>
      <c r="E139" s="25">
        <v>2</v>
      </c>
      <c r="F139" s="1188" t="s">
        <v>349</v>
      </c>
      <c r="G139" s="25">
        <v>0</v>
      </c>
      <c r="H139" s="25"/>
      <c r="I139" s="30">
        <f t="shared" si="19"/>
        <v>0</v>
      </c>
      <c r="J139" s="72">
        <v>5000</v>
      </c>
      <c r="K139" s="72">
        <f t="shared" si="15"/>
        <v>4674.5402349999995</v>
      </c>
      <c r="L139" s="72">
        <f t="shared" si="16"/>
        <v>9349.080469999999</v>
      </c>
      <c r="M139" s="72">
        <f t="shared" si="20"/>
        <v>9349.080469999999</v>
      </c>
      <c r="N139" s="26"/>
      <c r="O139" s="103">
        <v>0.93490804699999996</v>
      </c>
      <c r="T139" s="559"/>
      <c r="V139" s="205"/>
      <c r="Z139" s="561"/>
    </row>
    <row r="140" spans="1:30" ht="18.95" customHeight="1">
      <c r="A140" s="539"/>
      <c r="B140" s="265">
        <v>1.2</v>
      </c>
      <c r="C140" s="285" t="s">
        <v>3048</v>
      </c>
      <c r="D140" s="417"/>
      <c r="E140" s="1370" t="s">
        <v>3385</v>
      </c>
      <c r="F140" s="1370"/>
      <c r="G140" s="25"/>
      <c r="H140" s="25"/>
      <c r="I140" s="72"/>
      <c r="J140" s="25"/>
      <c r="K140" s="72"/>
      <c r="L140" s="72"/>
      <c r="M140" s="72"/>
      <c r="N140" s="26"/>
      <c r="O140" s="103">
        <v>0.93490804699999996</v>
      </c>
      <c r="T140" s="559"/>
      <c r="V140" s="205"/>
      <c r="Z140" s="561"/>
    </row>
    <row r="141" spans="1:30" ht="18.95" customHeight="1">
      <c r="A141" s="280"/>
      <c r="B141" s="265">
        <v>1.3</v>
      </c>
      <c r="C141" s="285" t="s">
        <v>3049</v>
      </c>
      <c r="D141" s="417"/>
      <c r="E141" s="1370" t="s">
        <v>3386</v>
      </c>
      <c r="F141" s="1370"/>
      <c r="G141" s="72"/>
      <c r="H141" s="72"/>
      <c r="I141" s="72"/>
      <c r="J141" s="25"/>
      <c r="K141" s="72"/>
      <c r="L141" s="72"/>
      <c r="M141" s="72"/>
      <c r="N141" s="26"/>
      <c r="O141" s="103">
        <v>0.93490804699999996</v>
      </c>
      <c r="T141" s="559"/>
      <c r="V141" s="205"/>
      <c r="Z141" s="561"/>
    </row>
    <row r="142" spans="1:30" ht="18.95" customHeight="1">
      <c r="A142" s="558"/>
      <c r="B142" s="265">
        <v>1.4</v>
      </c>
      <c r="C142" s="285" t="s">
        <v>3050</v>
      </c>
      <c r="D142" s="267"/>
      <c r="E142" s="1370" t="s">
        <v>3387</v>
      </c>
      <c r="F142" s="1370"/>
      <c r="G142" s="72"/>
      <c r="H142" s="72"/>
      <c r="I142" s="72"/>
      <c r="J142" s="25"/>
      <c r="K142" s="72"/>
      <c r="L142" s="72"/>
      <c r="M142" s="72"/>
      <c r="N142" s="26"/>
      <c r="O142" s="103">
        <v>0.93490804699999996</v>
      </c>
      <c r="T142" s="559"/>
      <c r="V142" s="205"/>
      <c r="Z142" s="561"/>
    </row>
    <row r="143" spans="1:30" ht="18.95" customHeight="1">
      <c r="A143" s="539"/>
      <c r="B143" s="1275" t="s">
        <v>2004</v>
      </c>
      <c r="C143" s="1276"/>
      <c r="D143" s="1277"/>
      <c r="E143" s="34"/>
      <c r="F143" s="35"/>
      <c r="G143" s="34"/>
      <c r="H143" s="34"/>
      <c r="I143" s="34">
        <f>SUM(I34:I142)</f>
        <v>0</v>
      </c>
      <c r="J143" s="34"/>
      <c r="K143" s="72"/>
      <c r="L143" s="34">
        <f>SUM(L34:L142)</f>
        <v>636859.36161639937</v>
      </c>
      <c r="M143" s="34">
        <f>I143+L143</f>
        <v>636859.36161639937</v>
      </c>
      <c r="N143" s="35"/>
      <c r="O143" s="103">
        <v>0.93490804699999996</v>
      </c>
      <c r="T143" s="559"/>
      <c r="V143" s="205"/>
      <c r="Z143" s="561"/>
    </row>
    <row r="144" spans="1:30" ht="18.95" customHeight="1">
      <c r="A144" s="539"/>
      <c r="B144" s="256"/>
      <c r="C144" s="257"/>
      <c r="D144" s="258"/>
      <c r="E144" s="34"/>
      <c r="F144" s="35"/>
      <c r="G144" s="34"/>
      <c r="H144" s="34"/>
      <c r="I144" s="34"/>
      <c r="J144" s="34"/>
      <c r="K144" s="72"/>
      <c r="L144" s="34"/>
      <c r="M144" s="34"/>
      <c r="N144" s="35"/>
      <c r="O144" s="103">
        <v>0.93490804699999996</v>
      </c>
      <c r="S144" s="1375"/>
      <c r="T144" s="1371"/>
      <c r="U144" s="1371"/>
      <c r="V144" s="1371"/>
      <c r="W144" s="1371"/>
      <c r="X144" s="1371"/>
      <c r="Z144" s="1371"/>
      <c r="AA144" s="1371"/>
      <c r="AB144" s="1371"/>
      <c r="AC144" s="1371"/>
      <c r="AD144" s="1371"/>
    </row>
    <row r="145" spans="1:30" ht="18.95" customHeight="1">
      <c r="A145" s="224">
        <v>2</v>
      </c>
      <c r="B145" s="562" t="s">
        <v>3227</v>
      </c>
      <c r="C145" s="221"/>
      <c r="D145" s="267"/>
      <c r="E145" s="25">
        <v>234</v>
      </c>
      <c r="F145" s="26"/>
      <c r="G145" s="72"/>
      <c r="H145" s="72"/>
      <c r="I145" s="72"/>
      <c r="J145" s="25"/>
      <c r="K145" s="72"/>
      <c r="L145" s="72"/>
      <c r="M145" s="26"/>
      <c r="N145" s="26"/>
      <c r="O145" s="103">
        <v>0.93490804699999996</v>
      </c>
      <c r="P145" s="1286"/>
      <c r="Q145" s="1286"/>
      <c r="S145" s="1375"/>
      <c r="T145" s="1372"/>
      <c r="U145" s="1372"/>
      <c r="V145" s="1371"/>
      <c r="W145" s="1371"/>
      <c r="X145" s="1377"/>
      <c r="Z145" s="1373"/>
      <c r="AA145" s="1374"/>
      <c r="AB145" s="1371"/>
      <c r="AC145" s="1371"/>
      <c r="AD145" s="1377"/>
    </row>
    <row r="146" spans="1:30" ht="18.95" customHeight="1">
      <c r="A146" s="207"/>
      <c r="B146" s="265">
        <v>2.1</v>
      </c>
      <c r="C146" s="563" t="s">
        <v>3227</v>
      </c>
      <c r="D146" s="24"/>
      <c r="E146" s="25"/>
      <c r="F146" s="26"/>
      <c r="G146" s="72"/>
      <c r="H146" s="72"/>
      <c r="I146" s="72"/>
      <c r="J146" s="25"/>
      <c r="K146" s="72"/>
      <c r="L146" s="72"/>
      <c r="M146" s="26"/>
      <c r="N146" s="26"/>
      <c r="O146" s="103">
        <v>0.93490804699999996</v>
      </c>
      <c r="P146" s="1286"/>
      <c r="Q146" s="1286"/>
      <c r="S146" s="1375"/>
      <c r="T146" s="1376"/>
      <c r="U146" s="1372"/>
      <c r="V146" s="1371"/>
      <c r="W146" s="1371"/>
      <c r="X146" s="1378"/>
      <c r="Z146" s="1379"/>
      <c r="AA146" s="1381"/>
      <c r="AB146" s="1371"/>
      <c r="AC146" s="1371"/>
      <c r="AD146" s="1378"/>
    </row>
    <row r="147" spans="1:30" ht="18.95" customHeight="1">
      <c r="A147" s="558"/>
      <c r="B147" s="436" t="s">
        <v>3235</v>
      </c>
      <c r="C147" s="416"/>
      <c r="D147" s="267"/>
      <c r="E147" s="25"/>
      <c r="F147" s="26"/>
      <c r="G147" s="25"/>
      <c r="H147" s="25"/>
      <c r="I147" s="30"/>
      <c r="J147" s="72"/>
      <c r="K147" s="72"/>
      <c r="L147" s="72"/>
      <c r="M147" s="72"/>
      <c r="N147" s="26"/>
      <c r="O147" s="103">
        <v>0.93490804699999996</v>
      </c>
      <c r="S147" s="1375"/>
      <c r="T147" s="1376"/>
      <c r="U147" s="1372"/>
      <c r="V147" s="1371"/>
      <c r="W147" s="1371"/>
      <c r="X147" s="1378"/>
      <c r="Z147" s="1380"/>
      <c r="AA147" s="1382"/>
      <c r="AB147" s="1371"/>
      <c r="AC147" s="1371"/>
      <c r="AD147" s="1378"/>
    </row>
    <row r="148" spans="1:30" ht="18.95" customHeight="1">
      <c r="A148" s="558"/>
      <c r="B148" s="352"/>
      <c r="C148" s="416" t="s">
        <v>3388</v>
      </c>
      <c r="D148" s="24" t="s">
        <v>3389</v>
      </c>
      <c r="E148" s="25">
        <v>1</v>
      </c>
      <c r="F148" s="1188" t="s">
        <v>349</v>
      </c>
      <c r="G148" s="25">
        <v>550164</v>
      </c>
      <c r="H148" s="25">
        <f>G148*O148</f>
        <v>514352.75076970796</v>
      </c>
      <c r="I148" s="30">
        <f>E148*H148</f>
        <v>514352.75076970796</v>
      </c>
      <c r="J148" s="72">
        <v>500</v>
      </c>
      <c r="K148" s="72">
        <f t="shared" si="15"/>
        <v>467.45402350000001</v>
      </c>
      <c r="L148" s="72">
        <f t="shared" ref="L148:L167" si="21">E148*K148</f>
        <v>467.45402350000001</v>
      </c>
      <c r="M148" s="72">
        <f t="shared" ref="M148:M158" si="22">I148+L148</f>
        <v>514820.20479320793</v>
      </c>
      <c r="N148" s="30"/>
      <c r="O148" s="103">
        <v>0.93490804699999996</v>
      </c>
      <c r="R148" s="205"/>
      <c r="S148" s="423"/>
      <c r="T148" s="433"/>
      <c r="U148" s="422"/>
      <c r="V148" s="423"/>
      <c r="W148" s="423"/>
      <c r="X148" s="427"/>
      <c r="Z148" s="426"/>
      <c r="AA148" s="422"/>
      <c r="AB148" s="423"/>
      <c r="AC148" s="423"/>
      <c r="AD148" s="427"/>
    </row>
    <row r="149" spans="1:30" ht="18.95" customHeight="1">
      <c r="A149" s="558"/>
      <c r="B149" s="352"/>
      <c r="C149" s="416" t="s">
        <v>3390</v>
      </c>
      <c r="D149" s="24" t="s">
        <v>3391</v>
      </c>
      <c r="E149" s="25">
        <v>1</v>
      </c>
      <c r="F149" s="1188" t="s">
        <v>349</v>
      </c>
      <c r="G149" s="25">
        <v>70428</v>
      </c>
      <c r="H149" s="25">
        <f t="shared" ref="H149:H212" si="23">G149*O149</f>
        <v>65843.703934115998</v>
      </c>
      <c r="I149" s="30">
        <f t="shared" ref="I149:I167" si="24">E149*H149</f>
        <v>65843.703934115998</v>
      </c>
      <c r="J149" s="72">
        <v>500</v>
      </c>
      <c r="K149" s="72">
        <f t="shared" si="15"/>
        <v>467.45402350000001</v>
      </c>
      <c r="L149" s="72">
        <f t="shared" si="21"/>
        <v>467.45402350000001</v>
      </c>
      <c r="M149" s="72">
        <f t="shared" si="22"/>
        <v>66311.157957616</v>
      </c>
      <c r="N149" s="30"/>
      <c r="O149" s="103">
        <v>0.93490804699999996</v>
      </c>
      <c r="R149" s="205"/>
      <c r="S149" s="423"/>
      <c r="T149" s="426"/>
      <c r="U149" s="422"/>
      <c r="V149" s="423"/>
      <c r="W149" s="423"/>
      <c r="X149" s="427"/>
      <c r="Z149" s="426"/>
      <c r="AA149" s="422"/>
      <c r="AB149" s="423"/>
      <c r="AC149" s="423"/>
      <c r="AD149" s="427"/>
    </row>
    <row r="150" spans="1:30" ht="18.95" customHeight="1">
      <c r="A150" s="558"/>
      <c r="B150" s="352"/>
      <c r="C150" s="416" t="s">
        <v>3392</v>
      </c>
      <c r="D150" s="24" t="s">
        <v>3393</v>
      </c>
      <c r="E150" s="25">
        <v>1</v>
      </c>
      <c r="F150" s="1188" t="s">
        <v>349</v>
      </c>
      <c r="G150" s="25">
        <v>2724</v>
      </c>
      <c r="H150" s="25">
        <f t="shared" si="23"/>
        <v>2546.6895200280001</v>
      </c>
      <c r="I150" s="30">
        <f t="shared" si="24"/>
        <v>2546.6895200280001</v>
      </c>
      <c r="J150" s="72">
        <v>500</v>
      </c>
      <c r="K150" s="72">
        <f t="shared" si="15"/>
        <v>467.45402350000001</v>
      </c>
      <c r="L150" s="72">
        <f t="shared" si="21"/>
        <v>467.45402350000001</v>
      </c>
      <c r="M150" s="72">
        <f t="shared" si="22"/>
        <v>3014.143543528</v>
      </c>
      <c r="N150" s="30"/>
      <c r="O150" s="103">
        <v>0.93490804699999996</v>
      </c>
      <c r="R150" s="205"/>
      <c r="S150" s="423"/>
      <c r="T150" s="426"/>
      <c r="U150" s="422"/>
      <c r="V150" s="423"/>
      <c r="W150" s="423"/>
      <c r="X150" s="427"/>
      <c r="Z150" s="426"/>
      <c r="AA150" s="422"/>
      <c r="AB150" s="423"/>
      <c r="AC150" s="423"/>
      <c r="AD150" s="427"/>
    </row>
    <row r="151" spans="1:30" ht="18.95" customHeight="1">
      <c r="A151" s="558"/>
      <c r="B151" s="352"/>
      <c r="C151" s="416" t="s">
        <v>3394</v>
      </c>
      <c r="D151" s="24" t="s">
        <v>3391</v>
      </c>
      <c r="E151" s="25">
        <v>1</v>
      </c>
      <c r="F151" s="1188" t="s">
        <v>349</v>
      </c>
      <c r="G151" s="25">
        <v>27949</v>
      </c>
      <c r="H151" s="25">
        <f t="shared" si="23"/>
        <v>26129.745005602999</v>
      </c>
      <c r="I151" s="30">
        <f t="shared" si="24"/>
        <v>26129.745005602999</v>
      </c>
      <c r="J151" s="72">
        <v>500</v>
      </c>
      <c r="K151" s="72">
        <f t="shared" si="15"/>
        <v>467.45402350000001</v>
      </c>
      <c r="L151" s="72">
        <f t="shared" si="21"/>
        <v>467.45402350000001</v>
      </c>
      <c r="M151" s="72">
        <f t="shared" si="22"/>
        <v>26597.199029102998</v>
      </c>
      <c r="N151" s="30"/>
      <c r="O151" s="103">
        <v>0.93490804699999996</v>
      </c>
      <c r="R151" s="205"/>
      <c r="S151" s="423"/>
      <c r="T151" s="426"/>
      <c r="U151" s="422"/>
      <c r="V151" s="423"/>
      <c r="W151" s="423"/>
      <c r="X151" s="427"/>
      <c r="Z151" s="426"/>
      <c r="AA151" s="422"/>
      <c r="AB151" s="423"/>
      <c r="AC151" s="423"/>
      <c r="AD151" s="427"/>
    </row>
    <row r="152" spans="1:30" ht="18.95" customHeight="1">
      <c r="A152" s="558"/>
      <c r="B152" s="352"/>
      <c r="C152" s="416" t="s">
        <v>3395</v>
      </c>
      <c r="D152" s="24" t="s">
        <v>3391</v>
      </c>
      <c r="E152" s="25">
        <v>1</v>
      </c>
      <c r="F152" s="1188" t="s">
        <v>349</v>
      </c>
      <c r="G152" s="25">
        <v>70428</v>
      </c>
      <c r="H152" s="25">
        <f t="shared" si="23"/>
        <v>65843.703934115998</v>
      </c>
      <c r="I152" s="30">
        <f t="shared" si="24"/>
        <v>65843.703934115998</v>
      </c>
      <c r="J152" s="72">
        <v>500</v>
      </c>
      <c r="K152" s="72">
        <f t="shared" si="15"/>
        <v>467.45402350000001</v>
      </c>
      <c r="L152" s="72">
        <f t="shared" si="21"/>
        <v>467.45402350000001</v>
      </c>
      <c r="M152" s="72">
        <f t="shared" si="22"/>
        <v>66311.157957616</v>
      </c>
      <c r="N152" s="30"/>
      <c r="O152" s="103">
        <v>0.93490804699999996</v>
      </c>
      <c r="R152" s="205"/>
      <c r="S152" s="423"/>
      <c r="T152" s="426"/>
      <c r="U152" s="422"/>
      <c r="V152" s="423"/>
      <c r="W152" s="423"/>
      <c r="X152" s="427"/>
      <c r="Z152" s="426"/>
      <c r="AA152" s="422"/>
      <c r="AB152" s="423"/>
      <c r="AC152" s="423"/>
      <c r="AD152" s="427"/>
    </row>
    <row r="153" spans="1:30" ht="18.95" customHeight="1">
      <c r="A153" s="558"/>
      <c r="B153" s="352"/>
      <c r="C153" s="416" t="s">
        <v>3396</v>
      </c>
      <c r="D153" s="49"/>
      <c r="E153" s="25"/>
      <c r="F153" s="26"/>
      <c r="G153" s="25"/>
      <c r="H153" s="25"/>
      <c r="I153" s="30"/>
      <c r="J153" s="72"/>
      <c r="K153" s="72"/>
      <c r="L153" s="72"/>
      <c r="M153" s="72"/>
      <c r="N153" s="26"/>
      <c r="O153" s="103">
        <v>0.93490804699999996</v>
      </c>
      <c r="R153" s="205"/>
      <c r="S153" s="423"/>
      <c r="T153" s="426"/>
      <c r="U153" s="422"/>
      <c r="V153" s="423"/>
      <c r="W153" s="423"/>
      <c r="X153" s="427"/>
      <c r="Z153" s="426"/>
      <c r="AA153" s="422"/>
      <c r="AB153" s="423"/>
      <c r="AC153" s="423"/>
      <c r="AD153" s="427"/>
    </row>
    <row r="154" spans="1:30" ht="18.95" customHeight="1">
      <c r="A154" s="558"/>
      <c r="B154" s="352"/>
      <c r="C154" s="416" t="s">
        <v>3397</v>
      </c>
      <c r="D154" s="49"/>
      <c r="E154" s="25"/>
      <c r="F154" s="26"/>
      <c r="G154" s="25"/>
      <c r="H154" s="25"/>
      <c r="I154" s="30"/>
      <c r="J154" s="72"/>
      <c r="K154" s="72"/>
      <c r="L154" s="72"/>
      <c r="M154" s="72"/>
      <c r="N154" s="26"/>
      <c r="O154" s="103">
        <v>0.93490804699999996</v>
      </c>
      <c r="R154" s="205"/>
      <c r="S154" s="423"/>
      <c r="T154" s="426"/>
      <c r="U154" s="422"/>
      <c r="V154" s="423"/>
      <c r="W154" s="423"/>
      <c r="X154" s="427"/>
      <c r="Z154" s="426"/>
      <c r="AA154" s="422"/>
      <c r="AB154" s="423"/>
      <c r="AC154" s="423"/>
      <c r="AD154" s="427"/>
    </row>
    <row r="155" spans="1:30" ht="18.95" customHeight="1">
      <c r="A155" s="558"/>
      <c r="B155" s="352"/>
      <c r="C155" s="416" t="s">
        <v>3398</v>
      </c>
      <c r="D155" s="24" t="s">
        <v>3393</v>
      </c>
      <c r="E155" s="25">
        <v>1</v>
      </c>
      <c r="F155" s="1188" t="s">
        <v>349</v>
      </c>
      <c r="G155" s="25">
        <v>2724</v>
      </c>
      <c r="H155" s="25">
        <f t="shared" si="23"/>
        <v>2546.6895200280001</v>
      </c>
      <c r="I155" s="30">
        <f t="shared" si="24"/>
        <v>2546.6895200280001</v>
      </c>
      <c r="J155" s="72">
        <v>500</v>
      </c>
      <c r="K155" s="72">
        <f t="shared" si="15"/>
        <v>467.45402350000001</v>
      </c>
      <c r="L155" s="72">
        <f t="shared" si="21"/>
        <v>467.45402350000001</v>
      </c>
      <c r="M155" s="72">
        <f t="shared" si="22"/>
        <v>3014.143543528</v>
      </c>
      <c r="N155" s="30"/>
      <c r="O155" s="103">
        <v>0.93490804699999996</v>
      </c>
      <c r="R155" s="205"/>
      <c r="S155" s="423"/>
      <c r="T155" s="426"/>
      <c r="U155" s="422"/>
      <c r="V155" s="423"/>
      <c r="W155" s="423"/>
      <c r="X155" s="427"/>
      <c r="Z155" s="426"/>
      <c r="AA155" s="422"/>
      <c r="AB155" s="423"/>
      <c r="AC155" s="423"/>
      <c r="AD155" s="427"/>
    </row>
    <row r="156" spans="1:30" ht="18.95" customHeight="1">
      <c r="A156" s="558"/>
      <c r="B156" s="352"/>
      <c r="C156" s="416" t="s">
        <v>3399</v>
      </c>
      <c r="D156" s="24" t="s">
        <v>3400</v>
      </c>
      <c r="E156" s="25">
        <v>1</v>
      </c>
      <c r="F156" s="1188" t="s">
        <v>349</v>
      </c>
      <c r="G156" s="25">
        <v>65680</v>
      </c>
      <c r="H156" s="25">
        <f t="shared" si="23"/>
        <v>61404.760526959995</v>
      </c>
      <c r="I156" s="30">
        <f t="shared" si="24"/>
        <v>61404.760526959995</v>
      </c>
      <c r="J156" s="72">
        <v>500</v>
      </c>
      <c r="K156" s="72">
        <f t="shared" si="15"/>
        <v>467.45402350000001</v>
      </c>
      <c r="L156" s="72">
        <f t="shared" si="21"/>
        <v>467.45402350000001</v>
      </c>
      <c r="M156" s="72">
        <f t="shared" si="22"/>
        <v>61872.214550459998</v>
      </c>
      <c r="N156" s="30"/>
      <c r="O156" s="103">
        <v>0.93490804699999996</v>
      </c>
      <c r="R156" s="205"/>
      <c r="S156" s="423"/>
      <c r="T156" s="426"/>
      <c r="U156" s="422"/>
      <c r="V156" s="423"/>
      <c r="W156" s="423"/>
      <c r="X156" s="427"/>
      <c r="Z156" s="426"/>
      <c r="AA156" s="422"/>
      <c r="AB156" s="423"/>
      <c r="AC156" s="423"/>
      <c r="AD156" s="427"/>
    </row>
    <row r="157" spans="1:30" ht="18.95" customHeight="1">
      <c r="A157" s="558"/>
      <c r="B157" s="352"/>
      <c r="C157" s="416" t="s">
        <v>3401</v>
      </c>
      <c r="D157" s="24" t="s">
        <v>3391</v>
      </c>
      <c r="E157" s="25">
        <v>1</v>
      </c>
      <c r="F157" s="1188" t="s">
        <v>349</v>
      </c>
      <c r="G157" s="25">
        <v>36915</v>
      </c>
      <c r="H157" s="25">
        <f t="shared" si="23"/>
        <v>34512.130555005002</v>
      </c>
      <c r="I157" s="30">
        <f t="shared" si="24"/>
        <v>34512.130555005002</v>
      </c>
      <c r="J157" s="72">
        <v>500</v>
      </c>
      <c r="K157" s="72">
        <f t="shared" si="15"/>
        <v>467.45402350000001</v>
      </c>
      <c r="L157" s="72">
        <f t="shared" si="21"/>
        <v>467.45402350000001</v>
      </c>
      <c r="M157" s="72">
        <f t="shared" si="22"/>
        <v>34979.584578505004</v>
      </c>
      <c r="N157" s="30"/>
      <c r="O157" s="103">
        <v>0.93490804699999996</v>
      </c>
      <c r="R157" s="205"/>
      <c r="S157" s="423"/>
      <c r="T157" s="426"/>
      <c r="U157" s="422"/>
      <c r="V157" s="423"/>
      <c r="W157" s="423"/>
      <c r="X157" s="427"/>
      <c r="Z157" s="426"/>
      <c r="AA157" s="422"/>
      <c r="AB157" s="423"/>
      <c r="AC157" s="423"/>
      <c r="AD157" s="427"/>
    </row>
    <row r="158" spans="1:30" ht="18.95" customHeight="1">
      <c r="A158" s="558"/>
      <c r="B158" s="352"/>
      <c r="C158" s="416" t="s">
        <v>3402</v>
      </c>
      <c r="D158" s="24" t="s">
        <v>3403</v>
      </c>
      <c r="E158" s="25">
        <v>6</v>
      </c>
      <c r="F158" s="1188" t="s">
        <v>349</v>
      </c>
      <c r="G158" s="25">
        <v>58955</v>
      </c>
      <c r="H158" s="25">
        <f t="shared" si="23"/>
        <v>55117.503910884996</v>
      </c>
      <c r="I158" s="30">
        <f t="shared" si="24"/>
        <v>330705.02346530999</v>
      </c>
      <c r="J158" s="72">
        <v>500</v>
      </c>
      <c r="K158" s="72">
        <f t="shared" si="15"/>
        <v>467.45402350000001</v>
      </c>
      <c r="L158" s="72">
        <f t="shared" si="21"/>
        <v>2804.7241410000001</v>
      </c>
      <c r="M158" s="72">
        <f t="shared" si="22"/>
        <v>333509.74760631</v>
      </c>
      <c r="N158" s="30"/>
      <c r="O158" s="103">
        <v>0.93490804699999996</v>
      </c>
      <c r="R158" s="205"/>
      <c r="S158" s="423"/>
      <c r="T158" s="426"/>
      <c r="U158" s="422"/>
      <c r="V158" s="423"/>
      <c r="W158" s="423"/>
      <c r="X158" s="427"/>
      <c r="Z158" s="426"/>
      <c r="AA158" s="422"/>
      <c r="AB158" s="423"/>
      <c r="AC158" s="423"/>
      <c r="AD158" s="427"/>
    </row>
    <row r="159" spans="1:30" ht="18.95" customHeight="1">
      <c r="A159" s="558"/>
      <c r="B159" s="352" t="s">
        <v>3270</v>
      </c>
      <c r="C159" s="416"/>
      <c r="D159" s="267"/>
      <c r="E159" s="25"/>
      <c r="F159" s="26"/>
      <c r="G159" s="25"/>
      <c r="H159" s="25"/>
      <c r="I159" s="30"/>
      <c r="J159" s="72"/>
      <c r="K159" s="72"/>
      <c r="L159" s="72"/>
      <c r="M159" s="72"/>
      <c r="N159" s="26"/>
      <c r="O159" s="103">
        <v>0.93490804699999996</v>
      </c>
      <c r="R159" s="205"/>
      <c r="S159" s="423"/>
      <c r="T159" s="426"/>
      <c r="U159" s="422"/>
      <c r="V159" s="423"/>
      <c r="W159" s="423"/>
      <c r="X159" s="427"/>
      <c r="Z159" s="426"/>
      <c r="AA159" s="422"/>
      <c r="AB159" s="423"/>
      <c r="AC159" s="423"/>
      <c r="AD159" s="427"/>
    </row>
    <row r="160" spans="1:30" ht="18.95" customHeight="1">
      <c r="A160" s="558"/>
      <c r="B160" s="352"/>
      <c r="C160" s="416" t="s">
        <v>3404</v>
      </c>
      <c r="D160" s="417" t="s">
        <v>3405</v>
      </c>
      <c r="E160" s="25">
        <v>1</v>
      </c>
      <c r="F160" s="1188" t="s">
        <v>349</v>
      </c>
      <c r="G160" s="25">
        <v>9088</v>
      </c>
      <c r="H160" s="25">
        <f t="shared" si="23"/>
        <v>8496.4443311359992</v>
      </c>
      <c r="I160" s="30">
        <f t="shared" si="24"/>
        <v>8496.4443311359992</v>
      </c>
      <c r="J160" s="72">
        <v>500</v>
      </c>
      <c r="K160" s="72">
        <f t="shared" si="15"/>
        <v>467.45402350000001</v>
      </c>
      <c r="L160" s="72">
        <f t="shared" si="21"/>
        <v>467.45402350000001</v>
      </c>
      <c r="M160" s="72">
        <f>I160+L160</f>
        <v>8963.8983546359996</v>
      </c>
      <c r="N160" s="30"/>
      <c r="O160" s="103">
        <v>0.93490804699999996</v>
      </c>
      <c r="R160" s="205"/>
      <c r="S160" s="423"/>
      <c r="T160" s="426"/>
      <c r="U160" s="422"/>
      <c r="V160" s="423"/>
      <c r="W160" s="423"/>
      <c r="X160" s="427"/>
      <c r="Z160" s="426"/>
      <c r="AA160" s="422"/>
      <c r="AB160" s="423"/>
      <c r="AC160" s="423"/>
      <c r="AD160" s="427"/>
    </row>
    <row r="161" spans="1:30" ht="18.95" customHeight="1">
      <c r="A161" s="558"/>
      <c r="B161" s="352"/>
      <c r="C161" s="416" t="s">
        <v>3406</v>
      </c>
      <c r="D161" s="24" t="s">
        <v>3407</v>
      </c>
      <c r="E161" s="25">
        <v>1</v>
      </c>
      <c r="F161" s="1188" t="s">
        <v>349</v>
      </c>
      <c r="G161" s="25">
        <v>25955</v>
      </c>
      <c r="H161" s="25">
        <f t="shared" si="23"/>
        <v>24265.538359884998</v>
      </c>
      <c r="I161" s="30">
        <f t="shared" si="24"/>
        <v>24265.538359884998</v>
      </c>
      <c r="J161" s="72">
        <v>500</v>
      </c>
      <c r="K161" s="72">
        <f t="shared" si="15"/>
        <v>467.45402350000001</v>
      </c>
      <c r="L161" s="72">
        <f t="shared" si="21"/>
        <v>467.45402350000001</v>
      </c>
      <c r="M161" s="72">
        <f>I161+L161</f>
        <v>24732.992383384997</v>
      </c>
      <c r="N161" s="30"/>
      <c r="O161" s="103">
        <v>0.93490804699999996</v>
      </c>
      <c r="R161" s="205"/>
      <c r="S161" s="423"/>
      <c r="T161" s="426"/>
      <c r="U161" s="422"/>
      <c r="V161" s="423"/>
      <c r="W161" s="423"/>
      <c r="X161" s="427"/>
      <c r="Z161" s="426"/>
      <c r="AA161" s="422"/>
      <c r="AB161" s="423"/>
      <c r="AC161" s="423"/>
      <c r="AD161" s="427"/>
    </row>
    <row r="162" spans="1:30" ht="18.95" customHeight="1">
      <c r="A162" s="558"/>
      <c r="B162" s="352" t="s">
        <v>3289</v>
      </c>
      <c r="C162" s="416"/>
      <c r="D162" s="267"/>
      <c r="E162" s="25"/>
      <c r="F162" s="26"/>
      <c r="G162" s="25"/>
      <c r="H162" s="25"/>
      <c r="I162" s="30"/>
      <c r="J162" s="72"/>
      <c r="K162" s="72"/>
      <c r="L162" s="72"/>
      <c r="M162" s="72"/>
      <c r="N162" s="26"/>
      <c r="O162" s="103">
        <v>0.93490804699999996</v>
      </c>
      <c r="R162" s="205"/>
      <c r="S162" s="423"/>
      <c r="T162" s="426"/>
      <c r="U162" s="422"/>
      <c r="V162" s="423"/>
      <c r="W162" s="423"/>
      <c r="X162" s="427"/>
      <c r="Z162" s="426"/>
      <c r="AA162" s="422"/>
      <c r="AB162" s="423"/>
      <c r="AC162" s="423"/>
      <c r="AD162" s="427"/>
    </row>
    <row r="163" spans="1:30" ht="18.95" customHeight="1">
      <c r="A163" s="558"/>
      <c r="B163" s="352"/>
      <c r="C163" s="416" t="s">
        <v>3408</v>
      </c>
      <c r="D163" s="24" t="s">
        <v>3409</v>
      </c>
      <c r="E163" s="25">
        <v>1</v>
      </c>
      <c r="F163" s="1188" t="s">
        <v>349</v>
      </c>
      <c r="G163" s="25">
        <v>24278</v>
      </c>
      <c r="H163" s="25">
        <f t="shared" si="23"/>
        <v>22697.697565065999</v>
      </c>
      <c r="I163" s="30">
        <f t="shared" si="24"/>
        <v>22697.697565065999</v>
      </c>
      <c r="J163" s="72">
        <v>500</v>
      </c>
      <c r="K163" s="72">
        <f t="shared" ref="K163:K226" si="25">J163*O163</f>
        <v>467.45402350000001</v>
      </c>
      <c r="L163" s="72">
        <f t="shared" si="21"/>
        <v>467.45402350000001</v>
      </c>
      <c r="M163" s="72">
        <f>I163+L163</f>
        <v>23165.151588565997</v>
      </c>
      <c r="N163" s="30"/>
      <c r="O163" s="103">
        <v>0.93490804699999996</v>
      </c>
      <c r="R163" s="205"/>
      <c r="S163" s="423"/>
      <c r="T163" s="426"/>
      <c r="U163" s="422"/>
      <c r="V163" s="423"/>
      <c r="W163" s="423"/>
      <c r="X163" s="427"/>
      <c r="Z163" s="426"/>
      <c r="AA163" s="422"/>
      <c r="AB163" s="423"/>
      <c r="AC163" s="423"/>
      <c r="AD163" s="427"/>
    </row>
    <row r="164" spans="1:30" ht="18.95" customHeight="1">
      <c r="A164" s="558"/>
      <c r="B164" s="352"/>
      <c r="C164" s="416" t="s">
        <v>3410</v>
      </c>
      <c r="D164" s="24" t="s">
        <v>3409</v>
      </c>
      <c r="E164" s="25">
        <v>1</v>
      </c>
      <c r="F164" s="1188" t="s">
        <v>349</v>
      </c>
      <c r="G164" s="25">
        <v>24278</v>
      </c>
      <c r="H164" s="25">
        <f t="shared" si="23"/>
        <v>22697.697565065999</v>
      </c>
      <c r="I164" s="30">
        <f t="shared" si="24"/>
        <v>22697.697565065999</v>
      </c>
      <c r="J164" s="72">
        <v>500</v>
      </c>
      <c r="K164" s="72">
        <f t="shared" si="25"/>
        <v>467.45402350000001</v>
      </c>
      <c r="L164" s="72">
        <f t="shared" si="21"/>
        <v>467.45402350000001</v>
      </c>
      <c r="M164" s="72">
        <f>I164+L164</f>
        <v>23165.151588565997</v>
      </c>
      <c r="N164" s="30"/>
      <c r="O164" s="103">
        <v>0.93490804699999996</v>
      </c>
      <c r="R164" s="205"/>
      <c r="S164" s="423"/>
      <c r="T164" s="426"/>
      <c r="U164" s="422"/>
      <c r="V164" s="423"/>
      <c r="W164" s="423"/>
      <c r="X164" s="427"/>
      <c r="Z164" s="426"/>
      <c r="AA164" s="422"/>
      <c r="AB164" s="423"/>
      <c r="AC164" s="423"/>
      <c r="AD164" s="427"/>
    </row>
    <row r="165" spans="1:30" ht="18.95" customHeight="1">
      <c r="A165" s="558"/>
      <c r="B165" s="352" t="s">
        <v>3411</v>
      </c>
      <c r="C165" s="416"/>
      <c r="D165" s="267"/>
      <c r="E165" s="25"/>
      <c r="F165" s="26"/>
      <c r="G165" s="25"/>
      <c r="H165" s="25"/>
      <c r="I165" s="30"/>
      <c r="J165" s="72"/>
      <c r="K165" s="72"/>
      <c r="L165" s="72"/>
      <c r="M165" s="72"/>
      <c r="N165" s="26"/>
      <c r="O165" s="103">
        <v>0.93490804699999996</v>
      </c>
      <c r="R165" s="205"/>
      <c r="S165" s="423"/>
      <c r="T165" s="426"/>
      <c r="U165" s="422"/>
      <c r="V165" s="423"/>
      <c r="W165" s="423"/>
      <c r="X165" s="427"/>
      <c r="Z165" s="426"/>
      <c r="AA165" s="422"/>
      <c r="AB165" s="423"/>
      <c r="AC165" s="423"/>
      <c r="AD165" s="427"/>
    </row>
    <row r="166" spans="1:30" ht="18.95" customHeight="1">
      <c r="A166" s="558"/>
      <c r="B166" s="352"/>
      <c r="C166" s="416" t="s">
        <v>3412</v>
      </c>
      <c r="D166" s="24" t="s">
        <v>3413</v>
      </c>
      <c r="E166" s="25">
        <v>8</v>
      </c>
      <c r="F166" s="1188" t="s">
        <v>349</v>
      </c>
      <c r="G166" s="25">
        <v>169908</v>
      </c>
      <c r="H166" s="25">
        <f t="shared" si="23"/>
        <v>158848.35644967601</v>
      </c>
      <c r="I166" s="30">
        <f t="shared" si="24"/>
        <v>1270786.8515974081</v>
      </c>
      <c r="J166" s="72">
        <v>5000</v>
      </c>
      <c r="K166" s="72">
        <f t="shared" si="25"/>
        <v>4674.5402349999995</v>
      </c>
      <c r="L166" s="72">
        <f t="shared" si="21"/>
        <v>37396.321879999996</v>
      </c>
      <c r="M166" s="72">
        <f t="shared" ref="M166:M167" si="26">I166+L166</f>
        <v>1308183.173477408</v>
      </c>
      <c r="N166" s="30"/>
      <c r="O166" s="103">
        <v>0.93490804699999996</v>
      </c>
      <c r="R166" s="205"/>
      <c r="S166" s="423"/>
      <c r="T166" s="426"/>
      <c r="U166" s="422"/>
      <c r="V166" s="423"/>
      <c r="W166" s="423"/>
      <c r="X166" s="427"/>
      <c r="Z166" s="426"/>
      <c r="AA166" s="422"/>
      <c r="AB166" s="423"/>
      <c r="AC166" s="423"/>
      <c r="AD166" s="427"/>
    </row>
    <row r="167" spans="1:30" ht="18.95" customHeight="1">
      <c r="A167" s="558"/>
      <c r="B167" s="352"/>
      <c r="C167" s="416" t="s">
        <v>3414</v>
      </c>
      <c r="D167" s="24" t="s">
        <v>3413</v>
      </c>
      <c r="E167" s="25">
        <v>2</v>
      </c>
      <c r="F167" s="1188" t="s">
        <v>349</v>
      </c>
      <c r="G167" s="25">
        <v>329524</v>
      </c>
      <c r="H167" s="25">
        <f t="shared" si="23"/>
        <v>308074.639279628</v>
      </c>
      <c r="I167" s="30">
        <f t="shared" si="24"/>
        <v>616149.278559256</v>
      </c>
      <c r="J167" s="72">
        <v>5000</v>
      </c>
      <c r="K167" s="72">
        <f t="shared" si="25"/>
        <v>4674.5402349999995</v>
      </c>
      <c r="L167" s="72">
        <f t="shared" si="21"/>
        <v>9349.080469999999</v>
      </c>
      <c r="M167" s="72">
        <f t="shared" si="26"/>
        <v>625498.35902925604</v>
      </c>
      <c r="N167" s="30"/>
      <c r="O167" s="103">
        <v>0.93490804699999996</v>
      </c>
      <c r="R167" s="205"/>
      <c r="S167" s="423"/>
      <c r="T167" s="426"/>
      <c r="U167" s="422"/>
      <c r="V167" s="423"/>
      <c r="W167" s="423"/>
      <c r="X167" s="427"/>
      <c r="Z167" s="426"/>
      <c r="AA167" s="422"/>
      <c r="AB167" s="423"/>
      <c r="AC167" s="423"/>
      <c r="AD167" s="427"/>
    </row>
    <row r="168" spans="1:30" ht="18.95" customHeight="1">
      <c r="A168" s="558"/>
      <c r="B168" s="265">
        <v>2.2000000000000002</v>
      </c>
      <c r="C168" s="285" t="s">
        <v>3048</v>
      </c>
      <c r="D168" s="417"/>
      <c r="E168" s="1370" t="s">
        <v>3385</v>
      </c>
      <c r="F168" s="1370"/>
      <c r="G168" s="25"/>
      <c r="H168" s="25"/>
      <c r="I168" s="72"/>
      <c r="J168" s="25"/>
      <c r="K168" s="72"/>
      <c r="L168" s="72"/>
      <c r="M168" s="72"/>
      <c r="N168" s="26"/>
      <c r="O168" s="103">
        <v>0.93490804699999996</v>
      </c>
      <c r="S168" s="422"/>
      <c r="T168" s="565"/>
      <c r="U168" s="422"/>
      <c r="V168" s="422"/>
      <c r="W168" s="422"/>
      <c r="X168" s="422"/>
      <c r="Z168" s="561"/>
    </row>
    <row r="169" spans="1:30" ht="18.95" customHeight="1">
      <c r="A169" s="558"/>
      <c r="B169" s="265">
        <v>2.2999999999999998</v>
      </c>
      <c r="C169" s="285" t="s">
        <v>3049</v>
      </c>
      <c r="D169" s="417"/>
      <c r="E169" s="1370" t="s">
        <v>3386</v>
      </c>
      <c r="F169" s="1370"/>
      <c r="G169" s="72"/>
      <c r="H169" s="25"/>
      <c r="I169" s="72"/>
      <c r="J169" s="25"/>
      <c r="K169" s="72"/>
      <c r="L169" s="72"/>
      <c r="M169" s="72"/>
      <c r="N169" s="26"/>
      <c r="O169" s="103">
        <v>0.93490804699999996</v>
      </c>
      <c r="S169" s="422"/>
      <c r="T169" s="565"/>
      <c r="U169" s="422"/>
      <c r="V169" s="422"/>
      <c r="W169" s="422"/>
      <c r="X169" s="422"/>
      <c r="Z169" s="561"/>
    </row>
    <row r="170" spans="1:30" ht="18.95" customHeight="1">
      <c r="A170" s="558"/>
      <c r="B170" s="265">
        <v>2.4</v>
      </c>
      <c r="C170" s="285" t="s">
        <v>3050</v>
      </c>
      <c r="D170" s="267"/>
      <c r="E170" s="1370" t="s">
        <v>3387</v>
      </c>
      <c r="F170" s="1370"/>
      <c r="G170" s="72"/>
      <c r="H170" s="25"/>
      <c r="I170" s="72"/>
      <c r="J170" s="25"/>
      <c r="K170" s="72"/>
      <c r="L170" s="72"/>
      <c r="M170" s="72"/>
      <c r="N170" s="26"/>
      <c r="O170" s="103">
        <v>0.93490804699999996</v>
      </c>
      <c r="S170" s="422"/>
      <c r="T170" s="565"/>
      <c r="U170" s="422"/>
      <c r="V170" s="422"/>
      <c r="W170" s="422"/>
      <c r="X170" s="422"/>
      <c r="Z170" s="561"/>
    </row>
    <row r="171" spans="1:30" ht="18.95" customHeight="1">
      <c r="A171" s="558"/>
      <c r="B171" s="1275" t="s">
        <v>2007</v>
      </c>
      <c r="C171" s="1276"/>
      <c r="D171" s="1277"/>
      <c r="E171" s="34"/>
      <c r="F171" s="35"/>
      <c r="G171" s="34"/>
      <c r="H171" s="25"/>
      <c r="I171" s="34">
        <f>SUM(I148:I170)</f>
        <v>3068978.7052086908</v>
      </c>
      <c r="J171" s="34"/>
      <c r="K171" s="72"/>
      <c r="L171" s="34">
        <f>SUM(L148:L170)</f>
        <v>55159.574773</v>
      </c>
      <c r="M171" s="34">
        <f>I171+L171</f>
        <v>3124138.2799816909</v>
      </c>
      <c r="N171" s="35"/>
      <c r="O171" s="103">
        <v>0.93490804699999996</v>
      </c>
      <c r="S171" s="422"/>
      <c r="T171" s="565"/>
      <c r="U171" s="422"/>
      <c r="V171" s="422"/>
      <c r="W171" s="422"/>
      <c r="X171" s="422"/>
      <c r="Z171" s="561"/>
    </row>
    <row r="172" spans="1:30" ht="18.95" customHeight="1">
      <c r="A172" s="558"/>
      <c r="B172" s="256"/>
      <c r="C172" s="257"/>
      <c r="D172" s="258"/>
      <c r="E172" s="34"/>
      <c r="F172" s="35"/>
      <c r="G172" s="34"/>
      <c r="H172" s="25"/>
      <c r="I172" s="34"/>
      <c r="J172" s="34"/>
      <c r="K172" s="72"/>
      <c r="L172" s="34"/>
      <c r="M172" s="34"/>
      <c r="N172" s="35"/>
      <c r="O172" s="103">
        <v>0.93490804699999996</v>
      </c>
      <c r="S172" s="422"/>
      <c r="T172" s="565"/>
      <c r="U172" s="422"/>
      <c r="V172" s="422"/>
      <c r="W172" s="422"/>
      <c r="X172" s="422"/>
      <c r="Z172" s="561"/>
    </row>
    <row r="173" spans="1:30" ht="18.95" customHeight="1">
      <c r="A173" s="224">
        <v>3</v>
      </c>
      <c r="B173" s="562" t="s">
        <v>3228</v>
      </c>
      <c r="C173" s="221"/>
      <c r="D173" s="267"/>
      <c r="E173" s="25"/>
      <c r="F173" s="26"/>
      <c r="G173" s="72"/>
      <c r="H173" s="25"/>
      <c r="I173" s="72"/>
      <c r="J173" s="25"/>
      <c r="K173" s="72"/>
      <c r="L173" s="72"/>
      <c r="M173" s="26"/>
      <c r="N173" s="26"/>
      <c r="O173" s="103">
        <v>0.93490804699999996</v>
      </c>
      <c r="S173" s="422"/>
      <c r="T173" s="565"/>
      <c r="U173" s="422"/>
      <c r="V173" s="422"/>
      <c r="W173" s="422"/>
      <c r="X173" s="422"/>
      <c r="Z173" s="561"/>
    </row>
    <row r="174" spans="1:30" ht="18.95" customHeight="1">
      <c r="A174" s="558"/>
      <c r="B174" s="265">
        <v>3.1</v>
      </c>
      <c r="C174" s="563" t="s">
        <v>3228</v>
      </c>
      <c r="D174" s="267"/>
      <c r="E174" s="25"/>
      <c r="F174" s="26"/>
      <c r="G174" s="72"/>
      <c r="H174" s="25"/>
      <c r="I174" s="72"/>
      <c r="J174" s="25"/>
      <c r="K174" s="72"/>
      <c r="L174" s="72"/>
      <c r="M174" s="26"/>
      <c r="N174" s="26"/>
      <c r="O174" s="103">
        <v>0.93490804699999996</v>
      </c>
      <c r="S174" s="422"/>
      <c r="T174" s="565"/>
      <c r="U174" s="422"/>
      <c r="V174" s="422"/>
      <c r="W174" s="422"/>
      <c r="X174" s="422"/>
      <c r="Z174" s="561"/>
    </row>
    <row r="175" spans="1:30" ht="18.95" customHeight="1">
      <c r="A175" s="558"/>
      <c r="B175" s="352"/>
      <c r="C175" s="563" t="s">
        <v>3415</v>
      </c>
      <c r="D175" s="267"/>
      <c r="E175" s="25"/>
      <c r="F175" s="25"/>
      <c r="G175" s="25"/>
      <c r="H175" s="25"/>
      <c r="I175" s="25"/>
      <c r="J175" s="25"/>
      <c r="K175" s="72"/>
      <c r="L175" s="25"/>
      <c r="M175" s="25"/>
      <c r="N175" s="25"/>
      <c r="O175" s="103">
        <v>0.93490804699999996</v>
      </c>
      <c r="S175" s="422"/>
      <c r="T175" s="565"/>
      <c r="U175" s="422"/>
      <c r="V175" s="422"/>
      <c r="W175" s="422"/>
      <c r="X175" s="422"/>
      <c r="Z175" s="561"/>
    </row>
    <row r="176" spans="1:30" ht="18.95" customHeight="1">
      <c r="A176" s="558"/>
      <c r="B176" s="352"/>
      <c r="C176" s="563" t="s">
        <v>3416</v>
      </c>
      <c r="D176" s="267"/>
      <c r="E176" s="25">
        <v>970</v>
      </c>
      <c r="F176" s="30" t="s">
        <v>3417</v>
      </c>
      <c r="G176" s="25">
        <v>108.62</v>
      </c>
      <c r="H176" s="25">
        <f t="shared" si="23"/>
        <v>101.54971206514</v>
      </c>
      <c r="I176" s="30">
        <f t="shared" ref="I176:I199" si="27">E176*H176</f>
        <v>98503.220703185798</v>
      </c>
      <c r="J176" s="25">
        <v>30</v>
      </c>
      <c r="K176" s="72">
        <f t="shared" si="25"/>
        <v>28.047241409999998</v>
      </c>
      <c r="L176" s="72">
        <f t="shared" ref="L176:L199" si="28">E176*K176</f>
        <v>27205.824167699997</v>
      </c>
      <c r="M176" s="25">
        <f t="shared" ref="M176:M181" si="29">+I176+L176</f>
        <v>125709.04487088579</v>
      </c>
      <c r="N176" s="25"/>
      <c r="O176" s="103">
        <v>0.93490804699999996</v>
      </c>
      <c r="S176" s="422"/>
      <c r="T176" s="565"/>
      <c r="U176" s="422"/>
      <c r="V176" s="422"/>
      <c r="W176" s="422"/>
      <c r="X176" s="422"/>
      <c r="Z176" s="561"/>
    </row>
    <row r="177" spans="1:26" ht="18.95" customHeight="1">
      <c r="A177" s="558"/>
      <c r="B177" s="352"/>
      <c r="C177" s="563" t="s">
        <v>3418</v>
      </c>
      <c r="D177" s="267"/>
      <c r="E177" s="25">
        <v>480</v>
      </c>
      <c r="F177" s="30" t="s">
        <v>3417</v>
      </c>
      <c r="G177" s="25">
        <v>240</v>
      </c>
      <c r="H177" s="25">
        <f t="shared" si="23"/>
        <v>224.37793127999998</v>
      </c>
      <c r="I177" s="30">
        <f t="shared" si="27"/>
        <v>107701.4070144</v>
      </c>
      <c r="J177" s="25">
        <v>65</v>
      </c>
      <c r="K177" s="72">
        <f t="shared" si="25"/>
        <v>60.769023054999998</v>
      </c>
      <c r="L177" s="72">
        <f t="shared" si="28"/>
        <v>29169.131066399998</v>
      </c>
      <c r="M177" s="25">
        <f t="shared" si="29"/>
        <v>136870.5380808</v>
      </c>
      <c r="N177" s="25"/>
      <c r="O177" s="103">
        <v>0.93490804699999996</v>
      </c>
      <c r="S177" s="422"/>
      <c r="T177" s="565"/>
      <c r="U177" s="422"/>
      <c r="V177" s="422"/>
      <c r="W177" s="422"/>
      <c r="X177" s="422"/>
      <c r="Z177" s="561"/>
    </row>
    <row r="178" spans="1:26" ht="18.95" customHeight="1">
      <c r="A178" s="558"/>
      <c r="B178" s="352"/>
      <c r="C178" s="563" t="s">
        <v>3419</v>
      </c>
      <c r="D178" s="267"/>
      <c r="E178" s="25">
        <v>230</v>
      </c>
      <c r="F178" s="30" t="s">
        <v>3417</v>
      </c>
      <c r="G178" s="25">
        <v>295</v>
      </c>
      <c r="H178" s="25">
        <f t="shared" si="23"/>
        <v>275.79787386499999</v>
      </c>
      <c r="I178" s="30">
        <f t="shared" si="27"/>
        <v>63433.510988949994</v>
      </c>
      <c r="J178" s="25">
        <v>80</v>
      </c>
      <c r="K178" s="72">
        <f t="shared" si="25"/>
        <v>74.792643760000004</v>
      </c>
      <c r="L178" s="72">
        <f t="shared" si="28"/>
        <v>17202.3080648</v>
      </c>
      <c r="M178" s="25">
        <f t="shared" si="29"/>
        <v>80635.81905374999</v>
      </c>
      <c r="N178" s="30"/>
      <c r="O178" s="103">
        <v>0.93490804699999996</v>
      </c>
      <c r="S178" s="423"/>
      <c r="T178" s="426"/>
      <c r="U178" s="422"/>
      <c r="V178" s="423"/>
      <c r="W178" s="423"/>
      <c r="X178" s="427"/>
      <c r="Z178" s="561"/>
    </row>
    <row r="179" spans="1:26" ht="18.95" customHeight="1">
      <c r="A179" s="558"/>
      <c r="B179" s="352"/>
      <c r="C179" s="563" t="s">
        <v>3420</v>
      </c>
      <c r="D179" s="267"/>
      <c r="E179" s="25">
        <v>900</v>
      </c>
      <c r="F179" s="30" t="s">
        <v>3417</v>
      </c>
      <c r="G179" s="25">
        <v>386</v>
      </c>
      <c r="H179" s="25">
        <f t="shared" si="23"/>
        <v>360.87450614199997</v>
      </c>
      <c r="I179" s="30">
        <f t="shared" si="27"/>
        <v>324787.0555278</v>
      </c>
      <c r="J179" s="25">
        <v>110</v>
      </c>
      <c r="K179" s="72">
        <f t="shared" si="25"/>
        <v>102.83988517</v>
      </c>
      <c r="L179" s="72">
        <f t="shared" si="28"/>
        <v>92555.896653000003</v>
      </c>
      <c r="M179" s="25">
        <f t="shared" si="29"/>
        <v>417342.95218080003</v>
      </c>
      <c r="N179" s="30"/>
      <c r="O179" s="103">
        <v>0.93490804699999996</v>
      </c>
      <c r="S179" s="423"/>
      <c r="T179" s="426"/>
      <c r="U179" s="422"/>
      <c r="V179" s="423"/>
      <c r="W179" s="423"/>
      <c r="X179" s="427"/>
      <c r="Z179" s="561"/>
    </row>
    <row r="180" spans="1:26" ht="18.95" customHeight="1">
      <c r="A180" s="558"/>
      <c r="B180" s="352"/>
      <c r="C180" s="563" t="s">
        <v>3421</v>
      </c>
      <c r="D180" s="267"/>
      <c r="E180" s="25">
        <v>170</v>
      </c>
      <c r="F180" s="30" t="s">
        <v>3417</v>
      </c>
      <c r="G180" s="25">
        <v>534</v>
      </c>
      <c r="H180" s="25">
        <f t="shared" si="23"/>
        <v>499.240897098</v>
      </c>
      <c r="I180" s="30">
        <f t="shared" si="27"/>
        <v>84870.952506660004</v>
      </c>
      <c r="J180" s="25">
        <v>150</v>
      </c>
      <c r="K180" s="72">
        <f t="shared" si="25"/>
        <v>140.23620704999999</v>
      </c>
      <c r="L180" s="72">
        <f t="shared" si="28"/>
        <v>23840.155198499997</v>
      </c>
      <c r="M180" s="25">
        <f t="shared" si="29"/>
        <v>108711.10770516</v>
      </c>
      <c r="N180" s="30"/>
      <c r="O180" s="103">
        <v>0.93490804699999996</v>
      </c>
      <c r="S180" s="423"/>
      <c r="T180" s="426"/>
      <c r="U180" s="422"/>
      <c r="V180" s="423"/>
      <c r="W180" s="423"/>
      <c r="X180" s="427"/>
      <c r="Z180" s="561"/>
    </row>
    <row r="181" spans="1:26" ht="18.95" customHeight="1">
      <c r="A181" s="558"/>
      <c r="B181" s="352"/>
      <c r="C181" s="563" t="s">
        <v>3422</v>
      </c>
      <c r="D181" s="267"/>
      <c r="E181" s="25">
        <v>220</v>
      </c>
      <c r="F181" s="30" t="s">
        <v>3417</v>
      </c>
      <c r="G181" s="25">
        <v>753</v>
      </c>
      <c r="H181" s="25">
        <f t="shared" si="23"/>
        <v>703.98575939099999</v>
      </c>
      <c r="I181" s="30">
        <f t="shared" si="27"/>
        <v>154876.86706602</v>
      </c>
      <c r="J181" s="25">
        <v>150</v>
      </c>
      <c r="K181" s="72">
        <f t="shared" si="25"/>
        <v>140.23620704999999</v>
      </c>
      <c r="L181" s="72">
        <f t="shared" si="28"/>
        <v>30851.965550999998</v>
      </c>
      <c r="M181" s="25">
        <f t="shared" si="29"/>
        <v>185728.83261702</v>
      </c>
      <c r="N181" s="30"/>
      <c r="O181" s="103">
        <v>0.93490804699999996</v>
      </c>
      <c r="S181" s="423"/>
      <c r="T181" s="426"/>
      <c r="U181" s="422"/>
      <c r="V181" s="423"/>
      <c r="W181" s="423"/>
      <c r="X181" s="427"/>
      <c r="Z181" s="561"/>
    </row>
    <row r="182" spans="1:26" ht="18.95" customHeight="1">
      <c r="A182" s="558"/>
      <c r="B182" s="265">
        <v>3.2</v>
      </c>
      <c r="C182" s="563" t="s">
        <v>3423</v>
      </c>
      <c r="D182" s="267"/>
      <c r="E182" s="25"/>
      <c r="F182" s="26"/>
      <c r="G182" s="72"/>
      <c r="H182" s="25"/>
      <c r="I182" s="30"/>
      <c r="J182" s="25"/>
      <c r="K182" s="72"/>
      <c r="L182" s="72"/>
      <c r="M182" s="26"/>
      <c r="N182" s="26"/>
      <c r="O182" s="103">
        <v>0.93490804699999996</v>
      </c>
      <c r="S182" s="422"/>
      <c r="T182" s="565"/>
      <c r="U182" s="422"/>
      <c r="V182" s="422"/>
      <c r="W182" s="422"/>
      <c r="X182" s="422"/>
      <c r="Z182" s="561"/>
    </row>
    <row r="183" spans="1:26" ht="18.95" customHeight="1">
      <c r="A183" s="558"/>
      <c r="B183" s="352"/>
      <c r="C183" s="564" t="s">
        <v>3419</v>
      </c>
      <c r="D183" s="267"/>
      <c r="E183" s="25">
        <v>750</v>
      </c>
      <c r="F183" s="30" t="s">
        <v>3417</v>
      </c>
      <c r="G183" s="25">
        <v>11.11</v>
      </c>
      <c r="H183" s="25">
        <f t="shared" si="23"/>
        <v>10.38682840217</v>
      </c>
      <c r="I183" s="30">
        <f t="shared" si="27"/>
        <v>7790.1213016274996</v>
      </c>
      <c r="J183" s="25">
        <v>25</v>
      </c>
      <c r="K183" s="72">
        <f t="shared" si="25"/>
        <v>23.372701175</v>
      </c>
      <c r="L183" s="72">
        <f t="shared" si="28"/>
        <v>17529.52588125</v>
      </c>
      <c r="M183" s="25">
        <f>I183+L183</f>
        <v>25319.647182877499</v>
      </c>
      <c r="N183" s="30"/>
      <c r="O183" s="103">
        <v>0.93490804699999996</v>
      </c>
      <c r="S183" s="422" t="s">
        <v>3038</v>
      </c>
      <c r="T183" s="566">
        <v>11.11</v>
      </c>
      <c r="U183" s="422"/>
      <c r="V183" s="422"/>
      <c r="W183" s="422"/>
      <c r="X183" s="422"/>
      <c r="Z183" s="561"/>
    </row>
    <row r="184" spans="1:26" ht="18.95" customHeight="1">
      <c r="A184" s="558"/>
      <c r="B184" s="352"/>
      <c r="C184" s="563" t="s">
        <v>3424</v>
      </c>
      <c r="D184" s="267"/>
      <c r="E184" s="25">
        <v>400</v>
      </c>
      <c r="F184" s="30" t="s">
        <v>3417</v>
      </c>
      <c r="G184" s="25">
        <v>14.72</v>
      </c>
      <c r="H184" s="25">
        <f t="shared" si="23"/>
        <v>13.76184645184</v>
      </c>
      <c r="I184" s="30">
        <f t="shared" si="27"/>
        <v>5504.7385807360006</v>
      </c>
      <c r="J184" s="25">
        <v>25</v>
      </c>
      <c r="K184" s="72">
        <f t="shared" si="25"/>
        <v>23.372701175</v>
      </c>
      <c r="L184" s="72">
        <f t="shared" si="28"/>
        <v>9349.080469999999</v>
      </c>
      <c r="M184" s="25">
        <f>I184+L184</f>
        <v>14853.819050736</v>
      </c>
      <c r="N184" s="30"/>
      <c r="O184" s="103">
        <v>0.93490804699999996</v>
      </c>
      <c r="S184" s="422" t="s">
        <v>3038</v>
      </c>
      <c r="T184" s="566">
        <v>14.72</v>
      </c>
      <c r="U184" s="422"/>
      <c r="V184" s="422"/>
      <c r="W184" s="422"/>
      <c r="X184" s="422"/>
      <c r="Z184" s="561"/>
    </row>
    <row r="185" spans="1:26" ht="18.95" customHeight="1">
      <c r="A185" s="558"/>
      <c r="B185" s="265">
        <v>3.3</v>
      </c>
      <c r="C185" s="563" t="s">
        <v>3425</v>
      </c>
      <c r="D185" s="267"/>
      <c r="E185" s="25"/>
      <c r="F185" s="30"/>
      <c r="G185" s="25"/>
      <c r="H185" s="25"/>
      <c r="I185" s="30"/>
      <c r="J185" s="25"/>
      <c r="K185" s="72"/>
      <c r="L185" s="72"/>
      <c r="M185" s="25"/>
      <c r="N185" s="30"/>
      <c r="O185" s="103">
        <v>0.93490804699999996</v>
      </c>
      <c r="S185" s="422"/>
      <c r="T185" s="565"/>
      <c r="U185" s="422"/>
      <c r="V185" s="422"/>
      <c r="W185" s="422"/>
      <c r="X185" s="422"/>
      <c r="Z185" s="561"/>
    </row>
    <row r="186" spans="1:26" ht="18.95" customHeight="1">
      <c r="A186" s="558"/>
      <c r="B186" s="352"/>
      <c r="C186" s="563" t="s">
        <v>3426</v>
      </c>
      <c r="D186" s="267"/>
      <c r="E186" s="25"/>
      <c r="F186" s="30"/>
      <c r="G186" s="25"/>
      <c r="H186" s="25"/>
      <c r="I186" s="30"/>
      <c r="J186" s="25"/>
      <c r="K186" s="72"/>
      <c r="L186" s="72"/>
      <c r="M186" s="25"/>
      <c r="N186" s="30"/>
      <c r="O186" s="103">
        <v>0.93490804699999996</v>
      </c>
      <c r="S186" s="422"/>
      <c r="T186" s="565"/>
      <c r="U186" s="422"/>
      <c r="V186" s="422"/>
      <c r="W186" s="422"/>
      <c r="X186" s="422"/>
      <c r="Z186" s="561"/>
    </row>
    <row r="187" spans="1:26" ht="18.95" customHeight="1">
      <c r="A187" s="558"/>
      <c r="B187" s="352"/>
      <c r="C187" s="563" t="s">
        <v>3416</v>
      </c>
      <c r="D187" s="267"/>
      <c r="E187" s="25">
        <v>970</v>
      </c>
      <c r="F187" s="30" t="s">
        <v>3417</v>
      </c>
      <c r="G187" s="25">
        <v>50</v>
      </c>
      <c r="H187" s="25">
        <f t="shared" si="23"/>
        <v>46.745402349999999</v>
      </c>
      <c r="I187" s="30">
        <f t="shared" si="27"/>
        <v>45343.040279499997</v>
      </c>
      <c r="J187" s="25">
        <v>18</v>
      </c>
      <c r="K187" s="72">
        <f t="shared" si="25"/>
        <v>16.828344846</v>
      </c>
      <c r="L187" s="72">
        <f t="shared" si="28"/>
        <v>16323.49450062</v>
      </c>
      <c r="M187" s="25">
        <f t="shared" ref="M187:M192" si="30">+I187+L187</f>
        <v>61666.534780119997</v>
      </c>
      <c r="N187" s="30"/>
      <c r="O187" s="103">
        <v>0.93490804699999996</v>
      </c>
      <c r="S187" s="423"/>
      <c r="T187" s="426"/>
      <c r="U187" s="422"/>
      <c r="V187" s="423"/>
      <c r="W187" s="423"/>
      <c r="X187" s="427"/>
      <c r="Z187" s="561"/>
    </row>
    <row r="188" spans="1:26" ht="18.95" customHeight="1">
      <c r="A188" s="558"/>
      <c r="B188" s="352"/>
      <c r="C188" s="563" t="s">
        <v>3418</v>
      </c>
      <c r="D188" s="267"/>
      <c r="E188" s="25">
        <v>480</v>
      </c>
      <c r="F188" s="30" t="s">
        <v>3417</v>
      </c>
      <c r="G188" s="25">
        <v>58</v>
      </c>
      <c r="H188" s="25">
        <f t="shared" si="23"/>
        <v>54.224666725999995</v>
      </c>
      <c r="I188" s="30">
        <f t="shared" si="27"/>
        <v>26027.840028479997</v>
      </c>
      <c r="J188" s="25">
        <v>16</v>
      </c>
      <c r="K188" s="72">
        <f t="shared" si="25"/>
        <v>14.958528751999999</v>
      </c>
      <c r="L188" s="72">
        <f t="shared" si="28"/>
        <v>7180.0938009599995</v>
      </c>
      <c r="M188" s="25">
        <f t="shared" si="30"/>
        <v>33207.933829439993</v>
      </c>
      <c r="N188" s="30"/>
      <c r="O188" s="103">
        <v>0.93490804699999996</v>
      </c>
      <c r="S188" s="423"/>
      <c r="T188" s="426"/>
      <c r="U188" s="422"/>
      <c r="V188" s="423"/>
      <c r="W188" s="423"/>
      <c r="X188" s="427"/>
      <c r="Z188" s="561"/>
    </row>
    <row r="189" spans="1:26" ht="18.95" customHeight="1">
      <c r="A189" s="558"/>
      <c r="B189" s="352"/>
      <c r="C189" s="563" t="s">
        <v>3419</v>
      </c>
      <c r="D189" s="267"/>
      <c r="E189" s="25">
        <v>230</v>
      </c>
      <c r="F189" s="30" t="s">
        <v>3417</v>
      </c>
      <c r="G189" s="25">
        <v>62</v>
      </c>
      <c r="H189" s="25">
        <f t="shared" si="23"/>
        <v>57.964298913999997</v>
      </c>
      <c r="I189" s="30">
        <f t="shared" si="27"/>
        <v>13331.788750219999</v>
      </c>
      <c r="J189" s="25">
        <v>18</v>
      </c>
      <c r="K189" s="72">
        <f t="shared" si="25"/>
        <v>16.828344846</v>
      </c>
      <c r="L189" s="72">
        <f t="shared" si="28"/>
        <v>3870.5193145799999</v>
      </c>
      <c r="M189" s="25">
        <f t="shared" si="30"/>
        <v>17202.3080648</v>
      </c>
      <c r="N189" s="30"/>
      <c r="O189" s="103">
        <v>0.93490804699999996</v>
      </c>
      <c r="S189" s="423"/>
      <c r="T189" s="426"/>
      <c r="U189" s="422"/>
      <c r="V189" s="423"/>
      <c r="W189" s="423"/>
      <c r="X189" s="427"/>
      <c r="Z189" s="561"/>
    </row>
    <row r="190" spans="1:26" ht="18.95" customHeight="1">
      <c r="A190" s="558"/>
      <c r="B190" s="352"/>
      <c r="C190" s="563" t="s">
        <v>3420</v>
      </c>
      <c r="D190" s="267"/>
      <c r="E190" s="25">
        <v>900</v>
      </c>
      <c r="F190" s="30" t="s">
        <v>3417</v>
      </c>
      <c r="G190" s="25">
        <v>66</v>
      </c>
      <c r="H190" s="25">
        <f t="shared" si="23"/>
        <v>61.703931101999999</v>
      </c>
      <c r="I190" s="30">
        <f t="shared" si="27"/>
        <v>55533.537991799996</v>
      </c>
      <c r="J190" s="25">
        <v>20</v>
      </c>
      <c r="K190" s="72">
        <f t="shared" si="25"/>
        <v>18.698160940000001</v>
      </c>
      <c r="L190" s="72">
        <f t="shared" si="28"/>
        <v>16828.344846</v>
      </c>
      <c r="M190" s="25">
        <f t="shared" si="30"/>
        <v>72361.882837799989</v>
      </c>
      <c r="N190" s="30"/>
      <c r="O190" s="103">
        <v>0.93490804699999996</v>
      </c>
      <c r="S190" s="423"/>
      <c r="T190" s="426"/>
      <c r="U190" s="422"/>
      <c r="V190" s="423"/>
      <c r="W190" s="423"/>
      <c r="X190" s="427"/>
      <c r="Z190" s="561"/>
    </row>
    <row r="191" spans="1:26" ht="18.95" customHeight="1">
      <c r="A191" s="558"/>
      <c r="B191" s="352"/>
      <c r="C191" s="563" t="s">
        <v>3421</v>
      </c>
      <c r="D191" s="267"/>
      <c r="E191" s="25">
        <v>170</v>
      </c>
      <c r="F191" s="30" t="s">
        <v>3417</v>
      </c>
      <c r="G191" s="25">
        <v>79</v>
      </c>
      <c r="H191" s="25">
        <f t="shared" si="23"/>
        <v>73.857735712999997</v>
      </c>
      <c r="I191" s="30">
        <f t="shared" si="27"/>
        <v>12555.81507121</v>
      </c>
      <c r="J191" s="25">
        <v>25</v>
      </c>
      <c r="K191" s="72">
        <f t="shared" si="25"/>
        <v>23.372701175</v>
      </c>
      <c r="L191" s="72">
        <f t="shared" si="28"/>
        <v>3973.3591997499998</v>
      </c>
      <c r="M191" s="25">
        <f t="shared" si="30"/>
        <v>16529.17427096</v>
      </c>
      <c r="N191" s="30"/>
      <c r="O191" s="103">
        <v>0.93490804699999996</v>
      </c>
      <c r="S191" s="423"/>
      <c r="T191" s="426"/>
      <c r="U191" s="422"/>
      <c r="V191" s="423"/>
      <c r="W191" s="423"/>
      <c r="X191" s="427"/>
      <c r="Z191" s="561"/>
    </row>
    <row r="192" spans="1:26" ht="18.95" customHeight="1">
      <c r="A192" s="558"/>
      <c r="B192" s="352"/>
      <c r="C192" s="563" t="s">
        <v>3422</v>
      </c>
      <c r="D192" s="267"/>
      <c r="E192" s="25">
        <v>220</v>
      </c>
      <c r="F192" s="30" t="s">
        <v>3417</v>
      </c>
      <c r="G192" s="25">
        <v>124</v>
      </c>
      <c r="H192" s="25">
        <f t="shared" si="23"/>
        <v>115.92859782799999</v>
      </c>
      <c r="I192" s="30">
        <f t="shared" si="27"/>
        <v>25504.291522159998</v>
      </c>
      <c r="J192" s="25">
        <v>25</v>
      </c>
      <c r="K192" s="72">
        <f t="shared" si="25"/>
        <v>23.372701175</v>
      </c>
      <c r="L192" s="72">
        <f t="shared" si="28"/>
        <v>5141.9942584999999</v>
      </c>
      <c r="M192" s="25">
        <f t="shared" si="30"/>
        <v>30646.285780659997</v>
      </c>
      <c r="N192" s="30"/>
      <c r="O192" s="103">
        <v>0.93490804699999996</v>
      </c>
      <c r="S192" s="423"/>
      <c r="T192" s="426"/>
      <c r="U192" s="422"/>
      <c r="V192" s="423"/>
      <c r="W192" s="423"/>
      <c r="X192" s="427"/>
      <c r="Z192" s="561"/>
    </row>
    <row r="193" spans="1:26" ht="18.95" customHeight="1">
      <c r="A193" s="558"/>
      <c r="B193" s="352"/>
      <c r="C193" s="563" t="s">
        <v>3427</v>
      </c>
      <c r="D193" s="267"/>
      <c r="E193" s="25"/>
      <c r="F193" s="30"/>
      <c r="G193" s="25"/>
      <c r="H193" s="25"/>
      <c r="I193" s="30"/>
      <c r="J193" s="25"/>
      <c r="K193" s="72"/>
      <c r="L193" s="72"/>
      <c r="M193" s="25"/>
      <c r="N193" s="30"/>
      <c r="O193" s="103">
        <v>0.93490804699999996</v>
      </c>
      <c r="S193" s="423"/>
      <c r="T193" s="426"/>
      <c r="U193" s="422"/>
      <c r="V193" s="423"/>
      <c r="W193" s="423"/>
      <c r="X193" s="427"/>
      <c r="Z193" s="561"/>
    </row>
    <row r="194" spans="1:26" ht="18.95" customHeight="1">
      <c r="A194" s="558"/>
      <c r="B194" s="352"/>
      <c r="C194" s="564" t="s">
        <v>3419</v>
      </c>
      <c r="D194" s="267"/>
      <c r="E194" s="25">
        <v>950</v>
      </c>
      <c r="F194" s="30" t="s">
        <v>3417</v>
      </c>
      <c r="G194" s="25">
        <v>38</v>
      </c>
      <c r="H194" s="25">
        <f t="shared" si="23"/>
        <v>35.526505786000001</v>
      </c>
      <c r="I194" s="30">
        <f t="shared" si="27"/>
        <v>33750.180496699999</v>
      </c>
      <c r="J194" s="25">
        <v>14</v>
      </c>
      <c r="K194" s="72">
        <f t="shared" si="25"/>
        <v>13.088712657999999</v>
      </c>
      <c r="L194" s="72">
        <f t="shared" si="28"/>
        <v>12434.277025099998</v>
      </c>
      <c r="M194" s="25">
        <f t="shared" ref="M194:M200" si="31">I194+L194</f>
        <v>46184.457521799995</v>
      </c>
      <c r="N194" s="30"/>
      <c r="O194" s="103">
        <v>0.93490804699999996</v>
      </c>
      <c r="S194" s="423"/>
      <c r="T194" s="426"/>
      <c r="U194" s="422"/>
      <c r="V194" s="423"/>
      <c r="W194" s="423"/>
      <c r="X194" s="427"/>
      <c r="Z194" s="561"/>
    </row>
    <row r="195" spans="1:26" ht="18.95" customHeight="1">
      <c r="A195" s="558"/>
      <c r="B195" s="352"/>
      <c r="C195" s="563" t="s">
        <v>3424</v>
      </c>
      <c r="D195" s="267"/>
      <c r="E195" s="25">
        <v>350</v>
      </c>
      <c r="F195" s="30" t="s">
        <v>3417</v>
      </c>
      <c r="G195" s="25">
        <v>44</v>
      </c>
      <c r="H195" s="25">
        <f t="shared" si="23"/>
        <v>41.135954067999997</v>
      </c>
      <c r="I195" s="30">
        <f t="shared" si="27"/>
        <v>14397.583923799999</v>
      </c>
      <c r="J195" s="25">
        <v>16</v>
      </c>
      <c r="K195" s="72">
        <f t="shared" si="25"/>
        <v>14.958528751999999</v>
      </c>
      <c r="L195" s="72">
        <f t="shared" si="28"/>
        <v>5235.4850631999998</v>
      </c>
      <c r="M195" s="25">
        <f t="shared" si="31"/>
        <v>19633.068986999999</v>
      </c>
      <c r="N195" s="30"/>
      <c r="O195" s="103">
        <v>0.93490804699999996</v>
      </c>
      <c r="S195" s="423"/>
      <c r="T195" s="426"/>
      <c r="U195" s="422"/>
      <c r="V195" s="423"/>
      <c r="W195" s="423"/>
      <c r="X195" s="427"/>
      <c r="Z195" s="561"/>
    </row>
    <row r="196" spans="1:26" ht="18.95" customHeight="1">
      <c r="A196" s="558"/>
      <c r="B196" s="265">
        <v>3.4</v>
      </c>
      <c r="C196" s="285" t="s">
        <v>3428</v>
      </c>
      <c r="D196" s="417"/>
      <c r="E196" s="25">
        <v>1</v>
      </c>
      <c r="F196" s="1188" t="s">
        <v>2193</v>
      </c>
      <c r="G196" s="72">
        <v>200000</v>
      </c>
      <c r="H196" s="25">
        <f t="shared" si="23"/>
        <v>186981.60939999999</v>
      </c>
      <c r="I196" s="30">
        <f t="shared" si="27"/>
        <v>186981.60939999999</v>
      </c>
      <c r="J196" s="25">
        <v>60000</v>
      </c>
      <c r="K196" s="72">
        <f t="shared" si="25"/>
        <v>56094.482819999997</v>
      </c>
      <c r="L196" s="72">
        <f t="shared" si="28"/>
        <v>56094.482819999997</v>
      </c>
      <c r="M196" s="72">
        <f t="shared" si="31"/>
        <v>243076.09221999999</v>
      </c>
      <c r="N196" s="26"/>
      <c r="O196" s="103">
        <v>0.93490804699999996</v>
      </c>
      <c r="S196" s="422"/>
      <c r="T196" s="426"/>
      <c r="U196" s="422"/>
      <c r="V196" s="423"/>
      <c r="W196" s="422"/>
      <c r="X196" s="422"/>
      <c r="Z196" s="561"/>
    </row>
    <row r="197" spans="1:26" ht="18.95" customHeight="1">
      <c r="A197" s="558"/>
      <c r="B197" s="265">
        <v>3.5</v>
      </c>
      <c r="C197" s="285" t="s">
        <v>3048</v>
      </c>
      <c r="D197" s="417"/>
      <c r="E197" s="25">
        <v>1</v>
      </c>
      <c r="F197" s="1188" t="s">
        <v>2193</v>
      </c>
      <c r="G197" s="25">
        <v>344958.42</v>
      </c>
      <c r="H197" s="25">
        <f t="shared" si="23"/>
        <v>322504.40273840574</v>
      </c>
      <c r="I197" s="30">
        <f t="shared" si="27"/>
        <v>322504.40273840574</v>
      </c>
      <c r="J197" s="25">
        <v>103487.526</v>
      </c>
      <c r="K197" s="72">
        <f t="shared" si="25"/>
        <v>96751.320821521716</v>
      </c>
      <c r="L197" s="72">
        <f t="shared" si="28"/>
        <v>96751.320821521716</v>
      </c>
      <c r="M197" s="72">
        <f t="shared" si="31"/>
        <v>419255.72355992743</v>
      </c>
      <c r="N197" s="568"/>
      <c r="O197" s="103">
        <v>0.93490804699999996</v>
      </c>
      <c r="S197" s="422"/>
      <c r="T197" s="426"/>
      <c r="U197" s="422"/>
      <c r="V197" s="423"/>
      <c r="W197" s="422"/>
      <c r="X197" s="422"/>
      <c r="Z197" s="561"/>
    </row>
    <row r="198" spans="1:26" ht="18.95" customHeight="1">
      <c r="A198" s="558"/>
      <c r="B198" s="265">
        <v>3.6</v>
      </c>
      <c r="C198" s="285" t="s">
        <v>3049</v>
      </c>
      <c r="D198" s="417"/>
      <c r="E198" s="25">
        <v>1</v>
      </c>
      <c r="F198" s="1188" t="s">
        <v>2193</v>
      </c>
      <c r="G198" s="25">
        <v>229972.28</v>
      </c>
      <c r="H198" s="25">
        <f t="shared" si="23"/>
        <v>215002.93515893715</v>
      </c>
      <c r="I198" s="30">
        <f t="shared" si="27"/>
        <v>215002.93515893715</v>
      </c>
      <c r="J198" s="25">
        <v>68991.683999999994</v>
      </c>
      <c r="K198" s="72">
        <f t="shared" si="25"/>
        <v>64500.880547681139</v>
      </c>
      <c r="L198" s="72">
        <f t="shared" si="28"/>
        <v>64500.880547681139</v>
      </c>
      <c r="M198" s="72">
        <f t="shared" si="31"/>
        <v>279503.8157066183</v>
      </c>
      <c r="N198" s="72"/>
      <c r="O198" s="103">
        <v>0.93490804699999996</v>
      </c>
      <c r="S198" s="422"/>
      <c r="T198" s="426"/>
      <c r="U198" s="422"/>
      <c r="V198" s="423"/>
      <c r="W198" s="422"/>
      <c r="X198" s="422"/>
      <c r="Z198" s="561"/>
    </row>
    <row r="199" spans="1:26" ht="18.95" customHeight="1">
      <c r="A199" s="558"/>
      <c r="B199" s="265">
        <v>3.7</v>
      </c>
      <c r="C199" s="285" t="s">
        <v>3050</v>
      </c>
      <c r="D199" s="267"/>
      <c r="E199" s="25">
        <v>1</v>
      </c>
      <c r="F199" s="1188" t="s">
        <v>2193</v>
      </c>
      <c r="G199" s="72">
        <v>114986.14</v>
      </c>
      <c r="H199" s="25">
        <f t="shared" si="23"/>
        <v>107501.46757946858</v>
      </c>
      <c r="I199" s="30">
        <f t="shared" si="27"/>
        <v>107501.46757946858</v>
      </c>
      <c r="J199" s="25">
        <v>34495.841999999997</v>
      </c>
      <c r="K199" s="72">
        <f t="shared" si="25"/>
        <v>32250.44027384057</v>
      </c>
      <c r="L199" s="72">
        <f t="shared" si="28"/>
        <v>32250.44027384057</v>
      </c>
      <c r="M199" s="72">
        <f t="shared" si="31"/>
        <v>139751.90785330915</v>
      </c>
      <c r="N199" s="72"/>
      <c r="O199" s="103">
        <v>0.93490804699999996</v>
      </c>
      <c r="S199" s="422"/>
      <c r="T199" s="426"/>
      <c r="U199" s="422"/>
      <c r="V199" s="423"/>
      <c r="W199" s="422"/>
      <c r="X199" s="422"/>
      <c r="Z199" s="561"/>
    </row>
    <row r="200" spans="1:26" ht="18.95" customHeight="1">
      <c r="A200" s="558"/>
      <c r="B200" s="1275" t="s">
        <v>2017</v>
      </c>
      <c r="C200" s="1276"/>
      <c r="D200" s="1277"/>
      <c r="E200" s="34"/>
      <c r="F200" s="35"/>
      <c r="G200" s="34"/>
      <c r="H200" s="25"/>
      <c r="I200" s="34">
        <f>SUM(I174:I199)</f>
        <v>1905902.3666300611</v>
      </c>
      <c r="J200" s="34"/>
      <c r="K200" s="72"/>
      <c r="L200" s="34">
        <f>SUM(L175:L199)</f>
        <v>568288.57952440344</v>
      </c>
      <c r="M200" s="34">
        <f t="shared" si="31"/>
        <v>2474190.9461544645</v>
      </c>
      <c r="N200" s="72"/>
      <c r="O200" s="103">
        <v>0.93490804699999996</v>
      </c>
      <c r="S200" s="425"/>
      <c r="T200" s="569"/>
      <c r="U200" s="431"/>
      <c r="V200" s="431"/>
      <c r="W200" s="431"/>
      <c r="X200" s="431"/>
      <c r="Z200" s="561"/>
    </row>
    <row r="201" spans="1:26" ht="18.95" customHeight="1">
      <c r="A201" s="558"/>
      <c r="B201" s="256"/>
      <c r="C201" s="257"/>
      <c r="D201" s="258"/>
      <c r="E201" s="34"/>
      <c r="F201" s="35"/>
      <c r="G201" s="34"/>
      <c r="H201" s="25"/>
      <c r="I201" s="34"/>
      <c r="J201" s="34"/>
      <c r="K201" s="72"/>
      <c r="L201" s="34"/>
      <c r="M201" s="34"/>
      <c r="N201" s="72"/>
      <c r="O201" s="103">
        <v>0.93490804699999996</v>
      </c>
      <c r="S201" s="425"/>
      <c r="T201" s="429"/>
      <c r="U201" s="430"/>
      <c r="V201" s="431"/>
      <c r="W201" s="431"/>
      <c r="X201" s="432"/>
      <c r="Z201" s="561"/>
    </row>
    <row r="202" spans="1:26" ht="18.95" customHeight="1">
      <c r="A202" s="224">
        <v>4</v>
      </c>
      <c r="B202" s="562" t="s">
        <v>3229</v>
      </c>
      <c r="C202" s="221"/>
      <c r="D202" s="267"/>
      <c r="E202" s="25"/>
      <c r="F202" s="26"/>
      <c r="G202" s="72"/>
      <c r="H202" s="25"/>
      <c r="I202" s="72"/>
      <c r="J202" s="25"/>
      <c r="K202" s="72"/>
      <c r="L202" s="72"/>
      <c r="M202" s="26"/>
      <c r="N202" s="26"/>
      <c r="O202" s="103">
        <v>0.93490804699999996</v>
      </c>
      <c r="S202" s="425"/>
      <c r="T202" s="429"/>
      <c r="U202" s="430"/>
      <c r="V202" s="431"/>
      <c r="W202" s="431"/>
      <c r="X202" s="434"/>
      <c r="Z202" s="561"/>
    </row>
    <row r="203" spans="1:26" ht="18.95" customHeight="1">
      <c r="A203" s="558"/>
      <c r="B203" s="265">
        <v>4.0999999999999996</v>
      </c>
      <c r="C203" s="285" t="s">
        <v>3429</v>
      </c>
      <c r="D203" s="267"/>
      <c r="E203" s="25"/>
      <c r="F203" s="26"/>
      <c r="G203" s="72"/>
      <c r="H203" s="25"/>
      <c r="I203" s="72"/>
      <c r="J203" s="25"/>
      <c r="K203" s="72"/>
      <c r="L203" s="72"/>
      <c r="M203" s="26"/>
      <c r="N203" s="26"/>
      <c r="O203" s="103">
        <v>0.93490804699999996</v>
      </c>
      <c r="S203" s="425"/>
      <c r="T203" s="429"/>
      <c r="U203" s="430"/>
      <c r="V203" s="431"/>
      <c r="W203" s="431"/>
      <c r="X203" s="434"/>
      <c r="Z203" s="561"/>
    </row>
    <row r="204" spans="1:26" ht="18.95" customHeight="1">
      <c r="A204" s="558"/>
      <c r="B204" s="265"/>
      <c r="C204" s="285" t="s">
        <v>3430</v>
      </c>
      <c r="D204" s="267"/>
      <c r="E204" s="30">
        <v>9700</v>
      </c>
      <c r="F204" s="30" t="s">
        <v>3431</v>
      </c>
      <c r="G204" s="30">
        <v>26</v>
      </c>
      <c r="H204" s="25">
        <f t="shared" si="23"/>
        <v>24.307609222</v>
      </c>
      <c r="I204" s="30">
        <f t="shared" ref="I204:I215" si="32">E204*H204</f>
        <v>235783.8094534</v>
      </c>
      <c r="J204" s="30">
        <v>7.8</v>
      </c>
      <c r="K204" s="72">
        <f t="shared" si="25"/>
        <v>7.2922827665999996</v>
      </c>
      <c r="L204" s="72">
        <f t="shared" ref="L204:L215" si="33">E204*K204</f>
        <v>70735.142836019993</v>
      </c>
      <c r="M204" s="30">
        <f>I204+L204</f>
        <v>306518.95228942001</v>
      </c>
      <c r="N204" s="30"/>
      <c r="O204" s="103">
        <v>0.93490804699999996</v>
      </c>
      <c r="S204" s="423"/>
      <c r="T204" s="426"/>
      <c r="U204" s="422"/>
      <c r="V204" s="423"/>
      <c r="W204" s="423"/>
      <c r="X204" s="427"/>
      <c r="Z204" s="561"/>
    </row>
    <row r="205" spans="1:26" ht="18.95" customHeight="1">
      <c r="A205" s="558"/>
      <c r="B205" s="352"/>
      <c r="C205" s="285" t="s">
        <v>3432</v>
      </c>
      <c r="D205" s="267"/>
      <c r="E205" s="30">
        <v>10000</v>
      </c>
      <c r="F205" s="30" t="s">
        <v>3431</v>
      </c>
      <c r="G205" s="30">
        <v>20</v>
      </c>
      <c r="H205" s="25">
        <f t="shared" si="23"/>
        <v>18.698160940000001</v>
      </c>
      <c r="I205" s="30">
        <f t="shared" si="32"/>
        <v>186981.60940000002</v>
      </c>
      <c r="J205" s="30">
        <v>6</v>
      </c>
      <c r="K205" s="72">
        <f t="shared" si="25"/>
        <v>5.6094482819999998</v>
      </c>
      <c r="L205" s="72">
        <f t="shared" si="33"/>
        <v>56094.482819999997</v>
      </c>
      <c r="M205" s="30">
        <f>I205+L205</f>
        <v>243076.09222000002</v>
      </c>
      <c r="N205" s="30"/>
      <c r="O205" s="103">
        <v>0.93490804699999996</v>
      </c>
      <c r="S205" s="423"/>
      <c r="T205" s="426"/>
      <c r="U205" s="422"/>
      <c r="V205" s="423"/>
      <c r="W205" s="423"/>
      <c r="X205" s="427"/>
      <c r="Z205" s="561"/>
    </row>
    <row r="206" spans="1:26" ht="18.95" customHeight="1">
      <c r="A206" s="558"/>
      <c r="B206" s="352"/>
      <c r="C206" s="285" t="s">
        <v>3433</v>
      </c>
      <c r="D206" s="267"/>
      <c r="E206" s="30">
        <v>23700</v>
      </c>
      <c r="F206" s="30" t="s">
        <v>3431</v>
      </c>
      <c r="G206" s="30">
        <v>15</v>
      </c>
      <c r="H206" s="25">
        <f t="shared" si="23"/>
        <v>14.023620704999999</v>
      </c>
      <c r="I206" s="30">
        <f t="shared" si="32"/>
        <v>332359.81070849998</v>
      </c>
      <c r="J206" s="30">
        <v>4.5</v>
      </c>
      <c r="K206" s="72">
        <f t="shared" si="25"/>
        <v>4.2070862115000001</v>
      </c>
      <c r="L206" s="72">
        <f t="shared" si="33"/>
        <v>99707.943212550002</v>
      </c>
      <c r="M206" s="30">
        <f>I206+L206</f>
        <v>432067.75392105</v>
      </c>
      <c r="N206" s="30"/>
      <c r="O206" s="103">
        <v>0.93490804699999996</v>
      </c>
      <c r="S206" s="423"/>
      <c r="T206" s="426"/>
      <c r="U206" s="422"/>
      <c r="V206" s="423"/>
      <c r="W206" s="423"/>
      <c r="X206" s="427"/>
      <c r="Z206" s="561"/>
    </row>
    <row r="207" spans="1:26" ht="18.95" customHeight="1">
      <c r="A207" s="558"/>
      <c r="B207" s="265">
        <v>4.2</v>
      </c>
      <c r="C207" s="285" t="s">
        <v>3434</v>
      </c>
      <c r="D207" s="267"/>
      <c r="E207" s="25"/>
      <c r="F207" s="26"/>
      <c r="G207" s="72"/>
      <c r="H207" s="25"/>
      <c r="I207" s="30"/>
      <c r="J207" s="30"/>
      <c r="K207" s="72"/>
      <c r="L207" s="72"/>
      <c r="M207" s="26"/>
      <c r="N207" s="26"/>
      <c r="O207" s="103">
        <v>0.93490804699999996</v>
      </c>
      <c r="S207" s="423"/>
      <c r="T207" s="426"/>
      <c r="U207" s="422"/>
      <c r="V207" s="423"/>
      <c r="W207" s="423"/>
      <c r="X207" s="427"/>
      <c r="Z207" s="572"/>
    </row>
    <row r="208" spans="1:26" ht="18.95" customHeight="1">
      <c r="A208" s="558"/>
      <c r="B208" s="352"/>
      <c r="C208" s="285" t="s">
        <v>3435</v>
      </c>
      <c r="D208" s="267"/>
      <c r="E208" s="30">
        <v>41500</v>
      </c>
      <c r="F208" s="30" t="s">
        <v>3431</v>
      </c>
      <c r="G208" s="384">
        <v>30</v>
      </c>
      <c r="H208" s="25">
        <f t="shared" si="23"/>
        <v>28.047241409999998</v>
      </c>
      <c r="I208" s="30">
        <f t="shared" si="32"/>
        <v>1163960.5185149999</v>
      </c>
      <c r="J208" s="384">
        <v>20</v>
      </c>
      <c r="K208" s="72">
        <f t="shared" si="25"/>
        <v>18.698160940000001</v>
      </c>
      <c r="L208" s="72">
        <f t="shared" si="33"/>
        <v>775973.67901000008</v>
      </c>
      <c r="M208" s="384">
        <f t="shared" ref="M208:M216" si="34">I208+L208</f>
        <v>1939934.197525</v>
      </c>
      <c r="N208" s="30"/>
      <c r="O208" s="103">
        <v>0.93490804699999996</v>
      </c>
      <c r="S208" s="422"/>
      <c r="T208" s="426"/>
      <c r="U208" s="422"/>
      <c r="V208" s="423"/>
      <c r="W208" s="422"/>
      <c r="X208" s="422"/>
      <c r="Z208" s="572"/>
    </row>
    <row r="209" spans="1:26" ht="18.95" customHeight="1">
      <c r="A209" s="558"/>
      <c r="B209" s="265">
        <v>4.3</v>
      </c>
      <c r="C209" s="285" t="s">
        <v>3436</v>
      </c>
      <c r="D209" s="417"/>
      <c r="E209" s="25">
        <v>1</v>
      </c>
      <c r="F209" s="1188" t="s">
        <v>2193</v>
      </c>
      <c r="G209" s="72">
        <v>500000</v>
      </c>
      <c r="H209" s="25">
        <f t="shared" si="23"/>
        <v>467454.02350000001</v>
      </c>
      <c r="I209" s="30">
        <f t="shared" si="32"/>
        <v>467454.02350000001</v>
      </c>
      <c r="J209" s="25">
        <v>150000</v>
      </c>
      <c r="K209" s="72">
        <f t="shared" si="25"/>
        <v>140236.20705</v>
      </c>
      <c r="L209" s="72">
        <f t="shared" si="33"/>
        <v>140236.20705</v>
      </c>
      <c r="M209" s="72">
        <f t="shared" si="34"/>
        <v>607690.23054999998</v>
      </c>
      <c r="N209" s="26"/>
      <c r="O209" s="103">
        <v>0.93490804699999996</v>
      </c>
      <c r="S209" s="422"/>
      <c r="T209" s="426"/>
      <c r="U209" s="422"/>
      <c r="V209" s="423"/>
      <c r="W209" s="422"/>
      <c r="X209" s="422"/>
      <c r="Z209" s="572"/>
    </row>
    <row r="210" spans="1:26" ht="18.95" customHeight="1">
      <c r="A210" s="558"/>
      <c r="B210" s="265">
        <v>4.4000000000000004</v>
      </c>
      <c r="C210" s="285" t="s">
        <v>3437</v>
      </c>
      <c r="D210" s="417"/>
      <c r="E210" s="25">
        <v>1</v>
      </c>
      <c r="F210" s="1188" t="s">
        <v>349</v>
      </c>
      <c r="G210" s="72">
        <v>196125</v>
      </c>
      <c r="H210" s="25">
        <f t="shared" si="23"/>
        <v>183358.84071787499</v>
      </c>
      <c r="I210" s="30">
        <f t="shared" si="32"/>
        <v>183358.84071787499</v>
      </c>
      <c r="J210" s="25">
        <v>58837.5</v>
      </c>
      <c r="K210" s="72">
        <f t="shared" si="25"/>
        <v>55007.652215362497</v>
      </c>
      <c r="L210" s="72">
        <f t="shared" si="33"/>
        <v>55007.652215362497</v>
      </c>
      <c r="M210" s="72">
        <f t="shared" si="34"/>
        <v>238366.49293323749</v>
      </c>
      <c r="N210" s="30"/>
      <c r="O210" s="103">
        <v>0.93490804699999996</v>
      </c>
      <c r="S210" s="423"/>
      <c r="T210" s="570"/>
      <c r="U210" s="422"/>
      <c r="V210" s="423"/>
      <c r="W210" s="423"/>
      <c r="X210" s="422"/>
      <c r="Z210" s="561"/>
    </row>
    <row r="211" spans="1:26" ht="18.95" customHeight="1">
      <c r="A211" s="558"/>
      <c r="B211" s="265">
        <v>4.5</v>
      </c>
      <c r="C211" s="285" t="s">
        <v>3438</v>
      </c>
      <c r="D211" s="417"/>
      <c r="E211" s="25">
        <v>1</v>
      </c>
      <c r="F211" s="1188" t="s">
        <v>2193</v>
      </c>
      <c r="G211" s="72">
        <v>200000</v>
      </c>
      <c r="H211" s="25">
        <f t="shared" si="23"/>
        <v>186981.60939999999</v>
      </c>
      <c r="I211" s="30">
        <f t="shared" si="32"/>
        <v>186981.60939999999</v>
      </c>
      <c r="J211" s="25">
        <v>60000</v>
      </c>
      <c r="K211" s="72">
        <f t="shared" si="25"/>
        <v>56094.482819999997</v>
      </c>
      <c r="L211" s="72">
        <f t="shared" si="33"/>
        <v>56094.482819999997</v>
      </c>
      <c r="M211" s="72">
        <f t="shared" si="34"/>
        <v>243076.09221999999</v>
      </c>
      <c r="N211" s="26"/>
      <c r="O211" s="103">
        <v>0.93490804699999996</v>
      </c>
      <c r="S211" s="422"/>
      <c r="T211" s="426"/>
      <c r="U211" s="422"/>
      <c r="V211" s="423"/>
      <c r="W211" s="422"/>
      <c r="X211" s="422"/>
      <c r="Z211" s="561"/>
    </row>
    <row r="212" spans="1:26" ht="18.95" customHeight="1">
      <c r="A212" s="558"/>
      <c r="B212" s="265">
        <v>4.5999999999999996</v>
      </c>
      <c r="C212" s="285" t="s">
        <v>3439</v>
      </c>
      <c r="D212" s="417"/>
      <c r="E212" s="25">
        <v>1</v>
      </c>
      <c r="F212" s="1188" t="s">
        <v>2193</v>
      </c>
      <c r="G212" s="72">
        <v>100000</v>
      </c>
      <c r="H212" s="25">
        <f t="shared" si="23"/>
        <v>93490.804699999993</v>
      </c>
      <c r="I212" s="30">
        <f t="shared" si="32"/>
        <v>93490.804699999993</v>
      </c>
      <c r="J212" s="25">
        <v>30000</v>
      </c>
      <c r="K212" s="72">
        <f t="shared" si="25"/>
        <v>28047.241409999999</v>
      </c>
      <c r="L212" s="72">
        <f t="shared" si="33"/>
        <v>28047.241409999999</v>
      </c>
      <c r="M212" s="72">
        <f t="shared" si="34"/>
        <v>121538.04611</v>
      </c>
      <c r="N212" s="26"/>
      <c r="O212" s="103">
        <v>0.93490804699999996</v>
      </c>
      <c r="S212" s="422"/>
      <c r="T212" s="426"/>
      <c r="U212" s="422"/>
      <c r="V212" s="423"/>
      <c r="W212" s="422"/>
      <c r="X212" s="422"/>
      <c r="Z212" s="561"/>
    </row>
    <row r="213" spans="1:26" ht="18.95" customHeight="1">
      <c r="A213" s="558"/>
      <c r="B213" s="265">
        <v>4.7</v>
      </c>
      <c r="C213" s="285" t="s">
        <v>3048</v>
      </c>
      <c r="D213" s="417"/>
      <c r="E213" s="25">
        <v>1</v>
      </c>
      <c r="F213" s="1188" t="s">
        <v>2193</v>
      </c>
      <c r="G213" s="72">
        <v>678060</v>
      </c>
      <c r="H213" s="25">
        <f t="shared" ref="H213:H274" si="35">G213*O213</f>
        <v>633923.75034882</v>
      </c>
      <c r="I213" s="30">
        <f t="shared" si="32"/>
        <v>633923.75034882</v>
      </c>
      <c r="J213" s="25">
        <v>203418</v>
      </c>
      <c r="K213" s="72">
        <f t="shared" si="25"/>
        <v>190177.12510464599</v>
      </c>
      <c r="L213" s="72">
        <f t="shared" si="33"/>
        <v>190177.12510464599</v>
      </c>
      <c r="M213" s="72">
        <f t="shared" si="34"/>
        <v>824100.87545346597</v>
      </c>
      <c r="N213" s="26"/>
      <c r="O213" s="103">
        <v>0.93490804699999996</v>
      </c>
      <c r="S213" s="422"/>
      <c r="T213" s="426"/>
      <c r="U213" s="422"/>
      <c r="V213" s="423"/>
      <c r="W213" s="422"/>
      <c r="X213" s="422"/>
      <c r="Z213" s="561"/>
    </row>
    <row r="214" spans="1:26" ht="18.95" customHeight="1">
      <c r="A214" s="558"/>
      <c r="B214" s="265">
        <v>4.8</v>
      </c>
      <c r="C214" s="285" t="s">
        <v>3049</v>
      </c>
      <c r="D214" s="417"/>
      <c r="E214" s="25">
        <v>1</v>
      </c>
      <c r="F214" s="1188" t="s">
        <v>2193</v>
      </c>
      <c r="G214" s="72">
        <v>452040</v>
      </c>
      <c r="H214" s="25">
        <f t="shared" si="35"/>
        <v>422615.83356587996</v>
      </c>
      <c r="I214" s="30">
        <f t="shared" si="32"/>
        <v>422615.83356587996</v>
      </c>
      <c r="J214" s="25">
        <v>135612</v>
      </c>
      <c r="K214" s="72">
        <f t="shared" si="25"/>
        <v>126784.75006976399</v>
      </c>
      <c r="L214" s="72">
        <f t="shared" si="33"/>
        <v>126784.75006976399</v>
      </c>
      <c r="M214" s="72">
        <f t="shared" si="34"/>
        <v>549400.58363564394</v>
      </c>
      <c r="N214" s="26"/>
      <c r="O214" s="103">
        <v>0.93490804699999996</v>
      </c>
      <c r="S214" s="422"/>
      <c r="T214" s="426"/>
      <c r="U214" s="422"/>
      <c r="V214" s="423"/>
      <c r="W214" s="422"/>
      <c r="X214" s="422"/>
      <c r="Z214" s="561"/>
    </row>
    <row r="215" spans="1:26" ht="18.95" customHeight="1">
      <c r="A215" s="558"/>
      <c r="B215" s="265">
        <v>4.9000000000000004</v>
      </c>
      <c r="C215" s="285" t="s">
        <v>3050</v>
      </c>
      <c r="D215" s="267"/>
      <c r="E215" s="25">
        <v>1</v>
      </c>
      <c r="F215" s="1188" t="s">
        <v>2193</v>
      </c>
      <c r="G215" s="72">
        <v>226020</v>
      </c>
      <c r="H215" s="25">
        <f t="shared" si="35"/>
        <v>211307.91678293998</v>
      </c>
      <c r="I215" s="30">
        <f t="shared" si="32"/>
        <v>211307.91678293998</v>
      </c>
      <c r="J215" s="25">
        <v>67806</v>
      </c>
      <c r="K215" s="72">
        <f t="shared" si="25"/>
        <v>63392.375034881996</v>
      </c>
      <c r="L215" s="72">
        <f t="shared" si="33"/>
        <v>63392.375034881996</v>
      </c>
      <c r="M215" s="72">
        <f t="shared" si="34"/>
        <v>274700.29181782197</v>
      </c>
      <c r="N215" s="26"/>
      <c r="O215" s="103">
        <v>0.93490804699999996</v>
      </c>
      <c r="S215" s="422"/>
      <c r="T215" s="426"/>
      <c r="U215" s="422"/>
      <c r="V215" s="423"/>
      <c r="W215" s="422"/>
      <c r="X215" s="422"/>
      <c r="Z215" s="561"/>
    </row>
    <row r="216" spans="1:26" ht="18.95" customHeight="1">
      <c r="A216" s="558"/>
      <c r="B216" s="1275" t="s">
        <v>2021</v>
      </c>
      <c r="C216" s="1276"/>
      <c r="D216" s="1277"/>
      <c r="E216" s="34"/>
      <c r="F216" s="35"/>
      <c r="G216" s="34"/>
      <c r="H216" s="25"/>
      <c r="I216" s="34">
        <f>SUM(I204:I215)</f>
        <v>4118218.5270924149</v>
      </c>
      <c r="J216" s="34"/>
      <c r="K216" s="72"/>
      <c r="L216" s="34">
        <f>SUM(L204:L215)</f>
        <v>1662251.0815832247</v>
      </c>
      <c r="M216" s="34">
        <f t="shared" si="34"/>
        <v>5780469.6086756401</v>
      </c>
      <c r="N216" s="35"/>
      <c r="O216" s="103">
        <v>0.93490804699999996</v>
      </c>
      <c r="S216" s="425"/>
      <c r="T216" s="571"/>
      <c r="U216" s="425"/>
      <c r="V216" s="425"/>
      <c r="W216" s="425"/>
      <c r="X216" s="425"/>
      <c r="Z216" s="561"/>
    </row>
    <row r="217" spans="1:26" ht="18.95" customHeight="1">
      <c r="A217" s="558"/>
      <c r="B217" s="256"/>
      <c r="C217" s="257"/>
      <c r="D217" s="258"/>
      <c r="E217" s="34"/>
      <c r="F217" s="35"/>
      <c r="G217" s="34"/>
      <c r="H217" s="25"/>
      <c r="I217" s="34"/>
      <c r="J217" s="34"/>
      <c r="K217" s="72"/>
      <c r="L217" s="34"/>
      <c r="M217" s="34"/>
      <c r="N217" s="35"/>
      <c r="O217" s="103">
        <v>0.93490804699999996</v>
      </c>
      <c r="S217" s="425"/>
      <c r="T217" s="571"/>
      <c r="U217" s="425"/>
      <c r="V217" s="425"/>
      <c r="W217" s="425"/>
      <c r="X217" s="425"/>
      <c r="Z217" s="561"/>
    </row>
    <row r="218" spans="1:26" ht="18.95" customHeight="1">
      <c r="A218" s="224">
        <v>5</v>
      </c>
      <c r="B218" s="562" t="s">
        <v>3230</v>
      </c>
      <c r="C218" s="221"/>
      <c r="D218" s="24"/>
      <c r="E218" s="25"/>
      <c r="F218" s="26"/>
      <c r="G218" s="72"/>
      <c r="H218" s="25"/>
      <c r="I218" s="72"/>
      <c r="J218" s="25"/>
      <c r="K218" s="72"/>
      <c r="L218" s="72"/>
      <c r="M218" s="26"/>
      <c r="N218" s="26"/>
      <c r="O218" s="103">
        <v>0.93490804699999996</v>
      </c>
      <c r="S218" s="425"/>
      <c r="T218" s="571"/>
      <c r="U218" s="425"/>
      <c r="V218" s="425"/>
      <c r="W218" s="425"/>
      <c r="X218" s="425"/>
      <c r="Z218" s="561"/>
    </row>
    <row r="219" spans="1:26" ht="18.95" customHeight="1">
      <c r="A219" s="224"/>
      <c r="B219" s="562"/>
      <c r="C219" s="221"/>
      <c r="D219" s="24"/>
      <c r="E219" s="25"/>
      <c r="F219" s="26"/>
      <c r="G219" s="72"/>
      <c r="H219" s="25"/>
      <c r="I219" s="72"/>
      <c r="J219" s="25"/>
      <c r="K219" s="72"/>
      <c r="L219" s="72"/>
      <c r="M219" s="26"/>
      <c r="N219" s="26"/>
      <c r="O219" s="103">
        <v>0.93490804699999996</v>
      </c>
      <c r="P219" s="1286"/>
      <c r="Q219" s="1286"/>
      <c r="R219" s="1286"/>
      <c r="S219" s="425"/>
      <c r="T219" s="571"/>
      <c r="U219" s="425"/>
      <c r="V219" s="425"/>
      <c r="W219" s="425"/>
      <c r="X219" s="425"/>
      <c r="Z219" s="561"/>
    </row>
    <row r="220" spans="1:26" ht="18.95" customHeight="1">
      <c r="A220" s="558"/>
      <c r="B220" s="265">
        <v>5.0999999999999996</v>
      </c>
      <c r="C220" s="285" t="s">
        <v>3440</v>
      </c>
      <c r="D220" s="267"/>
      <c r="E220" s="25"/>
      <c r="F220" s="26"/>
      <c r="G220" s="72"/>
      <c r="H220" s="25"/>
      <c r="I220" s="72"/>
      <c r="J220" s="25"/>
      <c r="K220" s="72"/>
      <c r="L220" s="72"/>
      <c r="M220" s="26"/>
      <c r="N220" s="26"/>
      <c r="O220" s="103">
        <v>0.93490804699999996</v>
      </c>
      <c r="P220" s="154"/>
      <c r="Q220" s="205"/>
      <c r="R220" s="205"/>
      <c r="S220" s="423"/>
      <c r="T220" s="426"/>
      <c r="U220" s="422"/>
      <c r="V220" s="423"/>
      <c r="W220" s="423"/>
      <c r="X220" s="427"/>
      <c r="Z220" s="561"/>
    </row>
    <row r="221" spans="1:26" ht="18.95" customHeight="1">
      <c r="A221" s="558"/>
      <c r="B221" s="352"/>
      <c r="C221" s="285" t="s">
        <v>3441</v>
      </c>
      <c r="D221" s="567"/>
      <c r="E221" s="30">
        <v>53</v>
      </c>
      <c r="F221" s="1188" t="s">
        <v>349</v>
      </c>
      <c r="G221" s="30">
        <v>210</v>
      </c>
      <c r="H221" s="25">
        <f t="shared" si="35"/>
        <v>196.33068986999999</v>
      </c>
      <c r="I221" s="30">
        <f t="shared" ref="I221:I260" si="36">E221*H221</f>
        <v>10405.526563109999</v>
      </c>
      <c r="J221" s="30">
        <v>150</v>
      </c>
      <c r="K221" s="72">
        <f t="shared" si="25"/>
        <v>140.23620704999999</v>
      </c>
      <c r="L221" s="72">
        <f t="shared" ref="L221:L260" si="37">E221*K221</f>
        <v>7432.5189736499997</v>
      </c>
      <c r="M221" s="30">
        <f>I221+L221</f>
        <v>17838.045536760001</v>
      </c>
      <c r="N221" s="25"/>
      <c r="O221" s="103">
        <v>0.93490804699999996</v>
      </c>
      <c r="P221" s="154"/>
      <c r="R221" s="205"/>
      <c r="S221" s="423"/>
      <c r="T221" s="426"/>
      <c r="U221" s="422"/>
      <c r="V221" s="423"/>
      <c r="W221" s="423"/>
      <c r="X221" s="427"/>
      <c r="Z221" s="561"/>
    </row>
    <row r="222" spans="1:26" ht="18.95" customHeight="1">
      <c r="A222" s="558"/>
      <c r="B222" s="265">
        <v>5.2</v>
      </c>
      <c r="C222" s="285" t="s">
        <v>3442</v>
      </c>
      <c r="D222" s="267"/>
      <c r="E222" s="25"/>
      <c r="F222" s="26"/>
      <c r="G222" s="30"/>
      <c r="H222" s="25"/>
      <c r="I222" s="30"/>
      <c r="J222" s="25"/>
      <c r="K222" s="72"/>
      <c r="L222" s="72"/>
      <c r="M222" s="26"/>
      <c r="N222" s="26"/>
      <c r="O222" s="103">
        <v>0.93490804699999996</v>
      </c>
      <c r="P222" s="154"/>
      <c r="R222" s="205"/>
      <c r="S222" s="423"/>
      <c r="T222" s="426"/>
      <c r="U222" s="422"/>
      <c r="V222" s="423"/>
      <c r="W222" s="423"/>
      <c r="X222" s="427"/>
      <c r="Z222" s="561"/>
    </row>
    <row r="223" spans="1:26" ht="18.95" customHeight="1">
      <c r="A223" s="558"/>
      <c r="B223" s="352"/>
      <c r="C223" s="285" t="s">
        <v>3443</v>
      </c>
      <c r="D223" s="267"/>
      <c r="E223" s="30">
        <v>1</v>
      </c>
      <c r="F223" s="1188" t="s">
        <v>349</v>
      </c>
      <c r="G223" s="30">
        <v>871</v>
      </c>
      <c r="H223" s="25">
        <f t="shared" si="35"/>
        <v>814.30490893699994</v>
      </c>
      <c r="I223" s="30">
        <f t="shared" si="36"/>
        <v>814.30490893699994</v>
      </c>
      <c r="J223" s="30">
        <v>150</v>
      </c>
      <c r="K223" s="72">
        <f t="shared" si="25"/>
        <v>140.23620704999999</v>
      </c>
      <c r="L223" s="72">
        <f t="shared" si="37"/>
        <v>140.23620704999999</v>
      </c>
      <c r="M223" s="30">
        <f t="shared" ref="M223:M228" si="38">I223+L223</f>
        <v>954.5411159869999</v>
      </c>
      <c r="N223" s="25"/>
      <c r="O223" s="103">
        <v>0.93490804699999996</v>
      </c>
      <c r="P223" s="154"/>
      <c r="R223" s="205"/>
      <c r="S223" s="423"/>
      <c r="T223" s="426"/>
      <c r="U223" s="422"/>
      <c r="V223" s="423"/>
      <c r="W223" s="423"/>
      <c r="X223" s="427"/>
      <c r="Z223" s="561"/>
    </row>
    <row r="224" spans="1:26" ht="18.95" customHeight="1">
      <c r="A224" s="558"/>
      <c r="B224" s="352"/>
      <c r="C224" s="285" t="s">
        <v>3444</v>
      </c>
      <c r="D224" s="267"/>
      <c r="E224" s="30">
        <v>5</v>
      </c>
      <c r="F224" s="1188" t="s">
        <v>349</v>
      </c>
      <c r="G224" s="30">
        <v>695.5</v>
      </c>
      <c r="H224" s="25">
        <f t="shared" si="35"/>
        <v>650.22854668849993</v>
      </c>
      <c r="I224" s="30">
        <f t="shared" si="36"/>
        <v>3251.1427334424998</v>
      </c>
      <c r="J224" s="30">
        <v>150</v>
      </c>
      <c r="K224" s="72">
        <f t="shared" si="25"/>
        <v>140.23620704999999</v>
      </c>
      <c r="L224" s="72">
        <f t="shared" si="37"/>
        <v>701.18103524999992</v>
      </c>
      <c r="M224" s="30">
        <f t="shared" si="38"/>
        <v>3952.3237686924995</v>
      </c>
      <c r="N224" s="25"/>
      <c r="O224" s="103">
        <v>0.93490804699999996</v>
      </c>
      <c r="P224" s="154"/>
      <c r="R224" s="205"/>
      <c r="S224" s="423"/>
      <c r="T224" s="426"/>
      <c r="U224" s="422"/>
      <c r="V224" s="423"/>
      <c r="W224" s="423"/>
      <c r="X224" s="427"/>
      <c r="Z224" s="561"/>
    </row>
    <row r="225" spans="1:26" ht="18.95" customHeight="1">
      <c r="A225" s="558"/>
      <c r="B225" s="352"/>
      <c r="C225" s="285" t="s">
        <v>3445</v>
      </c>
      <c r="D225" s="267"/>
      <c r="E225" s="30">
        <v>2</v>
      </c>
      <c r="F225" s="1188" t="s">
        <v>349</v>
      </c>
      <c r="G225" s="30">
        <v>455</v>
      </c>
      <c r="H225" s="25">
        <f t="shared" si="35"/>
        <v>425.38316138499999</v>
      </c>
      <c r="I225" s="30">
        <f t="shared" si="36"/>
        <v>850.76632276999999</v>
      </c>
      <c r="J225" s="30">
        <v>150</v>
      </c>
      <c r="K225" s="72">
        <f t="shared" si="25"/>
        <v>140.23620704999999</v>
      </c>
      <c r="L225" s="72">
        <f t="shared" si="37"/>
        <v>280.47241409999998</v>
      </c>
      <c r="M225" s="30">
        <f t="shared" si="38"/>
        <v>1131.2387368699999</v>
      </c>
      <c r="N225" s="25"/>
      <c r="O225" s="103">
        <v>0.93490804699999996</v>
      </c>
      <c r="P225" s="154"/>
      <c r="R225" s="205"/>
      <c r="S225" s="423"/>
      <c r="T225" s="426"/>
      <c r="U225" s="422"/>
      <c r="V225" s="423"/>
      <c r="W225" s="423"/>
      <c r="X225" s="427"/>
      <c r="Z225" s="561"/>
    </row>
    <row r="226" spans="1:26" ht="18.95" customHeight="1">
      <c r="A226" s="558"/>
      <c r="B226" s="352"/>
      <c r="C226" s="285" t="s">
        <v>3446</v>
      </c>
      <c r="D226" s="267"/>
      <c r="E226" s="30">
        <v>1</v>
      </c>
      <c r="F226" s="1188" t="s">
        <v>349</v>
      </c>
      <c r="G226" s="30">
        <v>409.5</v>
      </c>
      <c r="H226" s="25">
        <f t="shared" si="35"/>
        <v>382.84484524649997</v>
      </c>
      <c r="I226" s="30">
        <f t="shared" si="36"/>
        <v>382.84484524649997</v>
      </c>
      <c r="J226" s="30">
        <v>150</v>
      </c>
      <c r="K226" s="72">
        <f t="shared" si="25"/>
        <v>140.23620704999999</v>
      </c>
      <c r="L226" s="72">
        <f t="shared" si="37"/>
        <v>140.23620704999999</v>
      </c>
      <c r="M226" s="30">
        <f t="shared" si="38"/>
        <v>523.08105229649993</v>
      </c>
      <c r="N226" s="25"/>
      <c r="O226" s="103">
        <v>0.93490804699999996</v>
      </c>
      <c r="P226" s="154"/>
      <c r="R226" s="205"/>
      <c r="S226" s="423"/>
      <c r="T226" s="426"/>
      <c r="U226" s="422"/>
      <c r="V226" s="423"/>
      <c r="W226" s="423"/>
      <c r="X226" s="427"/>
      <c r="Z226" s="561"/>
    </row>
    <row r="227" spans="1:26" ht="18.95" customHeight="1">
      <c r="A227" s="558"/>
      <c r="B227" s="352"/>
      <c r="C227" s="285" t="s">
        <v>3447</v>
      </c>
      <c r="D227" s="267"/>
      <c r="E227" s="30">
        <v>1</v>
      </c>
      <c r="F227" s="1188" t="s">
        <v>349</v>
      </c>
      <c r="G227" s="30">
        <v>357.5</v>
      </c>
      <c r="H227" s="25">
        <f t="shared" si="35"/>
        <v>334.22962680249998</v>
      </c>
      <c r="I227" s="30">
        <f t="shared" si="36"/>
        <v>334.22962680249998</v>
      </c>
      <c r="J227" s="30">
        <v>150</v>
      </c>
      <c r="K227" s="72">
        <f t="shared" ref="K227:K290" si="39">J227*O227</f>
        <v>140.23620704999999</v>
      </c>
      <c r="L227" s="72">
        <f t="shared" si="37"/>
        <v>140.23620704999999</v>
      </c>
      <c r="M227" s="30">
        <f t="shared" si="38"/>
        <v>474.46583385249994</v>
      </c>
      <c r="N227" s="25"/>
      <c r="O227" s="103">
        <v>0.93490804699999996</v>
      </c>
      <c r="P227" s="154"/>
      <c r="R227" s="205"/>
      <c r="S227" s="423"/>
      <c r="T227" s="426"/>
      <c r="U227" s="422"/>
      <c r="V227" s="423"/>
      <c r="W227" s="423"/>
      <c r="X227" s="427"/>
      <c r="Z227" s="561"/>
    </row>
    <row r="228" spans="1:26" ht="18.95" customHeight="1">
      <c r="A228" s="558"/>
      <c r="B228" s="352"/>
      <c r="C228" s="285" t="s">
        <v>3448</v>
      </c>
      <c r="D228" s="267"/>
      <c r="E228" s="30">
        <v>6</v>
      </c>
      <c r="F228" s="1188" t="s">
        <v>349</v>
      </c>
      <c r="G228" s="30">
        <v>279.5</v>
      </c>
      <c r="H228" s="25">
        <f t="shared" si="35"/>
        <v>261.30679913649999</v>
      </c>
      <c r="I228" s="30">
        <f t="shared" si="36"/>
        <v>1567.8407948189999</v>
      </c>
      <c r="J228" s="30">
        <v>150</v>
      </c>
      <c r="K228" s="72">
        <f t="shared" si="39"/>
        <v>140.23620704999999</v>
      </c>
      <c r="L228" s="72">
        <f t="shared" si="37"/>
        <v>841.4172423</v>
      </c>
      <c r="M228" s="30">
        <f t="shared" si="38"/>
        <v>2409.2580371189997</v>
      </c>
      <c r="N228" s="25"/>
      <c r="O228" s="103">
        <v>0.93490804699999996</v>
      </c>
      <c r="P228" s="154"/>
      <c r="R228" s="205"/>
      <c r="S228" s="423"/>
      <c r="T228" s="426"/>
      <c r="U228" s="422"/>
      <c r="V228" s="423"/>
      <c r="W228" s="423"/>
      <c r="X228" s="427"/>
      <c r="Z228" s="561"/>
    </row>
    <row r="229" spans="1:26" ht="18.95" customHeight="1">
      <c r="A229" s="558"/>
      <c r="B229" s="265">
        <v>5.3</v>
      </c>
      <c r="C229" s="285" t="s">
        <v>3449</v>
      </c>
      <c r="D229" s="267"/>
      <c r="E229" s="25"/>
      <c r="F229" s="26"/>
      <c r="G229" s="30"/>
      <c r="H229" s="25"/>
      <c r="I229" s="30"/>
      <c r="J229" s="30"/>
      <c r="K229" s="72"/>
      <c r="L229" s="72"/>
      <c r="M229" s="30"/>
      <c r="N229" s="26"/>
      <c r="O229" s="103">
        <v>0.93490804699999996</v>
      </c>
      <c r="P229" s="154"/>
      <c r="R229" s="205"/>
      <c r="S229" s="423"/>
      <c r="T229" s="426"/>
      <c r="U229" s="422"/>
      <c r="V229" s="423"/>
      <c r="W229" s="423"/>
      <c r="X229" s="427"/>
      <c r="Z229" s="561"/>
    </row>
    <row r="230" spans="1:26" ht="18.95" customHeight="1">
      <c r="A230" s="558"/>
      <c r="B230" s="352"/>
      <c r="C230" s="285" t="s">
        <v>3450</v>
      </c>
      <c r="D230" s="267"/>
      <c r="E230" s="30">
        <v>210</v>
      </c>
      <c r="F230" s="26" t="s">
        <v>349</v>
      </c>
      <c r="G230" s="30">
        <v>1943.5</v>
      </c>
      <c r="H230" s="25">
        <f t="shared" si="35"/>
        <v>1816.9937893444999</v>
      </c>
      <c r="I230" s="30">
        <f t="shared" si="36"/>
        <v>381568.69576234499</v>
      </c>
      <c r="J230" s="30">
        <v>150</v>
      </c>
      <c r="K230" s="72">
        <f t="shared" si="39"/>
        <v>140.23620704999999</v>
      </c>
      <c r="L230" s="72">
        <f t="shared" si="37"/>
        <v>29449.603480499998</v>
      </c>
      <c r="M230" s="30">
        <f>I230+L230</f>
        <v>411018.29924284498</v>
      </c>
      <c r="N230" s="25"/>
      <c r="O230" s="103">
        <v>0.93490804699999996</v>
      </c>
      <c r="P230" s="154"/>
      <c r="R230" s="205"/>
      <c r="S230" s="423"/>
      <c r="T230" s="426"/>
      <c r="U230" s="422"/>
      <c r="V230" s="423"/>
      <c r="W230" s="423"/>
      <c r="X230" s="427"/>
      <c r="Z230" s="561"/>
    </row>
    <row r="231" spans="1:26" ht="18.95" customHeight="1">
      <c r="A231" s="558"/>
      <c r="B231" s="265">
        <v>5.4</v>
      </c>
      <c r="C231" s="285" t="s">
        <v>3451</v>
      </c>
      <c r="D231" s="267"/>
      <c r="E231" s="25"/>
      <c r="F231" s="26"/>
      <c r="G231" s="30"/>
      <c r="H231" s="25"/>
      <c r="I231" s="30"/>
      <c r="J231" s="30"/>
      <c r="K231" s="72"/>
      <c r="L231" s="72"/>
      <c r="M231" s="30"/>
      <c r="N231" s="26"/>
      <c r="O231" s="103">
        <v>0.93490804699999996</v>
      </c>
      <c r="P231" s="154"/>
      <c r="R231" s="205"/>
      <c r="S231" s="423"/>
      <c r="T231" s="426"/>
      <c r="U231" s="422"/>
      <c r="V231" s="423"/>
      <c r="W231" s="423"/>
      <c r="X231" s="427"/>
      <c r="Z231" s="561"/>
    </row>
    <row r="232" spans="1:26" ht="18.95" customHeight="1">
      <c r="A232" s="558"/>
      <c r="B232" s="352"/>
      <c r="C232" s="285" t="s">
        <v>3452</v>
      </c>
      <c r="D232" s="267"/>
      <c r="E232" s="30">
        <v>24</v>
      </c>
      <c r="F232" s="26" t="s">
        <v>349</v>
      </c>
      <c r="G232" s="30">
        <v>2400</v>
      </c>
      <c r="H232" s="25">
        <f t="shared" si="35"/>
        <v>2243.7793127999998</v>
      </c>
      <c r="I232" s="30">
        <f t="shared" si="36"/>
        <v>53850.7035072</v>
      </c>
      <c r="J232" s="30">
        <v>150</v>
      </c>
      <c r="K232" s="72">
        <f t="shared" si="39"/>
        <v>140.23620704999999</v>
      </c>
      <c r="L232" s="72">
        <f t="shared" si="37"/>
        <v>3365.6689692</v>
      </c>
      <c r="M232" s="30">
        <f>I232+L232</f>
        <v>57216.3724764</v>
      </c>
      <c r="N232" s="26"/>
      <c r="O232" s="103">
        <v>0.93490804699999996</v>
      </c>
      <c r="P232" s="154"/>
      <c r="R232" s="205"/>
      <c r="S232" s="423"/>
      <c r="T232" s="426"/>
      <c r="U232" s="422"/>
      <c r="V232" s="423"/>
      <c r="W232" s="423"/>
      <c r="X232" s="427"/>
      <c r="Z232" s="561"/>
    </row>
    <row r="233" spans="1:26" ht="18.95" customHeight="1">
      <c r="A233" s="558"/>
      <c r="B233" s="265">
        <v>5.5</v>
      </c>
      <c r="C233" s="285" t="s">
        <v>3453</v>
      </c>
      <c r="D233" s="267"/>
      <c r="E233" s="25"/>
      <c r="F233" s="26"/>
      <c r="G233" s="30"/>
      <c r="H233" s="25"/>
      <c r="I233" s="30"/>
      <c r="J233" s="30"/>
      <c r="K233" s="72"/>
      <c r="L233" s="72"/>
      <c r="M233" s="30"/>
      <c r="N233" s="26"/>
      <c r="O233" s="103">
        <v>0.93490804699999996</v>
      </c>
      <c r="P233" s="154"/>
      <c r="R233" s="205"/>
      <c r="S233" s="423"/>
      <c r="T233" s="426"/>
      <c r="U233" s="422"/>
      <c r="V233" s="423"/>
      <c r="W233" s="423"/>
      <c r="X233" s="427"/>
      <c r="Z233" s="561"/>
    </row>
    <row r="234" spans="1:26" ht="18.95" customHeight="1">
      <c r="A234" s="558"/>
      <c r="B234" s="352"/>
      <c r="C234" s="285" t="s">
        <v>3454</v>
      </c>
      <c r="D234" s="267"/>
      <c r="E234" s="30">
        <v>24</v>
      </c>
      <c r="F234" s="26" t="s">
        <v>349</v>
      </c>
      <c r="G234" s="30">
        <v>12000</v>
      </c>
      <c r="H234" s="25">
        <f t="shared" si="35"/>
        <v>11218.896563999999</v>
      </c>
      <c r="I234" s="30">
        <f t="shared" si="36"/>
        <v>269253.517536</v>
      </c>
      <c r="J234" s="30">
        <v>150</v>
      </c>
      <c r="K234" s="72">
        <f t="shared" si="39"/>
        <v>140.23620704999999</v>
      </c>
      <c r="L234" s="72">
        <f t="shared" si="37"/>
        <v>3365.6689692</v>
      </c>
      <c r="M234" s="30">
        <f>I234+L234</f>
        <v>272619.18650519999</v>
      </c>
      <c r="N234" s="26"/>
      <c r="O234" s="103">
        <v>0.93490804699999996</v>
      </c>
      <c r="P234" s="154"/>
      <c r="R234" s="205"/>
      <c r="S234" s="423"/>
      <c r="T234" s="426"/>
      <c r="U234" s="422"/>
      <c r="V234" s="423"/>
      <c r="W234" s="423"/>
      <c r="X234" s="427"/>
      <c r="Z234" s="561"/>
    </row>
    <row r="235" spans="1:26" ht="18.95" customHeight="1">
      <c r="A235" s="558"/>
      <c r="B235" s="265">
        <v>5.6</v>
      </c>
      <c r="C235" s="285" t="s">
        <v>3455</v>
      </c>
      <c r="D235" s="267"/>
      <c r="E235" s="30"/>
      <c r="F235" s="26"/>
      <c r="G235" s="30"/>
      <c r="H235" s="25"/>
      <c r="I235" s="30"/>
      <c r="J235" s="30"/>
      <c r="K235" s="72"/>
      <c r="L235" s="72"/>
      <c r="M235" s="30"/>
      <c r="N235" s="26"/>
      <c r="O235" s="103">
        <v>0.93490804699999996</v>
      </c>
      <c r="P235" s="154"/>
      <c r="R235" s="205"/>
      <c r="S235" s="423"/>
      <c r="T235" s="426"/>
      <c r="U235" s="422"/>
      <c r="V235" s="423"/>
      <c r="W235" s="423"/>
      <c r="X235" s="427"/>
      <c r="Z235" s="561"/>
    </row>
    <row r="236" spans="1:26" ht="18.95" customHeight="1">
      <c r="A236" s="558"/>
      <c r="B236" s="265"/>
      <c r="C236" s="285" t="s">
        <v>3456</v>
      </c>
      <c r="D236" s="267"/>
      <c r="E236" s="30">
        <v>48</v>
      </c>
      <c r="F236" s="26" t="s">
        <v>349</v>
      </c>
      <c r="G236" s="30">
        <v>1500</v>
      </c>
      <c r="H236" s="25">
        <f t="shared" si="35"/>
        <v>1402.3620704999998</v>
      </c>
      <c r="I236" s="30">
        <f t="shared" si="36"/>
        <v>67313.379384</v>
      </c>
      <c r="J236" s="30">
        <v>150</v>
      </c>
      <c r="K236" s="72">
        <f t="shared" si="39"/>
        <v>140.23620704999999</v>
      </c>
      <c r="L236" s="72">
        <f t="shared" si="37"/>
        <v>6731.3379384</v>
      </c>
      <c r="M236" s="30">
        <f>I236+L236</f>
        <v>74044.7173224</v>
      </c>
      <c r="N236" s="26"/>
      <c r="O236" s="103">
        <v>0.93490804699999996</v>
      </c>
      <c r="P236" s="154"/>
      <c r="R236" s="205"/>
      <c r="S236" s="423"/>
      <c r="T236" s="426"/>
      <c r="U236" s="422"/>
      <c r="V236" s="423"/>
      <c r="W236" s="423"/>
      <c r="X236" s="427"/>
      <c r="Z236" s="561"/>
    </row>
    <row r="237" spans="1:26" ht="18.95" customHeight="1">
      <c r="A237" s="558"/>
      <c r="B237" s="265"/>
      <c r="C237" s="285" t="s">
        <v>3457</v>
      </c>
      <c r="D237" s="267"/>
      <c r="E237" s="30">
        <v>10</v>
      </c>
      <c r="F237" s="26" t="s">
        <v>349</v>
      </c>
      <c r="G237" s="30">
        <v>1000</v>
      </c>
      <c r="H237" s="25">
        <f t="shared" si="35"/>
        <v>934.90804700000001</v>
      </c>
      <c r="I237" s="30">
        <f t="shared" si="36"/>
        <v>9349.0804700000008</v>
      </c>
      <c r="J237" s="30">
        <v>150</v>
      </c>
      <c r="K237" s="72">
        <f t="shared" si="39"/>
        <v>140.23620704999999</v>
      </c>
      <c r="L237" s="72">
        <f t="shared" si="37"/>
        <v>1402.3620704999998</v>
      </c>
      <c r="M237" s="30">
        <f>I237+L237</f>
        <v>10751.4425405</v>
      </c>
      <c r="N237" s="26"/>
      <c r="O237" s="103">
        <v>0.93490804699999996</v>
      </c>
      <c r="P237" s="154"/>
      <c r="R237" s="205"/>
      <c r="S237" s="423"/>
      <c r="T237" s="426"/>
      <c r="U237" s="422"/>
      <c r="V237" s="423"/>
      <c r="W237" s="423"/>
      <c r="X237" s="427"/>
      <c r="Z237" s="561"/>
    </row>
    <row r="238" spans="1:26" ht="18.95" customHeight="1">
      <c r="A238" s="558"/>
      <c r="B238" s="265">
        <v>5.7</v>
      </c>
      <c r="C238" s="285" t="s">
        <v>3458</v>
      </c>
      <c r="D238" s="267"/>
      <c r="E238" s="30"/>
      <c r="F238" s="26"/>
      <c r="G238" s="30"/>
      <c r="H238" s="25"/>
      <c r="I238" s="30"/>
      <c r="J238" s="30"/>
      <c r="K238" s="72"/>
      <c r="L238" s="72"/>
      <c r="M238" s="30"/>
      <c r="N238" s="26"/>
      <c r="O238" s="103">
        <v>0.93490804699999996</v>
      </c>
      <c r="P238" s="154"/>
      <c r="R238" s="205"/>
      <c r="S238" s="423"/>
      <c r="T238" s="426"/>
      <c r="U238" s="422"/>
      <c r="V238" s="423"/>
      <c r="W238" s="423"/>
      <c r="X238" s="427"/>
      <c r="Z238" s="561"/>
    </row>
    <row r="239" spans="1:26" ht="18.95" customHeight="1">
      <c r="A239" s="558"/>
      <c r="B239" s="265"/>
      <c r="C239" s="285" t="s">
        <v>3459</v>
      </c>
      <c r="D239" s="267"/>
      <c r="E239" s="30">
        <v>80</v>
      </c>
      <c r="F239" s="26" t="s">
        <v>349</v>
      </c>
      <c r="G239" s="30">
        <v>3000</v>
      </c>
      <c r="H239" s="25">
        <f t="shared" si="35"/>
        <v>2804.7241409999997</v>
      </c>
      <c r="I239" s="30">
        <f t="shared" si="36"/>
        <v>224377.93127999996</v>
      </c>
      <c r="J239" s="30">
        <v>150</v>
      </c>
      <c r="K239" s="72">
        <f t="shared" si="39"/>
        <v>140.23620704999999</v>
      </c>
      <c r="L239" s="72">
        <f t="shared" si="37"/>
        <v>11218.896563999999</v>
      </c>
      <c r="M239" s="30">
        <f>I239+L239</f>
        <v>235596.82784399996</v>
      </c>
      <c r="N239" s="26"/>
      <c r="O239" s="103">
        <v>0.93490804699999996</v>
      </c>
      <c r="P239" s="154"/>
      <c r="R239" s="205"/>
      <c r="S239" s="423"/>
      <c r="T239" s="426"/>
      <c r="U239" s="422"/>
      <c r="V239" s="423"/>
      <c r="W239" s="423"/>
      <c r="X239" s="427"/>
      <c r="Z239" s="561"/>
    </row>
    <row r="240" spans="1:26" ht="18.95" customHeight="1">
      <c r="A240" s="558"/>
      <c r="B240" s="265"/>
      <c r="C240" s="285" t="s">
        <v>3460</v>
      </c>
      <c r="D240" s="267"/>
      <c r="E240" s="30">
        <v>18</v>
      </c>
      <c r="F240" s="26" t="s">
        <v>349</v>
      </c>
      <c r="G240" s="30">
        <v>2000</v>
      </c>
      <c r="H240" s="25">
        <f t="shared" si="35"/>
        <v>1869.816094</v>
      </c>
      <c r="I240" s="30">
        <f t="shared" si="36"/>
        <v>33656.689692</v>
      </c>
      <c r="J240" s="30">
        <v>150</v>
      </c>
      <c r="K240" s="72">
        <f t="shared" si="39"/>
        <v>140.23620704999999</v>
      </c>
      <c r="L240" s="72">
        <f t="shared" si="37"/>
        <v>2524.2517269</v>
      </c>
      <c r="M240" s="30">
        <f>I240+L240</f>
        <v>36180.941418900002</v>
      </c>
      <c r="N240" s="26"/>
      <c r="O240" s="103">
        <v>0.93490804699999996</v>
      </c>
      <c r="P240" s="154"/>
      <c r="R240" s="205"/>
      <c r="S240" s="423"/>
      <c r="T240" s="426"/>
      <c r="U240" s="422"/>
      <c r="V240" s="423"/>
      <c r="W240" s="423"/>
      <c r="X240" s="427"/>
      <c r="Z240" s="561"/>
    </row>
    <row r="241" spans="1:26" ht="18.95" customHeight="1">
      <c r="A241" s="558"/>
      <c r="B241" s="265"/>
      <c r="C241" s="285" t="s">
        <v>3461</v>
      </c>
      <c r="D241" s="267"/>
      <c r="E241" s="30">
        <v>52</v>
      </c>
      <c r="F241" s="26" t="s">
        <v>349</v>
      </c>
      <c r="G241" s="30">
        <v>1500</v>
      </c>
      <c r="H241" s="25">
        <f t="shared" si="35"/>
        <v>1402.3620704999998</v>
      </c>
      <c r="I241" s="30">
        <f t="shared" si="36"/>
        <v>72922.827665999997</v>
      </c>
      <c r="J241" s="30">
        <v>150</v>
      </c>
      <c r="K241" s="72">
        <f t="shared" si="39"/>
        <v>140.23620704999999</v>
      </c>
      <c r="L241" s="72">
        <f t="shared" si="37"/>
        <v>7292.2827665999994</v>
      </c>
      <c r="M241" s="30">
        <f>I241+L241</f>
        <v>80215.110432599991</v>
      </c>
      <c r="N241" s="26"/>
      <c r="O241" s="103">
        <v>0.93490804699999996</v>
      </c>
      <c r="P241" s="154"/>
      <c r="R241" s="205"/>
      <c r="S241" s="423"/>
      <c r="T241" s="426"/>
      <c r="U241" s="422"/>
      <c r="V241" s="423"/>
      <c r="W241" s="423"/>
      <c r="X241" s="427"/>
      <c r="Z241" s="561"/>
    </row>
    <row r="242" spans="1:26" ht="18.95" customHeight="1">
      <c r="A242" s="558"/>
      <c r="B242" s="265">
        <v>5.8</v>
      </c>
      <c r="C242" s="285" t="s">
        <v>3462</v>
      </c>
      <c r="D242" s="267"/>
      <c r="E242" s="30"/>
      <c r="F242" s="26"/>
      <c r="G242" s="30"/>
      <c r="H242" s="25"/>
      <c r="I242" s="30"/>
      <c r="J242" s="30"/>
      <c r="K242" s="72"/>
      <c r="L242" s="72"/>
      <c r="M242" s="30"/>
      <c r="N242" s="26"/>
      <c r="O242" s="103">
        <v>0.93490804699999996</v>
      </c>
      <c r="P242" s="154"/>
      <c r="R242" s="205"/>
      <c r="S242" s="423"/>
      <c r="T242" s="426"/>
      <c r="U242" s="422"/>
      <c r="V242" s="423"/>
      <c r="W242" s="423"/>
      <c r="X242" s="427"/>
      <c r="Z242" s="561"/>
    </row>
    <row r="243" spans="1:26" ht="18.95" customHeight="1">
      <c r="A243" s="558"/>
      <c r="B243" s="265"/>
      <c r="C243" s="285" t="s">
        <v>3463</v>
      </c>
      <c r="D243" s="267"/>
      <c r="E243" s="30">
        <v>2</v>
      </c>
      <c r="F243" s="26" t="s">
        <v>349</v>
      </c>
      <c r="G243" s="30">
        <v>8580</v>
      </c>
      <c r="H243" s="25">
        <f t="shared" si="35"/>
        <v>8021.5110432599995</v>
      </c>
      <c r="I243" s="30">
        <f t="shared" si="36"/>
        <v>16043.022086519999</v>
      </c>
      <c r="J243" s="30">
        <v>150</v>
      </c>
      <c r="K243" s="72">
        <f t="shared" si="39"/>
        <v>140.23620704999999</v>
      </c>
      <c r="L243" s="72">
        <f t="shared" si="37"/>
        <v>280.47241409999998</v>
      </c>
      <c r="M243" s="30">
        <f t="shared" ref="M243:M255" si="40">I243+L243</f>
        <v>16323.49450062</v>
      </c>
      <c r="N243" s="25"/>
      <c r="O243" s="103">
        <v>0.93490804699999996</v>
      </c>
      <c r="P243" s="154"/>
      <c r="R243" s="205"/>
      <c r="S243" s="423"/>
      <c r="T243" s="426"/>
      <c r="U243" s="422"/>
      <c r="V243" s="423"/>
      <c r="W243" s="423"/>
      <c r="X243" s="427"/>
      <c r="Z243" s="561"/>
    </row>
    <row r="244" spans="1:26" ht="18.95" customHeight="1">
      <c r="A244" s="558"/>
      <c r="B244" s="265"/>
      <c r="C244" s="285" t="s">
        <v>3464</v>
      </c>
      <c r="D244" s="267"/>
      <c r="E244" s="30">
        <v>2</v>
      </c>
      <c r="F244" s="26" t="s">
        <v>349</v>
      </c>
      <c r="G244" s="30">
        <v>7722</v>
      </c>
      <c r="H244" s="25">
        <f t="shared" si="35"/>
        <v>7219.3599389339997</v>
      </c>
      <c r="I244" s="30">
        <f t="shared" si="36"/>
        <v>14438.719877867999</v>
      </c>
      <c r="J244" s="30">
        <v>150</v>
      </c>
      <c r="K244" s="72">
        <f t="shared" si="39"/>
        <v>140.23620704999999</v>
      </c>
      <c r="L244" s="72">
        <f t="shared" si="37"/>
        <v>280.47241409999998</v>
      </c>
      <c r="M244" s="30">
        <f t="shared" si="40"/>
        <v>14719.192291968</v>
      </c>
      <c r="N244" s="25"/>
      <c r="O244" s="103">
        <v>0.93490804699999996</v>
      </c>
      <c r="P244" s="154"/>
      <c r="R244" s="205"/>
      <c r="S244" s="423"/>
      <c r="T244" s="426"/>
      <c r="U244" s="422"/>
      <c r="V244" s="423"/>
      <c r="W244" s="423"/>
      <c r="X244" s="427"/>
      <c r="Z244" s="561"/>
    </row>
    <row r="245" spans="1:26" ht="18.95" customHeight="1">
      <c r="A245" s="558"/>
      <c r="B245" s="265"/>
      <c r="C245" s="285" t="s">
        <v>3465</v>
      </c>
      <c r="D245" s="267"/>
      <c r="E245" s="30">
        <v>2</v>
      </c>
      <c r="F245" s="26" t="s">
        <v>349</v>
      </c>
      <c r="G245" s="30">
        <v>1683</v>
      </c>
      <c r="H245" s="25">
        <f t="shared" si="35"/>
        <v>1573.4502431009998</v>
      </c>
      <c r="I245" s="30">
        <f t="shared" si="36"/>
        <v>3146.9004862019997</v>
      </c>
      <c r="J245" s="30">
        <v>150</v>
      </c>
      <c r="K245" s="72">
        <f t="shared" si="39"/>
        <v>140.23620704999999</v>
      </c>
      <c r="L245" s="72">
        <f t="shared" si="37"/>
        <v>280.47241409999998</v>
      </c>
      <c r="M245" s="30">
        <f t="shared" si="40"/>
        <v>3427.3729003019998</v>
      </c>
      <c r="N245" s="25"/>
      <c r="O245" s="103">
        <v>0.93490804699999996</v>
      </c>
      <c r="P245" s="154"/>
      <c r="R245" s="205"/>
      <c r="S245" s="423"/>
      <c r="T245" s="426"/>
      <c r="U245" s="422"/>
      <c r="V245" s="423"/>
      <c r="W245" s="423"/>
      <c r="X245" s="427"/>
      <c r="Z245" s="561"/>
    </row>
    <row r="246" spans="1:26" ht="18.95" customHeight="1">
      <c r="A246" s="558"/>
      <c r="B246" s="265"/>
      <c r="C246" s="285" t="s">
        <v>3466</v>
      </c>
      <c r="D246" s="267"/>
      <c r="E246" s="30">
        <v>10</v>
      </c>
      <c r="F246" s="26" t="s">
        <v>349</v>
      </c>
      <c r="G246" s="30">
        <v>2244</v>
      </c>
      <c r="H246" s="25">
        <f t="shared" si="35"/>
        <v>2097.9336574680001</v>
      </c>
      <c r="I246" s="30">
        <f t="shared" si="36"/>
        <v>20979.336574680001</v>
      </c>
      <c r="J246" s="30">
        <v>150</v>
      </c>
      <c r="K246" s="72">
        <f t="shared" si="39"/>
        <v>140.23620704999999</v>
      </c>
      <c r="L246" s="72">
        <f t="shared" si="37"/>
        <v>1402.3620704999998</v>
      </c>
      <c r="M246" s="30">
        <f t="shared" si="40"/>
        <v>22381.69864518</v>
      </c>
      <c r="N246" s="25"/>
      <c r="O246" s="103">
        <v>0.93490804699999996</v>
      </c>
      <c r="P246" s="154"/>
      <c r="R246" s="205"/>
      <c r="S246" s="423"/>
      <c r="T246" s="426"/>
      <c r="U246" s="422"/>
      <c r="V246" s="423"/>
      <c r="W246" s="423"/>
      <c r="X246" s="427"/>
      <c r="Z246" s="561"/>
    </row>
    <row r="247" spans="1:26" ht="18.95" customHeight="1">
      <c r="A247" s="558"/>
      <c r="B247" s="265"/>
      <c r="C247" s="285" t="s">
        <v>3467</v>
      </c>
      <c r="D247" s="267"/>
      <c r="E247" s="30">
        <v>54</v>
      </c>
      <c r="F247" s="26" t="s">
        <v>349</v>
      </c>
      <c r="G247" s="30">
        <v>2805</v>
      </c>
      <c r="H247" s="25">
        <f t="shared" si="35"/>
        <v>2622.4170718350001</v>
      </c>
      <c r="I247" s="30">
        <f t="shared" si="36"/>
        <v>141610.52187909</v>
      </c>
      <c r="J247" s="30">
        <v>150</v>
      </c>
      <c r="K247" s="72">
        <f t="shared" si="39"/>
        <v>140.23620704999999</v>
      </c>
      <c r="L247" s="72">
        <f t="shared" si="37"/>
        <v>7572.7551806999991</v>
      </c>
      <c r="M247" s="30">
        <f t="shared" si="40"/>
        <v>149183.27705979001</v>
      </c>
      <c r="N247" s="25"/>
      <c r="O247" s="103">
        <v>0.93490804699999996</v>
      </c>
      <c r="P247" s="154"/>
      <c r="R247" s="205"/>
      <c r="S247" s="423"/>
      <c r="T247" s="426"/>
      <c r="U247" s="422"/>
      <c r="V247" s="423"/>
      <c r="W247" s="423"/>
      <c r="X247" s="427"/>
      <c r="Z247" s="561"/>
    </row>
    <row r="248" spans="1:26" ht="18.95" customHeight="1">
      <c r="A248" s="558"/>
      <c r="B248" s="265"/>
      <c r="C248" s="285" t="s">
        <v>3468</v>
      </c>
      <c r="D248" s="267"/>
      <c r="E248" s="30">
        <v>4</v>
      </c>
      <c r="F248" s="26" t="s">
        <v>349</v>
      </c>
      <c r="G248" s="30">
        <v>3366</v>
      </c>
      <c r="H248" s="25">
        <f t="shared" si="35"/>
        <v>3146.9004862019997</v>
      </c>
      <c r="I248" s="30">
        <f t="shared" si="36"/>
        <v>12587.601944807999</v>
      </c>
      <c r="J248" s="30">
        <v>150</v>
      </c>
      <c r="K248" s="72">
        <f t="shared" si="39"/>
        <v>140.23620704999999</v>
      </c>
      <c r="L248" s="72">
        <f t="shared" si="37"/>
        <v>560.94482819999996</v>
      </c>
      <c r="M248" s="30">
        <f t="shared" si="40"/>
        <v>13148.546773007998</v>
      </c>
      <c r="N248" s="25"/>
      <c r="O248" s="103">
        <v>0.93490804699999996</v>
      </c>
      <c r="P248" s="154"/>
      <c r="R248" s="205"/>
      <c r="S248" s="423"/>
      <c r="T248" s="426"/>
      <c r="U248" s="422"/>
      <c r="V248" s="423"/>
      <c r="W248" s="423"/>
      <c r="X248" s="427"/>
      <c r="Z248" s="561"/>
    </row>
    <row r="249" spans="1:26" ht="18.95" customHeight="1">
      <c r="A249" s="558"/>
      <c r="B249" s="265"/>
      <c r="C249" s="285" t="s">
        <v>3469</v>
      </c>
      <c r="D249" s="267"/>
      <c r="E249" s="30">
        <v>9</v>
      </c>
      <c r="F249" s="26" t="s">
        <v>349</v>
      </c>
      <c r="G249" s="30">
        <v>3927</v>
      </c>
      <c r="H249" s="25">
        <f t="shared" si="35"/>
        <v>3671.3839005689997</v>
      </c>
      <c r="I249" s="30">
        <f t="shared" si="36"/>
        <v>33042.455105121</v>
      </c>
      <c r="J249" s="30">
        <v>150</v>
      </c>
      <c r="K249" s="72">
        <f t="shared" si="39"/>
        <v>140.23620704999999</v>
      </c>
      <c r="L249" s="72">
        <f t="shared" si="37"/>
        <v>1262.12586345</v>
      </c>
      <c r="M249" s="30">
        <f t="shared" si="40"/>
        <v>34304.580968570997</v>
      </c>
      <c r="N249" s="25"/>
      <c r="O249" s="103">
        <v>0.93490804699999996</v>
      </c>
      <c r="P249" s="154"/>
      <c r="R249" s="205"/>
      <c r="S249" s="423"/>
      <c r="T249" s="426"/>
      <c r="U249" s="422"/>
      <c r="V249" s="423"/>
      <c r="W249" s="423"/>
      <c r="X249" s="427"/>
      <c r="Z249" s="561"/>
    </row>
    <row r="250" spans="1:26" ht="18.95" customHeight="1">
      <c r="A250" s="558"/>
      <c r="B250" s="265"/>
      <c r="C250" s="285" t="s">
        <v>3470</v>
      </c>
      <c r="D250" s="267"/>
      <c r="E250" s="30">
        <v>19</v>
      </c>
      <c r="F250" s="26" t="s">
        <v>349</v>
      </c>
      <c r="G250" s="30">
        <v>4488</v>
      </c>
      <c r="H250" s="25">
        <f t="shared" si="35"/>
        <v>4195.8673149360002</v>
      </c>
      <c r="I250" s="30">
        <f t="shared" si="36"/>
        <v>79721.478983784007</v>
      </c>
      <c r="J250" s="30">
        <v>150</v>
      </c>
      <c r="K250" s="72">
        <f t="shared" si="39"/>
        <v>140.23620704999999</v>
      </c>
      <c r="L250" s="72">
        <f t="shared" si="37"/>
        <v>2664.4879339499998</v>
      </c>
      <c r="M250" s="30">
        <f t="shared" si="40"/>
        <v>82385.966917734011</v>
      </c>
      <c r="N250" s="25"/>
      <c r="O250" s="103">
        <v>0.93490804699999996</v>
      </c>
      <c r="P250" s="154"/>
      <c r="R250" s="205"/>
      <c r="S250" s="423"/>
      <c r="T250" s="426"/>
      <c r="U250" s="422"/>
      <c r="V250" s="423"/>
      <c r="W250" s="423"/>
      <c r="X250" s="427"/>
      <c r="Z250" s="561"/>
    </row>
    <row r="251" spans="1:26" ht="18.95" customHeight="1">
      <c r="A251" s="558"/>
      <c r="B251" s="265"/>
      <c r="C251" s="285" t="s">
        <v>3471</v>
      </c>
      <c r="D251" s="267"/>
      <c r="E251" s="30">
        <v>6</v>
      </c>
      <c r="F251" s="26" t="s">
        <v>349</v>
      </c>
      <c r="G251" s="30">
        <v>51.3</v>
      </c>
      <c r="H251" s="25">
        <f t="shared" si="35"/>
        <v>47.960782811099996</v>
      </c>
      <c r="I251" s="30">
        <f t="shared" si="36"/>
        <v>287.76469686659999</v>
      </c>
      <c r="J251" s="30">
        <v>150</v>
      </c>
      <c r="K251" s="72">
        <f t="shared" si="39"/>
        <v>140.23620704999999</v>
      </c>
      <c r="L251" s="72">
        <f t="shared" si="37"/>
        <v>841.4172423</v>
      </c>
      <c r="M251" s="30">
        <f t="shared" si="40"/>
        <v>1129.1819391665999</v>
      </c>
      <c r="N251" s="25"/>
      <c r="O251" s="103">
        <v>0.93490804699999996</v>
      </c>
      <c r="P251" s="154"/>
      <c r="R251" s="205"/>
      <c r="S251" s="423"/>
      <c r="T251" s="426"/>
      <c r="U251" s="422"/>
      <c r="V251" s="423"/>
      <c r="W251" s="423"/>
      <c r="X251" s="427"/>
      <c r="Z251" s="561"/>
    </row>
    <row r="252" spans="1:26" ht="18.95" customHeight="1">
      <c r="A252" s="558"/>
      <c r="B252" s="265"/>
      <c r="C252" s="285" t="s">
        <v>3472</v>
      </c>
      <c r="D252" s="267"/>
      <c r="E252" s="30">
        <v>38</v>
      </c>
      <c r="F252" s="26" t="s">
        <v>349</v>
      </c>
      <c r="G252" s="30">
        <v>5610</v>
      </c>
      <c r="H252" s="25">
        <f t="shared" si="35"/>
        <v>5244.8341436700002</v>
      </c>
      <c r="I252" s="30">
        <f t="shared" si="36"/>
        <v>199303.69745946</v>
      </c>
      <c r="J252" s="30">
        <v>150</v>
      </c>
      <c r="K252" s="72">
        <f t="shared" si="39"/>
        <v>140.23620704999999</v>
      </c>
      <c r="L252" s="72">
        <f t="shared" si="37"/>
        <v>5328.9758678999997</v>
      </c>
      <c r="M252" s="30">
        <f t="shared" si="40"/>
        <v>204632.67332736001</v>
      </c>
      <c r="N252" s="25"/>
      <c r="O252" s="103">
        <v>0.93490804699999996</v>
      </c>
      <c r="P252" s="154"/>
      <c r="R252" s="205"/>
      <c r="S252" s="423"/>
      <c r="T252" s="426"/>
      <c r="U252" s="422"/>
      <c r="V252" s="423"/>
      <c r="W252" s="423"/>
      <c r="X252" s="427"/>
      <c r="Z252" s="561"/>
    </row>
    <row r="253" spans="1:26" ht="18.95" customHeight="1">
      <c r="A253" s="558"/>
      <c r="B253" s="265"/>
      <c r="C253" s="285" t="s">
        <v>3473</v>
      </c>
      <c r="D253" s="267"/>
      <c r="E253" s="30">
        <v>4</v>
      </c>
      <c r="F253" s="26" t="s">
        <v>349</v>
      </c>
      <c r="G253" s="30">
        <v>6732</v>
      </c>
      <c r="H253" s="25">
        <f t="shared" si="35"/>
        <v>6293.8009724039994</v>
      </c>
      <c r="I253" s="30">
        <f t="shared" si="36"/>
        <v>25175.203889615997</v>
      </c>
      <c r="J253" s="30">
        <v>150</v>
      </c>
      <c r="K253" s="72">
        <f t="shared" si="39"/>
        <v>140.23620704999999</v>
      </c>
      <c r="L253" s="72">
        <f t="shared" si="37"/>
        <v>560.94482819999996</v>
      </c>
      <c r="M253" s="30">
        <f t="shared" si="40"/>
        <v>25736.148717815999</v>
      </c>
      <c r="N253" s="25"/>
      <c r="O253" s="103">
        <v>0.93490804699999996</v>
      </c>
      <c r="P253" s="154"/>
      <c r="R253" s="205"/>
      <c r="S253" s="423"/>
      <c r="T253" s="426"/>
      <c r="U253" s="422"/>
      <c r="V253" s="423"/>
      <c r="W253" s="423"/>
      <c r="X253" s="427"/>
      <c r="Z253" s="561"/>
    </row>
    <row r="254" spans="1:26" ht="18.95" customHeight="1">
      <c r="A254" s="558"/>
      <c r="B254" s="265"/>
      <c r="C254" s="285" t="s">
        <v>3474</v>
      </c>
      <c r="D254" s="267"/>
      <c r="E254" s="30">
        <v>3</v>
      </c>
      <c r="F254" s="26" t="s">
        <v>349</v>
      </c>
      <c r="G254" s="30">
        <v>19140</v>
      </c>
      <c r="H254" s="25">
        <f t="shared" si="35"/>
        <v>17894.140019579998</v>
      </c>
      <c r="I254" s="30">
        <f t="shared" si="36"/>
        <v>53682.420058739997</v>
      </c>
      <c r="J254" s="30">
        <v>150</v>
      </c>
      <c r="K254" s="72">
        <f t="shared" si="39"/>
        <v>140.23620704999999</v>
      </c>
      <c r="L254" s="72">
        <f t="shared" si="37"/>
        <v>420.70862115</v>
      </c>
      <c r="M254" s="30">
        <f t="shared" si="40"/>
        <v>54103.128679889996</v>
      </c>
      <c r="N254" s="25"/>
      <c r="O254" s="103">
        <v>0.93490804699999996</v>
      </c>
      <c r="P254" s="154"/>
      <c r="R254" s="205"/>
      <c r="S254" s="423"/>
      <c r="T254" s="426"/>
      <c r="U254" s="422"/>
      <c r="V254" s="423"/>
      <c r="W254" s="423"/>
      <c r="X254" s="427"/>
      <c r="Z254" s="561"/>
    </row>
    <row r="255" spans="1:26" ht="18.95" customHeight="1">
      <c r="A255" s="558"/>
      <c r="B255" s="265"/>
      <c r="C255" s="285" t="s">
        <v>3475</v>
      </c>
      <c r="D255" s="267"/>
      <c r="E255" s="30">
        <v>1</v>
      </c>
      <c r="F255" s="26" t="s">
        <v>349</v>
      </c>
      <c r="G255" s="30">
        <v>19140</v>
      </c>
      <c r="H255" s="25">
        <f t="shared" si="35"/>
        <v>17894.140019579998</v>
      </c>
      <c r="I255" s="30">
        <f t="shared" si="36"/>
        <v>17894.140019579998</v>
      </c>
      <c r="J255" s="30">
        <v>2000</v>
      </c>
      <c r="K255" s="72">
        <f t="shared" si="39"/>
        <v>1869.816094</v>
      </c>
      <c r="L255" s="72">
        <f t="shared" si="37"/>
        <v>1869.816094</v>
      </c>
      <c r="M255" s="30">
        <f t="shared" si="40"/>
        <v>19763.95611358</v>
      </c>
      <c r="N255" s="25"/>
      <c r="O255" s="103">
        <v>0.93490804699999996</v>
      </c>
      <c r="P255" s="154"/>
      <c r="R255" s="205"/>
      <c r="S255" s="423"/>
      <c r="T255" s="426"/>
      <c r="U255" s="422"/>
      <c r="V255" s="423"/>
      <c r="W255" s="423"/>
      <c r="X255" s="427"/>
      <c r="Z255" s="561"/>
    </row>
    <row r="256" spans="1:26" ht="18.95" customHeight="1">
      <c r="A256" s="558"/>
      <c r="B256" s="265">
        <v>5.9</v>
      </c>
      <c r="C256" s="285" t="s">
        <v>3458</v>
      </c>
      <c r="D256" s="267"/>
      <c r="E256" s="30"/>
      <c r="F256" s="26"/>
      <c r="G256" s="30"/>
      <c r="H256" s="25">
        <f t="shared" si="35"/>
        <v>0</v>
      </c>
      <c r="I256" s="30">
        <f t="shared" si="36"/>
        <v>0</v>
      </c>
      <c r="J256" s="30"/>
      <c r="K256" s="72">
        <f t="shared" si="39"/>
        <v>0</v>
      </c>
      <c r="L256" s="72">
        <f t="shared" si="37"/>
        <v>0</v>
      </c>
      <c r="M256" s="30"/>
      <c r="N256" s="26"/>
      <c r="O256" s="103">
        <v>0.93490804699999996</v>
      </c>
      <c r="P256" s="154"/>
      <c r="R256" s="205"/>
      <c r="S256" s="422"/>
      <c r="T256" s="426"/>
      <c r="U256" s="422"/>
      <c r="V256" s="423"/>
      <c r="W256" s="422"/>
      <c r="X256" s="422"/>
      <c r="Z256" s="561"/>
    </row>
    <row r="257" spans="1:26" ht="18.95" customHeight="1">
      <c r="A257" s="558"/>
      <c r="B257" s="265"/>
      <c r="C257" s="285" t="s">
        <v>3476</v>
      </c>
      <c r="D257" s="267"/>
      <c r="E257" s="30">
        <v>1</v>
      </c>
      <c r="F257" s="26" t="s">
        <v>349</v>
      </c>
      <c r="G257" s="30">
        <v>20000</v>
      </c>
      <c r="H257" s="25">
        <f t="shared" si="35"/>
        <v>18698.160939999998</v>
      </c>
      <c r="I257" s="30">
        <f t="shared" si="36"/>
        <v>18698.160939999998</v>
      </c>
      <c r="J257" s="30">
        <v>2000</v>
      </c>
      <c r="K257" s="72">
        <f t="shared" si="39"/>
        <v>1869.816094</v>
      </c>
      <c r="L257" s="72">
        <f t="shared" si="37"/>
        <v>1869.816094</v>
      </c>
      <c r="M257" s="30">
        <f t="shared" ref="M257:M261" si="41">I257+L257</f>
        <v>20567.977034</v>
      </c>
      <c r="N257" s="26"/>
      <c r="O257" s="103">
        <v>0.93490804699999996</v>
      </c>
      <c r="S257" s="422"/>
      <c r="T257" s="426"/>
      <c r="U257" s="422"/>
      <c r="V257" s="423"/>
      <c r="W257" s="422"/>
      <c r="X257" s="422"/>
      <c r="Z257" s="561"/>
    </row>
    <row r="258" spans="1:26" ht="18.95" customHeight="1">
      <c r="A258" s="558"/>
      <c r="B258" s="1189" t="s">
        <v>1828</v>
      </c>
      <c r="C258" s="285" t="s">
        <v>3477</v>
      </c>
      <c r="D258" s="267"/>
      <c r="E258" s="30">
        <v>1</v>
      </c>
      <c r="F258" s="1188" t="s">
        <v>2193</v>
      </c>
      <c r="G258" s="30">
        <v>30000</v>
      </c>
      <c r="H258" s="25">
        <f t="shared" si="35"/>
        <v>28047.241409999999</v>
      </c>
      <c r="I258" s="30">
        <f t="shared" si="36"/>
        <v>28047.241409999999</v>
      </c>
      <c r="J258" s="30">
        <v>5000</v>
      </c>
      <c r="K258" s="72">
        <f t="shared" si="39"/>
        <v>4674.5402349999995</v>
      </c>
      <c r="L258" s="72">
        <f t="shared" si="37"/>
        <v>4674.5402349999995</v>
      </c>
      <c r="M258" s="30">
        <f t="shared" si="41"/>
        <v>32721.781644999999</v>
      </c>
      <c r="N258" s="26"/>
      <c r="O258" s="103">
        <v>0.93490804699999996</v>
      </c>
      <c r="S258" s="422"/>
      <c r="T258" s="426"/>
      <c r="U258" s="422"/>
      <c r="V258" s="423"/>
      <c r="W258" s="422"/>
      <c r="X258" s="422"/>
      <c r="Z258" s="561"/>
    </row>
    <row r="259" spans="1:26" ht="18.95" customHeight="1">
      <c r="A259" s="558"/>
      <c r="B259" s="265">
        <v>5.1100000000000003</v>
      </c>
      <c r="C259" s="285" t="s">
        <v>3478</v>
      </c>
      <c r="D259" s="267"/>
      <c r="E259" s="30">
        <v>8</v>
      </c>
      <c r="F259" s="26" t="s">
        <v>349</v>
      </c>
      <c r="G259" s="30">
        <v>6000</v>
      </c>
      <c r="H259" s="25">
        <f t="shared" si="35"/>
        <v>5609.4482819999994</v>
      </c>
      <c r="I259" s="30">
        <f t="shared" si="36"/>
        <v>44875.586255999995</v>
      </c>
      <c r="J259" s="30">
        <v>150</v>
      </c>
      <c r="K259" s="72">
        <f t="shared" si="39"/>
        <v>140.23620704999999</v>
      </c>
      <c r="L259" s="72">
        <f t="shared" si="37"/>
        <v>1121.8896563999999</v>
      </c>
      <c r="M259" s="30">
        <f t="shared" si="41"/>
        <v>45997.475912399997</v>
      </c>
      <c r="N259" s="26"/>
      <c r="O259" s="103">
        <v>0.93490804699999996</v>
      </c>
      <c r="S259" s="422"/>
      <c r="T259" s="426"/>
      <c r="U259" s="422"/>
      <c r="V259" s="423"/>
      <c r="W259" s="422"/>
      <c r="X259" s="422"/>
      <c r="Z259" s="561"/>
    </row>
    <row r="260" spans="1:26" ht="18.95" customHeight="1">
      <c r="A260" s="558"/>
      <c r="B260" s="265">
        <v>5.12</v>
      </c>
      <c r="C260" s="285" t="s">
        <v>3050</v>
      </c>
      <c r="D260" s="267"/>
      <c r="E260" s="25">
        <v>1</v>
      </c>
      <c r="F260" s="1188" t="s">
        <v>2193</v>
      </c>
      <c r="G260" s="30">
        <v>295125.34499999997</v>
      </c>
      <c r="H260" s="25">
        <f t="shared" si="35"/>
        <v>275915.05991415121</v>
      </c>
      <c r="I260" s="30">
        <f t="shared" si="36"/>
        <v>275915.05991415121</v>
      </c>
      <c r="J260" s="30">
        <v>88537.603499999997</v>
      </c>
      <c r="K260" s="72">
        <f t="shared" si="39"/>
        <v>82774.517974245362</v>
      </c>
      <c r="L260" s="72">
        <f t="shared" si="37"/>
        <v>82774.517974245362</v>
      </c>
      <c r="M260" s="72">
        <f t="shared" si="41"/>
        <v>358689.57788839657</v>
      </c>
      <c r="N260" s="26"/>
      <c r="O260" s="103">
        <v>0.93490804699999996</v>
      </c>
      <c r="S260" s="425"/>
      <c r="T260" s="569"/>
      <c r="U260" s="431"/>
      <c r="V260" s="431"/>
      <c r="W260" s="431"/>
      <c r="X260" s="431"/>
      <c r="Z260" s="561"/>
    </row>
    <row r="261" spans="1:26" ht="18.95" customHeight="1">
      <c r="A261" s="558"/>
      <c r="B261" s="1275" t="s">
        <v>2138</v>
      </c>
      <c r="C261" s="1276"/>
      <c r="D261" s="1277"/>
      <c r="E261" s="34"/>
      <c r="F261" s="35"/>
      <c r="G261" s="34"/>
      <c r="H261" s="25"/>
      <c r="I261" s="34">
        <f>SUM(I221:I260)</f>
        <v>2115348.7926751589</v>
      </c>
      <c r="J261" s="34"/>
      <c r="K261" s="72"/>
      <c r="L261" s="34">
        <f>SUM(L221:L260)</f>
        <v>188793.09050404534</v>
      </c>
      <c r="M261" s="34">
        <f t="shared" si="41"/>
        <v>2304141.8831792041</v>
      </c>
      <c r="N261" s="35"/>
      <c r="O261" s="103">
        <v>0.93490804699999996</v>
      </c>
      <c r="S261" s="425"/>
      <c r="T261" s="429"/>
      <c r="U261" s="430"/>
      <c r="V261" s="431"/>
      <c r="W261" s="431"/>
      <c r="X261" s="432"/>
      <c r="Z261" s="561"/>
    </row>
    <row r="262" spans="1:26" ht="18.95" customHeight="1">
      <c r="A262" s="558"/>
      <c r="B262" s="256"/>
      <c r="C262" s="257"/>
      <c r="D262" s="258"/>
      <c r="E262" s="34"/>
      <c r="F262" s="35"/>
      <c r="G262" s="34"/>
      <c r="H262" s="25"/>
      <c r="I262" s="34"/>
      <c r="J262" s="34"/>
      <c r="K262" s="72"/>
      <c r="L262" s="34"/>
      <c r="M262" s="34"/>
      <c r="N262" s="35"/>
      <c r="O262" s="103">
        <v>0.93490804699999996</v>
      </c>
      <c r="P262" s="1286"/>
      <c r="Q262" s="1286"/>
      <c r="R262" s="1286"/>
      <c r="S262" s="425"/>
      <c r="T262" s="429"/>
      <c r="U262" s="430"/>
      <c r="V262" s="431"/>
      <c r="W262" s="431"/>
      <c r="X262" s="434"/>
      <c r="Z262" s="561"/>
    </row>
    <row r="263" spans="1:26" ht="18.95" customHeight="1">
      <c r="A263" s="224">
        <v>6</v>
      </c>
      <c r="B263" s="562" t="s">
        <v>3231</v>
      </c>
      <c r="C263" s="221"/>
      <c r="D263" s="24"/>
      <c r="E263" s="25"/>
      <c r="F263" s="26"/>
      <c r="G263" s="72"/>
      <c r="H263" s="25"/>
      <c r="I263" s="72"/>
      <c r="J263" s="25"/>
      <c r="K263" s="72"/>
      <c r="L263" s="72"/>
      <c r="M263" s="26"/>
      <c r="N263" s="26"/>
      <c r="O263" s="103">
        <v>0.93490804699999996</v>
      </c>
      <c r="P263" s="154"/>
      <c r="Q263" s="205"/>
      <c r="R263" s="205"/>
      <c r="S263" s="425"/>
      <c r="T263" s="429"/>
      <c r="U263" s="430"/>
      <c r="V263" s="431"/>
      <c r="W263" s="431"/>
      <c r="X263" s="434"/>
      <c r="Z263" s="561"/>
    </row>
    <row r="264" spans="1:26" ht="18.75" customHeight="1">
      <c r="A264" s="558"/>
      <c r="B264" s="265">
        <v>6.1</v>
      </c>
      <c r="C264" s="285" t="s">
        <v>3479</v>
      </c>
      <c r="D264" s="267"/>
      <c r="E264" s="30">
        <v>4</v>
      </c>
      <c r="F264" s="26" t="s">
        <v>349</v>
      </c>
      <c r="G264" s="30">
        <v>85120</v>
      </c>
      <c r="H264" s="25">
        <f t="shared" si="35"/>
        <v>79579.372960640001</v>
      </c>
      <c r="I264" s="30">
        <f t="shared" ref="I264:I274" si="42">E264*H264</f>
        <v>318317.49184256</v>
      </c>
      <c r="J264" s="30">
        <v>5000</v>
      </c>
      <c r="K264" s="72">
        <f t="shared" si="39"/>
        <v>4674.5402349999995</v>
      </c>
      <c r="L264" s="72">
        <f t="shared" ref="L264:L274" si="43">E264*K264</f>
        <v>18698.160939999998</v>
      </c>
      <c r="M264" s="30">
        <f>I264+L264</f>
        <v>337015.65278255998</v>
      </c>
      <c r="N264" s="30"/>
      <c r="O264" s="103">
        <v>0.93490804699999996</v>
      </c>
      <c r="S264" s="423"/>
      <c r="T264" s="426"/>
      <c r="U264" s="422"/>
      <c r="V264" s="423"/>
      <c r="W264" s="423"/>
      <c r="X264" s="427"/>
      <c r="Z264" s="561"/>
    </row>
    <row r="265" spans="1:26" ht="18.75" customHeight="1">
      <c r="A265" s="558"/>
      <c r="B265" s="265">
        <v>6.2</v>
      </c>
      <c r="C265" s="285" t="s">
        <v>3480</v>
      </c>
      <c r="D265" s="267"/>
      <c r="E265" s="30">
        <v>1</v>
      </c>
      <c r="F265" s="26" t="s">
        <v>349</v>
      </c>
      <c r="G265" s="30">
        <v>92400</v>
      </c>
      <c r="H265" s="25">
        <f t="shared" si="35"/>
        <v>86385.503542799997</v>
      </c>
      <c r="I265" s="30">
        <f t="shared" si="42"/>
        <v>86385.503542799997</v>
      </c>
      <c r="J265" s="30">
        <v>5000</v>
      </c>
      <c r="K265" s="72">
        <f t="shared" si="39"/>
        <v>4674.5402349999995</v>
      </c>
      <c r="L265" s="72">
        <f t="shared" si="43"/>
        <v>4674.5402349999995</v>
      </c>
      <c r="M265" s="30">
        <f t="shared" ref="M265:M268" si="44">I265+L265</f>
        <v>91060.04377779999</v>
      </c>
      <c r="N265" s="30"/>
      <c r="O265" s="103">
        <v>0.93490804699999996</v>
      </c>
      <c r="S265" s="423"/>
      <c r="T265" s="426"/>
      <c r="U265" s="422"/>
      <c r="V265" s="423"/>
      <c r="W265" s="423"/>
      <c r="X265" s="427"/>
      <c r="Z265" s="561"/>
    </row>
    <row r="266" spans="1:26" ht="18.75" customHeight="1">
      <c r="A266" s="558"/>
      <c r="B266" s="265">
        <v>6.3</v>
      </c>
      <c r="C266" s="285" t="s">
        <v>3481</v>
      </c>
      <c r="D266" s="267"/>
      <c r="E266" s="30">
        <v>1</v>
      </c>
      <c r="F266" s="26" t="s">
        <v>349</v>
      </c>
      <c r="G266" s="30">
        <v>24080</v>
      </c>
      <c r="H266" s="25">
        <f t="shared" si="35"/>
        <v>22512.585771759997</v>
      </c>
      <c r="I266" s="30">
        <f t="shared" si="42"/>
        <v>22512.585771759997</v>
      </c>
      <c r="J266" s="30">
        <v>5000</v>
      </c>
      <c r="K266" s="72">
        <f t="shared" si="39"/>
        <v>4674.5402349999995</v>
      </c>
      <c r="L266" s="72">
        <f t="shared" si="43"/>
        <v>4674.5402349999995</v>
      </c>
      <c r="M266" s="30">
        <f t="shared" si="44"/>
        <v>27187.126006759998</v>
      </c>
      <c r="N266" s="30"/>
      <c r="O266" s="103">
        <v>0.93490804699999996</v>
      </c>
      <c r="S266" s="423"/>
      <c r="T266" s="426"/>
      <c r="U266" s="422"/>
      <c r="V266" s="423"/>
      <c r="W266" s="423"/>
      <c r="X266" s="427"/>
      <c r="Z266" s="561"/>
    </row>
    <row r="267" spans="1:26" ht="18.75" customHeight="1">
      <c r="A267" s="558"/>
      <c r="B267" s="265">
        <v>6.4</v>
      </c>
      <c r="C267" s="285" t="s">
        <v>3482</v>
      </c>
      <c r="D267" s="267"/>
      <c r="E267" s="30">
        <v>2</v>
      </c>
      <c r="F267" s="26" t="s">
        <v>349</v>
      </c>
      <c r="G267" s="30">
        <v>16800</v>
      </c>
      <c r="H267" s="25">
        <f t="shared" si="35"/>
        <v>15706.455189599999</v>
      </c>
      <c r="I267" s="30">
        <f t="shared" si="42"/>
        <v>31412.910379199999</v>
      </c>
      <c r="J267" s="30">
        <v>5000</v>
      </c>
      <c r="K267" s="72">
        <f t="shared" si="39"/>
        <v>4674.5402349999995</v>
      </c>
      <c r="L267" s="72">
        <f t="shared" si="43"/>
        <v>9349.080469999999</v>
      </c>
      <c r="M267" s="30">
        <f t="shared" si="44"/>
        <v>40761.990849199996</v>
      </c>
      <c r="N267" s="30"/>
      <c r="O267" s="103">
        <v>0.93490804699999996</v>
      </c>
      <c r="S267" s="423"/>
      <c r="T267" s="426"/>
      <c r="U267" s="422"/>
      <c r="V267" s="423"/>
      <c r="W267" s="423"/>
      <c r="X267" s="427"/>
      <c r="Z267" s="561"/>
    </row>
    <row r="268" spans="1:26" ht="18.75" customHeight="1">
      <c r="A268" s="558"/>
      <c r="B268" s="265">
        <v>6.5</v>
      </c>
      <c r="C268" s="285" t="s">
        <v>3483</v>
      </c>
      <c r="D268" s="267"/>
      <c r="E268" s="30">
        <v>1</v>
      </c>
      <c r="F268" s="26" t="s">
        <v>349</v>
      </c>
      <c r="G268" s="30">
        <v>17920</v>
      </c>
      <c r="H268" s="25">
        <f t="shared" si="35"/>
        <v>16753.55220224</v>
      </c>
      <c r="I268" s="30">
        <f t="shared" si="42"/>
        <v>16753.55220224</v>
      </c>
      <c r="J268" s="30">
        <v>5000</v>
      </c>
      <c r="K268" s="72">
        <f t="shared" si="39"/>
        <v>4674.5402349999995</v>
      </c>
      <c r="L268" s="72">
        <f t="shared" si="43"/>
        <v>4674.5402349999995</v>
      </c>
      <c r="M268" s="30">
        <f t="shared" si="44"/>
        <v>21428.09243724</v>
      </c>
      <c r="N268" s="30"/>
      <c r="O268" s="103">
        <v>0.93490804699999996</v>
      </c>
      <c r="S268" s="423"/>
      <c r="T268" s="426"/>
      <c r="U268" s="422"/>
      <c r="V268" s="423"/>
      <c r="W268" s="423"/>
      <c r="X268" s="427"/>
      <c r="Z268" s="561"/>
    </row>
    <row r="269" spans="1:26" ht="18.95" customHeight="1">
      <c r="A269" s="558"/>
      <c r="B269" s="265">
        <v>6.6</v>
      </c>
      <c r="C269" s="285" t="s">
        <v>3484</v>
      </c>
      <c r="D269" s="267"/>
      <c r="E269" s="30"/>
      <c r="F269" s="26" t="s">
        <v>349</v>
      </c>
      <c r="G269" s="30"/>
      <c r="H269" s="25"/>
      <c r="I269" s="30"/>
      <c r="J269" s="30"/>
      <c r="K269" s="72"/>
      <c r="L269" s="72"/>
      <c r="M269" s="30"/>
      <c r="N269" s="30"/>
      <c r="O269" s="103">
        <v>0.93490804699999996</v>
      </c>
      <c r="S269" s="422"/>
      <c r="T269" s="426"/>
      <c r="U269" s="422"/>
      <c r="V269" s="423"/>
      <c r="W269" s="422"/>
      <c r="X269" s="422"/>
      <c r="Z269" s="561"/>
    </row>
    <row r="270" spans="1:26" ht="18.95" customHeight="1">
      <c r="A270" s="558"/>
      <c r="B270" s="265">
        <v>6.7</v>
      </c>
      <c r="C270" s="285" t="s">
        <v>3485</v>
      </c>
      <c r="D270" s="267"/>
      <c r="E270" s="30">
        <v>18</v>
      </c>
      <c r="F270" s="26" t="s">
        <v>349</v>
      </c>
      <c r="G270" s="30">
        <v>2500</v>
      </c>
      <c r="H270" s="25">
        <f t="shared" si="35"/>
        <v>2337.2701174999997</v>
      </c>
      <c r="I270" s="30">
        <f t="shared" si="42"/>
        <v>42070.862114999996</v>
      </c>
      <c r="J270" s="30">
        <v>500</v>
      </c>
      <c r="K270" s="72">
        <f t="shared" si="39"/>
        <v>467.45402350000001</v>
      </c>
      <c r="L270" s="72">
        <f t="shared" si="43"/>
        <v>8414.172423</v>
      </c>
      <c r="M270" s="30">
        <f t="shared" ref="M270:M275" si="45">I270+L270</f>
        <v>50485.034537999993</v>
      </c>
      <c r="N270" s="30"/>
      <c r="O270" s="103">
        <v>0.93490804699999996</v>
      </c>
      <c r="S270" s="422"/>
      <c r="T270" s="426"/>
      <c r="U270" s="422"/>
      <c r="V270" s="423"/>
      <c r="W270" s="422"/>
      <c r="X270" s="422"/>
      <c r="Z270" s="561"/>
    </row>
    <row r="271" spans="1:26" ht="18.95" customHeight="1">
      <c r="A271" s="558"/>
      <c r="B271" s="265">
        <v>6.8</v>
      </c>
      <c r="C271" s="285" t="s">
        <v>3486</v>
      </c>
      <c r="D271" s="267"/>
      <c r="E271" s="30">
        <v>6</v>
      </c>
      <c r="F271" s="26" t="s">
        <v>349</v>
      </c>
      <c r="G271" s="30">
        <v>10000</v>
      </c>
      <c r="H271" s="25">
        <f t="shared" si="35"/>
        <v>9349.080469999999</v>
      </c>
      <c r="I271" s="30">
        <f t="shared" si="42"/>
        <v>56094.48281999999</v>
      </c>
      <c r="J271" s="30">
        <v>1000</v>
      </c>
      <c r="K271" s="72">
        <f t="shared" si="39"/>
        <v>934.90804700000001</v>
      </c>
      <c r="L271" s="72">
        <f t="shared" si="43"/>
        <v>5609.4482820000003</v>
      </c>
      <c r="M271" s="30">
        <f t="shared" si="45"/>
        <v>61703.931101999988</v>
      </c>
      <c r="N271" s="30"/>
      <c r="O271" s="103">
        <v>0.93490804699999996</v>
      </c>
      <c r="S271" s="422"/>
      <c r="T271" s="426"/>
      <c r="U271" s="422"/>
      <c r="V271" s="423"/>
      <c r="W271" s="422"/>
      <c r="X271" s="422"/>
      <c r="Z271" s="561"/>
    </row>
    <row r="272" spans="1:26" ht="18.95" customHeight="1">
      <c r="A272" s="558"/>
      <c r="B272" s="265">
        <v>6.9</v>
      </c>
      <c r="C272" s="285" t="s">
        <v>3048</v>
      </c>
      <c r="D272" s="417"/>
      <c r="E272" s="25">
        <v>1</v>
      </c>
      <c r="F272" s="1188" t="s">
        <v>2193</v>
      </c>
      <c r="G272" s="72">
        <v>138370</v>
      </c>
      <c r="H272" s="25">
        <f t="shared" si="35"/>
        <v>129363.22646338999</v>
      </c>
      <c r="I272" s="30">
        <f t="shared" si="42"/>
        <v>129363.22646338999</v>
      </c>
      <c r="J272" s="25">
        <v>41511</v>
      </c>
      <c r="K272" s="72">
        <f t="shared" si="39"/>
        <v>38808.967939016999</v>
      </c>
      <c r="L272" s="72">
        <f t="shared" si="43"/>
        <v>38808.967939016999</v>
      </c>
      <c r="M272" s="72">
        <f t="shared" si="45"/>
        <v>168172.19440240698</v>
      </c>
      <c r="N272" s="26"/>
      <c r="O272" s="103">
        <v>0.93490804699999996</v>
      </c>
      <c r="S272" s="422"/>
      <c r="T272" s="426"/>
      <c r="U272" s="422"/>
      <c r="V272" s="423"/>
      <c r="W272" s="422"/>
      <c r="X272" s="422"/>
      <c r="Z272" s="561"/>
    </row>
    <row r="273" spans="1:26" ht="18.95" customHeight="1">
      <c r="A273" s="558"/>
      <c r="B273" s="573">
        <v>6.1</v>
      </c>
      <c r="C273" s="285" t="s">
        <v>3049</v>
      </c>
      <c r="D273" s="417"/>
      <c r="E273" s="25">
        <v>1</v>
      </c>
      <c r="F273" s="1188" t="s">
        <v>2193</v>
      </c>
      <c r="G273" s="72">
        <v>110696</v>
      </c>
      <c r="H273" s="25">
        <f t="shared" si="35"/>
        <v>103490.581170712</v>
      </c>
      <c r="I273" s="30">
        <f t="shared" si="42"/>
        <v>103490.581170712</v>
      </c>
      <c r="J273" s="25">
        <v>33208.800000000003</v>
      </c>
      <c r="K273" s="72">
        <f t="shared" si="39"/>
        <v>31047.174351213602</v>
      </c>
      <c r="L273" s="72">
        <f t="shared" si="43"/>
        <v>31047.174351213602</v>
      </c>
      <c r="M273" s="72">
        <f t="shared" si="45"/>
        <v>134537.7555219256</v>
      </c>
      <c r="N273" s="26"/>
      <c r="O273" s="103">
        <v>0.93490804699999996</v>
      </c>
      <c r="S273" s="422"/>
      <c r="T273" s="426"/>
      <c r="U273" s="422"/>
      <c r="V273" s="423"/>
      <c r="W273" s="422"/>
      <c r="X273" s="422"/>
      <c r="Z273" s="561"/>
    </row>
    <row r="274" spans="1:26" ht="18.95" customHeight="1">
      <c r="A274" s="558"/>
      <c r="B274" s="265">
        <v>6.11</v>
      </c>
      <c r="C274" s="285" t="s">
        <v>3050</v>
      </c>
      <c r="D274" s="267"/>
      <c r="E274" s="25">
        <v>1</v>
      </c>
      <c r="F274" s="1188" t="s">
        <v>2193</v>
      </c>
      <c r="G274" s="72">
        <v>55348</v>
      </c>
      <c r="H274" s="25">
        <f t="shared" si="35"/>
        <v>51745.290585356001</v>
      </c>
      <c r="I274" s="30">
        <f t="shared" si="42"/>
        <v>51745.290585356001</v>
      </c>
      <c r="J274" s="25">
        <v>13837</v>
      </c>
      <c r="K274" s="72">
        <f t="shared" si="39"/>
        <v>12936.322646339</v>
      </c>
      <c r="L274" s="72">
        <f t="shared" si="43"/>
        <v>12936.322646339</v>
      </c>
      <c r="M274" s="72">
        <f t="shared" si="45"/>
        <v>64681.613231695002</v>
      </c>
      <c r="N274" s="26"/>
      <c r="O274" s="103">
        <v>0.93490804699999996</v>
      </c>
      <c r="S274" s="422"/>
      <c r="T274" s="426"/>
      <c r="U274" s="422"/>
      <c r="V274" s="423"/>
      <c r="W274" s="422"/>
      <c r="X274" s="422"/>
      <c r="Z274" s="561"/>
    </row>
    <row r="275" spans="1:26" ht="18.95" customHeight="1">
      <c r="A275" s="558"/>
      <c r="B275" s="1275" t="s">
        <v>2194</v>
      </c>
      <c r="C275" s="1276"/>
      <c r="D275" s="1277"/>
      <c r="E275" s="34"/>
      <c r="F275" s="35"/>
      <c r="G275" s="34"/>
      <c r="H275" s="25"/>
      <c r="I275" s="34">
        <f>SUM(I264:I274)</f>
        <v>858146.48689301801</v>
      </c>
      <c r="J275" s="34"/>
      <c r="K275" s="72"/>
      <c r="L275" s="34">
        <f>SUM(L264:L274)</f>
        <v>138886.9477565696</v>
      </c>
      <c r="M275" s="34">
        <f t="shared" si="45"/>
        <v>997033.43464958761</v>
      </c>
      <c r="N275" s="35"/>
      <c r="O275" s="103">
        <v>0.93490804699999996</v>
      </c>
      <c r="S275" s="425"/>
      <c r="T275" s="569"/>
      <c r="U275" s="431"/>
      <c r="V275" s="431"/>
      <c r="W275" s="431"/>
      <c r="X275" s="431"/>
      <c r="Z275" s="561"/>
    </row>
    <row r="276" spans="1:26" ht="18.95" customHeight="1">
      <c r="A276" s="558"/>
      <c r="B276" s="256"/>
      <c r="C276" s="257"/>
      <c r="D276" s="258"/>
      <c r="E276" s="34"/>
      <c r="F276" s="35"/>
      <c r="G276" s="34"/>
      <c r="H276" s="25"/>
      <c r="I276" s="34"/>
      <c r="J276" s="34"/>
      <c r="K276" s="72"/>
      <c r="L276" s="34"/>
      <c r="M276" s="34"/>
      <c r="N276" s="35"/>
      <c r="O276" s="103">
        <v>0.93490804699999996</v>
      </c>
      <c r="S276" s="425"/>
      <c r="T276" s="429"/>
      <c r="U276" s="430"/>
      <c r="V276" s="431"/>
      <c r="W276" s="431"/>
      <c r="X276" s="432"/>
      <c r="Z276" s="561"/>
    </row>
    <row r="277" spans="1:26" ht="18.95" customHeight="1">
      <c r="A277" s="224">
        <v>7</v>
      </c>
      <c r="B277" s="302" t="s">
        <v>3232</v>
      </c>
      <c r="C277" s="29"/>
      <c r="D277" s="24"/>
      <c r="E277" s="25"/>
      <c r="F277" s="26"/>
      <c r="G277" s="72"/>
      <c r="H277" s="25"/>
      <c r="I277" s="72"/>
      <c r="J277" s="25"/>
      <c r="K277" s="72"/>
      <c r="L277" s="72"/>
      <c r="M277" s="26"/>
      <c r="N277" s="26"/>
      <c r="O277" s="103">
        <v>0.93490804699999996</v>
      </c>
      <c r="P277" s="1286"/>
      <c r="Q277" s="1286"/>
      <c r="S277" s="425"/>
      <c r="T277" s="429"/>
      <c r="U277" s="430"/>
      <c r="V277" s="431"/>
      <c r="W277" s="431"/>
      <c r="X277" s="434"/>
      <c r="Z277" s="561"/>
    </row>
    <row r="278" spans="1:26" ht="18.95" customHeight="1">
      <c r="A278" s="558"/>
      <c r="B278" s="265">
        <v>7.1</v>
      </c>
      <c r="C278" s="285" t="s">
        <v>3487</v>
      </c>
      <c r="D278" s="267"/>
      <c r="E278" s="25"/>
      <c r="F278" s="26"/>
      <c r="G278" s="72"/>
      <c r="H278" s="25"/>
      <c r="I278" s="72"/>
      <c r="J278" s="25"/>
      <c r="K278" s="72"/>
      <c r="L278" s="72"/>
      <c r="M278" s="26"/>
      <c r="N278" s="26"/>
      <c r="O278" s="103">
        <v>0.93490804699999996</v>
      </c>
      <c r="P278" s="1286"/>
      <c r="Q278" s="1286"/>
      <c r="R278" s="205"/>
      <c r="S278" s="425"/>
      <c r="T278" s="429"/>
      <c r="U278" s="430"/>
      <c r="V278" s="431"/>
      <c r="W278" s="431"/>
      <c r="X278" s="434"/>
      <c r="Z278" s="561"/>
    </row>
    <row r="279" spans="1:26" ht="18.95" customHeight="1">
      <c r="A279" s="558"/>
      <c r="B279" s="352"/>
      <c r="C279" s="574" t="s">
        <v>3488</v>
      </c>
      <c r="D279" s="267"/>
      <c r="E279" s="30">
        <v>1</v>
      </c>
      <c r="F279" s="26" t="s">
        <v>349</v>
      </c>
      <c r="G279" s="30">
        <v>300000</v>
      </c>
      <c r="H279" s="25">
        <f t="shared" ref="H279:H325" si="46">G279*O279</f>
        <v>280472.41409999999</v>
      </c>
      <c r="I279" s="30">
        <f t="shared" ref="I279:I321" si="47">E279*H279</f>
        <v>280472.41409999999</v>
      </c>
      <c r="J279" s="30">
        <v>5000</v>
      </c>
      <c r="K279" s="72">
        <f t="shared" si="39"/>
        <v>4674.5402349999995</v>
      </c>
      <c r="L279" s="72">
        <f t="shared" ref="L279:L321" si="48">E279*K279</f>
        <v>4674.5402349999995</v>
      </c>
      <c r="M279" s="30">
        <f>I279+L279</f>
        <v>285146.95433500002</v>
      </c>
      <c r="N279" s="26"/>
      <c r="O279" s="103">
        <v>0.93490804699999996</v>
      </c>
      <c r="S279" s="423"/>
      <c r="T279" s="426"/>
      <c r="U279" s="422"/>
      <c r="V279" s="423"/>
      <c r="W279" s="423"/>
      <c r="X279" s="427"/>
      <c r="Z279" s="561"/>
    </row>
    <row r="280" spans="1:26" ht="18.95" customHeight="1">
      <c r="A280" s="558"/>
      <c r="B280" s="352"/>
      <c r="C280" s="574" t="s">
        <v>3489</v>
      </c>
      <c r="D280" s="267"/>
      <c r="E280" s="30">
        <v>1</v>
      </c>
      <c r="F280" s="26" t="s">
        <v>349</v>
      </c>
      <c r="G280" s="30">
        <v>300000</v>
      </c>
      <c r="H280" s="25">
        <f t="shared" si="46"/>
        <v>280472.41409999999</v>
      </c>
      <c r="I280" s="30">
        <f t="shared" si="47"/>
        <v>280472.41409999999</v>
      </c>
      <c r="J280" s="30">
        <v>5000</v>
      </c>
      <c r="K280" s="72">
        <f t="shared" si="39"/>
        <v>4674.5402349999995</v>
      </c>
      <c r="L280" s="72">
        <f t="shared" si="48"/>
        <v>4674.5402349999995</v>
      </c>
      <c r="M280" s="30">
        <f t="shared" ref="M280:M283" si="49">I280+L280</f>
        <v>285146.95433500002</v>
      </c>
      <c r="N280" s="26"/>
      <c r="O280" s="103">
        <v>0.93490804699999996</v>
      </c>
      <c r="S280" s="423"/>
      <c r="T280" s="426"/>
      <c r="U280" s="422"/>
      <c r="V280" s="423"/>
      <c r="W280" s="423"/>
      <c r="X280" s="427"/>
      <c r="Z280" s="561"/>
    </row>
    <row r="281" spans="1:26" ht="18.95" customHeight="1">
      <c r="A281" s="558"/>
      <c r="B281" s="352"/>
      <c r="C281" s="574" t="s">
        <v>3490</v>
      </c>
      <c r="D281" s="267"/>
      <c r="E281" s="30">
        <v>1</v>
      </c>
      <c r="F281" s="26" t="s">
        <v>349</v>
      </c>
      <c r="G281" s="30">
        <v>300000</v>
      </c>
      <c r="H281" s="25">
        <f t="shared" si="46"/>
        <v>280472.41409999999</v>
      </c>
      <c r="I281" s="30">
        <f t="shared" si="47"/>
        <v>280472.41409999999</v>
      </c>
      <c r="J281" s="30">
        <v>5000</v>
      </c>
      <c r="K281" s="72">
        <f t="shared" si="39"/>
        <v>4674.5402349999995</v>
      </c>
      <c r="L281" s="72">
        <f t="shared" si="48"/>
        <v>4674.5402349999995</v>
      </c>
      <c r="M281" s="30">
        <f t="shared" si="49"/>
        <v>285146.95433500002</v>
      </c>
      <c r="N281" s="26"/>
      <c r="O281" s="103">
        <v>0.93490804699999996</v>
      </c>
      <c r="S281" s="423"/>
      <c r="T281" s="426"/>
      <c r="U281" s="422"/>
      <c r="V281" s="423"/>
      <c r="W281" s="423"/>
      <c r="X281" s="427"/>
      <c r="Z281" s="561"/>
    </row>
    <row r="282" spans="1:26" ht="18.95" customHeight="1">
      <c r="A282" s="558"/>
      <c r="B282" s="352"/>
      <c r="C282" s="574" t="s">
        <v>3491</v>
      </c>
      <c r="D282" s="267"/>
      <c r="E282" s="30">
        <v>1</v>
      </c>
      <c r="F282" s="26" t="s">
        <v>349</v>
      </c>
      <c r="G282" s="30">
        <v>300000</v>
      </c>
      <c r="H282" s="25">
        <f t="shared" si="46"/>
        <v>280472.41409999999</v>
      </c>
      <c r="I282" s="30">
        <f t="shared" si="47"/>
        <v>280472.41409999999</v>
      </c>
      <c r="J282" s="30">
        <v>5000</v>
      </c>
      <c r="K282" s="72">
        <f t="shared" si="39"/>
        <v>4674.5402349999995</v>
      </c>
      <c r="L282" s="72">
        <f t="shared" si="48"/>
        <v>4674.5402349999995</v>
      </c>
      <c r="M282" s="30">
        <f t="shared" si="49"/>
        <v>285146.95433500002</v>
      </c>
      <c r="N282" s="26"/>
      <c r="O282" s="103">
        <v>0.93490804699999996</v>
      </c>
      <c r="S282" s="423"/>
      <c r="T282" s="426"/>
      <c r="U282" s="422"/>
      <c r="V282" s="423"/>
      <c r="W282" s="423"/>
      <c r="X282" s="427"/>
      <c r="Z282" s="561"/>
    </row>
    <row r="283" spans="1:26" ht="18.95" customHeight="1">
      <c r="A283" s="558"/>
      <c r="B283" s="352"/>
      <c r="C283" s="416" t="s">
        <v>3492</v>
      </c>
      <c r="D283" s="267"/>
      <c r="E283" s="30">
        <v>35</v>
      </c>
      <c r="F283" s="26" t="s">
        <v>349</v>
      </c>
      <c r="G283" s="30">
        <v>20000</v>
      </c>
      <c r="H283" s="25">
        <f t="shared" si="46"/>
        <v>18698.160939999998</v>
      </c>
      <c r="I283" s="30">
        <f t="shared" si="47"/>
        <v>654435.63289999997</v>
      </c>
      <c r="J283" s="30">
        <v>2500</v>
      </c>
      <c r="K283" s="72">
        <f t="shared" si="39"/>
        <v>2337.2701174999997</v>
      </c>
      <c r="L283" s="72">
        <f t="shared" si="48"/>
        <v>81804.454112499996</v>
      </c>
      <c r="M283" s="30">
        <f t="shared" si="49"/>
        <v>736240.08701249992</v>
      </c>
      <c r="N283" s="30"/>
      <c r="O283" s="103">
        <v>0.93490804699999996</v>
      </c>
      <c r="S283" s="422"/>
      <c r="T283" s="426"/>
      <c r="U283" s="422"/>
      <c r="V283" s="423"/>
      <c r="W283" s="423"/>
      <c r="X283" s="427"/>
      <c r="Z283" s="561"/>
    </row>
    <row r="284" spans="1:26" ht="18.95" customHeight="1">
      <c r="A284" s="558"/>
      <c r="B284" s="352"/>
      <c r="C284" s="416" t="s">
        <v>3493</v>
      </c>
      <c r="D284" s="267"/>
      <c r="E284" s="30">
        <v>1</v>
      </c>
      <c r="F284" s="26" t="s">
        <v>349</v>
      </c>
      <c r="G284" s="30">
        <v>15000</v>
      </c>
      <c r="H284" s="25">
        <f t="shared" si="46"/>
        <v>14023.620704999999</v>
      </c>
      <c r="I284" s="30">
        <f t="shared" si="47"/>
        <v>14023.620704999999</v>
      </c>
      <c r="J284" s="30">
        <v>3000</v>
      </c>
      <c r="K284" s="72">
        <f t="shared" si="39"/>
        <v>2804.7241409999997</v>
      </c>
      <c r="L284" s="72">
        <f t="shared" si="48"/>
        <v>2804.7241409999997</v>
      </c>
      <c r="M284" s="30">
        <f t="shared" ref="M284:M299" si="50">I284+L284</f>
        <v>16828.344846</v>
      </c>
      <c r="N284" s="26"/>
      <c r="O284" s="103">
        <v>0.93490804699999996</v>
      </c>
      <c r="S284" s="423"/>
      <c r="T284" s="426"/>
      <c r="U284" s="422"/>
      <c r="V284" s="423"/>
      <c r="W284" s="423"/>
      <c r="X284" s="427"/>
      <c r="Z284" s="561"/>
    </row>
    <row r="285" spans="1:26" ht="18.95" customHeight="1">
      <c r="A285" s="558"/>
      <c r="B285" s="352"/>
      <c r="C285" s="416" t="s">
        <v>3494</v>
      </c>
      <c r="D285" s="267"/>
      <c r="E285" s="30">
        <v>1</v>
      </c>
      <c r="F285" s="26" t="s">
        <v>349</v>
      </c>
      <c r="G285" s="30">
        <v>15000</v>
      </c>
      <c r="H285" s="25">
        <f t="shared" si="46"/>
        <v>14023.620704999999</v>
      </c>
      <c r="I285" s="30">
        <f t="shared" si="47"/>
        <v>14023.620704999999</v>
      </c>
      <c r="J285" s="30">
        <v>3000</v>
      </c>
      <c r="K285" s="72">
        <f t="shared" si="39"/>
        <v>2804.7241409999997</v>
      </c>
      <c r="L285" s="72">
        <f t="shared" si="48"/>
        <v>2804.7241409999997</v>
      </c>
      <c r="M285" s="30">
        <f t="shared" si="50"/>
        <v>16828.344846</v>
      </c>
      <c r="N285" s="26"/>
      <c r="O285" s="103">
        <v>0.93490804699999996</v>
      </c>
      <c r="S285" s="423"/>
      <c r="T285" s="426"/>
      <c r="U285" s="422"/>
      <c r="V285" s="423"/>
      <c r="W285" s="423"/>
      <c r="X285" s="427"/>
      <c r="Z285" s="561"/>
    </row>
    <row r="286" spans="1:26" ht="18.95" customHeight="1">
      <c r="A286" s="558"/>
      <c r="B286" s="352"/>
      <c r="C286" s="416" t="s">
        <v>3495</v>
      </c>
      <c r="D286" s="267"/>
      <c r="E286" s="30">
        <v>1</v>
      </c>
      <c r="F286" s="26" t="s">
        <v>349</v>
      </c>
      <c r="G286" s="30">
        <v>15000</v>
      </c>
      <c r="H286" s="25">
        <f t="shared" si="46"/>
        <v>14023.620704999999</v>
      </c>
      <c r="I286" s="30">
        <f t="shared" si="47"/>
        <v>14023.620704999999</v>
      </c>
      <c r="J286" s="30">
        <v>3000</v>
      </c>
      <c r="K286" s="72">
        <f t="shared" si="39"/>
        <v>2804.7241409999997</v>
      </c>
      <c r="L286" s="72">
        <f t="shared" si="48"/>
        <v>2804.7241409999997</v>
      </c>
      <c r="M286" s="30">
        <f t="shared" si="50"/>
        <v>16828.344846</v>
      </c>
      <c r="N286" s="26"/>
      <c r="O286" s="103">
        <v>0.93490804699999996</v>
      </c>
      <c r="S286" s="423"/>
      <c r="T286" s="426"/>
      <c r="U286" s="422"/>
      <c r="V286" s="423"/>
      <c r="W286" s="423"/>
      <c r="X286" s="427"/>
      <c r="Z286" s="561"/>
    </row>
    <row r="287" spans="1:26" ht="18.95" customHeight="1">
      <c r="A287" s="558"/>
      <c r="B287" s="352"/>
      <c r="C287" s="416" t="s">
        <v>3496</v>
      </c>
      <c r="D287" s="267"/>
      <c r="E287" s="30">
        <v>1</v>
      </c>
      <c r="F287" s="26" t="s">
        <v>349</v>
      </c>
      <c r="G287" s="30">
        <v>15000</v>
      </c>
      <c r="H287" s="25">
        <f t="shared" si="46"/>
        <v>14023.620704999999</v>
      </c>
      <c r="I287" s="30">
        <f t="shared" si="47"/>
        <v>14023.620704999999</v>
      </c>
      <c r="J287" s="30">
        <v>3000</v>
      </c>
      <c r="K287" s="72">
        <f t="shared" si="39"/>
        <v>2804.7241409999997</v>
      </c>
      <c r="L287" s="72">
        <f t="shared" si="48"/>
        <v>2804.7241409999997</v>
      </c>
      <c r="M287" s="30">
        <f t="shared" si="50"/>
        <v>16828.344846</v>
      </c>
      <c r="N287" s="26"/>
      <c r="O287" s="103">
        <v>0.93490804699999996</v>
      </c>
      <c r="S287" s="423"/>
      <c r="T287" s="426"/>
      <c r="U287" s="422"/>
      <c r="V287" s="423"/>
      <c r="W287" s="423"/>
      <c r="X287" s="427"/>
      <c r="Z287" s="561"/>
    </row>
    <row r="288" spans="1:26" ht="18.95" customHeight="1">
      <c r="A288" s="558"/>
      <c r="B288" s="352"/>
      <c r="C288" s="416" t="s">
        <v>3497</v>
      </c>
      <c r="D288" s="267"/>
      <c r="E288" s="30">
        <v>1</v>
      </c>
      <c r="F288" s="26" t="s">
        <v>349</v>
      </c>
      <c r="G288" s="30">
        <v>15000</v>
      </c>
      <c r="H288" s="25">
        <f t="shared" si="46"/>
        <v>14023.620704999999</v>
      </c>
      <c r="I288" s="30">
        <f t="shared" si="47"/>
        <v>14023.620704999999</v>
      </c>
      <c r="J288" s="30">
        <v>3000</v>
      </c>
      <c r="K288" s="72">
        <f t="shared" si="39"/>
        <v>2804.7241409999997</v>
      </c>
      <c r="L288" s="72">
        <f t="shared" si="48"/>
        <v>2804.7241409999997</v>
      </c>
      <c r="M288" s="30">
        <f t="shared" si="50"/>
        <v>16828.344846</v>
      </c>
      <c r="N288" s="26"/>
      <c r="O288" s="103">
        <v>0.93490804699999996</v>
      </c>
      <c r="S288" s="423"/>
      <c r="T288" s="426"/>
      <c r="U288" s="422"/>
      <c r="V288" s="423"/>
      <c r="W288" s="423"/>
      <c r="X288" s="427"/>
      <c r="Z288" s="561"/>
    </row>
    <row r="289" spans="1:26" ht="18.95" customHeight="1">
      <c r="A289" s="558"/>
      <c r="B289" s="352"/>
      <c r="C289" s="416" t="s">
        <v>3498</v>
      </c>
      <c r="D289" s="267"/>
      <c r="E289" s="30">
        <v>1</v>
      </c>
      <c r="F289" s="26" t="s">
        <v>349</v>
      </c>
      <c r="G289" s="30">
        <v>15000</v>
      </c>
      <c r="H289" s="25">
        <f t="shared" si="46"/>
        <v>14023.620704999999</v>
      </c>
      <c r="I289" s="30">
        <f t="shared" si="47"/>
        <v>14023.620704999999</v>
      </c>
      <c r="J289" s="30">
        <v>3000</v>
      </c>
      <c r="K289" s="72">
        <f t="shared" si="39"/>
        <v>2804.7241409999997</v>
      </c>
      <c r="L289" s="72">
        <f t="shared" si="48"/>
        <v>2804.7241409999997</v>
      </c>
      <c r="M289" s="30">
        <f t="shared" si="50"/>
        <v>16828.344846</v>
      </c>
      <c r="N289" s="26"/>
      <c r="O289" s="103">
        <v>0.93490804699999996</v>
      </c>
      <c r="S289" s="423"/>
      <c r="T289" s="426"/>
      <c r="U289" s="422"/>
      <c r="V289" s="423"/>
      <c r="W289" s="423"/>
      <c r="X289" s="427"/>
      <c r="Z289" s="561"/>
    </row>
    <row r="290" spans="1:26" ht="18.95" customHeight="1">
      <c r="A290" s="558"/>
      <c r="B290" s="352"/>
      <c r="C290" s="416" t="s">
        <v>3499</v>
      </c>
      <c r="D290" s="267"/>
      <c r="E290" s="30">
        <v>1</v>
      </c>
      <c r="F290" s="26" t="s">
        <v>349</v>
      </c>
      <c r="G290" s="30">
        <v>15000</v>
      </c>
      <c r="H290" s="25">
        <f t="shared" si="46"/>
        <v>14023.620704999999</v>
      </c>
      <c r="I290" s="30">
        <f t="shared" si="47"/>
        <v>14023.620704999999</v>
      </c>
      <c r="J290" s="30">
        <v>3000</v>
      </c>
      <c r="K290" s="72">
        <f t="shared" si="39"/>
        <v>2804.7241409999997</v>
      </c>
      <c r="L290" s="72">
        <f t="shared" si="48"/>
        <v>2804.7241409999997</v>
      </c>
      <c r="M290" s="30">
        <f t="shared" si="50"/>
        <v>16828.344846</v>
      </c>
      <c r="N290" s="26"/>
      <c r="O290" s="103">
        <v>0.93490804699999996</v>
      </c>
      <c r="S290" s="423"/>
      <c r="T290" s="426"/>
      <c r="U290" s="422"/>
      <c r="V290" s="423"/>
      <c r="W290" s="423"/>
      <c r="X290" s="427"/>
      <c r="Z290" s="561"/>
    </row>
    <row r="291" spans="1:26" ht="18.95" customHeight="1">
      <c r="A291" s="558"/>
      <c r="B291" s="352"/>
      <c r="C291" s="416" t="s">
        <v>3500</v>
      </c>
      <c r="D291" s="267"/>
      <c r="E291" s="30">
        <v>1</v>
      </c>
      <c r="F291" s="26" t="s">
        <v>349</v>
      </c>
      <c r="G291" s="30">
        <v>15000</v>
      </c>
      <c r="H291" s="25">
        <f t="shared" si="46"/>
        <v>14023.620704999999</v>
      </c>
      <c r="I291" s="30">
        <f t="shared" si="47"/>
        <v>14023.620704999999</v>
      </c>
      <c r="J291" s="30">
        <v>3000</v>
      </c>
      <c r="K291" s="72">
        <f t="shared" ref="K291:K325" si="51">J291*O291</f>
        <v>2804.7241409999997</v>
      </c>
      <c r="L291" s="72">
        <f t="shared" si="48"/>
        <v>2804.7241409999997</v>
      </c>
      <c r="M291" s="30">
        <f t="shared" si="50"/>
        <v>16828.344846</v>
      </c>
      <c r="N291" s="26"/>
      <c r="O291" s="103">
        <v>0.93490804699999996</v>
      </c>
      <c r="S291" s="423"/>
      <c r="T291" s="426"/>
      <c r="U291" s="422"/>
      <c r="V291" s="423"/>
      <c r="W291" s="423"/>
      <c r="X291" s="427"/>
      <c r="Z291" s="561"/>
    </row>
    <row r="292" spans="1:26" ht="18.95" customHeight="1">
      <c r="A292" s="558"/>
      <c r="B292" s="352"/>
      <c r="C292" s="416" t="s">
        <v>3501</v>
      </c>
      <c r="D292" s="267"/>
      <c r="E292" s="30">
        <v>1</v>
      </c>
      <c r="F292" s="26" t="s">
        <v>349</v>
      </c>
      <c r="G292" s="30">
        <v>15000</v>
      </c>
      <c r="H292" s="25">
        <f t="shared" si="46"/>
        <v>14023.620704999999</v>
      </c>
      <c r="I292" s="30">
        <f t="shared" si="47"/>
        <v>14023.620704999999</v>
      </c>
      <c r="J292" s="30">
        <v>3000</v>
      </c>
      <c r="K292" s="72">
        <f t="shared" si="51"/>
        <v>2804.7241409999997</v>
      </c>
      <c r="L292" s="72">
        <f t="shared" si="48"/>
        <v>2804.7241409999997</v>
      </c>
      <c r="M292" s="30">
        <f t="shared" si="50"/>
        <v>16828.344846</v>
      </c>
      <c r="N292" s="26"/>
      <c r="O292" s="103">
        <v>0.93490804699999996</v>
      </c>
      <c r="S292" s="423"/>
      <c r="T292" s="426"/>
      <c r="U292" s="422"/>
      <c r="V292" s="423"/>
      <c r="W292" s="423"/>
      <c r="X292" s="427"/>
      <c r="Z292" s="561"/>
    </row>
    <row r="293" spans="1:26" ht="18.95" customHeight="1">
      <c r="A293" s="558"/>
      <c r="B293" s="352"/>
      <c r="C293" s="416" t="s">
        <v>3502</v>
      </c>
      <c r="D293" s="267"/>
      <c r="E293" s="30">
        <v>1</v>
      </c>
      <c r="F293" s="26" t="s">
        <v>349</v>
      </c>
      <c r="G293" s="30">
        <v>15000</v>
      </c>
      <c r="H293" s="25">
        <f t="shared" si="46"/>
        <v>14023.620704999999</v>
      </c>
      <c r="I293" s="30">
        <f t="shared" si="47"/>
        <v>14023.620704999999</v>
      </c>
      <c r="J293" s="30">
        <v>3000</v>
      </c>
      <c r="K293" s="72">
        <f t="shared" si="51"/>
        <v>2804.7241409999997</v>
      </c>
      <c r="L293" s="72">
        <f t="shared" si="48"/>
        <v>2804.7241409999997</v>
      </c>
      <c r="M293" s="30">
        <f t="shared" si="50"/>
        <v>16828.344846</v>
      </c>
      <c r="N293" s="26"/>
      <c r="O293" s="103">
        <v>0.93490804699999996</v>
      </c>
      <c r="S293" s="423"/>
      <c r="T293" s="426"/>
      <c r="U293" s="422"/>
      <c r="V293" s="423"/>
      <c r="W293" s="423"/>
      <c r="X293" s="427"/>
      <c r="Z293" s="561"/>
    </row>
    <row r="294" spans="1:26" ht="18.95" customHeight="1">
      <c r="A294" s="558"/>
      <c r="B294" s="352"/>
      <c r="C294" s="416" t="s">
        <v>3503</v>
      </c>
      <c r="D294" s="267"/>
      <c r="E294" s="30">
        <v>1</v>
      </c>
      <c r="F294" s="26" t="s">
        <v>349</v>
      </c>
      <c r="G294" s="30">
        <v>15000</v>
      </c>
      <c r="H294" s="25">
        <f t="shared" si="46"/>
        <v>14023.620704999999</v>
      </c>
      <c r="I294" s="30">
        <f t="shared" si="47"/>
        <v>14023.620704999999</v>
      </c>
      <c r="J294" s="30">
        <v>3000</v>
      </c>
      <c r="K294" s="72">
        <f t="shared" si="51"/>
        <v>2804.7241409999997</v>
      </c>
      <c r="L294" s="72">
        <f t="shared" si="48"/>
        <v>2804.7241409999997</v>
      </c>
      <c r="M294" s="30">
        <f t="shared" si="50"/>
        <v>16828.344846</v>
      </c>
      <c r="N294" s="26"/>
      <c r="O294" s="103">
        <v>0.93490804699999996</v>
      </c>
      <c r="S294" s="423"/>
      <c r="T294" s="426"/>
      <c r="U294" s="422"/>
      <c r="V294" s="423"/>
      <c r="W294" s="423"/>
      <c r="X294" s="427"/>
      <c r="Z294" s="561"/>
    </row>
    <row r="295" spans="1:26" ht="18.95" customHeight="1">
      <c r="A295" s="558"/>
      <c r="B295" s="352"/>
      <c r="C295" s="416" t="s">
        <v>3504</v>
      </c>
      <c r="D295" s="267"/>
      <c r="E295" s="30">
        <v>1</v>
      </c>
      <c r="F295" s="26" t="s">
        <v>349</v>
      </c>
      <c r="G295" s="30">
        <v>15000</v>
      </c>
      <c r="H295" s="25">
        <f t="shared" si="46"/>
        <v>14023.620704999999</v>
      </c>
      <c r="I295" s="30">
        <f t="shared" si="47"/>
        <v>14023.620704999999</v>
      </c>
      <c r="J295" s="30">
        <v>3000</v>
      </c>
      <c r="K295" s="72">
        <f t="shared" si="51"/>
        <v>2804.7241409999997</v>
      </c>
      <c r="L295" s="72">
        <f t="shared" si="48"/>
        <v>2804.7241409999997</v>
      </c>
      <c r="M295" s="30">
        <f t="shared" si="50"/>
        <v>16828.344846</v>
      </c>
      <c r="N295" s="26"/>
      <c r="O295" s="103">
        <v>0.93490804699999996</v>
      </c>
      <c r="S295" s="423"/>
      <c r="T295" s="426"/>
      <c r="U295" s="422"/>
      <c r="V295" s="423"/>
      <c r="W295" s="423"/>
      <c r="X295" s="427"/>
      <c r="Z295" s="561"/>
    </row>
    <row r="296" spans="1:26" ht="18.95" customHeight="1">
      <c r="A296" s="558"/>
      <c r="B296" s="352"/>
      <c r="C296" s="416" t="s">
        <v>3505</v>
      </c>
      <c r="D296" s="267"/>
      <c r="E296" s="30">
        <v>1</v>
      </c>
      <c r="F296" s="26" t="s">
        <v>349</v>
      </c>
      <c r="G296" s="30">
        <v>15000</v>
      </c>
      <c r="H296" s="25">
        <f t="shared" si="46"/>
        <v>14023.620704999999</v>
      </c>
      <c r="I296" s="30">
        <f t="shared" si="47"/>
        <v>14023.620704999999</v>
      </c>
      <c r="J296" s="30">
        <v>3000</v>
      </c>
      <c r="K296" s="72">
        <f t="shared" si="51"/>
        <v>2804.7241409999997</v>
      </c>
      <c r="L296" s="72">
        <f t="shared" si="48"/>
        <v>2804.7241409999997</v>
      </c>
      <c r="M296" s="30">
        <f t="shared" si="50"/>
        <v>16828.344846</v>
      </c>
      <c r="N296" s="26"/>
      <c r="O296" s="103">
        <v>0.93490804699999996</v>
      </c>
      <c r="S296" s="423"/>
      <c r="T296" s="426"/>
      <c r="U296" s="422"/>
      <c r="V296" s="423"/>
      <c r="W296" s="423"/>
      <c r="X296" s="427"/>
      <c r="Z296" s="561"/>
    </row>
    <row r="297" spans="1:26" ht="18.95" customHeight="1">
      <c r="A297" s="558"/>
      <c r="B297" s="352"/>
      <c r="C297" s="416" t="s">
        <v>3506</v>
      </c>
      <c r="D297" s="267"/>
      <c r="E297" s="30">
        <v>1</v>
      </c>
      <c r="F297" s="26" t="s">
        <v>349</v>
      </c>
      <c r="G297" s="30">
        <v>15000</v>
      </c>
      <c r="H297" s="25">
        <f t="shared" si="46"/>
        <v>14023.620704999999</v>
      </c>
      <c r="I297" s="30">
        <f t="shared" si="47"/>
        <v>14023.620704999999</v>
      </c>
      <c r="J297" s="30">
        <v>3000</v>
      </c>
      <c r="K297" s="72">
        <f t="shared" si="51"/>
        <v>2804.7241409999997</v>
      </c>
      <c r="L297" s="72">
        <f t="shared" si="48"/>
        <v>2804.7241409999997</v>
      </c>
      <c r="M297" s="30">
        <f t="shared" si="50"/>
        <v>16828.344846</v>
      </c>
      <c r="N297" s="26"/>
      <c r="O297" s="103">
        <v>0.93490804699999996</v>
      </c>
      <c r="S297" s="423"/>
      <c r="T297" s="426"/>
      <c r="U297" s="422"/>
      <c r="V297" s="423"/>
      <c r="W297" s="423"/>
      <c r="X297" s="427"/>
      <c r="Z297" s="561"/>
    </row>
    <row r="298" spans="1:26" ht="18.95" customHeight="1">
      <c r="A298" s="558"/>
      <c r="B298" s="352"/>
      <c r="C298" s="416" t="s">
        <v>3507</v>
      </c>
      <c r="D298" s="267"/>
      <c r="E298" s="30">
        <v>1</v>
      </c>
      <c r="F298" s="26" t="s">
        <v>349</v>
      </c>
      <c r="G298" s="30">
        <v>15000</v>
      </c>
      <c r="H298" s="25">
        <f t="shared" si="46"/>
        <v>14023.620704999999</v>
      </c>
      <c r="I298" s="30">
        <f t="shared" si="47"/>
        <v>14023.620704999999</v>
      </c>
      <c r="J298" s="30">
        <v>3000</v>
      </c>
      <c r="K298" s="72">
        <f t="shared" si="51"/>
        <v>2804.7241409999997</v>
      </c>
      <c r="L298" s="72">
        <f t="shared" si="48"/>
        <v>2804.7241409999997</v>
      </c>
      <c r="M298" s="30">
        <f t="shared" si="50"/>
        <v>16828.344846</v>
      </c>
      <c r="N298" s="26"/>
      <c r="O298" s="103">
        <v>0.93490804699999996</v>
      </c>
      <c r="S298" s="423"/>
      <c r="T298" s="426"/>
      <c r="U298" s="422"/>
      <c r="V298" s="423"/>
      <c r="W298" s="423"/>
      <c r="X298" s="427"/>
      <c r="Z298" s="561"/>
    </row>
    <row r="299" spans="1:26" ht="18.95" customHeight="1">
      <c r="A299" s="539"/>
      <c r="B299" s="315"/>
      <c r="C299" s="47" t="s">
        <v>3508</v>
      </c>
      <c r="D299" s="24"/>
      <c r="E299" s="30">
        <v>1</v>
      </c>
      <c r="F299" s="26" t="s">
        <v>349</v>
      </c>
      <c r="G299" s="30">
        <v>25000</v>
      </c>
      <c r="H299" s="25">
        <f t="shared" si="46"/>
        <v>23372.701174999998</v>
      </c>
      <c r="I299" s="30">
        <f t="shared" si="47"/>
        <v>23372.701174999998</v>
      </c>
      <c r="J299" s="30">
        <v>3000</v>
      </c>
      <c r="K299" s="72">
        <f t="shared" si="51"/>
        <v>2804.7241409999997</v>
      </c>
      <c r="L299" s="72">
        <f t="shared" si="48"/>
        <v>2804.7241409999997</v>
      </c>
      <c r="M299" s="30">
        <f t="shared" si="50"/>
        <v>26177.425315999997</v>
      </c>
      <c r="N299" s="26"/>
      <c r="O299" s="103">
        <v>0.93490804699999996</v>
      </c>
      <c r="S299" s="423"/>
      <c r="T299" s="426"/>
      <c r="U299" s="422"/>
      <c r="V299" s="423"/>
      <c r="W299" s="423"/>
      <c r="X299" s="427"/>
      <c r="Z299" s="561"/>
    </row>
    <row r="300" spans="1:26" ht="18.95" customHeight="1">
      <c r="A300" s="280"/>
      <c r="B300" s="315"/>
      <c r="C300" s="47" t="s">
        <v>3509</v>
      </c>
      <c r="D300" s="24"/>
      <c r="E300" s="30">
        <v>1</v>
      </c>
      <c r="F300" s="26" t="s">
        <v>349</v>
      </c>
      <c r="G300" s="30">
        <v>25000</v>
      </c>
      <c r="H300" s="25">
        <f t="shared" si="46"/>
        <v>23372.701174999998</v>
      </c>
      <c r="I300" s="30">
        <f t="shared" si="47"/>
        <v>23372.701174999998</v>
      </c>
      <c r="J300" s="30">
        <v>3000</v>
      </c>
      <c r="K300" s="72">
        <f t="shared" si="51"/>
        <v>2804.7241409999997</v>
      </c>
      <c r="L300" s="72">
        <f t="shared" si="48"/>
        <v>2804.7241409999997</v>
      </c>
      <c r="M300" s="30">
        <f t="shared" ref="M300:M322" si="52">I300+L300</f>
        <v>26177.425315999997</v>
      </c>
      <c r="N300" s="26"/>
      <c r="O300" s="103">
        <v>0.93490804699999996</v>
      </c>
      <c r="P300" s="1286"/>
      <c r="Q300" s="1286"/>
      <c r="T300" s="559"/>
      <c r="V300" s="205"/>
      <c r="Z300" s="561"/>
    </row>
    <row r="301" spans="1:26" ht="18.95" customHeight="1">
      <c r="A301" s="115"/>
      <c r="B301" s="41"/>
      <c r="C301" s="47" t="s">
        <v>3510</v>
      </c>
      <c r="D301" s="24"/>
      <c r="E301" s="30">
        <v>1</v>
      </c>
      <c r="F301" s="26" t="s">
        <v>349</v>
      </c>
      <c r="G301" s="30">
        <v>25000</v>
      </c>
      <c r="H301" s="25">
        <f t="shared" si="46"/>
        <v>23372.701174999998</v>
      </c>
      <c r="I301" s="30">
        <f t="shared" si="47"/>
        <v>23372.701174999998</v>
      </c>
      <c r="J301" s="30">
        <v>3000</v>
      </c>
      <c r="K301" s="72">
        <f t="shared" si="51"/>
        <v>2804.7241409999997</v>
      </c>
      <c r="L301" s="72">
        <f t="shared" si="48"/>
        <v>2804.7241409999997</v>
      </c>
      <c r="M301" s="30">
        <f t="shared" si="52"/>
        <v>26177.425315999997</v>
      </c>
      <c r="N301" s="26"/>
      <c r="O301" s="103">
        <v>0.93490804699999996</v>
      </c>
      <c r="P301" s="1286"/>
      <c r="Q301" s="1286"/>
      <c r="T301" s="559"/>
      <c r="V301" s="205"/>
      <c r="Z301" s="561"/>
    </row>
    <row r="302" spans="1:26" ht="18.95" customHeight="1">
      <c r="A302" s="115"/>
      <c r="B302" s="41"/>
      <c r="C302" s="47" t="s">
        <v>3511</v>
      </c>
      <c r="D302" s="24"/>
      <c r="E302" s="30">
        <v>1</v>
      </c>
      <c r="F302" s="26" t="s">
        <v>349</v>
      </c>
      <c r="G302" s="30">
        <v>25000</v>
      </c>
      <c r="H302" s="25">
        <f t="shared" si="46"/>
        <v>23372.701174999998</v>
      </c>
      <c r="I302" s="30">
        <f t="shared" si="47"/>
        <v>23372.701174999998</v>
      </c>
      <c r="J302" s="30">
        <v>3000</v>
      </c>
      <c r="K302" s="72">
        <f t="shared" si="51"/>
        <v>2804.7241409999997</v>
      </c>
      <c r="L302" s="72">
        <f t="shared" si="48"/>
        <v>2804.7241409999997</v>
      </c>
      <c r="M302" s="30">
        <f t="shared" si="52"/>
        <v>26177.425315999997</v>
      </c>
      <c r="N302" s="26"/>
      <c r="O302" s="103">
        <v>0.93490804699999996</v>
      </c>
      <c r="P302" s="1286"/>
      <c r="Q302" s="1286"/>
      <c r="T302" s="559"/>
      <c r="V302" s="205"/>
      <c r="Z302" s="561"/>
    </row>
    <row r="303" spans="1:26" ht="18.95" customHeight="1">
      <c r="A303" s="115"/>
      <c r="B303" s="315"/>
      <c r="C303" s="285" t="s">
        <v>3512</v>
      </c>
      <c r="D303" s="24"/>
      <c r="E303" s="30">
        <v>1</v>
      </c>
      <c r="F303" s="26" t="s">
        <v>349</v>
      </c>
      <c r="G303" s="30">
        <v>25000</v>
      </c>
      <c r="H303" s="25">
        <f t="shared" si="46"/>
        <v>23372.701174999998</v>
      </c>
      <c r="I303" s="30">
        <f t="shared" si="47"/>
        <v>23372.701174999998</v>
      </c>
      <c r="J303" s="30">
        <v>3000</v>
      </c>
      <c r="K303" s="72">
        <f t="shared" si="51"/>
        <v>2804.7241409999997</v>
      </c>
      <c r="L303" s="72">
        <f t="shared" si="48"/>
        <v>2804.7241409999997</v>
      </c>
      <c r="M303" s="30">
        <f t="shared" si="52"/>
        <v>26177.425315999997</v>
      </c>
      <c r="N303" s="26"/>
      <c r="O303" s="103">
        <v>0.93490804699999996</v>
      </c>
      <c r="P303" s="1286"/>
      <c r="Q303" s="1286"/>
      <c r="T303" s="559"/>
      <c r="V303" s="205"/>
      <c r="Z303" s="561"/>
    </row>
    <row r="304" spans="1:26" ht="18.95" customHeight="1">
      <c r="A304" s="21"/>
      <c r="B304" s="315"/>
      <c r="C304" s="285" t="s">
        <v>3513</v>
      </c>
      <c r="D304" s="286"/>
      <c r="E304" s="30">
        <v>1</v>
      </c>
      <c r="F304" s="26" t="s">
        <v>349</v>
      </c>
      <c r="G304" s="30">
        <v>25000</v>
      </c>
      <c r="H304" s="25">
        <f t="shared" si="46"/>
        <v>23372.701174999998</v>
      </c>
      <c r="I304" s="30">
        <f t="shared" si="47"/>
        <v>23372.701174999998</v>
      </c>
      <c r="J304" s="30">
        <v>3000</v>
      </c>
      <c r="K304" s="72">
        <f t="shared" si="51"/>
        <v>2804.7241409999997</v>
      </c>
      <c r="L304" s="72">
        <f t="shared" si="48"/>
        <v>2804.7241409999997</v>
      </c>
      <c r="M304" s="30">
        <f t="shared" si="52"/>
        <v>26177.425315999997</v>
      </c>
      <c r="N304" s="26"/>
      <c r="O304" s="103">
        <v>0.93490804699999996</v>
      </c>
      <c r="P304" s="1286"/>
      <c r="Q304" s="1286"/>
      <c r="T304" s="559"/>
      <c r="V304" s="205"/>
      <c r="Z304" s="561"/>
    </row>
    <row r="305" spans="1:26" ht="18.95" customHeight="1">
      <c r="A305" s="21"/>
      <c r="B305" s="315"/>
      <c r="C305" s="285" t="s">
        <v>3514</v>
      </c>
      <c r="D305" s="286"/>
      <c r="E305" s="30">
        <v>1</v>
      </c>
      <c r="F305" s="26" t="s">
        <v>349</v>
      </c>
      <c r="G305" s="30">
        <v>25000</v>
      </c>
      <c r="H305" s="25">
        <f t="shared" si="46"/>
        <v>23372.701174999998</v>
      </c>
      <c r="I305" s="30">
        <f t="shared" si="47"/>
        <v>23372.701174999998</v>
      </c>
      <c r="J305" s="30">
        <v>3000</v>
      </c>
      <c r="K305" s="72">
        <f t="shared" si="51"/>
        <v>2804.7241409999997</v>
      </c>
      <c r="L305" s="72">
        <f t="shared" si="48"/>
        <v>2804.7241409999997</v>
      </c>
      <c r="M305" s="30">
        <f t="shared" si="52"/>
        <v>26177.425315999997</v>
      </c>
      <c r="N305" s="26"/>
      <c r="O305" s="103">
        <v>0.93490804699999996</v>
      </c>
      <c r="P305" s="1286"/>
      <c r="Q305" s="1286"/>
      <c r="T305" s="559"/>
      <c r="V305" s="205"/>
      <c r="Z305" s="561"/>
    </row>
    <row r="306" spans="1:26" ht="18.95" customHeight="1">
      <c r="A306" s="21"/>
      <c r="B306" s="315"/>
      <c r="C306" s="285" t="s">
        <v>3515</v>
      </c>
      <c r="D306" s="286"/>
      <c r="E306" s="30">
        <v>1</v>
      </c>
      <c r="F306" s="26" t="s">
        <v>349</v>
      </c>
      <c r="G306" s="30">
        <v>25000</v>
      </c>
      <c r="H306" s="25">
        <f t="shared" si="46"/>
        <v>23372.701174999998</v>
      </c>
      <c r="I306" s="30">
        <f t="shared" si="47"/>
        <v>23372.701174999998</v>
      </c>
      <c r="J306" s="30">
        <v>3000</v>
      </c>
      <c r="K306" s="72">
        <f t="shared" si="51"/>
        <v>2804.7241409999997</v>
      </c>
      <c r="L306" s="72">
        <f t="shared" si="48"/>
        <v>2804.7241409999997</v>
      </c>
      <c r="M306" s="30">
        <f t="shared" si="52"/>
        <v>26177.425315999997</v>
      </c>
      <c r="N306" s="26"/>
      <c r="O306" s="103">
        <v>0.93490804699999996</v>
      </c>
      <c r="P306" s="1286"/>
      <c r="Q306" s="1286"/>
      <c r="T306" s="559"/>
      <c r="V306" s="205"/>
      <c r="Z306" s="561"/>
    </row>
    <row r="307" spans="1:26" ht="18.95" customHeight="1">
      <c r="A307" s="21"/>
      <c r="B307" s="315"/>
      <c r="C307" s="285" t="s">
        <v>3516</v>
      </c>
      <c r="D307" s="286"/>
      <c r="E307" s="30">
        <v>1</v>
      </c>
      <c r="F307" s="26" t="s">
        <v>349</v>
      </c>
      <c r="G307" s="30">
        <v>25000</v>
      </c>
      <c r="H307" s="25">
        <f t="shared" si="46"/>
        <v>23372.701174999998</v>
      </c>
      <c r="I307" s="30">
        <f t="shared" si="47"/>
        <v>23372.701174999998</v>
      </c>
      <c r="J307" s="30">
        <v>3000</v>
      </c>
      <c r="K307" s="72">
        <f t="shared" si="51"/>
        <v>2804.7241409999997</v>
      </c>
      <c r="L307" s="72">
        <f t="shared" si="48"/>
        <v>2804.7241409999997</v>
      </c>
      <c r="M307" s="30">
        <f t="shared" si="52"/>
        <v>26177.425315999997</v>
      </c>
      <c r="N307" s="26"/>
      <c r="O307" s="103">
        <v>0.93490804699999996</v>
      </c>
      <c r="P307" s="1286"/>
      <c r="Q307" s="1286"/>
      <c r="T307" s="559"/>
      <c r="V307" s="205"/>
      <c r="Z307" s="561"/>
    </row>
    <row r="308" spans="1:26" ht="18.95" customHeight="1">
      <c r="A308" s="21"/>
      <c r="B308" s="315"/>
      <c r="C308" s="285" t="s">
        <v>3517</v>
      </c>
      <c r="D308" s="286"/>
      <c r="E308" s="30">
        <v>1</v>
      </c>
      <c r="F308" s="26" t="s">
        <v>349</v>
      </c>
      <c r="G308" s="30">
        <v>25000</v>
      </c>
      <c r="H308" s="25">
        <f t="shared" si="46"/>
        <v>23372.701174999998</v>
      </c>
      <c r="I308" s="30">
        <f t="shared" si="47"/>
        <v>23372.701174999998</v>
      </c>
      <c r="J308" s="30">
        <v>3000</v>
      </c>
      <c r="K308" s="72">
        <f t="shared" si="51"/>
        <v>2804.7241409999997</v>
      </c>
      <c r="L308" s="72">
        <f t="shared" si="48"/>
        <v>2804.7241409999997</v>
      </c>
      <c r="M308" s="30">
        <f t="shared" si="52"/>
        <v>26177.425315999997</v>
      </c>
      <c r="N308" s="26"/>
      <c r="O308" s="103">
        <v>0.93490804699999996</v>
      </c>
      <c r="P308" s="1286"/>
      <c r="Q308" s="1286"/>
      <c r="T308" s="559"/>
      <c r="V308" s="205"/>
      <c r="Z308" s="561"/>
    </row>
    <row r="309" spans="1:26" ht="18.95" customHeight="1">
      <c r="A309" s="21"/>
      <c r="B309" s="315"/>
      <c r="C309" s="285" t="s">
        <v>3518</v>
      </c>
      <c r="D309" s="286"/>
      <c r="E309" s="30">
        <v>1</v>
      </c>
      <c r="F309" s="26" t="s">
        <v>349</v>
      </c>
      <c r="G309" s="30">
        <v>25000</v>
      </c>
      <c r="H309" s="25">
        <f t="shared" si="46"/>
        <v>23372.701174999998</v>
      </c>
      <c r="I309" s="30">
        <f t="shared" si="47"/>
        <v>23372.701174999998</v>
      </c>
      <c r="J309" s="30">
        <v>3000</v>
      </c>
      <c r="K309" s="72">
        <f t="shared" si="51"/>
        <v>2804.7241409999997</v>
      </c>
      <c r="L309" s="72">
        <f t="shared" si="48"/>
        <v>2804.7241409999997</v>
      </c>
      <c r="M309" s="30">
        <f t="shared" si="52"/>
        <v>26177.425315999997</v>
      </c>
      <c r="N309" s="26"/>
      <c r="O309" s="103">
        <v>0.93490804699999996</v>
      </c>
      <c r="P309" s="1286"/>
      <c r="Q309" s="1286"/>
      <c r="T309" s="559"/>
      <c r="V309" s="205"/>
      <c r="Z309" s="561"/>
    </row>
    <row r="310" spans="1:26" ht="18.95" customHeight="1">
      <c r="A310" s="21"/>
      <c r="B310" s="315"/>
      <c r="C310" s="285" t="s">
        <v>3519</v>
      </c>
      <c r="D310" s="286"/>
      <c r="E310" s="30">
        <v>1</v>
      </c>
      <c r="F310" s="26" t="s">
        <v>349</v>
      </c>
      <c r="G310" s="30">
        <v>25000</v>
      </c>
      <c r="H310" s="25">
        <f t="shared" si="46"/>
        <v>23372.701174999998</v>
      </c>
      <c r="I310" s="30">
        <f t="shared" si="47"/>
        <v>23372.701174999998</v>
      </c>
      <c r="J310" s="30">
        <v>3000</v>
      </c>
      <c r="K310" s="72">
        <f t="shared" si="51"/>
        <v>2804.7241409999997</v>
      </c>
      <c r="L310" s="72">
        <f t="shared" si="48"/>
        <v>2804.7241409999997</v>
      </c>
      <c r="M310" s="30">
        <f t="shared" si="52"/>
        <v>26177.425315999997</v>
      </c>
      <c r="N310" s="26"/>
      <c r="O310" s="103">
        <v>0.93490804699999996</v>
      </c>
      <c r="P310" s="1286"/>
      <c r="Q310" s="1286"/>
      <c r="T310" s="559"/>
      <c r="V310" s="205"/>
      <c r="Z310" s="561"/>
    </row>
    <row r="311" spans="1:26" ht="18.95" customHeight="1">
      <c r="A311" s="21"/>
      <c r="B311" s="315"/>
      <c r="C311" s="285" t="s">
        <v>3520</v>
      </c>
      <c r="D311" s="286"/>
      <c r="E311" s="30">
        <v>1</v>
      </c>
      <c r="F311" s="26" t="s">
        <v>349</v>
      </c>
      <c r="G311" s="30">
        <v>25000</v>
      </c>
      <c r="H311" s="25">
        <f t="shared" si="46"/>
        <v>23372.701174999998</v>
      </c>
      <c r="I311" s="30">
        <f t="shared" si="47"/>
        <v>23372.701174999998</v>
      </c>
      <c r="J311" s="30">
        <v>3000</v>
      </c>
      <c r="K311" s="72">
        <f t="shared" si="51"/>
        <v>2804.7241409999997</v>
      </c>
      <c r="L311" s="72">
        <f t="shared" si="48"/>
        <v>2804.7241409999997</v>
      </c>
      <c r="M311" s="30">
        <f t="shared" si="52"/>
        <v>26177.425315999997</v>
      </c>
      <c r="N311" s="26"/>
      <c r="O311" s="103">
        <v>0.93490804699999996</v>
      </c>
      <c r="P311" s="1286"/>
      <c r="Q311" s="1286"/>
      <c r="T311" s="559"/>
      <c r="V311" s="205"/>
      <c r="Z311" s="561"/>
    </row>
    <row r="312" spans="1:26" ht="18.95" customHeight="1">
      <c r="A312" s="21"/>
      <c r="B312" s="265"/>
      <c r="C312" s="575" t="s">
        <v>3521</v>
      </c>
      <c r="D312" s="49"/>
      <c r="E312" s="30">
        <v>1</v>
      </c>
      <c r="F312" s="26" t="s">
        <v>349</v>
      </c>
      <c r="G312" s="30">
        <v>25000</v>
      </c>
      <c r="H312" s="25">
        <f t="shared" si="46"/>
        <v>23372.701174999998</v>
      </c>
      <c r="I312" s="30">
        <f t="shared" si="47"/>
        <v>23372.701174999998</v>
      </c>
      <c r="J312" s="30">
        <v>3000</v>
      </c>
      <c r="K312" s="72">
        <f t="shared" si="51"/>
        <v>2804.7241409999997</v>
      </c>
      <c r="L312" s="72">
        <f t="shared" si="48"/>
        <v>2804.7241409999997</v>
      </c>
      <c r="M312" s="30">
        <f t="shared" si="52"/>
        <v>26177.425315999997</v>
      </c>
      <c r="N312" s="26"/>
      <c r="O312" s="103">
        <v>0.93490804699999996</v>
      </c>
      <c r="P312" s="1286"/>
      <c r="Q312" s="1286"/>
      <c r="T312" s="559"/>
      <c r="V312" s="205"/>
      <c r="Z312" s="561"/>
    </row>
    <row r="313" spans="1:26" ht="18.95" customHeight="1">
      <c r="A313" s="21"/>
      <c r="B313" s="265"/>
      <c r="C313" s="575" t="s">
        <v>3522</v>
      </c>
      <c r="D313" s="49"/>
      <c r="E313" s="30">
        <v>1</v>
      </c>
      <c r="F313" s="26" t="s">
        <v>349</v>
      </c>
      <c r="G313" s="30">
        <v>25000</v>
      </c>
      <c r="H313" s="25">
        <f t="shared" si="46"/>
        <v>23372.701174999998</v>
      </c>
      <c r="I313" s="30">
        <f t="shared" si="47"/>
        <v>23372.701174999998</v>
      </c>
      <c r="J313" s="30">
        <v>3000</v>
      </c>
      <c r="K313" s="72">
        <f t="shared" si="51"/>
        <v>2804.7241409999997</v>
      </c>
      <c r="L313" s="72">
        <f t="shared" si="48"/>
        <v>2804.7241409999997</v>
      </c>
      <c r="M313" s="30">
        <f t="shared" si="52"/>
        <v>26177.425315999997</v>
      </c>
      <c r="N313" s="26"/>
      <c r="O313" s="103">
        <v>0.93490804699999996</v>
      </c>
      <c r="P313" s="1286"/>
      <c r="Q313" s="1286"/>
      <c r="T313" s="559"/>
      <c r="V313" s="205"/>
      <c r="Z313" s="561"/>
    </row>
    <row r="314" spans="1:26" ht="18.95" customHeight="1">
      <c r="A314" s="21"/>
      <c r="B314" s="265"/>
      <c r="C314" s="575" t="s">
        <v>3523</v>
      </c>
      <c r="D314" s="49"/>
      <c r="E314" s="30">
        <v>1</v>
      </c>
      <c r="F314" s="26" t="s">
        <v>349</v>
      </c>
      <c r="G314" s="30">
        <v>25000</v>
      </c>
      <c r="H314" s="25">
        <f t="shared" si="46"/>
        <v>23372.701174999998</v>
      </c>
      <c r="I314" s="30">
        <f t="shared" si="47"/>
        <v>23372.701174999998</v>
      </c>
      <c r="J314" s="30">
        <v>3000</v>
      </c>
      <c r="K314" s="72">
        <f t="shared" si="51"/>
        <v>2804.7241409999997</v>
      </c>
      <c r="L314" s="72">
        <f t="shared" si="48"/>
        <v>2804.7241409999997</v>
      </c>
      <c r="M314" s="30">
        <f t="shared" si="52"/>
        <v>26177.425315999997</v>
      </c>
      <c r="N314" s="26"/>
      <c r="O314" s="103">
        <v>0.93490804699999996</v>
      </c>
      <c r="P314" s="1286"/>
      <c r="Q314" s="1286"/>
      <c r="T314" s="559"/>
      <c r="V314" s="205"/>
      <c r="Z314" s="561"/>
    </row>
    <row r="315" spans="1:26" ht="18.95" customHeight="1">
      <c r="A315" s="21"/>
      <c r="B315" s="265"/>
      <c r="C315" s="575" t="s">
        <v>3524</v>
      </c>
      <c r="D315" s="49"/>
      <c r="E315" s="30">
        <v>1</v>
      </c>
      <c r="F315" s="26" t="s">
        <v>349</v>
      </c>
      <c r="G315" s="30">
        <v>25000</v>
      </c>
      <c r="H315" s="25">
        <f t="shared" si="46"/>
        <v>23372.701174999998</v>
      </c>
      <c r="I315" s="30">
        <f t="shared" si="47"/>
        <v>23372.701174999998</v>
      </c>
      <c r="J315" s="30">
        <v>3000</v>
      </c>
      <c r="K315" s="72">
        <f t="shared" si="51"/>
        <v>2804.7241409999997</v>
      </c>
      <c r="L315" s="72">
        <f t="shared" si="48"/>
        <v>2804.7241409999997</v>
      </c>
      <c r="M315" s="30">
        <f t="shared" si="52"/>
        <v>26177.425315999997</v>
      </c>
      <c r="N315" s="26"/>
      <c r="O315" s="103">
        <v>0.93490804699999996</v>
      </c>
      <c r="P315" s="1286"/>
      <c r="Q315" s="1286"/>
      <c r="T315" s="559"/>
      <c r="V315" s="205"/>
      <c r="Z315" s="561"/>
    </row>
    <row r="316" spans="1:26" ht="18.95" customHeight="1">
      <c r="A316" s="21"/>
      <c r="B316" s="265"/>
      <c r="C316" s="575" t="s">
        <v>3525</v>
      </c>
      <c r="D316" s="49"/>
      <c r="E316" s="30">
        <v>1</v>
      </c>
      <c r="F316" s="26" t="s">
        <v>349</v>
      </c>
      <c r="G316" s="30">
        <v>25000</v>
      </c>
      <c r="H316" s="25">
        <f t="shared" si="46"/>
        <v>23372.701174999998</v>
      </c>
      <c r="I316" s="30">
        <f t="shared" si="47"/>
        <v>23372.701174999998</v>
      </c>
      <c r="J316" s="30">
        <v>3000</v>
      </c>
      <c r="K316" s="72">
        <f t="shared" si="51"/>
        <v>2804.7241409999997</v>
      </c>
      <c r="L316" s="72">
        <f t="shared" si="48"/>
        <v>2804.7241409999997</v>
      </c>
      <c r="M316" s="30">
        <f t="shared" si="52"/>
        <v>26177.425315999997</v>
      </c>
      <c r="N316" s="26"/>
      <c r="O316" s="103">
        <v>0.93490804699999996</v>
      </c>
      <c r="P316" s="1286"/>
      <c r="Q316" s="1286"/>
      <c r="T316" s="559"/>
      <c r="V316" s="205"/>
      <c r="Z316" s="561"/>
    </row>
    <row r="317" spans="1:26" ht="18.95" customHeight="1">
      <c r="A317" s="21"/>
      <c r="B317" s="265"/>
      <c r="C317" s="575" t="s">
        <v>3526</v>
      </c>
      <c r="D317" s="49"/>
      <c r="E317" s="30">
        <v>1</v>
      </c>
      <c r="F317" s="26" t="s">
        <v>349</v>
      </c>
      <c r="G317" s="30">
        <v>25000</v>
      </c>
      <c r="H317" s="25">
        <f t="shared" si="46"/>
        <v>23372.701174999998</v>
      </c>
      <c r="I317" s="30">
        <f t="shared" si="47"/>
        <v>23372.701174999998</v>
      </c>
      <c r="J317" s="30">
        <v>3000</v>
      </c>
      <c r="K317" s="72">
        <f t="shared" si="51"/>
        <v>2804.7241409999997</v>
      </c>
      <c r="L317" s="72">
        <f t="shared" si="48"/>
        <v>2804.7241409999997</v>
      </c>
      <c r="M317" s="30">
        <f t="shared" si="52"/>
        <v>26177.425315999997</v>
      </c>
      <c r="N317" s="26"/>
      <c r="O317" s="103">
        <v>0.93490804699999996</v>
      </c>
      <c r="P317" s="1286"/>
      <c r="Q317" s="1286"/>
      <c r="T317" s="559"/>
      <c r="V317" s="205"/>
      <c r="Z317" s="561"/>
    </row>
    <row r="318" spans="1:26" ht="18.95" customHeight="1">
      <c r="A318" s="21"/>
      <c r="B318" s="265"/>
      <c r="C318" s="575" t="s">
        <v>3527</v>
      </c>
      <c r="D318" s="49"/>
      <c r="E318" s="30">
        <v>1</v>
      </c>
      <c r="F318" s="26" t="s">
        <v>349</v>
      </c>
      <c r="G318" s="30">
        <v>25000</v>
      </c>
      <c r="H318" s="25">
        <f t="shared" si="46"/>
        <v>23372.701174999998</v>
      </c>
      <c r="I318" s="30">
        <f t="shared" si="47"/>
        <v>23372.701174999998</v>
      </c>
      <c r="J318" s="30">
        <v>3000</v>
      </c>
      <c r="K318" s="72">
        <f t="shared" si="51"/>
        <v>2804.7241409999997</v>
      </c>
      <c r="L318" s="72">
        <f t="shared" si="48"/>
        <v>2804.7241409999997</v>
      </c>
      <c r="M318" s="30">
        <f t="shared" si="52"/>
        <v>26177.425315999997</v>
      </c>
      <c r="N318" s="26"/>
      <c r="O318" s="103">
        <v>0.93490804699999996</v>
      </c>
      <c r="P318" s="1286"/>
      <c r="Q318" s="1286"/>
      <c r="T318" s="559"/>
      <c r="V318" s="205"/>
      <c r="Z318" s="561"/>
    </row>
    <row r="319" spans="1:26" ht="18.95" customHeight="1">
      <c r="A319" s="21"/>
      <c r="B319" s="265"/>
      <c r="C319" s="575" t="s">
        <v>3528</v>
      </c>
      <c r="D319" s="49"/>
      <c r="E319" s="30">
        <v>1</v>
      </c>
      <c r="F319" s="26" t="s">
        <v>349</v>
      </c>
      <c r="G319" s="30">
        <v>25000</v>
      </c>
      <c r="H319" s="25">
        <f t="shared" si="46"/>
        <v>23372.701174999998</v>
      </c>
      <c r="I319" s="30">
        <f t="shared" si="47"/>
        <v>23372.701174999998</v>
      </c>
      <c r="J319" s="30">
        <v>3000</v>
      </c>
      <c r="K319" s="72">
        <f t="shared" si="51"/>
        <v>2804.7241409999997</v>
      </c>
      <c r="L319" s="72">
        <f t="shared" si="48"/>
        <v>2804.7241409999997</v>
      </c>
      <c r="M319" s="30">
        <f t="shared" si="52"/>
        <v>26177.425315999997</v>
      </c>
      <c r="N319" s="26"/>
      <c r="O319" s="103">
        <v>0.93490804699999996</v>
      </c>
      <c r="P319" s="1286"/>
      <c r="Q319" s="1286"/>
      <c r="T319" s="559"/>
      <c r="V319" s="205"/>
      <c r="Z319" s="561"/>
    </row>
    <row r="320" spans="1:26" ht="18.95" customHeight="1">
      <c r="A320" s="21"/>
      <c r="B320" s="265">
        <v>7.2</v>
      </c>
      <c r="C320" s="576" t="s">
        <v>3529</v>
      </c>
      <c r="D320" s="267"/>
      <c r="E320" s="25">
        <v>1</v>
      </c>
      <c r="F320" s="1188" t="s">
        <v>2193</v>
      </c>
      <c r="G320" s="72">
        <v>200000</v>
      </c>
      <c r="H320" s="25">
        <f t="shared" si="46"/>
        <v>186981.60939999999</v>
      </c>
      <c r="I320" s="30">
        <f t="shared" si="47"/>
        <v>186981.60939999999</v>
      </c>
      <c r="J320" s="25">
        <v>20000</v>
      </c>
      <c r="K320" s="72">
        <f t="shared" si="51"/>
        <v>18698.160939999998</v>
      </c>
      <c r="L320" s="72">
        <f t="shared" si="48"/>
        <v>18698.160939999998</v>
      </c>
      <c r="M320" s="72">
        <f t="shared" si="52"/>
        <v>205679.77033999999</v>
      </c>
      <c r="N320" s="26"/>
      <c r="O320" s="103">
        <v>0.93490804699999996</v>
      </c>
      <c r="T320" s="559"/>
      <c r="V320" s="205"/>
      <c r="Z320" s="561"/>
    </row>
    <row r="321" spans="1:26" ht="18.95" customHeight="1">
      <c r="A321" s="21"/>
      <c r="B321" s="265">
        <v>7.3</v>
      </c>
      <c r="C321" s="285" t="s">
        <v>3050</v>
      </c>
      <c r="D321" s="267"/>
      <c r="E321" s="25">
        <v>1</v>
      </c>
      <c r="F321" s="1188" t="s">
        <v>2193</v>
      </c>
      <c r="G321" s="72">
        <v>50000</v>
      </c>
      <c r="H321" s="25">
        <f t="shared" si="46"/>
        <v>46745.402349999997</v>
      </c>
      <c r="I321" s="30">
        <f t="shared" si="47"/>
        <v>46745.402349999997</v>
      </c>
      <c r="J321" s="25">
        <v>5000</v>
      </c>
      <c r="K321" s="72">
        <f t="shared" si="51"/>
        <v>4674.5402349999995</v>
      </c>
      <c r="L321" s="72">
        <f t="shared" si="48"/>
        <v>4674.5402349999995</v>
      </c>
      <c r="M321" s="72">
        <f t="shared" si="52"/>
        <v>51419.942584999997</v>
      </c>
      <c r="N321" s="26"/>
      <c r="O321" s="103">
        <v>0.93490804699999996</v>
      </c>
      <c r="T321" s="559"/>
      <c r="V321" s="205"/>
      <c r="Z321" s="561"/>
    </row>
    <row r="322" spans="1:26" ht="18.95" customHeight="1">
      <c r="A322" s="21"/>
      <c r="B322" s="1275" t="s">
        <v>2220</v>
      </c>
      <c r="C322" s="1276"/>
      <c r="D322" s="1277"/>
      <c r="E322" s="34"/>
      <c r="F322" s="35"/>
      <c r="G322" s="34"/>
      <c r="H322" s="25"/>
      <c r="I322" s="34">
        <f>SUM(I279:I321)</f>
        <v>2711233.3362999992</v>
      </c>
      <c r="J322" s="34"/>
      <c r="K322" s="72"/>
      <c r="L322" s="34">
        <f>SUM(L279:L321)</f>
        <v>224845.38530350031</v>
      </c>
      <c r="M322" s="34">
        <f t="shared" si="52"/>
        <v>2936078.7216034993</v>
      </c>
      <c r="N322" s="35"/>
      <c r="O322" s="103">
        <v>0.93490804699999996</v>
      </c>
      <c r="T322" s="559"/>
      <c r="V322" s="205"/>
      <c r="Z322" s="561"/>
    </row>
    <row r="323" spans="1:26" ht="18.95" customHeight="1">
      <c r="A323" s="21"/>
      <c r="B323" s="256"/>
      <c r="C323" s="257"/>
      <c r="D323" s="258"/>
      <c r="E323" s="34"/>
      <c r="F323" s="35"/>
      <c r="G323" s="34"/>
      <c r="H323" s="25"/>
      <c r="I323" s="34"/>
      <c r="J323" s="34"/>
      <c r="K323" s="72"/>
      <c r="L323" s="34"/>
      <c r="M323" s="34"/>
      <c r="N323" s="35"/>
      <c r="O323" s="103">
        <v>0.93490804699999996</v>
      </c>
      <c r="T323" s="559"/>
      <c r="V323" s="205"/>
      <c r="Z323" s="561"/>
    </row>
    <row r="324" spans="1:26" ht="18.95" customHeight="1">
      <c r="A324" s="224">
        <v>8</v>
      </c>
      <c r="B324" s="562" t="s">
        <v>3233</v>
      </c>
      <c r="C324" s="221"/>
      <c r="D324" s="267"/>
      <c r="E324" s="25"/>
      <c r="F324" s="26"/>
      <c r="G324" s="25"/>
      <c r="H324" s="25"/>
      <c r="I324" s="25"/>
      <c r="J324" s="25"/>
      <c r="K324" s="72"/>
      <c r="L324" s="30"/>
      <c r="M324" s="25"/>
      <c r="N324" s="26"/>
      <c r="O324" s="103">
        <v>0.93490804699999996</v>
      </c>
      <c r="T324" s="559"/>
      <c r="V324" s="205"/>
      <c r="Z324" s="561"/>
    </row>
    <row r="325" spans="1:26" ht="18.95" customHeight="1">
      <c r="A325" s="21"/>
      <c r="B325" s="265" t="s">
        <v>3530</v>
      </c>
      <c r="C325" s="575" t="s">
        <v>3531</v>
      </c>
      <c r="D325" s="49"/>
      <c r="E325" s="25">
        <v>1</v>
      </c>
      <c r="F325" s="1188" t="s">
        <v>2193</v>
      </c>
      <c r="G325" s="72">
        <v>200000</v>
      </c>
      <c r="H325" s="25">
        <f t="shared" si="46"/>
        <v>186981.60939999999</v>
      </c>
      <c r="I325" s="30">
        <f t="shared" ref="I325" si="53">E325*H325</f>
        <v>186981.60939999999</v>
      </c>
      <c r="J325" s="25">
        <v>50000</v>
      </c>
      <c r="K325" s="72">
        <f t="shared" si="51"/>
        <v>46745.402349999997</v>
      </c>
      <c r="L325" s="72">
        <f t="shared" ref="L325" si="54">E325*K325</f>
        <v>46745.402349999997</v>
      </c>
      <c r="M325" s="72">
        <f>I325+L325</f>
        <v>233727.01174999998</v>
      </c>
      <c r="N325" s="26"/>
      <c r="O325" s="103">
        <v>0.93490804699999996</v>
      </c>
      <c r="T325" s="559"/>
      <c r="V325" s="205"/>
      <c r="Z325" s="561"/>
    </row>
    <row r="326" spans="1:26" ht="18.95" customHeight="1">
      <c r="A326" s="21"/>
      <c r="B326" s="1275" t="s">
        <v>2637</v>
      </c>
      <c r="C326" s="1276"/>
      <c r="D326" s="1277"/>
      <c r="E326" s="34"/>
      <c r="F326" s="35"/>
      <c r="G326" s="34"/>
      <c r="H326" s="34"/>
      <c r="I326" s="34">
        <f>SUM(I325)</f>
        <v>186981.60939999999</v>
      </c>
      <c r="J326" s="34"/>
      <c r="K326" s="34"/>
      <c r="L326" s="34">
        <f>SUM(L325)</f>
        <v>46745.402349999997</v>
      </c>
      <c r="M326" s="34">
        <f>I326+L326</f>
        <v>233727.01174999998</v>
      </c>
      <c r="N326" s="35"/>
      <c r="T326" s="559"/>
      <c r="V326" s="205"/>
      <c r="Z326" s="561"/>
    </row>
    <row r="327" spans="1:26" ht="18.95" customHeight="1">
      <c r="A327" s="577"/>
      <c r="B327" s="369"/>
      <c r="C327" s="369"/>
      <c r="D327" s="370"/>
      <c r="E327" s="143"/>
      <c r="F327" s="130"/>
      <c r="G327" s="143"/>
      <c r="H327" s="143"/>
      <c r="I327" s="143"/>
      <c r="J327" s="143"/>
      <c r="K327" s="143"/>
      <c r="L327" s="143"/>
      <c r="M327" s="143"/>
      <c r="N327" s="130"/>
    </row>
    <row r="328" spans="1:26" ht="18.95" customHeight="1">
      <c r="A328" s="578"/>
      <c r="B328" s="579"/>
      <c r="C328" s="579"/>
      <c r="D328" s="580"/>
      <c r="E328" s="292"/>
      <c r="F328" s="247"/>
      <c r="G328" s="292"/>
      <c r="H328" s="292"/>
      <c r="I328" s="292"/>
      <c r="J328" s="292"/>
      <c r="K328" s="292"/>
      <c r="L328" s="292"/>
      <c r="M328" s="292"/>
      <c r="N328" s="247"/>
    </row>
    <row r="329" spans="1:26" ht="18.600000000000001" customHeight="1">
      <c r="A329" s="558"/>
      <c r="B329" s="257"/>
      <c r="C329" s="257"/>
      <c r="D329" s="258"/>
      <c r="E329" s="34"/>
      <c r="F329" s="35"/>
      <c r="G329" s="34"/>
      <c r="H329" s="34"/>
      <c r="I329" s="34"/>
      <c r="J329" s="34"/>
      <c r="K329" s="34"/>
      <c r="L329" s="34"/>
      <c r="M329" s="34"/>
      <c r="N329" s="35"/>
    </row>
    <row r="330" spans="1:26" ht="18.95" customHeight="1">
      <c r="A330" s="558"/>
      <c r="B330" s="257"/>
      <c r="C330" s="257"/>
      <c r="D330" s="258"/>
      <c r="E330" s="34"/>
      <c r="F330" s="35"/>
      <c r="G330" s="34"/>
      <c r="H330" s="34"/>
      <c r="I330" s="34"/>
      <c r="J330" s="34"/>
      <c r="K330" s="34"/>
      <c r="L330" s="34"/>
      <c r="M330" s="34"/>
      <c r="N330" s="35"/>
    </row>
    <row r="331" spans="1:26" ht="18.95" customHeight="1">
      <c r="A331" s="558"/>
      <c r="B331" s="257"/>
      <c r="C331" s="257"/>
      <c r="D331" s="258"/>
      <c r="E331" s="34"/>
      <c r="F331" s="35"/>
      <c r="G331" s="34"/>
      <c r="H331" s="34"/>
      <c r="I331" s="34"/>
      <c r="J331" s="34"/>
      <c r="K331" s="34"/>
      <c r="L331" s="34"/>
      <c r="M331" s="34"/>
      <c r="N331" s="35"/>
    </row>
    <row r="332" spans="1:26" ht="18.95" customHeight="1">
      <c r="A332" s="558"/>
      <c r="B332" s="257"/>
      <c r="C332" s="257"/>
      <c r="D332" s="258"/>
      <c r="E332" s="34"/>
      <c r="F332" s="35"/>
      <c r="G332" s="34"/>
      <c r="H332" s="34"/>
      <c r="I332" s="34"/>
      <c r="J332" s="34"/>
      <c r="K332" s="34"/>
      <c r="L332" s="34"/>
      <c r="M332" s="34"/>
      <c r="N332" s="35"/>
    </row>
    <row r="333" spans="1:26" ht="18.95" customHeight="1">
      <c r="A333" s="558"/>
      <c r="B333" s="257"/>
      <c r="C333" s="257"/>
      <c r="D333" s="258"/>
      <c r="E333" s="34"/>
      <c r="F333" s="35"/>
      <c r="G333" s="34"/>
      <c r="H333" s="34"/>
      <c r="I333" s="34"/>
      <c r="J333" s="34"/>
      <c r="K333" s="34"/>
      <c r="L333" s="34"/>
      <c r="M333" s="34"/>
      <c r="N333" s="35"/>
    </row>
    <row r="334" spans="1:26" ht="18.95" customHeight="1">
      <c r="A334" s="558"/>
      <c r="B334" s="257"/>
      <c r="C334" s="257"/>
      <c r="D334" s="258"/>
      <c r="E334" s="34"/>
      <c r="F334" s="35"/>
      <c r="G334" s="34"/>
      <c r="H334" s="34"/>
      <c r="I334" s="34"/>
      <c r="J334" s="34"/>
      <c r="K334" s="34"/>
      <c r="L334" s="34"/>
      <c r="M334" s="34"/>
      <c r="N334" s="35"/>
    </row>
    <row r="335" spans="1:26" ht="18.95" customHeight="1">
      <c r="A335" s="558"/>
      <c r="B335" s="257"/>
      <c r="C335" s="257"/>
      <c r="D335" s="258"/>
      <c r="E335" s="34"/>
      <c r="F335" s="35"/>
      <c r="G335" s="34"/>
      <c r="H335" s="34"/>
      <c r="I335" s="34"/>
      <c r="J335" s="34"/>
      <c r="K335" s="34"/>
      <c r="L335" s="34"/>
      <c r="M335" s="34"/>
      <c r="N335" s="35"/>
    </row>
    <row r="336" spans="1:26" ht="18.95" customHeight="1">
      <c r="A336" s="558"/>
      <c r="B336" s="257"/>
      <c r="C336" s="257"/>
      <c r="D336" s="258"/>
      <c r="E336" s="34"/>
      <c r="F336" s="35"/>
      <c r="G336" s="34"/>
      <c r="H336" s="34"/>
      <c r="I336" s="34"/>
      <c r="J336" s="34"/>
      <c r="K336" s="34"/>
      <c r="L336" s="34"/>
      <c r="M336" s="34"/>
      <c r="N336" s="35"/>
    </row>
    <row r="337" spans="1:14" ht="18.95" customHeight="1">
      <c r="A337" s="558"/>
      <c r="B337" s="257"/>
      <c r="C337" s="257"/>
      <c r="D337" s="258"/>
      <c r="E337" s="34"/>
      <c r="F337" s="35"/>
      <c r="G337" s="34"/>
      <c r="H337" s="34"/>
      <c r="I337" s="34"/>
      <c r="J337" s="34"/>
      <c r="K337" s="34"/>
      <c r="L337" s="34"/>
      <c r="M337" s="34"/>
      <c r="N337" s="35"/>
    </row>
    <row r="338" spans="1:14" ht="18.95" customHeight="1">
      <c r="A338" s="577"/>
      <c r="B338" s="369"/>
      <c r="C338" s="369"/>
      <c r="D338" s="370"/>
      <c r="E338" s="143"/>
      <c r="F338" s="130"/>
      <c r="G338" s="143"/>
      <c r="H338" s="143"/>
      <c r="I338" s="143"/>
      <c r="J338" s="143"/>
      <c r="K338" s="143"/>
      <c r="L338" s="143"/>
      <c r="M338" s="143"/>
      <c r="N338" s="130"/>
    </row>
  </sheetData>
  <mergeCells count="67">
    <mergeCell ref="P145:Q146"/>
    <mergeCell ref="B5:D6"/>
    <mergeCell ref="P318:Q318"/>
    <mergeCell ref="P319:Q319"/>
    <mergeCell ref="N5:N6"/>
    <mergeCell ref="P313:Q313"/>
    <mergeCell ref="P314:Q314"/>
    <mergeCell ref="P315:Q315"/>
    <mergeCell ref="P316:Q316"/>
    <mergeCell ref="P317:Q317"/>
    <mergeCell ref="P308:Q308"/>
    <mergeCell ref="P309:Q309"/>
    <mergeCell ref="P310:Q310"/>
    <mergeCell ref="P311:Q311"/>
    <mergeCell ref="P312:Q312"/>
    <mergeCell ref="P303:Q303"/>
    <mergeCell ref="B322:D322"/>
    <mergeCell ref="B326:D326"/>
    <mergeCell ref="A5:A6"/>
    <mergeCell ref="E5:E6"/>
    <mergeCell ref="F5:F6"/>
    <mergeCell ref="B216:D216"/>
    <mergeCell ref="E142:F142"/>
    <mergeCell ref="B143:D143"/>
    <mergeCell ref="P304:Q304"/>
    <mergeCell ref="P305:Q305"/>
    <mergeCell ref="P306:Q306"/>
    <mergeCell ref="P307:Q307"/>
    <mergeCell ref="P277:Q277"/>
    <mergeCell ref="P278:Q278"/>
    <mergeCell ref="P300:Q300"/>
    <mergeCell ref="P301:Q301"/>
    <mergeCell ref="P302:Q302"/>
    <mergeCell ref="P219:R219"/>
    <mergeCell ref="B261:D261"/>
    <mergeCell ref="P262:R262"/>
    <mergeCell ref="B275:D275"/>
    <mergeCell ref="E168:F168"/>
    <mergeCell ref="E169:F169"/>
    <mergeCell ref="E170:F170"/>
    <mergeCell ref="B171:D171"/>
    <mergeCell ref="B200:D200"/>
    <mergeCell ref="T144:X144"/>
    <mergeCell ref="Z144:AD144"/>
    <mergeCell ref="T145:U145"/>
    <mergeCell ref="Z145:AA145"/>
    <mergeCell ref="S144:S147"/>
    <mergeCell ref="T146:T147"/>
    <mergeCell ref="U146:U147"/>
    <mergeCell ref="V145:V147"/>
    <mergeCell ref="W145:W147"/>
    <mergeCell ref="X145:X147"/>
    <mergeCell ref="Z146:Z147"/>
    <mergeCell ref="AA146:AA147"/>
    <mergeCell ref="AB145:AB147"/>
    <mergeCell ref="AC145:AC147"/>
    <mergeCell ref="AD145:AD147"/>
    <mergeCell ref="G5:I5"/>
    <mergeCell ref="J5:L5"/>
    <mergeCell ref="B18:D18"/>
    <mergeCell ref="E140:F140"/>
    <mergeCell ref="E141:F141"/>
    <mergeCell ref="A1:C1"/>
    <mergeCell ref="D1:I1"/>
    <mergeCell ref="L1:N1"/>
    <mergeCell ref="A2:C2"/>
    <mergeCell ref="A3:C3"/>
  </mergeCells>
  <printOptions horizontalCentered="1"/>
  <pageMargins left="0.39370078740157499" right="0.39370078740157499" top="1.1023622047244099" bottom="0.39370078740157499" header="0.78740157480314998" footer="0"/>
  <pageSetup paperSize="9" scale="82" firstPageNumber="152" fitToHeight="100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New,Regular"&amp;14แบบปร.4(ก) แผ่นที่ &amp;P/166</oddHeader>
  </headerFooter>
  <rowBreaks count="8" manualBreakCount="8">
    <brk id="30" max="11" man="1"/>
    <brk id="53" max="11" man="1"/>
    <brk id="78" max="11" man="1"/>
    <brk id="105" max="11" man="1"/>
    <brk id="164" max="11" man="1"/>
    <brk id="192" max="11" man="1"/>
    <brk id="216" max="11" man="1"/>
    <brk id="275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R447"/>
  <sheetViews>
    <sheetView view="pageBreakPreview" zoomScaleNormal="85" zoomScalePageLayoutView="85" workbookViewId="0">
      <selection activeCell="D27" sqref="D27"/>
    </sheetView>
  </sheetViews>
  <sheetFormatPr defaultColWidth="10.453125" defaultRowHeight="19.350000000000001" customHeight="1"/>
  <cols>
    <col min="1" max="1" width="6.7265625" style="1" customWidth="1"/>
    <col min="2" max="2" width="6.453125" style="2" customWidth="1"/>
    <col min="3" max="3" width="24.453125" style="2" customWidth="1"/>
    <col min="4" max="4" width="37.1796875" style="1" customWidth="1"/>
    <col min="5" max="5" width="11.54296875" style="3" customWidth="1"/>
    <col min="6" max="6" width="9.54296875" style="3" customWidth="1"/>
    <col min="7" max="7" width="15.7265625" style="4" hidden="1" customWidth="1"/>
    <col min="8" max="9" width="15.7265625" style="4" customWidth="1"/>
    <col min="10" max="10" width="15.7265625" style="4" hidden="1" customWidth="1"/>
    <col min="11" max="13" width="15.7265625" style="4" customWidth="1"/>
    <col min="14" max="14" width="17.26953125" style="3" customWidth="1"/>
    <col min="15" max="15" width="2.54296875" style="1" hidden="1" customWidth="1"/>
    <col min="16" max="16" width="8.453125" style="1" hidden="1" customWidth="1"/>
    <col min="17" max="17" width="15.7265625" style="1" customWidth="1"/>
    <col min="18" max="18" width="13.81640625" style="1" customWidth="1"/>
    <col min="19" max="16384" width="10.453125" style="1"/>
  </cols>
  <sheetData>
    <row r="1" spans="1:18" ht="19.350000000000001" customHeight="1">
      <c r="A1" s="1229" t="s">
        <v>181</v>
      </c>
      <c r="B1" s="1229"/>
      <c r="C1" s="1229"/>
      <c r="D1" s="1367" t="str">
        <f>+'RKCA1_ปร.5 (ก)'!C4</f>
        <v>โครงการจัดตั้งศูนย์การเรียนรู้แห่งชาติ OKMD : OKMD National Knowledge Center (Ratchadamnoen Center 1 และ 2)</v>
      </c>
      <c r="E1" s="1367"/>
      <c r="F1" s="1367"/>
      <c r="G1" s="1367"/>
      <c r="H1" s="1367"/>
      <c r="I1" s="1367"/>
      <c r="J1" s="95" t="s">
        <v>182</v>
      </c>
      <c r="K1" s="95" t="s">
        <v>182</v>
      </c>
      <c r="L1" s="1368" t="s">
        <v>3532</v>
      </c>
      <c r="M1" s="1368"/>
      <c r="N1" s="1368"/>
      <c r="O1" s="4"/>
      <c r="P1" s="4"/>
      <c r="Q1" s="4"/>
    </row>
    <row r="2" spans="1:18" ht="19.350000000000001" customHeight="1">
      <c r="A2" s="1231" t="s">
        <v>125</v>
      </c>
      <c r="B2" s="1231"/>
      <c r="C2" s="1231"/>
      <c r="D2" s="9" t="str">
        <f>+'RKCA1_ปร.5 (ก)'!C5</f>
        <v>แขวงตลาดยอด เขตพระนคร กรุงเทพมหานคร</v>
      </c>
      <c r="E2" s="8"/>
      <c r="F2" s="8"/>
      <c r="G2" s="8"/>
      <c r="H2" s="8"/>
      <c r="I2" s="8"/>
      <c r="J2" s="96" t="s">
        <v>184</v>
      </c>
      <c r="K2" s="96" t="s">
        <v>184</v>
      </c>
      <c r="L2" s="97" t="str">
        <f>+'RKCA1_ปร.5 (ก)'!C10</f>
        <v xml:space="preserve">  16 กรกฎาคม 2568</v>
      </c>
      <c r="M2" s="98"/>
      <c r="N2" s="8"/>
    </row>
    <row r="3" spans="1:18" ht="19.350000000000001" customHeight="1">
      <c r="A3" s="1231" t="s">
        <v>185</v>
      </c>
      <c r="B3" s="1231"/>
      <c r="C3" s="1231"/>
      <c r="D3" s="9" t="str">
        <f>+'RKCA1_ปร.5 (ก)'!C9</f>
        <v>คณะกรรมการกำหนดราคากลาง</v>
      </c>
      <c r="E3" s="8"/>
      <c r="F3" s="8"/>
      <c r="G3" s="8"/>
      <c r="H3" s="8"/>
      <c r="I3" s="96"/>
      <c r="J3" s="96"/>
      <c r="K3" s="96"/>
      <c r="L3" s="97"/>
      <c r="M3" s="8"/>
      <c r="N3" s="8"/>
    </row>
    <row r="4" spans="1:18" ht="19.350000000000001" customHeight="1">
      <c r="G4" s="170"/>
      <c r="H4" s="170"/>
      <c r="I4" s="170"/>
      <c r="J4" s="170"/>
      <c r="K4" s="170"/>
      <c r="L4" s="170"/>
      <c r="M4" s="170"/>
    </row>
    <row r="5" spans="1:18" ht="19.350000000000001" customHeight="1">
      <c r="A5" s="1270" t="s">
        <v>186</v>
      </c>
      <c r="B5" s="1235" t="s">
        <v>138</v>
      </c>
      <c r="C5" s="1287"/>
      <c r="D5" s="1288"/>
      <c r="E5" s="1237" t="s">
        <v>187</v>
      </c>
      <c r="F5" s="1237" t="s">
        <v>188</v>
      </c>
      <c r="G5" s="1345" t="s">
        <v>189</v>
      </c>
      <c r="H5" s="1346"/>
      <c r="I5" s="1347"/>
      <c r="J5" s="1345" t="s">
        <v>190</v>
      </c>
      <c r="K5" s="1346"/>
      <c r="L5" s="1347"/>
      <c r="M5" s="99" t="s">
        <v>191</v>
      </c>
      <c r="N5" s="1237" t="s">
        <v>140</v>
      </c>
    </row>
    <row r="6" spans="1:18" ht="19.350000000000001" customHeight="1">
      <c r="A6" s="1271"/>
      <c r="B6" s="1236"/>
      <c r="C6" s="1289"/>
      <c r="D6" s="1290"/>
      <c r="E6" s="1238"/>
      <c r="F6" s="1238"/>
      <c r="G6" s="13" t="s">
        <v>192</v>
      </c>
      <c r="H6" s="13" t="s">
        <v>192</v>
      </c>
      <c r="I6" s="13" t="s">
        <v>193</v>
      </c>
      <c r="J6" s="13" t="s">
        <v>192</v>
      </c>
      <c r="K6" s="13" t="s">
        <v>192</v>
      </c>
      <c r="L6" s="13" t="s">
        <v>193</v>
      </c>
      <c r="M6" s="13" t="s">
        <v>194</v>
      </c>
      <c r="N6" s="1238"/>
    </row>
    <row r="7" spans="1:18" ht="19.350000000000001" customHeight="1">
      <c r="A7" s="506"/>
      <c r="B7" s="329" t="s">
        <v>3533</v>
      </c>
      <c r="C7" s="330"/>
      <c r="D7" s="331"/>
      <c r="E7" s="18"/>
      <c r="F7" s="19"/>
      <c r="G7" s="18"/>
      <c r="H7" s="18"/>
      <c r="I7" s="18"/>
      <c r="J7" s="20"/>
      <c r="K7" s="20"/>
      <c r="L7" s="218"/>
      <c r="M7" s="19"/>
      <c r="N7" s="219"/>
    </row>
    <row r="8" spans="1:18" ht="19.350000000000001" customHeight="1">
      <c r="A8" s="265"/>
      <c r="B8" s="332" t="s">
        <v>162</v>
      </c>
      <c r="C8" s="333"/>
      <c r="D8" s="507"/>
      <c r="E8" s="25"/>
      <c r="F8" s="26"/>
      <c r="G8" s="25"/>
      <c r="H8" s="25"/>
      <c r="I8" s="25"/>
      <c r="J8" s="30"/>
      <c r="K8" s="30"/>
      <c r="L8" s="30"/>
      <c r="M8" s="72"/>
      <c r="N8" s="247"/>
    </row>
    <row r="9" spans="1:18" ht="19.350000000000001" customHeight="1">
      <c r="A9" s="508"/>
      <c r="B9" s="335"/>
      <c r="C9" s="333"/>
      <c r="D9" s="509"/>
      <c r="E9" s="25"/>
      <c r="F9" s="26"/>
      <c r="G9" s="25"/>
      <c r="H9" s="25"/>
      <c r="I9" s="25"/>
      <c r="J9" s="30"/>
      <c r="K9" s="30"/>
      <c r="L9" s="30"/>
      <c r="M9" s="72"/>
      <c r="N9" s="247"/>
    </row>
    <row r="10" spans="1:18" ht="19.350000000000001" customHeight="1">
      <c r="A10" s="296">
        <v>1</v>
      </c>
      <c r="B10" s="510" t="s">
        <v>3534</v>
      </c>
      <c r="C10" s="366"/>
      <c r="D10" s="509"/>
      <c r="E10" s="25"/>
      <c r="F10" s="26"/>
      <c r="G10" s="25"/>
      <c r="H10" s="25"/>
      <c r="I10" s="25"/>
      <c r="J10" s="30"/>
      <c r="K10" s="30"/>
      <c r="L10" s="30"/>
      <c r="M10" s="72">
        <f>M44</f>
        <v>3783643.2367376979</v>
      </c>
      <c r="N10" s="35"/>
      <c r="Q10" s="157">
        <f>R10*0.934908047</f>
        <v>3783643.2367376974</v>
      </c>
      <c r="R10" s="157">
        <v>4047075.27</v>
      </c>
    </row>
    <row r="11" spans="1:18" ht="19.350000000000001" customHeight="1">
      <c r="A11" s="21">
        <v>2</v>
      </c>
      <c r="B11" s="511" t="s">
        <v>197</v>
      </c>
      <c r="C11" s="23"/>
      <c r="D11" s="509"/>
      <c r="E11" s="25"/>
      <c r="F11" s="26"/>
      <c r="G11" s="25"/>
      <c r="H11" s="25"/>
      <c r="I11" s="25"/>
      <c r="J11" s="30"/>
      <c r="K11" s="30"/>
      <c r="L11" s="30"/>
      <c r="M11" s="72">
        <f>M51</f>
        <v>3092600.8398506301</v>
      </c>
      <c r="N11" s="35"/>
      <c r="Q11" s="157">
        <f t="shared" ref="Q11:Q14" si="0">R11*0.934908047</f>
        <v>3092600.8398506301</v>
      </c>
      <c r="R11" s="157">
        <v>3307919.8</v>
      </c>
    </row>
    <row r="12" spans="1:18" ht="19.350000000000001" customHeight="1">
      <c r="A12" s="296">
        <v>3</v>
      </c>
      <c r="B12" s="512" t="s">
        <v>3535</v>
      </c>
      <c r="C12" s="333"/>
      <c r="D12" s="509"/>
      <c r="E12" s="25"/>
      <c r="F12" s="26"/>
      <c r="G12" s="25"/>
      <c r="H12" s="25"/>
      <c r="I12" s="25"/>
      <c r="J12" s="30"/>
      <c r="K12" s="30"/>
      <c r="L12" s="30"/>
      <c r="M12" s="72">
        <f>M66</f>
        <v>274572.22811354394</v>
      </c>
      <c r="N12" s="35"/>
      <c r="Q12" s="157">
        <f t="shared" si="0"/>
        <v>274572.22811354394</v>
      </c>
      <c r="R12" s="157">
        <v>293689.02</v>
      </c>
    </row>
    <row r="13" spans="1:18" ht="19.350000000000001" customHeight="1">
      <c r="A13" s="21">
        <v>4</v>
      </c>
      <c r="B13" s="513" t="s">
        <v>3536</v>
      </c>
      <c r="C13" s="333"/>
      <c r="D13" s="509"/>
      <c r="E13" s="25"/>
      <c r="F13" s="26"/>
      <c r="G13" s="25"/>
      <c r="H13" s="25"/>
      <c r="I13" s="25"/>
      <c r="J13" s="30"/>
      <c r="K13" s="30"/>
      <c r="L13" s="30"/>
      <c r="M13" s="242">
        <f>M72</f>
        <v>14023.620704999999</v>
      </c>
      <c r="N13" s="35"/>
      <c r="Q13" s="157">
        <f t="shared" si="0"/>
        <v>14023.620704999999</v>
      </c>
      <c r="R13" s="157">
        <v>15000</v>
      </c>
    </row>
    <row r="14" spans="1:18" ht="19.350000000000001" customHeight="1">
      <c r="A14" s="296">
        <v>5</v>
      </c>
      <c r="B14" s="514" t="s">
        <v>205</v>
      </c>
      <c r="C14" s="333"/>
      <c r="D14" s="509"/>
      <c r="E14" s="25"/>
      <c r="F14" s="26"/>
      <c r="G14" s="30"/>
      <c r="H14" s="30"/>
      <c r="I14" s="30"/>
      <c r="J14" s="30"/>
      <c r="K14" s="30"/>
      <c r="L14" s="72"/>
      <c r="M14" s="242">
        <f>M77</f>
        <v>186981.60939999999</v>
      </c>
      <c r="N14" s="35"/>
      <c r="Q14" s="157">
        <f t="shared" si="0"/>
        <v>186981.60939999999</v>
      </c>
      <c r="R14" s="157">
        <v>200000</v>
      </c>
    </row>
    <row r="15" spans="1:18" ht="19.350000000000001" customHeight="1">
      <c r="A15" s="259"/>
      <c r="B15" s="335"/>
      <c r="C15" s="333"/>
      <c r="D15" s="509"/>
      <c r="E15" s="25"/>
      <c r="F15" s="26"/>
      <c r="G15" s="30"/>
      <c r="H15" s="30"/>
      <c r="I15" s="30"/>
      <c r="J15" s="30"/>
      <c r="K15" s="30"/>
      <c r="L15" s="72"/>
      <c r="M15" s="242"/>
      <c r="N15" s="35"/>
      <c r="Q15" s="157"/>
      <c r="R15" s="157"/>
    </row>
    <row r="16" spans="1:18" ht="19.350000000000001" customHeight="1">
      <c r="A16" s="508"/>
      <c r="B16" s="1272" t="s">
        <v>3537</v>
      </c>
      <c r="C16" s="1273"/>
      <c r="D16" s="1274"/>
      <c r="E16" s="25"/>
      <c r="F16" s="26"/>
      <c r="G16" s="25"/>
      <c r="H16" s="25"/>
      <c r="I16" s="25"/>
      <c r="J16" s="30"/>
      <c r="K16" s="30"/>
      <c r="L16" s="30"/>
      <c r="M16" s="244">
        <f>SUM(M10:M15)</f>
        <v>7351821.5348068727</v>
      </c>
      <c r="N16" s="35"/>
      <c r="Q16" s="157">
        <f>SUM(Q10:Q15)</f>
        <v>7351821.5348068718</v>
      </c>
      <c r="R16" s="157">
        <f>SUM(R10:R15)</f>
        <v>7863684.0899999999</v>
      </c>
    </row>
    <row r="17" spans="1:14" ht="19.350000000000001" customHeight="1">
      <c r="A17" s="508"/>
      <c r="B17" s="335"/>
      <c r="C17" s="333"/>
      <c r="D17" s="334"/>
      <c r="E17" s="25"/>
      <c r="F17" s="26"/>
      <c r="G17" s="30"/>
      <c r="H17" s="30"/>
      <c r="I17" s="30"/>
      <c r="J17" s="30"/>
      <c r="K17" s="30"/>
      <c r="L17" s="72"/>
      <c r="M17" s="72"/>
      <c r="N17" s="35"/>
    </row>
    <row r="18" spans="1:14" ht="19.350000000000001" customHeight="1">
      <c r="A18" s="508"/>
      <c r="B18" s="335"/>
      <c r="C18" s="333"/>
      <c r="D18" s="509"/>
      <c r="E18" s="25"/>
      <c r="F18" s="26"/>
      <c r="G18" s="30"/>
      <c r="H18" s="30"/>
      <c r="I18" s="30"/>
      <c r="J18" s="30"/>
      <c r="K18" s="30"/>
      <c r="L18" s="72"/>
      <c r="M18" s="26"/>
      <c r="N18" s="35"/>
    </row>
    <row r="19" spans="1:14" ht="19.350000000000001" customHeight="1">
      <c r="A19" s="220"/>
      <c r="B19" s="221"/>
      <c r="C19" s="221"/>
      <c r="D19" s="267"/>
      <c r="E19" s="34"/>
      <c r="F19" s="35"/>
      <c r="G19" s="34"/>
      <c r="H19" s="34"/>
      <c r="I19" s="34"/>
      <c r="J19" s="102"/>
      <c r="K19" s="102"/>
      <c r="L19" s="102"/>
      <c r="M19" s="531"/>
      <c r="N19" s="35"/>
    </row>
    <row r="20" spans="1:14" ht="19.350000000000001" customHeight="1">
      <c r="A20" s="220"/>
      <c r="B20" s="1272"/>
      <c r="C20" s="1273"/>
      <c r="D20" s="1274"/>
      <c r="E20" s="34"/>
      <c r="F20" s="35"/>
      <c r="G20" s="34"/>
      <c r="H20" s="34"/>
      <c r="I20" s="34"/>
      <c r="J20" s="102"/>
      <c r="K20" s="102"/>
      <c r="L20" s="102"/>
      <c r="M20" s="34"/>
      <c r="N20" s="35"/>
    </row>
    <row r="21" spans="1:14" ht="19.350000000000001" customHeight="1">
      <c r="A21" s="220"/>
      <c r="B21" s="1272"/>
      <c r="C21" s="1273"/>
      <c r="D21" s="1274"/>
      <c r="E21" s="34"/>
      <c r="F21" s="35"/>
      <c r="G21" s="34"/>
      <c r="H21" s="34"/>
      <c r="I21" s="34"/>
      <c r="J21" s="102"/>
      <c r="K21" s="102"/>
      <c r="L21" s="102"/>
      <c r="M21" s="34"/>
      <c r="N21" s="35"/>
    </row>
    <row r="22" spans="1:14" ht="19.350000000000001" customHeight="1">
      <c r="A22" s="220"/>
      <c r="B22" s="31"/>
      <c r="C22" s="32"/>
      <c r="D22" s="33"/>
      <c r="E22" s="34"/>
      <c r="F22" s="35"/>
      <c r="G22" s="34"/>
      <c r="H22" s="34"/>
      <c r="I22" s="34"/>
      <c r="J22" s="102"/>
      <c r="K22" s="102"/>
      <c r="L22" s="102"/>
      <c r="M22" s="34"/>
      <c r="N22" s="35"/>
    </row>
    <row r="23" spans="1:14" ht="19.350000000000001" customHeight="1">
      <c r="A23" s="220"/>
      <c r="B23" s="515"/>
      <c r="C23" s="221"/>
      <c r="D23" s="267"/>
      <c r="E23" s="34"/>
      <c r="F23" s="35"/>
      <c r="G23" s="34"/>
      <c r="H23" s="34"/>
      <c r="I23" s="34"/>
      <c r="J23" s="102"/>
      <c r="K23" s="102"/>
      <c r="L23" s="102"/>
      <c r="M23" s="34"/>
      <c r="N23" s="35"/>
    </row>
    <row r="24" spans="1:14" ht="19.350000000000001" customHeight="1">
      <c r="A24" s="220"/>
      <c r="B24" s="269"/>
      <c r="C24" s="221"/>
      <c r="D24" s="267"/>
      <c r="E24" s="34"/>
      <c r="F24" s="35"/>
      <c r="G24" s="34"/>
      <c r="H24" s="34"/>
      <c r="I24" s="34"/>
      <c r="J24" s="102"/>
      <c r="K24" s="102"/>
      <c r="L24" s="102"/>
      <c r="M24" s="34"/>
      <c r="N24" s="35"/>
    </row>
    <row r="25" spans="1:14" ht="19.350000000000001" customHeight="1">
      <c r="A25" s="220"/>
      <c r="B25" s="269"/>
      <c r="C25" s="221"/>
      <c r="D25" s="409"/>
      <c r="E25" s="34"/>
      <c r="F25" s="35"/>
      <c r="G25" s="34"/>
      <c r="H25" s="34"/>
      <c r="I25" s="34"/>
      <c r="J25" s="102"/>
      <c r="K25" s="102"/>
      <c r="L25" s="102"/>
      <c r="M25" s="34"/>
      <c r="N25" s="35"/>
    </row>
    <row r="26" spans="1:14" ht="19.350000000000001" customHeight="1">
      <c r="A26" s="220"/>
      <c r="B26" s="269"/>
      <c r="C26" s="221"/>
      <c r="D26" s="267"/>
      <c r="E26" s="34"/>
      <c r="F26" s="35"/>
      <c r="G26" s="34"/>
      <c r="H26" s="34"/>
      <c r="I26" s="34"/>
      <c r="J26" s="102"/>
      <c r="K26" s="102"/>
      <c r="L26" s="102"/>
      <c r="M26" s="101"/>
      <c r="N26" s="35"/>
    </row>
    <row r="27" spans="1:14" ht="19.350000000000001" customHeight="1">
      <c r="A27" s="220"/>
      <c r="B27" s="269"/>
      <c r="C27" s="221"/>
      <c r="D27" s="267"/>
      <c r="E27" s="34"/>
      <c r="F27" s="35"/>
      <c r="G27" s="34"/>
      <c r="H27" s="34"/>
      <c r="I27" s="34"/>
      <c r="J27" s="102"/>
      <c r="K27" s="102"/>
      <c r="L27" s="102"/>
      <c r="M27" s="34"/>
      <c r="N27" s="35"/>
    </row>
    <row r="28" spans="1:14" ht="19.350000000000001" customHeight="1">
      <c r="A28" s="220"/>
      <c r="B28" s="269"/>
      <c r="C28" s="221"/>
      <c r="D28" s="267"/>
      <c r="E28" s="34"/>
      <c r="F28" s="35"/>
      <c r="G28" s="34"/>
      <c r="H28" s="34"/>
      <c r="I28" s="34"/>
      <c r="J28" s="102"/>
      <c r="K28" s="102"/>
      <c r="L28" s="102"/>
      <c r="M28" s="34"/>
      <c r="N28" s="35"/>
    </row>
    <row r="29" spans="1:14" ht="19.350000000000001" customHeight="1">
      <c r="A29" s="220"/>
      <c r="B29" s="1272"/>
      <c r="C29" s="1273"/>
      <c r="D29" s="1274"/>
      <c r="E29" s="34"/>
      <c r="F29" s="35"/>
      <c r="G29" s="34"/>
      <c r="H29" s="34"/>
      <c r="I29" s="34"/>
      <c r="J29" s="102"/>
      <c r="K29" s="102"/>
      <c r="L29" s="102"/>
      <c r="M29" s="34"/>
      <c r="N29" s="35"/>
    </row>
    <row r="30" spans="1:14" ht="19.350000000000001" customHeight="1">
      <c r="A30" s="516"/>
      <c r="B30" s="517"/>
      <c r="C30" s="518"/>
      <c r="D30" s="519"/>
      <c r="E30" s="143"/>
      <c r="F30" s="130"/>
      <c r="G30" s="143"/>
      <c r="H30" s="143"/>
      <c r="I30" s="143"/>
      <c r="J30" s="392"/>
      <c r="K30" s="392"/>
      <c r="L30" s="392"/>
      <c r="M30" s="143"/>
      <c r="N30" s="130"/>
    </row>
    <row r="31" spans="1:14" ht="19.350000000000001" customHeight="1">
      <c r="A31" s="520"/>
      <c r="B31" s="521" t="s">
        <v>3538</v>
      </c>
      <c r="C31" s="522"/>
      <c r="D31" s="379"/>
      <c r="E31" s="218"/>
      <c r="F31" s="219"/>
      <c r="G31" s="218"/>
      <c r="H31" s="218"/>
      <c r="I31" s="218"/>
      <c r="J31" s="218"/>
      <c r="K31" s="218"/>
      <c r="L31" s="246"/>
      <c r="M31" s="218"/>
      <c r="N31" s="219"/>
    </row>
    <row r="32" spans="1:14" ht="19.350000000000001" customHeight="1">
      <c r="A32" s="523">
        <v>1</v>
      </c>
      <c r="B32" s="524" t="s">
        <v>3534</v>
      </c>
      <c r="C32" s="368"/>
      <c r="D32" s="368"/>
      <c r="E32" s="72"/>
      <c r="F32" s="26"/>
      <c r="G32" s="25"/>
      <c r="H32" s="25"/>
      <c r="I32" s="25"/>
      <c r="J32" s="25"/>
      <c r="K32" s="25"/>
      <c r="L32" s="30"/>
      <c r="M32" s="25"/>
      <c r="N32" s="72"/>
    </row>
    <row r="33" spans="1:18" ht="19.350000000000001" customHeight="1">
      <c r="A33" s="525">
        <v>1.1000000000000001</v>
      </c>
      <c r="B33" s="349" t="s">
        <v>3539</v>
      </c>
      <c r="C33" s="349"/>
      <c r="D33" s="349"/>
      <c r="E33" s="25">
        <v>2935</v>
      </c>
      <c r="F33" s="26" t="s">
        <v>211</v>
      </c>
      <c r="G33" s="67">
        <v>844.41</v>
      </c>
      <c r="H33" s="67">
        <f>G33*Q33</f>
        <v>789.44570396726999</v>
      </c>
      <c r="I33" s="25">
        <f>H33*E33</f>
        <v>2317023.1411439376</v>
      </c>
      <c r="J33" s="30">
        <v>174</v>
      </c>
      <c r="K33" s="30">
        <f>J33*Q33</f>
        <v>162.674000178</v>
      </c>
      <c r="L33" s="67">
        <f>E33*K33</f>
        <v>477448.19052243</v>
      </c>
      <c r="M33" s="25">
        <f>SUM(I33,L33)</f>
        <v>2794471.3316663676</v>
      </c>
      <c r="N33" s="72"/>
      <c r="Q33" s="203">
        <v>0.93490804699999996</v>
      </c>
      <c r="R33" s="343"/>
    </row>
    <row r="34" spans="1:18" ht="19.350000000000001" customHeight="1">
      <c r="A34" s="525"/>
      <c r="B34" s="27" t="s">
        <v>3540</v>
      </c>
      <c r="C34" s="526" t="s">
        <v>3541</v>
      </c>
      <c r="D34" s="24"/>
      <c r="E34" s="25"/>
      <c r="F34" s="26"/>
      <c r="G34" s="67"/>
      <c r="H34" s="67"/>
      <c r="I34" s="25"/>
      <c r="J34" s="30"/>
      <c r="K34" s="30"/>
      <c r="L34" s="67"/>
      <c r="M34" s="25"/>
      <c r="N34" s="72"/>
      <c r="Q34" s="203">
        <v>0.93490804699999996</v>
      </c>
      <c r="R34" s="343"/>
    </row>
    <row r="35" spans="1:18" ht="19.350000000000001" customHeight="1">
      <c r="A35" s="70"/>
      <c r="B35" s="27" t="s">
        <v>3542</v>
      </c>
      <c r="C35" s="29" t="s">
        <v>3543</v>
      </c>
      <c r="D35" s="24"/>
      <c r="E35" s="25"/>
      <c r="F35" s="26"/>
      <c r="G35" s="67"/>
      <c r="H35" s="67"/>
      <c r="I35" s="25"/>
      <c r="J35" s="30"/>
      <c r="K35" s="30"/>
      <c r="L35" s="67"/>
      <c r="M35" s="25"/>
      <c r="N35" s="72"/>
      <c r="Q35" s="203">
        <v>0.93490804699999996</v>
      </c>
      <c r="R35" s="343"/>
    </row>
    <row r="36" spans="1:18" ht="19.350000000000001" customHeight="1">
      <c r="A36" s="70"/>
      <c r="B36" s="27" t="s">
        <v>3544</v>
      </c>
      <c r="C36" s="47" t="s">
        <v>3545</v>
      </c>
      <c r="D36" s="24"/>
      <c r="E36" s="25"/>
      <c r="F36" s="26"/>
      <c r="G36" s="67"/>
      <c r="H36" s="67"/>
      <c r="I36" s="25"/>
      <c r="J36" s="30"/>
      <c r="K36" s="30"/>
      <c r="L36" s="67"/>
      <c r="M36" s="25"/>
      <c r="N36" s="72"/>
      <c r="Q36" s="203">
        <v>0.93490804699999996</v>
      </c>
      <c r="R36" s="343"/>
    </row>
    <row r="37" spans="1:18" ht="19.350000000000001" customHeight="1">
      <c r="A37" s="21">
        <v>1.2</v>
      </c>
      <c r="B37" s="283" t="s">
        <v>3546</v>
      </c>
      <c r="C37" s="29"/>
      <c r="D37" s="24"/>
      <c r="E37" s="25">
        <v>910</v>
      </c>
      <c r="F37" s="26" t="s">
        <v>211</v>
      </c>
      <c r="G37" s="67">
        <v>647.5</v>
      </c>
      <c r="H37" s="67">
        <f>G37*Q37</f>
        <v>605.35296043250003</v>
      </c>
      <c r="I37" s="25">
        <f>H37*E37</f>
        <v>550871.19399357506</v>
      </c>
      <c r="J37" s="30">
        <v>194.25</v>
      </c>
      <c r="K37" s="30">
        <f>J37*Q37</f>
        <v>181.60588812974999</v>
      </c>
      <c r="L37" s="67">
        <f>E37*K37</f>
        <v>165261.3581980725</v>
      </c>
      <c r="M37" s="25">
        <f>SUM(I37,L37)</f>
        <v>716132.55219164758</v>
      </c>
      <c r="N37" s="72"/>
      <c r="Q37" s="203">
        <v>0.93490804699999996</v>
      </c>
      <c r="R37" s="343"/>
    </row>
    <row r="38" spans="1:18" ht="19.350000000000001" customHeight="1">
      <c r="A38" s="525"/>
      <c r="B38" s="283" t="s">
        <v>3547</v>
      </c>
      <c r="C38" s="526" t="s">
        <v>3541</v>
      </c>
      <c r="D38" s="24"/>
      <c r="E38" s="25"/>
      <c r="F38" s="26"/>
      <c r="G38" s="67"/>
      <c r="H38" s="67"/>
      <c r="I38" s="25"/>
      <c r="J38" s="30"/>
      <c r="K38" s="30"/>
      <c r="L38" s="67"/>
      <c r="M38" s="25"/>
      <c r="N38" s="72"/>
      <c r="Q38" s="203">
        <v>0.93490804699999996</v>
      </c>
      <c r="R38" s="343"/>
    </row>
    <row r="39" spans="1:18" ht="19.350000000000001" customHeight="1">
      <c r="A39" s="525"/>
      <c r="B39" s="27" t="s">
        <v>3548</v>
      </c>
      <c r="C39" s="29" t="s">
        <v>3543</v>
      </c>
      <c r="D39" s="24"/>
      <c r="E39" s="25"/>
      <c r="F39" s="26"/>
      <c r="G39" s="67"/>
      <c r="H39" s="67"/>
      <c r="I39" s="25"/>
      <c r="J39" s="30"/>
      <c r="K39" s="30"/>
      <c r="L39" s="67"/>
      <c r="M39" s="25"/>
      <c r="N39" s="72"/>
      <c r="Q39" s="203">
        <v>0.93490804699999996</v>
      </c>
      <c r="R39" s="343"/>
    </row>
    <row r="40" spans="1:18" ht="19.350000000000001" customHeight="1">
      <c r="A40" s="280"/>
      <c r="B40" s="283" t="s">
        <v>3549</v>
      </c>
      <c r="C40" s="47" t="s">
        <v>3545</v>
      </c>
      <c r="D40" s="24"/>
      <c r="E40" s="25"/>
      <c r="F40" s="26"/>
      <c r="G40" s="67"/>
      <c r="H40" s="67"/>
      <c r="I40" s="25"/>
      <c r="J40" s="30"/>
      <c r="K40" s="30"/>
      <c r="L40" s="67"/>
      <c r="M40" s="25"/>
      <c r="N40" s="72"/>
      <c r="Q40" s="203">
        <v>0.93490804699999996</v>
      </c>
      <c r="R40" s="343"/>
    </row>
    <row r="41" spans="1:18" ht="19.350000000000001" customHeight="1">
      <c r="A41" s="280"/>
      <c r="B41" s="527" t="s">
        <v>273</v>
      </c>
      <c r="C41" s="47" t="s">
        <v>3550</v>
      </c>
      <c r="D41" s="24"/>
      <c r="E41" s="25">
        <v>46</v>
      </c>
      <c r="F41" s="26" t="s">
        <v>1684</v>
      </c>
      <c r="G41" s="67">
        <v>508.33</v>
      </c>
      <c r="H41" s="67">
        <f>G41*Q41</f>
        <v>475.24180753150995</v>
      </c>
      <c r="I41" s="25">
        <f>H41*E41</f>
        <v>21861.123146449456</v>
      </c>
      <c r="J41" s="30">
        <v>112</v>
      </c>
      <c r="K41" s="30">
        <f>J41*Q41</f>
        <v>104.70970126399999</v>
      </c>
      <c r="L41" s="67">
        <f>E41*K41</f>
        <v>4816.6462581439991</v>
      </c>
      <c r="M41" s="25">
        <f>SUM(I41,L41)</f>
        <v>26677.769404593455</v>
      </c>
      <c r="N41" s="72"/>
      <c r="Q41" s="203">
        <v>0.93490804699999996</v>
      </c>
      <c r="R41" s="343"/>
    </row>
    <row r="42" spans="1:18" ht="19.350000000000001" customHeight="1">
      <c r="A42" s="21">
        <v>1.3</v>
      </c>
      <c r="B42" s="283" t="s">
        <v>3551</v>
      </c>
      <c r="C42" s="47" t="s">
        <v>3552</v>
      </c>
      <c r="D42" s="24"/>
      <c r="E42" s="25">
        <v>99</v>
      </c>
      <c r="F42" s="26" t="s">
        <v>211</v>
      </c>
      <c r="G42" s="67">
        <v>2322.7600000000002</v>
      </c>
      <c r="H42" s="67">
        <f>G42*Q42</f>
        <v>2171.56701524972</v>
      </c>
      <c r="I42" s="25">
        <f t="shared" ref="I42" si="1">H42*E42</f>
        <v>214985.13450972229</v>
      </c>
      <c r="J42" s="30">
        <v>339</v>
      </c>
      <c r="K42" s="30">
        <f>J42*Q42</f>
        <v>316.93382793299998</v>
      </c>
      <c r="L42" s="67">
        <f>E42*K42</f>
        <v>31376.448965366999</v>
      </c>
      <c r="M42" s="25">
        <f>SUM(I42,L42)</f>
        <v>246361.58347508928</v>
      </c>
      <c r="N42" s="72"/>
      <c r="Q42" s="203">
        <v>0.93490804699999996</v>
      </c>
      <c r="R42" s="343"/>
    </row>
    <row r="43" spans="1:18" ht="19.350000000000001" customHeight="1">
      <c r="A43" s="21"/>
      <c r="B43" s="283"/>
      <c r="C43" s="47"/>
      <c r="D43" s="24"/>
      <c r="E43" s="25"/>
      <c r="F43" s="26"/>
      <c r="G43" s="67"/>
      <c r="H43" s="67"/>
      <c r="I43" s="25" t="s">
        <v>151</v>
      </c>
      <c r="J43" s="30"/>
      <c r="K43" s="30"/>
      <c r="L43" s="67"/>
      <c r="M43" s="25"/>
      <c r="N43" s="72"/>
      <c r="Q43" s="203">
        <v>0.93490804699999996</v>
      </c>
      <c r="R43" s="343"/>
    </row>
    <row r="44" spans="1:18" ht="19.350000000000001" customHeight="1">
      <c r="A44" s="21"/>
      <c r="B44" s="1275" t="s">
        <v>3553</v>
      </c>
      <c r="C44" s="1276"/>
      <c r="D44" s="1277"/>
      <c r="E44" s="25"/>
      <c r="F44" s="26"/>
      <c r="G44" s="67"/>
      <c r="H44" s="67"/>
      <c r="I44" s="25"/>
      <c r="J44" s="30"/>
      <c r="K44" s="30"/>
      <c r="L44" s="67"/>
      <c r="M44" s="34">
        <f>SUM(M33:M42)</f>
        <v>3783643.2367376979</v>
      </c>
      <c r="N44" s="26"/>
      <c r="Q44" s="203">
        <v>0.93490804699999996</v>
      </c>
      <c r="R44" s="343"/>
    </row>
    <row r="45" spans="1:18" ht="19.350000000000001" customHeight="1">
      <c r="A45" s="21"/>
      <c r="B45" s="349"/>
      <c r="C45" s="349"/>
      <c r="D45" s="209"/>
      <c r="E45" s="26"/>
      <c r="F45" s="26"/>
      <c r="G45" s="67"/>
      <c r="H45" s="67"/>
      <c r="I45" s="25"/>
      <c r="J45" s="30"/>
      <c r="K45" s="30"/>
      <c r="L45" s="67"/>
      <c r="M45" s="25"/>
      <c r="N45" s="26"/>
      <c r="Q45" s="203">
        <v>0.93490804699999996</v>
      </c>
      <c r="R45" s="343"/>
    </row>
    <row r="46" spans="1:18" ht="19.350000000000001" customHeight="1">
      <c r="A46" s="523">
        <v>2</v>
      </c>
      <c r="B46" s="528" t="s">
        <v>197</v>
      </c>
      <c r="C46" s="373"/>
      <c r="D46" s="529"/>
      <c r="E46" s="72"/>
      <c r="F46" s="26"/>
      <c r="G46" s="25"/>
      <c r="H46" s="25"/>
      <c r="I46" s="25"/>
      <c r="J46" s="25"/>
      <c r="K46" s="25"/>
      <c r="L46" s="30"/>
      <c r="M46" s="25"/>
      <c r="N46" s="26"/>
      <c r="Q46" s="203">
        <v>0.93490804699999996</v>
      </c>
      <c r="R46" s="343"/>
    </row>
    <row r="47" spans="1:18" ht="19.350000000000001" customHeight="1">
      <c r="A47" s="525">
        <v>2.1</v>
      </c>
      <c r="B47" s="29" t="s">
        <v>3554</v>
      </c>
      <c r="C47" s="526" t="s">
        <v>3555</v>
      </c>
      <c r="D47" s="24"/>
      <c r="E47" s="104">
        <v>843</v>
      </c>
      <c r="F47" s="26" t="s">
        <v>286</v>
      </c>
      <c r="G47" s="67">
        <v>3102</v>
      </c>
      <c r="H47" s="67">
        <f>G47*Q47</f>
        <v>2900.0847617939999</v>
      </c>
      <c r="I47" s="25">
        <f>H47*E47</f>
        <v>2444771.4541923418</v>
      </c>
      <c r="J47" s="67">
        <v>310.2</v>
      </c>
      <c r="K47" s="30">
        <f>J47*Q47</f>
        <v>290.00847617939996</v>
      </c>
      <c r="L47" s="67">
        <f>E47*K47</f>
        <v>244477.14541923418</v>
      </c>
      <c r="M47" s="104">
        <f>SUM(I47,L47)</f>
        <v>2689248.5996115757</v>
      </c>
      <c r="N47" s="26"/>
      <c r="Q47" s="203">
        <v>0.93490804699999996</v>
      </c>
      <c r="R47" s="343"/>
    </row>
    <row r="48" spans="1:18" ht="19.350000000000001" customHeight="1">
      <c r="A48" s="525">
        <v>2.2000000000000002</v>
      </c>
      <c r="B48" s="29" t="s">
        <v>3556</v>
      </c>
      <c r="C48" s="526" t="s">
        <v>3557</v>
      </c>
      <c r="D48" s="24"/>
      <c r="E48" s="104">
        <v>55</v>
      </c>
      <c r="F48" s="26" t="s">
        <v>286</v>
      </c>
      <c r="G48" s="67">
        <v>5101.0600000000004</v>
      </c>
      <c r="H48" s="67">
        <f t="shared" ref="H48:H49" si="2">G48*Q48</f>
        <v>4769.0220422298198</v>
      </c>
      <c r="I48" s="25">
        <f t="shared" ref="I48:I49" si="3">H48*E48</f>
        <v>262296.21232264012</v>
      </c>
      <c r="J48" s="30">
        <v>510.1</v>
      </c>
      <c r="K48" s="30">
        <f t="shared" ref="K48:K49" si="4">J48*Q48</f>
        <v>476.89659477470002</v>
      </c>
      <c r="L48" s="67">
        <f t="shared" ref="L48:L49" si="5">E48*K48</f>
        <v>26229.312712608502</v>
      </c>
      <c r="M48" s="104">
        <f>SUM(I48,L48)</f>
        <v>288525.5250352486</v>
      </c>
      <c r="N48" s="26"/>
      <c r="Q48" s="203">
        <v>0.93490804699999996</v>
      </c>
      <c r="R48" s="343"/>
    </row>
    <row r="49" spans="1:18" ht="19.350000000000001" customHeight="1">
      <c r="A49" s="21">
        <v>2.2999999999999998</v>
      </c>
      <c r="B49" s="29" t="s">
        <v>3558</v>
      </c>
      <c r="C49" s="526" t="s">
        <v>3559</v>
      </c>
      <c r="D49" s="24"/>
      <c r="E49" s="104">
        <v>65</v>
      </c>
      <c r="F49" s="26" t="s">
        <v>286</v>
      </c>
      <c r="G49" s="67">
        <v>1550.56</v>
      </c>
      <c r="H49" s="67">
        <f t="shared" si="2"/>
        <v>1449.6310213563199</v>
      </c>
      <c r="I49" s="25">
        <f t="shared" si="3"/>
        <v>94226.016388160802</v>
      </c>
      <c r="J49" s="30">
        <v>339</v>
      </c>
      <c r="K49" s="30">
        <f t="shared" si="4"/>
        <v>316.93382793299998</v>
      </c>
      <c r="L49" s="67">
        <f t="shared" si="5"/>
        <v>20600.698815644999</v>
      </c>
      <c r="M49" s="104">
        <f>SUM(I49,L49)</f>
        <v>114826.7152038058</v>
      </c>
      <c r="N49" s="26"/>
      <c r="Q49" s="203">
        <v>0.93490804699999996</v>
      </c>
      <c r="R49" s="343"/>
    </row>
    <row r="50" spans="1:18" ht="19.350000000000001" customHeight="1">
      <c r="A50" s="21"/>
      <c r="B50" s="29"/>
      <c r="C50" s="526"/>
      <c r="D50" s="24"/>
      <c r="E50" s="104"/>
      <c r="F50" s="26"/>
      <c r="G50" s="67"/>
      <c r="H50" s="67"/>
      <c r="I50" s="25"/>
      <c r="J50" s="30"/>
      <c r="K50" s="30"/>
      <c r="L50" s="67"/>
      <c r="M50" s="104"/>
      <c r="N50" s="26"/>
      <c r="Q50" s="203">
        <v>0.93490804699999996</v>
      </c>
      <c r="R50" s="343"/>
    </row>
    <row r="51" spans="1:18" ht="19.350000000000001" customHeight="1">
      <c r="A51" s="21"/>
      <c r="B51" s="1275" t="s">
        <v>3560</v>
      </c>
      <c r="C51" s="1276"/>
      <c r="D51" s="1277"/>
      <c r="E51" s="104"/>
      <c r="F51" s="26"/>
      <c r="G51" s="67"/>
      <c r="H51" s="67"/>
      <c r="I51" s="25"/>
      <c r="J51" s="30"/>
      <c r="K51" s="30"/>
      <c r="L51" s="67"/>
      <c r="M51" s="34">
        <f>SUM(M47:M49)</f>
        <v>3092600.8398506301</v>
      </c>
      <c r="N51" s="26"/>
      <c r="Q51" s="203">
        <v>0.93490804699999996</v>
      </c>
      <c r="R51" s="343"/>
    </row>
    <row r="52" spans="1:18" ht="19.350000000000001" customHeight="1">
      <c r="A52" s="525"/>
      <c r="B52" s="27"/>
      <c r="C52" s="526"/>
      <c r="D52" s="24"/>
      <c r="E52" s="104"/>
      <c r="F52" s="26"/>
      <c r="G52" s="67"/>
      <c r="H52" s="67"/>
      <c r="I52" s="25"/>
      <c r="J52" s="30"/>
      <c r="K52" s="30"/>
      <c r="L52" s="67"/>
      <c r="M52" s="25"/>
      <c r="N52" s="26"/>
      <c r="Q52" s="203">
        <v>0.93490804699999996</v>
      </c>
      <c r="R52" s="343"/>
    </row>
    <row r="53" spans="1:18" ht="19.350000000000001" customHeight="1">
      <c r="A53" s="525"/>
      <c r="B53" s="27"/>
      <c r="C53" s="526"/>
      <c r="D53" s="24"/>
      <c r="E53" s="104"/>
      <c r="F53" s="26"/>
      <c r="G53" s="67"/>
      <c r="H53" s="67"/>
      <c r="I53" s="25"/>
      <c r="J53" s="30"/>
      <c r="K53" s="30"/>
      <c r="L53" s="67"/>
      <c r="M53" s="25"/>
      <c r="N53" s="26"/>
      <c r="Q53" s="203">
        <v>0.93490804699999996</v>
      </c>
      <c r="R53" s="343"/>
    </row>
    <row r="54" spans="1:18" ht="19.350000000000001" customHeight="1">
      <c r="A54" s="525"/>
      <c r="B54" s="27"/>
      <c r="C54" s="526"/>
      <c r="D54" s="24"/>
      <c r="E54" s="104"/>
      <c r="F54" s="26"/>
      <c r="G54" s="67"/>
      <c r="H54" s="67"/>
      <c r="I54" s="25"/>
      <c r="J54" s="30"/>
      <c r="K54" s="30"/>
      <c r="L54" s="67"/>
      <c r="M54" s="25"/>
      <c r="N54" s="26"/>
      <c r="Q54" s="203">
        <v>0.93490804699999996</v>
      </c>
      <c r="R54" s="343"/>
    </row>
    <row r="55" spans="1:18" ht="19.350000000000001" customHeight="1">
      <c r="A55" s="525"/>
      <c r="B55" s="373"/>
      <c r="C55" s="368"/>
      <c r="D55" s="301"/>
      <c r="E55" s="73"/>
      <c r="F55" s="26"/>
      <c r="G55" s="25"/>
      <c r="H55" s="25"/>
      <c r="I55" s="25"/>
      <c r="J55" s="25"/>
      <c r="K55" s="25"/>
      <c r="L55" s="30"/>
      <c r="M55" s="25"/>
      <c r="N55" s="26"/>
      <c r="Q55" s="203">
        <v>0.93490804699999996</v>
      </c>
      <c r="R55" s="343"/>
    </row>
    <row r="56" spans="1:18" ht="19.350000000000001" customHeight="1">
      <c r="A56" s="525"/>
      <c r="B56" s="373"/>
      <c r="C56" s="368"/>
      <c r="D56" s="368"/>
      <c r="E56" s="72"/>
      <c r="F56" s="26"/>
      <c r="G56" s="25"/>
      <c r="H56" s="25"/>
      <c r="I56" s="25"/>
      <c r="J56" s="25"/>
      <c r="K56" s="25"/>
      <c r="L56" s="30"/>
      <c r="M56" s="25"/>
      <c r="N56" s="26"/>
      <c r="Q56" s="203">
        <v>0.93490804699999996</v>
      </c>
      <c r="R56" s="343"/>
    </row>
    <row r="57" spans="1:18" ht="19.350000000000001" customHeight="1">
      <c r="A57" s="70"/>
      <c r="B57" s="283"/>
      <c r="C57" s="29"/>
      <c r="D57" s="24"/>
      <c r="E57" s="25"/>
      <c r="F57" s="26"/>
      <c r="G57" s="67"/>
      <c r="H57" s="67"/>
      <c r="I57" s="25"/>
      <c r="J57" s="30"/>
      <c r="K57" s="30"/>
      <c r="L57" s="67"/>
      <c r="M57" s="25"/>
      <c r="N57" s="26"/>
      <c r="Q57" s="203">
        <v>0.93490804699999996</v>
      </c>
      <c r="R57" s="343"/>
    </row>
    <row r="58" spans="1:18" ht="19.350000000000001" customHeight="1">
      <c r="A58" s="50"/>
      <c r="B58" s="51"/>
      <c r="C58" s="52"/>
      <c r="D58" s="53"/>
      <c r="E58" s="54"/>
      <c r="F58" s="55"/>
      <c r="G58" s="88"/>
      <c r="H58" s="88"/>
      <c r="I58" s="54"/>
      <c r="J58" s="146"/>
      <c r="K58" s="146"/>
      <c r="L58" s="88"/>
      <c r="M58" s="54"/>
      <c r="N58" s="55"/>
      <c r="Q58" s="203">
        <v>0.93490804699999996</v>
      </c>
      <c r="R58" s="343"/>
    </row>
    <row r="59" spans="1:18" ht="19.350000000000001" customHeight="1">
      <c r="A59" s="89">
        <v>3</v>
      </c>
      <c r="B59" s="530" t="s">
        <v>3535</v>
      </c>
      <c r="C59" s="530"/>
      <c r="D59" s="17"/>
      <c r="E59" s="18"/>
      <c r="F59" s="19"/>
      <c r="G59" s="93"/>
      <c r="H59" s="93"/>
      <c r="I59" s="18"/>
      <c r="J59" s="20"/>
      <c r="K59" s="20"/>
      <c r="L59" s="93"/>
      <c r="M59" s="18"/>
      <c r="N59" s="19"/>
      <c r="Q59" s="203">
        <v>0.93490804699999996</v>
      </c>
      <c r="R59" s="343"/>
    </row>
    <row r="60" spans="1:18" ht="19.350000000000001" customHeight="1">
      <c r="A60" s="21">
        <v>3.1</v>
      </c>
      <c r="B60" s="36" t="s">
        <v>3561</v>
      </c>
      <c r="C60" s="368" t="s">
        <v>3559</v>
      </c>
      <c r="D60" s="24"/>
      <c r="E60" s="25">
        <v>71</v>
      </c>
      <c r="F60" s="26" t="s">
        <v>211</v>
      </c>
      <c r="G60" s="67">
        <v>2322.7600000000002</v>
      </c>
      <c r="H60" s="67">
        <f>G60*Q60</f>
        <v>2171.56701524972</v>
      </c>
      <c r="I60" s="25">
        <f>H60*E60</f>
        <v>154181.25808273011</v>
      </c>
      <c r="J60" s="30">
        <v>339</v>
      </c>
      <c r="K60" s="30">
        <f>J60*Q60</f>
        <v>316.93382793299998</v>
      </c>
      <c r="L60" s="67">
        <f>E60*K60</f>
        <v>22502.301783242998</v>
      </c>
      <c r="M60" s="25">
        <f>I60+L60</f>
        <v>176683.5598659731</v>
      </c>
      <c r="N60" s="26"/>
      <c r="Q60" s="203">
        <v>0.93490804699999996</v>
      </c>
      <c r="R60" s="343"/>
    </row>
    <row r="61" spans="1:18" ht="19.350000000000001" customHeight="1">
      <c r="A61" s="21">
        <v>3.2</v>
      </c>
      <c r="B61" s="36" t="s">
        <v>3562</v>
      </c>
      <c r="C61" s="368" t="s">
        <v>3563</v>
      </c>
      <c r="D61" s="24"/>
      <c r="E61" s="25">
        <v>27</v>
      </c>
      <c r="F61" s="26" t="s">
        <v>211</v>
      </c>
      <c r="G61" s="67">
        <v>238</v>
      </c>
      <c r="H61" s="67">
        <f>G61*Q61</f>
        <v>222.508115186</v>
      </c>
      <c r="I61" s="25">
        <f t="shared" ref="I61:I64" si="6">H61*E61</f>
        <v>6007.7191100219998</v>
      </c>
      <c r="J61" s="30">
        <v>161</v>
      </c>
      <c r="K61" s="30">
        <f t="shared" ref="K61:K64" si="7">J61*Q61</f>
        <v>150.520195567</v>
      </c>
      <c r="L61" s="67">
        <f t="shared" ref="L61:L64" si="8">E61*K61</f>
        <v>4064.0452803090002</v>
      </c>
      <c r="M61" s="25">
        <f>I61+L61</f>
        <v>10071.764390331</v>
      </c>
      <c r="N61" s="26"/>
      <c r="Q61" s="203">
        <v>0.93490804699999996</v>
      </c>
      <c r="R61" s="343"/>
    </row>
    <row r="62" spans="1:18" ht="19.350000000000001" customHeight="1">
      <c r="A62" s="21">
        <v>3.3</v>
      </c>
      <c r="B62" s="36" t="s">
        <v>3564</v>
      </c>
      <c r="C62" s="368" t="s">
        <v>3565</v>
      </c>
      <c r="D62" s="24"/>
      <c r="E62" s="25">
        <v>239</v>
      </c>
      <c r="F62" s="26" t="s">
        <v>286</v>
      </c>
      <c r="G62" s="67">
        <v>148.54</v>
      </c>
      <c r="H62" s="67">
        <f t="shared" ref="H62:H64" si="9">G62*Q62</f>
        <v>138.87124130138</v>
      </c>
      <c r="I62" s="25">
        <f t="shared" si="6"/>
        <v>33190.226671029821</v>
      </c>
      <c r="J62" s="30">
        <v>44.56</v>
      </c>
      <c r="K62" s="30">
        <f t="shared" si="7"/>
        <v>41.659502574320001</v>
      </c>
      <c r="L62" s="67">
        <f t="shared" si="8"/>
        <v>9956.6211152624801</v>
      </c>
      <c r="M62" s="25">
        <f>I62+L62</f>
        <v>43146.847786292303</v>
      </c>
      <c r="N62" s="26"/>
      <c r="Q62" s="203">
        <v>0.93490804699999996</v>
      </c>
      <c r="R62" s="343"/>
    </row>
    <row r="63" spans="1:18" ht="19.350000000000001" customHeight="1">
      <c r="A63" s="21">
        <v>3.4</v>
      </c>
      <c r="B63" s="36" t="s">
        <v>3566</v>
      </c>
      <c r="C63" s="368" t="s">
        <v>3567</v>
      </c>
      <c r="D63" s="24"/>
      <c r="E63" s="25">
        <v>58</v>
      </c>
      <c r="F63" s="26" t="s">
        <v>286</v>
      </c>
      <c r="G63" s="67">
        <v>450</v>
      </c>
      <c r="H63" s="67">
        <f t="shared" si="9"/>
        <v>420.70862115</v>
      </c>
      <c r="I63" s="25">
        <f t="shared" si="6"/>
        <v>24401.100026699998</v>
      </c>
      <c r="J63" s="30">
        <v>42</v>
      </c>
      <c r="K63" s="30">
        <f t="shared" si="7"/>
        <v>39.266137973999996</v>
      </c>
      <c r="L63" s="67">
        <f t="shared" si="8"/>
        <v>2277.4360024919997</v>
      </c>
      <c r="M63" s="25">
        <f>I63+L63</f>
        <v>26678.536029191997</v>
      </c>
      <c r="N63" s="26"/>
      <c r="Q63" s="203">
        <v>0.93490804699999996</v>
      </c>
      <c r="R63" s="343"/>
    </row>
    <row r="64" spans="1:18" ht="19.350000000000001" customHeight="1">
      <c r="A64" s="21">
        <v>3.5</v>
      </c>
      <c r="B64" s="36" t="s">
        <v>3568</v>
      </c>
      <c r="C64" s="29" t="s">
        <v>3569</v>
      </c>
      <c r="D64" s="45"/>
      <c r="E64" s="25">
        <v>96</v>
      </c>
      <c r="F64" s="26" t="s">
        <v>286</v>
      </c>
      <c r="G64" s="67">
        <v>137.44</v>
      </c>
      <c r="H64" s="67">
        <f t="shared" si="9"/>
        <v>128.49376197967999</v>
      </c>
      <c r="I64" s="25">
        <f t="shared" si="6"/>
        <v>12335.401150049278</v>
      </c>
      <c r="J64" s="30">
        <v>63.02</v>
      </c>
      <c r="K64" s="30">
        <f t="shared" si="7"/>
        <v>58.917905121940002</v>
      </c>
      <c r="L64" s="67">
        <f t="shared" si="8"/>
        <v>5656.11889170624</v>
      </c>
      <c r="M64" s="25">
        <f>I64+L64</f>
        <v>17991.520041755517</v>
      </c>
      <c r="N64" s="26"/>
      <c r="Q64" s="203">
        <v>0.93490804699999996</v>
      </c>
      <c r="R64" s="343"/>
    </row>
    <row r="65" spans="1:18" ht="19.350000000000001" customHeight="1">
      <c r="A65" s="21"/>
      <c r="B65" s="36"/>
      <c r="C65" s="29"/>
      <c r="D65" s="45"/>
      <c r="E65" s="25"/>
      <c r="F65" s="119"/>
      <c r="G65" s="81"/>
      <c r="H65" s="81"/>
      <c r="I65" s="25"/>
      <c r="J65" s="30"/>
      <c r="K65" s="30"/>
      <c r="L65" s="67"/>
      <c r="M65" s="25"/>
      <c r="N65" s="26"/>
      <c r="Q65" s="203">
        <v>0.93490804699999996</v>
      </c>
      <c r="R65" s="343"/>
    </row>
    <row r="66" spans="1:18" ht="19.350000000000001" customHeight="1">
      <c r="A66" s="532"/>
      <c r="B66" s="1275" t="s">
        <v>3570</v>
      </c>
      <c r="C66" s="1276"/>
      <c r="D66" s="1277"/>
      <c r="E66" s="26"/>
      <c r="F66" s="119"/>
      <c r="G66" s="533"/>
      <c r="H66" s="533"/>
      <c r="I66" s="25"/>
      <c r="J66" s="30"/>
      <c r="K66" s="30"/>
      <c r="L66" s="67"/>
      <c r="M66" s="34">
        <f>SUM(M60:M64)</f>
        <v>274572.22811354394</v>
      </c>
      <c r="N66" s="72"/>
      <c r="Q66" s="203">
        <v>0.93490804699999996</v>
      </c>
      <c r="R66" s="343"/>
    </row>
    <row r="67" spans="1:18" ht="19.350000000000001" customHeight="1">
      <c r="A67" s="532"/>
      <c r="B67" s="315"/>
      <c r="C67" s="285"/>
      <c r="D67" s="24"/>
      <c r="E67" s="26"/>
      <c r="F67" s="119"/>
      <c r="G67" s="533"/>
      <c r="H67" s="533"/>
      <c r="I67" s="25"/>
      <c r="J67" s="30"/>
      <c r="K67" s="30"/>
      <c r="L67" s="67"/>
      <c r="M67" s="25"/>
      <c r="N67" s="72"/>
      <c r="Q67" s="203">
        <v>0.93490804699999996</v>
      </c>
      <c r="R67" s="343"/>
    </row>
    <row r="68" spans="1:18" ht="19.350000000000001" customHeight="1">
      <c r="A68" s="523">
        <v>4</v>
      </c>
      <c r="B68" s="9" t="s">
        <v>3536</v>
      </c>
      <c r="C68" s="9"/>
      <c r="D68" s="534"/>
      <c r="E68" s="25"/>
      <c r="F68" s="26"/>
      <c r="G68" s="67"/>
      <c r="H68" s="67"/>
      <c r="I68" s="25"/>
      <c r="J68" s="30"/>
      <c r="K68" s="30"/>
      <c r="L68" s="67"/>
      <c r="M68" s="25"/>
      <c r="N68" s="72"/>
      <c r="Q68" s="203">
        <v>0.93490804699999996</v>
      </c>
      <c r="R68" s="343"/>
    </row>
    <row r="69" spans="1:18" ht="19.350000000000001" customHeight="1">
      <c r="A69" s="525">
        <v>4.0999999999999996</v>
      </c>
      <c r="B69" s="283" t="s">
        <v>3571</v>
      </c>
      <c r="C69" s="285"/>
      <c r="D69" s="534"/>
      <c r="E69" s="25">
        <v>9</v>
      </c>
      <c r="F69" s="26" t="s">
        <v>3572</v>
      </c>
      <c r="G69" s="535"/>
      <c r="H69" s="535"/>
      <c r="I69" s="242"/>
      <c r="J69" s="384"/>
      <c r="K69" s="384"/>
      <c r="L69" s="535"/>
      <c r="M69" s="242"/>
      <c r="N69" s="72"/>
      <c r="Q69" s="203">
        <v>0.93490804699999996</v>
      </c>
      <c r="R69" s="343"/>
    </row>
    <row r="70" spans="1:18" ht="19.350000000000001" customHeight="1">
      <c r="A70" s="525">
        <v>4.2</v>
      </c>
      <c r="B70" s="536" t="s">
        <v>3573</v>
      </c>
      <c r="C70" s="537"/>
      <c r="D70" s="538"/>
      <c r="E70" s="25">
        <v>1</v>
      </c>
      <c r="F70" s="26" t="s">
        <v>3572</v>
      </c>
      <c r="G70" s="67">
        <v>15000</v>
      </c>
      <c r="H70" s="67">
        <f t="shared" ref="H70" si="10">G70*Q70</f>
        <v>14023.620704999999</v>
      </c>
      <c r="I70" s="25">
        <f>H70*E70</f>
        <v>14023.620704999999</v>
      </c>
      <c r="J70" s="30"/>
      <c r="K70" s="30">
        <f>J70*Q70</f>
        <v>0</v>
      </c>
      <c r="L70" s="67">
        <f>E70*J70</f>
        <v>0</v>
      </c>
      <c r="M70" s="25">
        <f>SUM(I70,L70)</f>
        <v>14023.620704999999</v>
      </c>
      <c r="N70" s="72"/>
      <c r="Q70" s="203">
        <v>0.93490804699999996</v>
      </c>
      <c r="R70" s="343"/>
    </row>
    <row r="71" spans="1:18" ht="19.350000000000001" customHeight="1">
      <c r="A71" s="525"/>
      <c r="B71" s="536"/>
      <c r="C71" s="537"/>
      <c r="D71" s="538"/>
      <c r="E71" s="25"/>
      <c r="F71" s="26"/>
      <c r="G71" s="67"/>
      <c r="H71" s="67"/>
      <c r="I71" s="25"/>
      <c r="J71" s="30"/>
      <c r="K71" s="30"/>
      <c r="L71" s="67"/>
      <c r="M71" s="25"/>
      <c r="N71" s="72"/>
      <c r="Q71" s="203">
        <v>0.93490804699999996</v>
      </c>
      <c r="R71" s="343"/>
    </row>
    <row r="72" spans="1:18" ht="19.350000000000001" customHeight="1">
      <c r="A72" s="525"/>
      <c r="B72" s="1275" t="s">
        <v>3574</v>
      </c>
      <c r="C72" s="1276"/>
      <c r="D72" s="1277"/>
      <c r="E72" s="72"/>
      <c r="F72" s="26"/>
      <c r="G72" s="25"/>
      <c r="H72" s="25"/>
      <c r="I72" s="25"/>
      <c r="J72" s="25"/>
      <c r="K72" s="25"/>
      <c r="L72" s="25"/>
      <c r="M72" s="34">
        <f>SUM(M69:M70)</f>
        <v>14023.620704999999</v>
      </c>
      <c r="N72" s="72"/>
      <c r="Q72" s="203">
        <v>0.93490804699999996</v>
      </c>
      <c r="R72" s="343"/>
    </row>
    <row r="73" spans="1:18" ht="19.350000000000001" customHeight="1">
      <c r="A73" s="525"/>
      <c r="B73" s="349"/>
      <c r="C73" s="349"/>
      <c r="D73" s="349"/>
      <c r="E73" s="297"/>
      <c r="F73" s="26"/>
      <c r="G73" s="25"/>
      <c r="H73" s="25"/>
      <c r="I73" s="25"/>
      <c r="J73" s="25"/>
      <c r="K73" s="25"/>
      <c r="L73" s="67"/>
      <c r="M73" s="25"/>
      <c r="N73" s="72"/>
      <c r="Q73" s="203">
        <v>0.93490804699999996</v>
      </c>
      <c r="R73" s="343"/>
    </row>
    <row r="74" spans="1:18" ht="19.350000000000001" customHeight="1">
      <c r="A74" s="523">
        <v>5</v>
      </c>
      <c r="B74" s="9" t="s">
        <v>205</v>
      </c>
      <c r="C74" s="9"/>
      <c r="D74" s="534"/>
      <c r="E74" s="25"/>
      <c r="F74" s="26"/>
      <c r="G74" s="67"/>
      <c r="H74" s="67"/>
      <c r="I74" s="25"/>
      <c r="J74" s="30"/>
      <c r="K74" s="30"/>
      <c r="L74" s="67"/>
      <c r="M74" s="25"/>
      <c r="N74" s="72"/>
      <c r="Q74" s="203">
        <v>0.93490804699999996</v>
      </c>
      <c r="R74" s="343"/>
    </row>
    <row r="75" spans="1:18" ht="19.350000000000001" customHeight="1">
      <c r="A75" s="525">
        <v>5.0999999999999996</v>
      </c>
      <c r="B75" s="283" t="s">
        <v>3575</v>
      </c>
      <c r="C75" s="285"/>
      <c r="D75" s="534"/>
      <c r="E75" s="25">
        <v>1</v>
      </c>
      <c r="F75" s="26" t="s">
        <v>349</v>
      </c>
      <c r="G75" s="67">
        <v>200000</v>
      </c>
      <c r="H75" s="67">
        <f t="shared" ref="H75" si="11">G75*Q75</f>
        <v>186981.60939999999</v>
      </c>
      <c r="I75" s="25">
        <f>H75*E75</f>
        <v>186981.60939999999</v>
      </c>
      <c r="J75" s="30"/>
      <c r="K75" s="30"/>
      <c r="L75" s="67">
        <f>E75*J75</f>
        <v>0</v>
      </c>
      <c r="M75" s="25">
        <f>SUM(I75,L75)</f>
        <v>186981.60939999999</v>
      </c>
      <c r="N75" s="72"/>
      <c r="Q75" s="203">
        <v>0.93490804699999996</v>
      </c>
      <c r="R75" s="343"/>
    </row>
    <row r="76" spans="1:18" ht="19.350000000000001" customHeight="1">
      <c r="A76" s="525"/>
      <c r="B76" s="536"/>
      <c r="C76" s="537"/>
      <c r="D76" s="538"/>
      <c r="E76" s="25"/>
      <c r="F76" s="26"/>
      <c r="G76" s="67"/>
      <c r="H76" s="67"/>
      <c r="I76" s="25"/>
      <c r="J76" s="30"/>
      <c r="K76" s="30"/>
      <c r="L76" s="67"/>
      <c r="M76" s="25"/>
      <c r="N76" s="72"/>
    </row>
    <row r="77" spans="1:18" ht="19.350000000000001" customHeight="1">
      <c r="A77" s="525"/>
      <c r="B77" s="1275" t="s">
        <v>3576</v>
      </c>
      <c r="C77" s="1276"/>
      <c r="D77" s="1277"/>
      <c r="E77" s="72"/>
      <c r="F77" s="26"/>
      <c r="G77" s="25"/>
      <c r="H77" s="25"/>
      <c r="I77" s="25"/>
      <c r="J77" s="25"/>
      <c r="K77" s="25"/>
      <c r="L77" s="25"/>
      <c r="M77" s="34">
        <f>SUM(M75:M76)</f>
        <v>186981.60939999999</v>
      </c>
      <c r="N77" s="72"/>
    </row>
    <row r="78" spans="1:18" ht="19.350000000000001" customHeight="1">
      <c r="A78" s="539"/>
      <c r="B78" s="38"/>
      <c r="C78" s="29"/>
      <c r="D78" s="24"/>
      <c r="E78" s="25"/>
      <c r="F78" s="26"/>
      <c r="G78" s="67"/>
      <c r="H78" s="67"/>
      <c r="I78" s="25"/>
      <c r="J78" s="25"/>
      <c r="K78" s="25"/>
      <c r="L78" s="67"/>
      <c r="M78" s="25"/>
      <c r="N78" s="26"/>
    </row>
    <row r="79" spans="1:18" ht="19.350000000000001" customHeight="1">
      <c r="A79" s="539"/>
      <c r="B79" s="315"/>
      <c r="C79" s="285"/>
      <c r="D79" s="24"/>
      <c r="E79" s="25"/>
      <c r="F79" s="26"/>
      <c r="G79" s="67"/>
      <c r="H79" s="67"/>
      <c r="I79" s="25"/>
      <c r="J79" s="25"/>
      <c r="K79" s="25"/>
      <c r="L79" s="67"/>
      <c r="M79" s="25"/>
      <c r="N79" s="26"/>
    </row>
    <row r="80" spans="1:18" ht="19.350000000000001" customHeight="1">
      <c r="A80" s="539"/>
      <c r="B80" s="315"/>
      <c r="C80" s="285"/>
      <c r="D80" s="24"/>
      <c r="E80" s="25"/>
      <c r="F80" s="26"/>
      <c r="G80" s="67"/>
      <c r="H80" s="67"/>
      <c r="I80" s="25"/>
      <c r="J80" s="25"/>
      <c r="K80" s="25"/>
      <c r="L80" s="67"/>
      <c r="M80" s="25"/>
      <c r="N80" s="26"/>
    </row>
    <row r="81" spans="1:14" ht="19.350000000000001" customHeight="1">
      <c r="A81" s="539"/>
      <c r="B81" s="315"/>
      <c r="C81" s="285"/>
      <c r="D81" s="24"/>
      <c r="E81" s="25"/>
      <c r="F81" s="26"/>
      <c r="G81" s="67"/>
      <c r="H81" s="67"/>
      <c r="I81" s="25"/>
      <c r="J81" s="25"/>
      <c r="K81" s="25"/>
      <c r="L81" s="67"/>
      <c r="M81" s="25"/>
      <c r="N81" s="26"/>
    </row>
    <row r="82" spans="1:14" ht="19.350000000000001" customHeight="1">
      <c r="A82" s="539"/>
      <c r="B82" s="315"/>
      <c r="C82" s="285"/>
      <c r="D82" s="286"/>
      <c r="E82" s="25"/>
      <c r="F82" s="26"/>
      <c r="G82" s="67"/>
      <c r="H82" s="67"/>
      <c r="I82" s="25"/>
      <c r="J82" s="25"/>
      <c r="K82" s="25"/>
      <c r="L82" s="67"/>
      <c r="M82" s="25"/>
      <c r="N82" s="26"/>
    </row>
    <row r="83" spans="1:14" ht="19.350000000000001" customHeight="1">
      <c r="A83" s="539"/>
      <c r="B83" s="315"/>
      <c r="C83" s="285"/>
      <c r="D83" s="286"/>
      <c r="E83" s="25"/>
      <c r="F83" s="26"/>
      <c r="G83" s="67"/>
      <c r="H83" s="67"/>
      <c r="I83" s="25"/>
      <c r="J83" s="25"/>
      <c r="K83" s="25"/>
      <c r="L83" s="67"/>
      <c r="M83" s="25"/>
      <c r="N83" s="26"/>
    </row>
    <row r="84" spans="1:14" ht="19.350000000000001" customHeight="1">
      <c r="A84" s="268"/>
      <c r="B84" s="540"/>
      <c r="C84" s="541"/>
      <c r="D84" s="267"/>
      <c r="E84" s="34"/>
      <c r="F84" s="35"/>
      <c r="G84" s="101"/>
      <c r="H84" s="101"/>
      <c r="I84" s="34"/>
      <c r="J84" s="34"/>
      <c r="K84" s="34"/>
      <c r="L84" s="101"/>
      <c r="M84" s="34"/>
      <c r="N84" s="35"/>
    </row>
    <row r="85" spans="1:14" ht="19.350000000000001" customHeight="1">
      <c r="A85" s="542"/>
      <c r="B85" s="543"/>
      <c r="C85" s="544"/>
      <c r="D85" s="545"/>
      <c r="E85" s="546"/>
      <c r="F85" s="35"/>
      <c r="G85" s="101"/>
      <c r="H85" s="101"/>
      <c r="I85" s="34"/>
      <c r="J85" s="34"/>
      <c r="K85" s="34"/>
      <c r="L85" s="101"/>
      <c r="M85" s="34"/>
      <c r="N85" s="126"/>
    </row>
    <row r="86" spans="1:14" ht="19.350000000000001" customHeight="1">
      <c r="A86" s="547"/>
      <c r="B86" s="1383"/>
      <c r="C86" s="1384"/>
      <c r="D86" s="1385"/>
      <c r="E86" s="143"/>
      <c r="F86" s="130"/>
      <c r="G86" s="144"/>
      <c r="H86" s="144"/>
      <c r="I86" s="143"/>
      <c r="J86" s="143"/>
      <c r="K86" s="143"/>
      <c r="L86" s="144"/>
      <c r="M86" s="143"/>
      <c r="N86" s="129"/>
    </row>
    <row r="87" spans="1:14" ht="19.350000000000001" customHeight="1">
      <c r="A87" s="175"/>
      <c r="B87" s="168"/>
      <c r="C87" s="168"/>
      <c r="D87" s="168"/>
      <c r="F87" s="169"/>
      <c r="G87" s="170"/>
      <c r="H87" s="170"/>
      <c r="I87" s="170"/>
      <c r="J87" s="170"/>
      <c r="K87" s="170"/>
      <c r="L87" s="170"/>
      <c r="M87" s="170"/>
    </row>
    <row r="88" spans="1:14" ht="19.350000000000001" customHeight="1">
      <c r="A88" s="173"/>
      <c r="B88" s="168"/>
      <c r="C88" s="168"/>
      <c r="D88" s="172"/>
      <c r="F88" s="169"/>
      <c r="G88" s="170"/>
      <c r="H88" s="170"/>
      <c r="I88" s="170"/>
      <c r="J88" s="170"/>
      <c r="K88" s="170"/>
      <c r="L88" s="184"/>
      <c r="M88" s="170"/>
    </row>
    <row r="89" spans="1:14" ht="19.350000000000001" customHeight="1">
      <c r="A89" s="177"/>
      <c r="B89" s="185"/>
      <c r="C89" s="174"/>
      <c r="D89" s="174"/>
      <c r="F89" s="169"/>
      <c r="G89" s="170"/>
      <c r="H89" s="170"/>
      <c r="I89" s="170"/>
      <c r="J89" s="170"/>
      <c r="K89" s="170"/>
      <c r="L89" s="170"/>
      <c r="M89" s="170"/>
    </row>
    <row r="90" spans="1:14" ht="19.350000000000001" customHeight="1">
      <c r="A90" s="177"/>
      <c r="B90" s="185"/>
      <c r="C90" s="174"/>
      <c r="D90" s="174"/>
      <c r="F90" s="169"/>
      <c r="G90" s="170"/>
      <c r="H90" s="170"/>
      <c r="I90" s="170"/>
      <c r="J90" s="170"/>
      <c r="K90" s="170"/>
      <c r="L90" s="170"/>
      <c r="M90" s="170"/>
    </row>
    <row r="91" spans="1:14" ht="19.350000000000001" customHeight="1">
      <c r="A91" s="177"/>
      <c r="B91" s="185"/>
      <c r="C91" s="174"/>
      <c r="D91" s="174"/>
      <c r="F91" s="169"/>
      <c r="G91" s="170"/>
      <c r="H91" s="170"/>
      <c r="I91" s="170"/>
      <c r="J91" s="170"/>
      <c r="K91" s="170"/>
      <c r="L91" s="184"/>
      <c r="M91" s="170"/>
    </row>
    <row r="92" spans="1:14" ht="19.350000000000001" customHeight="1">
      <c r="A92" s="175"/>
      <c r="B92" s="185"/>
      <c r="C92" s="174"/>
      <c r="D92" s="174"/>
      <c r="F92" s="169"/>
      <c r="G92" s="170"/>
      <c r="H92" s="170"/>
      <c r="I92" s="170"/>
      <c r="J92" s="170"/>
      <c r="K92" s="170"/>
      <c r="L92" s="170"/>
      <c r="M92" s="170"/>
    </row>
    <row r="93" spans="1:14" ht="19.350000000000001" customHeight="1">
      <c r="A93" s="177"/>
      <c r="B93" s="185"/>
      <c r="C93" s="174"/>
      <c r="D93" s="174"/>
      <c r="F93" s="169"/>
      <c r="G93" s="170"/>
      <c r="H93" s="170"/>
      <c r="I93" s="170"/>
      <c r="J93" s="170"/>
      <c r="K93" s="170"/>
      <c r="L93" s="170"/>
      <c r="M93" s="170"/>
    </row>
    <row r="94" spans="1:14" ht="19.350000000000001" customHeight="1">
      <c r="A94" s="177"/>
      <c r="B94" s="185"/>
      <c r="C94" s="174"/>
      <c r="D94" s="174"/>
      <c r="F94" s="169"/>
      <c r="G94" s="170"/>
      <c r="H94" s="170"/>
      <c r="I94" s="170"/>
      <c r="J94" s="170"/>
      <c r="K94" s="170"/>
      <c r="L94" s="170"/>
      <c r="M94" s="170"/>
    </row>
    <row r="95" spans="1:14" ht="19.350000000000001" customHeight="1">
      <c r="A95" s="177"/>
      <c r="B95" s="174"/>
      <c r="C95" s="174"/>
      <c r="D95" s="174"/>
      <c r="F95" s="169"/>
      <c r="G95" s="170"/>
      <c r="H95" s="170"/>
      <c r="I95" s="170"/>
      <c r="J95" s="170"/>
      <c r="K95" s="170"/>
      <c r="L95" s="170"/>
      <c r="M95" s="170"/>
    </row>
    <row r="96" spans="1:14" ht="19.350000000000001" customHeight="1">
      <c r="A96" s="2"/>
      <c r="B96" s="172"/>
      <c r="C96" s="174"/>
      <c r="D96" s="172"/>
      <c r="F96" s="169"/>
      <c r="G96" s="170"/>
      <c r="H96" s="170"/>
      <c r="I96" s="170"/>
      <c r="J96" s="170"/>
      <c r="K96" s="170"/>
      <c r="L96" s="170"/>
      <c r="M96" s="170"/>
      <c r="N96" s="169"/>
    </row>
    <row r="97" spans="1:14" ht="19.350000000000001" customHeight="1">
      <c r="B97" s="171"/>
      <c r="C97" s="174"/>
      <c r="D97" s="174"/>
      <c r="F97" s="169"/>
      <c r="G97" s="170"/>
      <c r="H97" s="170"/>
      <c r="I97" s="170"/>
      <c r="J97" s="170"/>
      <c r="K97" s="170"/>
      <c r="L97" s="170"/>
      <c r="M97" s="170"/>
      <c r="N97" s="169"/>
    </row>
    <row r="98" spans="1:14" ht="19.350000000000001" customHeight="1">
      <c r="A98" s="177"/>
      <c r="B98" s="171"/>
      <c r="C98" s="174"/>
      <c r="D98" s="174"/>
      <c r="F98" s="169"/>
      <c r="G98" s="170"/>
      <c r="H98" s="170"/>
      <c r="I98" s="170"/>
      <c r="J98" s="170"/>
      <c r="K98" s="170"/>
      <c r="L98" s="170"/>
      <c r="M98" s="170"/>
      <c r="N98" s="169"/>
    </row>
    <row r="99" spans="1:14" ht="19.350000000000001" customHeight="1">
      <c r="A99" s="177"/>
      <c r="B99" s="171"/>
      <c r="C99" s="174"/>
      <c r="D99" s="174"/>
      <c r="F99" s="169"/>
      <c r="G99" s="170"/>
      <c r="H99" s="170"/>
      <c r="I99" s="170"/>
      <c r="J99" s="170"/>
      <c r="K99" s="170"/>
      <c r="L99" s="170"/>
      <c r="M99" s="170"/>
      <c r="N99" s="169"/>
    </row>
    <row r="100" spans="1:14" ht="19.350000000000001" customHeight="1">
      <c r="A100" s="191"/>
      <c r="B100" s="171"/>
      <c r="C100" s="174"/>
      <c r="D100" s="174"/>
      <c r="F100" s="169"/>
      <c r="G100" s="170"/>
      <c r="H100" s="170"/>
      <c r="I100" s="170"/>
      <c r="J100" s="170"/>
      <c r="K100" s="170"/>
      <c r="L100" s="170"/>
      <c r="M100" s="170"/>
      <c r="N100" s="169"/>
    </row>
    <row r="101" spans="1:14" ht="19.350000000000001" customHeight="1">
      <c r="A101" s="2"/>
      <c r="B101" s="171"/>
      <c r="C101" s="174"/>
      <c r="D101" s="172"/>
      <c r="E101" s="170"/>
      <c r="F101" s="169"/>
      <c r="G101" s="170"/>
      <c r="H101" s="170"/>
      <c r="I101" s="170"/>
      <c r="J101" s="170"/>
      <c r="K101" s="170"/>
      <c r="L101" s="170"/>
      <c r="M101" s="170"/>
      <c r="N101" s="169"/>
    </row>
    <row r="102" spans="1:14" ht="19.350000000000001" customHeight="1">
      <c r="A102" s="2"/>
      <c r="B102" s="171"/>
      <c r="C102" s="185"/>
      <c r="D102" s="172"/>
      <c r="E102" s="170"/>
      <c r="F102" s="169"/>
      <c r="G102" s="170"/>
      <c r="H102" s="170"/>
      <c r="I102" s="170"/>
      <c r="J102" s="170"/>
      <c r="K102" s="170"/>
      <c r="L102" s="184"/>
      <c r="M102" s="170"/>
      <c r="N102" s="169"/>
    </row>
    <row r="103" spans="1:14" ht="19.350000000000001" customHeight="1">
      <c r="A103" s="2"/>
      <c r="B103" s="168"/>
      <c r="C103" s="168"/>
      <c r="D103" s="168"/>
      <c r="E103" s="170"/>
      <c r="F103" s="169"/>
      <c r="G103" s="170"/>
      <c r="H103" s="170"/>
      <c r="I103" s="170"/>
      <c r="J103" s="170"/>
      <c r="K103" s="170"/>
      <c r="L103" s="170"/>
      <c r="M103" s="170"/>
      <c r="N103" s="169"/>
    </row>
    <row r="104" spans="1:14" ht="19.350000000000001" customHeight="1">
      <c r="A104" s="2"/>
      <c r="B104" s="172"/>
      <c r="C104" s="174"/>
      <c r="D104" s="172"/>
      <c r="E104" s="170"/>
      <c r="F104" s="169"/>
      <c r="G104" s="170"/>
      <c r="H104" s="170"/>
      <c r="I104" s="170"/>
      <c r="J104" s="170"/>
      <c r="K104" s="170"/>
      <c r="L104" s="170"/>
      <c r="M104" s="170"/>
      <c r="N104" s="169"/>
    </row>
    <row r="105" spans="1:14" ht="19.350000000000001" customHeight="1">
      <c r="A105" s="179"/>
      <c r="B105" s="174"/>
      <c r="C105" s="174"/>
      <c r="D105" s="174"/>
      <c r="E105" s="170"/>
      <c r="F105" s="169"/>
      <c r="G105" s="170"/>
      <c r="H105" s="170"/>
      <c r="I105" s="170"/>
      <c r="J105" s="170"/>
      <c r="K105" s="170"/>
      <c r="L105" s="170"/>
      <c r="M105" s="170"/>
      <c r="N105" s="169"/>
    </row>
    <row r="106" spans="1:14" ht="19.350000000000001" customHeight="1">
      <c r="A106" s="179"/>
      <c r="B106" s="168"/>
      <c r="C106" s="187"/>
      <c r="D106" s="172"/>
      <c r="E106" s="170"/>
      <c r="F106" s="169"/>
      <c r="G106" s="170"/>
      <c r="H106" s="170"/>
      <c r="I106" s="170"/>
      <c r="J106" s="170"/>
      <c r="K106" s="170"/>
      <c r="L106" s="170"/>
      <c r="M106" s="170"/>
      <c r="N106" s="169"/>
    </row>
    <row r="107" spans="1:14" ht="19.350000000000001" customHeight="1">
      <c r="A107" s="167"/>
      <c r="B107" s="188"/>
      <c r="C107" s="187"/>
      <c r="D107" s="172"/>
      <c r="F107" s="169"/>
      <c r="G107" s="170"/>
      <c r="H107" s="170"/>
      <c r="I107" s="170"/>
      <c r="J107" s="170"/>
      <c r="K107" s="170"/>
      <c r="L107" s="170"/>
      <c r="M107" s="170"/>
      <c r="N107" s="169"/>
    </row>
    <row r="108" spans="1:14" ht="19.350000000000001" customHeight="1">
      <c r="A108" s="167"/>
      <c r="B108" s="174"/>
      <c r="C108" s="174"/>
      <c r="D108" s="174"/>
      <c r="F108" s="169"/>
      <c r="G108" s="170"/>
      <c r="H108" s="170"/>
      <c r="I108" s="170"/>
      <c r="J108" s="170"/>
      <c r="K108" s="170"/>
      <c r="L108" s="170"/>
      <c r="M108" s="170"/>
      <c r="N108" s="169"/>
    </row>
    <row r="109" spans="1:14" ht="19.350000000000001" customHeight="1">
      <c r="B109" s="174"/>
      <c r="C109" s="174"/>
      <c r="D109" s="174"/>
      <c r="F109" s="169"/>
      <c r="G109" s="170"/>
      <c r="H109" s="170"/>
      <c r="I109" s="170"/>
      <c r="J109" s="170"/>
      <c r="K109" s="170"/>
      <c r="L109" s="170"/>
      <c r="M109" s="170"/>
      <c r="N109" s="169"/>
    </row>
    <row r="110" spans="1:14" ht="19.350000000000001" customHeight="1">
      <c r="B110" s="174"/>
      <c r="C110" s="174"/>
      <c r="D110" s="174"/>
      <c r="F110" s="169"/>
      <c r="G110" s="170"/>
      <c r="H110" s="170"/>
      <c r="I110" s="170"/>
      <c r="J110" s="170"/>
      <c r="K110" s="170"/>
      <c r="L110" s="170"/>
      <c r="M110" s="170"/>
      <c r="N110" s="169"/>
    </row>
    <row r="111" spans="1:14" ht="19.350000000000001" customHeight="1">
      <c r="A111" s="548"/>
      <c r="B111" s="182"/>
      <c r="C111" s="182"/>
      <c r="D111" s="172"/>
      <c r="E111" s="170"/>
      <c r="F111" s="169"/>
      <c r="G111" s="170"/>
      <c r="H111" s="170"/>
      <c r="I111" s="170"/>
      <c r="J111" s="170"/>
      <c r="K111" s="170"/>
      <c r="L111" s="184"/>
      <c r="M111" s="170"/>
      <c r="N111" s="169"/>
    </row>
    <row r="112" spans="1:14" ht="19.350000000000001" customHeight="1">
      <c r="A112" s="175"/>
      <c r="B112" s="171"/>
      <c r="C112" s="174"/>
      <c r="D112" s="174"/>
      <c r="F112" s="169"/>
      <c r="G112" s="170"/>
      <c r="H112" s="170"/>
      <c r="I112" s="170"/>
      <c r="J112" s="170"/>
      <c r="K112" s="170"/>
      <c r="L112" s="170"/>
      <c r="M112" s="170"/>
    </row>
    <row r="113" spans="1:14" ht="19.350000000000001" customHeight="1">
      <c r="A113" s="175"/>
      <c r="B113" s="171"/>
      <c r="C113" s="185"/>
      <c r="D113" s="178"/>
      <c r="F113" s="169"/>
      <c r="G113" s="170"/>
      <c r="H113" s="170"/>
      <c r="I113" s="170"/>
      <c r="J113" s="170"/>
      <c r="K113" s="170"/>
      <c r="L113" s="170"/>
      <c r="M113" s="170"/>
    </row>
    <row r="114" spans="1:14" ht="19.350000000000001" customHeight="1">
      <c r="A114" s="175"/>
      <c r="B114" s="171"/>
      <c r="C114" s="185"/>
      <c r="D114" s="178"/>
      <c r="F114" s="169"/>
      <c r="G114" s="170"/>
      <c r="H114" s="170"/>
      <c r="I114" s="170"/>
      <c r="J114" s="170"/>
      <c r="K114" s="170"/>
      <c r="L114" s="184"/>
      <c r="M114" s="170"/>
    </row>
    <row r="115" spans="1:14" ht="19.350000000000001" customHeight="1">
      <c r="A115" s="175"/>
      <c r="B115" s="168"/>
      <c r="C115" s="168"/>
      <c r="D115" s="168"/>
      <c r="F115" s="169"/>
      <c r="G115" s="170"/>
      <c r="H115" s="170"/>
      <c r="I115" s="170"/>
      <c r="J115" s="170"/>
      <c r="K115" s="170"/>
      <c r="L115" s="170"/>
      <c r="M115" s="170"/>
    </row>
    <row r="116" spans="1:14" ht="19.350000000000001" customHeight="1">
      <c r="A116" s="173"/>
      <c r="B116" s="168"/>
      <c r="C116" s="168"/>
      <c r="D116" s="172"/>
      <c r="F116" s="169"/>
      <c r="G116" s="170"/>
      <c r="H116" s="170"/>
      <c r="I116" s="170"/>
      <c r="J116" s="170"/>
      <c r="K116" s="170"/>
      <c r="L116" s="184"/>
      <c r="M116" s="170"/>
    </row>
    <row r="117" spans="1:14" ht="19.350000000000001" customHeight="1">
      <c r="A117" s="177"/>
      <c r="B117" s="185"/>
      <c r="C117" s="174"/>
      <c r="D117" s="174"/>
      <c r="F117" s="169"/>
      <c r="G117" s="170"/>
      <c r="H117" s="170"/>
      <c r="I117" s="170"/>
      <c r="J117" s="170"/>
      <c r="K117" s="170"/>
      <c r="L117" s="170"/>
      <c r="M117" s="170"/>
    </row>
    <row r="118" spans="1:14" ht="19.350000000000001" customHeight="1">
      <c r="A118" s="177"/>
      <c r="B118" s="185"/>
      <c r="C118" s="174"/>
      <c r="D118" s="174"/>
      <c r="F118" s="169"/>
      <c r="G118" s="170"/>
      <c r="H118" s="170"/>
      <c r="I118" s="170"/>
      <c r="J118" s="170"/>
      <c r="K118" s="170"/>
      <c r="L118" s="170"/>
      <c r="M118" s="170"/>
    </row>
    <row r="119" spans="1:14" ht="19.350000000000001" customHeight="1">
      <c r="A119" s="177"/>
      <c r="B119" s="185"/>
      <c r="C119" s="174"/>
      <c r="D119" s="174"/>
      <c r="F119" s="169"/>
      <c r="G119" s="170"/>
      <c r="H119" s="170"/>
      <c r="I119" s="170"/>
      <c r="J119" s="170"/>
      <c r="K119" s="170"/>
      <c r="L119" s="184"/>
      <c r="M119" s="170"/>
    </row>
    <row r="120" spans="1:14" ht="19.350000000000001" customHeight="1">
      <c r="A120" s="175"/>
      <c r="B120" s="185"/>
      <c r="C120" s="174"/>
      <c r="D120" s="174"/>
      <c r="F120" s="169"/>
      <c r="G120" s="170"/>
      <c r="H120" s="170"/>
      <c r="I120" s="170"/>
      <c r="J120" s="170"/>
      <c r="K120" s="170"/>
      <c r="L120" s="170"/>
      <c r="M120" s="170"/>
    </row>
    <row r="121" spans="1:14" ht="19.350000000000001" customHeight="1">
      <c r="A121" s="177"/>
      <c r="B121" s="185"/>
      <c r="C121" s="174"/>
      <c r="D121" s="174"/>
      <c r="F121" s="169"/>
      <c r="G121" s="170"/>
      <c r="H121" s="170"/>
      <c r="I121" s="170"/>
      <c r="J121" s="170"/>
      <c r="K121" s="170"/>
      <c r="L121" s="170"/>
      <c r="M121" s="170"/>
    </row>
    <row r="122" spans="1:14" ht="19.350000000000001" customHeight="1">
      <c r="A122" s="177"/>
      <c r="B122" s="185"/>
      <c r="C122" s="174"/>
      <c r="D122" s="174"/>
      <c r="F122" s="169"/>
      <c r="G122" s="170"/>
      <c r="H122" s="170"/>
      <c r="I122" s="170"/>
      <c r="J122" s="170"/>
      <c r="K122" s="170"/>
      <c r="L122" s="170"/>
      <c r="M122" s="170"/>
    </row>
    <row r="123" spans="1:14" ht="19.350000000000001" customHeight="1">
      <c r="A123" s="177"/>
      <c r="B123" s="174"/>
      <c r="C123" s="174"/>
      <c r="D123" s="174"/>
      <c r="F123" s="169"/>
      <c r="G123" s="170"/>
      <c r="H123" s="170"/>
      <c r="I123" s="170"/>
      <c r="J123" s="170"/>
      <c r="K123" s="170"/>
      <c r="L123" s="170"/>
      <c r="M123" s="170"/>
    </row>
    <row r="124" spans="1:14" ht="19.350000000000001" customHeight="1">
      <c r="A124" s="2"/>
      <c r="B124" s="172"/>
      <c r="C124" s="174"/>
      <c r="D124" s="172"/>
      <c r="F124" s="169"/>
      <c r="G124" s="170"/>
      <c r="H124" s="170"/>
      <c r="I124" s="170"/>
      <c r="J124" s="170"/>
      <c r="K124" s="170"/>
      <c r="L124" s="170"/>
      <c r="M124" s="170"/>
      <c r="N124" s="169"/>
    </row>
    <row r="125" spans="1:14" ht="19.350000000000001" customHeight="1">
      <c r="B125" s="171"/>
      <c r="C125" s="174"/>
      <c r="D125" s="174"/>
      <c r="F125" s="169"/>
      <c r="G125" s="170"/>
      <c r="H125" s="170"/>
      <c r="I125" s="170"/>
      <c r="J125" s="170"/>
      <c r="K125" s="170"/>
      <c r="L125" s="170"/>
      <c r="M125" s="170"/>
      <c r="N125" s="169"/>
    </row>
    <row r="126" spans="1:14" ht="19.350000000000001" customHeight="1">
      <c r="A126" s="177"/>
      <c r="B126" s="171"/>
      <c r="C126" s="174"/>
      <c r="D126" s="174"/>
      <c r="F126" s="169"/>
      <c r="G126" s="170"/>
      <c r="H126" s="170"/>
      <c r="I126" s="170"/>
      <c r="J126" s="170"/>
      <c r="K126" s="170"/>
      <c r="L126" s="170"/>
      <c r="M126" s="170"/>
      <c r="N126" s="169"/>
    </row>
    <row r="127" spans="1:14" ht="19.350000000000001" customHeight="1">
      <c r="A127" s="177"/>
      <c r="B127" s="171"/>
      <c r="C127" s="174"/>
      <c r="D127" s="174"/>
      <c r="F127" s="169"/>
      <c r="G127" s="170"/>
      <c r="H127" s="170"/>
      <c r="I127" s="170"/>
      <c r="J127" s="170"/>
      <c r="K127" s="170"/>
      <c r="L127" s="170"/>
      <c r="M127" s="170"/>
      <c r="N127" s="169"/>
    </row>
    <row r="128" spans="1:14" ht="19.350000000000001" customHeight="1">
      <c r="A128" s="191"/>
      <c r="B128" s="171"/>
      <c r="C128" s="174"/>
      <c r="D128" s="174"/>
      <c r="F128" s="169"/>
      <c r="G128" s="170"/>
      <c r="H128" s="170"/>
      <c r="I128" s="170"/>
      <c r="J128" s="170"/>
      <c r="K128" s="170"/>
      <c r="L128" s="170"/>
      <c r="M128" s="170"/>
      <c r="N128" s="169"/>
    </row>
    <row r="129" spans="1:14" ht="19.350000000000001" customHeight="1">
      <c r="A129" s="2"/>
      <c r="B129" s="171"/>
      <c r="C129" s="174"/>
      <c r="D129" s="172"/>
      <c r="E129" s="170"/>
      <c r="F129" s="169"/>
      <c r="G129" s="170"/>
      <c r="H129" s="170"/>
      <c r="I129" s="170"/>
      <c r="J129" s="170"/>
      <c r="K129" s="170"/>
      <c r="L129" s="170"/>
      <c r="M129" s="170"/>
      <c r="N129" s="169"/>
    </row>
    <row r="130" spans="1:14" ht="19.350000000000001" customHeight="1">
      <c r="A130" s="2"/>
      <c r="B130" s="171"/>
      <c r="C130" s="185"/>
      <c r="D130" s="172"/>
      <c r="E130" s="170"/>
      <c r="F130" s="169"/>
      <c r="G130" s="170"/>
      <c r="H130" s="170"/>
      <c r="I130" s="170"/>
      <c r="J130" s="170"/>
      <c r="K130" s="170"/>
      <c r="L130" s="184"/>
      <c r="M130" s="170"/>
      <c r="N130" s="169"/>
    </row>
    <row r="131" spans="1:14" ht="19.350000000000001" customHeight="1">
      <c r="A131" s="2"/>
      <c r="B131" s="168"/>
      <c r="C131" s="168"/>
      <c r="D131" s="168"/>
      <c r="E131" s="170"/>
      <c r="F131" s="169"/>
      <c r="G131" s="170"/>
      <c r="H131" s="170"/>
      <c r="I131" s="170"/>
      <c r="J131" s="170"/>
      <c r="K131" s="170"/>
      <c r="L131" s="170"/>
      <c r="M131" s="170"/>
      <c r="N131" s="169"/>
    </row>
    <row r="132" spans="1:14" ht="19.350000000000001" customHeight="1">
      <c r="A132" s="2"/>
      <c r="B132" s="172"/>
      <c r="C132" s="174"/>
      <c r="D132" s="172"/>
      <c r="E132" s="170"/>
      <c r="F132" s="169"/>
      <c r="G132" s="170"/>
      <c r="H132" s="170"/>
      <c r="I132" s="170"/>
      <c r="J132" s="170"/>
      <c r="K132" s="170"/>
      <c r="L132" s="170"/>
      <c r="M132" s="170"/>
      <c r="N132" s="169"/>
    </row>
    <row r="133" spans="1:14" ht="19.350000000000001" customHeight="1">
      <c r="A133" s="179"/>
      <c r="B133" s="174"/>
      <c r="C133" s="174"/>
      <c r="D133" s="174"/>
      <c r="E133" s="170"/>
      <c r="F133" s="169"/>
      <c r="G133" s="170"/>
      <c r="H133" s="170"/>
      <c r="I133" s="170"/>
      <c r="J133" s="170"/>
      <c r="K133" s="170"/>
      <c r="L133" s="170"/>
      <c r="M133" s="170"/>
      <c r="N133" s="169"/>
    </row>
    <row r="134" spans="1:14" ht="19.350000000000001" customHeight="1">
      <c r="A134" s="179"/>
      <c r="B134" s="168"/>
      <c r="C134" s="187"/>
      <c r="D134" s="172"/>
      <c r="E134" s="170"/>
      <c r="F134" s="169"/>
      <c r="G134" s="170"/>
      <c r="H134" s="170"/>
      <c r="I134" s="170"/>
      <c r="J134" s="170"/>
      <c r="K134" s="170"/>
      <c r="L134" s="170"/>
      <c r="M134" s="170"/>
      <c r="N134" s="169"/>
    </row>
    <row r="135" spans="1:14" ht="19.350000000000001" customHeight="1">
      <c r="A135" s="167"/>
      <c r="B135" s="188"/>
      <c r="C135" s="187"/>
      <c r="D135" s="172"/>
      <c r="F135" s="169"/>
      <c r="G135" s="170"/>
      <c r="H135" s="170"/>
      <c r="I135" s="170"/>
      <c r="J135" s="170"/>
      <c r="K135" s="170"/>
      <c r="L135" s="170"/>
      <c r="M135" s="170"/>
      <c r="N135" s="169"/>
    </row>
    <row r="136" spans="1:14" ht="19.350000000000001" customHeight="1">
      <c r="A136" s="167"/>
      <c r="B136" s="174"/>
      <c r="C136" s="174"/>
      <c r="D136" s="174"/>
      <c r="F136" s="169"/>
      <c r="G136" s="170"/>
      <c r="H136" s="170"/>
      <c r="I136" s="170"/>
      <c r="J136" s="170"/>
      <c r="K136" s="170"/>
      <c r="L136" s="170"/>
      <c r="M136" s="170"/>
      <c r="N136" s="169"/>
    </row>
    <row r="137" spans="1:14" ht="19.350000000000001" customHeight="1">
      <c r="B137" s="174"/>
      <c r="C137" s="174"/>
      <c r="D137" s="174"/>
      <c r="F137" s="169"/>
      <c r="G137" s="170"/>
      <c r="H137" s="170"/>
      <c r="I137" s="170"/>
      <c r="J137" s="170"/>
      <c r="K137" s="170"/>
      <c r="L137" s="170"/>
      <c r="M137" s="170"/>
      <c r="N137" s="169"/>
    </row>
    <row r="138" spans="1:14" ht="19.350000000000001" customHeight="1">
      <c r="B138" s="174"/>
      <c r="C138" s="174"/>
      <c r="D138" s="174"/>
      <c r="F138" s="169"/>
      <c r="G138" s="170"/>
      <c r="H138" s="170"/>
      <c r="I138" s="170"/>
      <c r="J138" s="170"/>
      <c r="K138" s="170"/>
      <c r="L138" s="170"/>
      <c r="M138" s="170"/>
      <c r="N138" s="169"/>
    </row>
    <row r="139" spans="1:14" ht="19.350000000000001" customHeight="1">
      <c r="A139" s="548"/>
      <c r="B139" s="182"/>
      <c r="C139" s="182"/>
      <c r="D139" s="172"/>
      <c r="E139" s="170"/>
      <c r="F139" s="169"/>
      <c r="G139" s="170"/>
      <c r="H139" s="170"/>
      <c r="I139" s="170"/>
      <c r="J139" s="170"/>
      <c r="K139" s="170"/>
      <c r="L139" s="184"/>
      <c r="M139" s="170"/>
      <c r="N139" s="169"/>
    </row>
    <row r="140" spans="1:14" ht="19.350000000000001" customHeight="1">
      <c r="A140" s="175"/>
      <c r="B140" s="171"/>
      <c r="C140" s="174"/>
      <c r="D140" s="174"/>
      <c r="F140" s="169"/>
      <c r="G140" s="170"/>
      <c r="H140" s="170"/>
      <c r="I140" s="170"/>
      <c r="J140" s="170"/>
      <c r="K140" s="170"/>
      <c r="L140" s="170"/>
      <c r="M140" s="170"/>
    </row>
    <row r="141" spans="1:14" ht="19.350000000000001" customHeight="1">
      <c r="A141" s="175"/>
      <c r="B141" s="171"/>
      <c r="C141" s="185"/>
      <c r="D141" s="178"/>
      <c r="F141" s="169"/>
      <c r="G141" s="170"/>
      <c r="H141" s="170"/>
      <c r="I141" s="170"/>
      <c r="J141" s="170"/>
      <c r="K141" s="170"/>
      <c r="L141" s="170"/>
      <c r="M141" s="170"/>
    </row>
    <row r="142" spans="1:14" ht="19.350000000000001" customHeight="1">
      <c r="A142" s="175"/>
      <c r="B142" s="171"/>
      <c r="C142" s="185"/>
      <c r="D142" s="178"/>
      <c r="F142" s="169"/>
      <c r="G142" s="170"/>
      <c r="H142" s="170"/>
      <c r="I142" s="170"/>
      <c r="J142" s="170"/>
      <c r="K142" s="170"/>
      <c r="L142" s="184"/>
      <c r="M142" s="170"/>
    </row>
    <row r="143" spans="1:14" ht="19.350000000000001" customHeight="1">
      <c r="A143" s="175"/>
      <c r="B143" s="168"/>
      <c r="C143" s="168"/>
      <c r="D143" s="168"/>
      <c r="F143" s="169"/>
      <c r="G143" s="170"/>
      <c r="H143" s="170"/>
      <c r="I143" s="170"/>
      <c r="J143" s="170"/>
      <c r="K143" s="170"/>
      <c r="L143" s="170"/>
      <c r="M143" s="170"/>
    </row>
    <row r="144" spans="1:14" ht="19.350000000000001" customHeight="1">
      <c r="A144" s="173"/>
      <c r="B144" s="168"/>
      <c r="C144" s="168"/>
      <c r="D144" s="172"/>
      <c r="F144" s="169"/>
      <c r="G144" s="170"/>
      <c r="H144" s="170"/>
      <c r="I144" s="170"/>
      <c r="J144" s="170"/>
      <c r="K144" s="170"/>
      <c r="L144" s="184"/>
      <c r="M144" s="170"/>
    </row>
    <row r="145" spans="1:14" ht="19.350000000000001" customHeight="1">
      <c r="A145" s="177"/>
      <c r="B145" s="185"/>
      <c r="C145" s="174"/>
      <c r="D145" s="174"/>
      <c r="F145" s="169"/>
      <c r="G145" s="170"/>
      <c r="H145" s="170"/>
      <c r="I145" s="170"/>
      <c r="J145" s="170"/>
      <c r="K145" s="170"/>
      <c r="L145" s="170"/>
      <c r="M145" s="170"/>
    </row>
    <row r="146" spans="1:14" ht="19.350000000000001" customHeight="1">
      <c r="A146" s="177"/>
      <c r="B146" s="185"/>
      <c r="C146" s="174"/>
      <c r="D146" s="174"/>
      <c r="F146" s="169"/>
      <c r="G146" s="170"/>
      <c r="H146" s="170"/>
      <c r="I146" s="170"/>
      <c r="J146" s="170"/>
      <c r="K146" s="170"/>
      <c r="L146" s="170"/>
      <c r="M146" s="170"/>
    </row>
    <row r="147" spans="1:14" ht="19.350000000000001" customHeight="1">
      <c r="A147" s="177"/>
      <c r="B147" s="185"/>
      <c r="C147" s="174"/>
      <c r="D147" s="174"/>
      <c r="F147" s="169"/>
      <c r="G147" s="170"/>
      <c r="H147" s="170"/>
      <c r="I147" s="170"/>
      <c r="J147" s="170"/>
      <c r="K147" s="170"/>
      <c r="L147" s="184"/>
      <c r="M147" s="170"/>
    </row>
    <row r="148" spans="1:14" ht="19.350000000000001" customHeight="1">
      <c r="A148" s="175"/>
      <c r="B148" s="185"/>
      <c r="C148" s="174"/>
      <c r="D148" s="174"/>
      <c r="F148" s="169"/>
      <c r="G148" s="170"/>
      <c r="H148" s="170"/>
      <c r="I148" s="170"/>
      <c r="J148" s="170"/>
      <c r="K148" s="170"/>
      <c r="L148" s="170"/>
      <c r="M148" s="170"/>
    </row>
    <row r="149" spans="1:14" ht="19.350000000000001" customHeight="1">
      <c r="A149" s="177"/>
      <c r="B149" s="185"/>
      <c r="C149" s="174"/>
      <c r="D149" s="174"/>
      <c r="F149" s="169"/>
      <c r="G149" s="170"/>
      <c r="H149" s="170"/>
      <c r="I149" s="170"/>
      <c r="J149" s="170"/>
      <c r="K149" s="170"/>
      <c r="L149" s="170"/>
      <c r="M149" s="170"/>
    </row>
    <row r="150" spans="1:14" ht="19.350000000000001" customHeight="1">
      <c r="A150" s="177"/>
      <c r="B150" s="185"/>
      <c r="C150" s="174"/>
      <c r="D150" s="174"/>
      <c r="F150" s="169"/>
      <c r="G150" s="170"/>
      <c r="H150" s="170"/>
      <c r="I150" s="170"/>
      <c r="J150" s="170"/>
      <c r="K150" s="170"/>
      <c r="L150" s="170"/>
      <c r="M150" s="170"/>
    </row>
    <row r="151" spans="1:14" ht="19.350000000000001" customHeight="1">
      <c r="A151" s="177"/>
      <c r="B151" s="174"/>
      <c r="C151" s="174"/>
      <c r="D151" s="174"/>
      <c r="F151" s="169"/>
      <c r="G151" s="170"/>
      <c r="H151" s="170"/>
      <c r="I151" s="170"/>
      <c r="J151" s="170"/>
      <c r="K151" s="170"/>
      <c r="L151" s="170"/>
      <c r="M151" s="170"/>
    </row>
    <row r="152" spans="1:14" ht="19.350000000000001" customHeight="1">
      <c r="A152" s="2"/>
      <c r="B152" s="172"/>
      <c r="C152" s="174"/>
      <c r="D152" s="172"/>
      <c r="F152" s="169"/>
      <c r="G152" s="170"/>
      <c r="H152" s="170"/>
      <c r="I152" s="170"/>
      <c r="J152" s="170"/>
      <c r="K152" s="170"/>
      <c r="L152" s="170"/>
      <c r="M152" s="170"/>
      <c r="N152" s="169"/>
    </row>
    <row r="153" spans="1:14" ht="19.350000000000001" customHeight="1">
      <c r="B153" s="171"/>
      <c r="C153" s="174"/>
      <c r="D153" s="174"/>
      <c r="F153" s="169"/>
      <c r="G153" s="170"/>
      <c r="H153" s="170"/>
      <c r="I153" s="170"/>
      <c r="J153" s="170"/>
      <c r="K153" s="170"/>
      <c r="L153" s="170"/>
      <c r="M153" s="170"/>
      <c r="N153" s="169"/>
    </row>
    <row r="154" spans="1:14" ht="19.350000000000001" customHeight="1">
      <c r="A154" s="177"/>
      <c r="B154" s="171"/>
      <c r="C154" s="174"/>
      <c r="D154" s="174"/>
      <c r="F154" s="169"/>
      <c r="G154" s="170"/>
      <c r="H154" s="170"/>
      <c r="I154" s="170"/>
      <c r="J154" s="170"/>
      <c r="K154" s="170"/>
      <c r="L154" s="170"/>
      <c r="M154" s="170"/>
      <c r="N154" s="169"/>
    </row>
    <row r="155" spans="1:14" ht="19.350000000000001" customHeight="1">
      <c r="A155" s="177"/>
      <c r="B155" s="171"/>
      <c r="C155" s="174"/>
      <c r="D155" s="174"/>
      <c r="F155" s="169"/>
      <c r="G155" s="170"/>
      <c r="H155" s="170"/>
      <c r="I155" s="170"/>
      <c r="J155" s="170"/>
      <c r="K155" s="170"/>
      <c r="L155" s="170"/>
      <c r="M155" s="170"/>
      <c r="N155" s="169"/>
    </row>
    <row r="156" spans="1:14" ht="19.350000000000001" customHeight="1">
      <c r="A156" s="191"/>
      <c r="B156" s="171"/>
      <c r="C156" s="174"/>
      <c r="D156" s="174"/>
      <c r="F156" s="169"/>
      <c r="G156" s="170"/>
      <c r="H156" s="170"/>
      <c r="I156" s="170"/>
      <c r="J156" s="170"/>
      <c r="K156" s="170"/>
      <c r="L156" s="170"/>
      <c r="M156" s="170"/>
      <c r="N156" s="169"/>
    </row>
    <row r="157" spans="1:14" ht="19.350000000000001" customHeight="1">
      <c r="A157" s="2"/>
      <c r="B157" s="171"/>
      <c r="C157" s="174"/>
      <c r="D157" s="172"/>
      <c r="E157" s="170"/>
      <c r="F157" s="169"/>
      <c r="G157" s="170"/>
      <c r="H157" s="170"/>
      <c r="I157" s="170"/>
      <c r="J157" s="170"/>
      <c r="K157" s="170"/>
      <c r="L157" s="170"/>
      <c r="M157" s="170"/>
      <c r="N157" s="169"/>
    </row>
    <row r="158" spans="1:14" ht="19.350000000000001" customHeight="1">
      <c r="A158" s="2"/>
      <c r="B158" s="171"/>
      <c r="C158" s="185"/>
      <c r="D158" s="172"/>
      <c r="E158" s="170"/>
      <c r="F158" s="169"/>
      <c r="G158" s="170"/>
      <c r="H158" s="170"/>
      <c r="I158" s="170"/>
      <c r="J158" s="170"/>
      <c r="K158" s="170"/>
      <c r="L158" s="184"/>
      <c r="M158" s="170"/>
      <c r="N158" s="169"/>
    </row>
    <row r="159" spans="1:14" ht="19.350000000000001" customHeight="1">
      <c r="A159" s="2"/>
      <c r="B159" s="168"/>
      <c r="C159" s="168"/>
      <c r="D159" s="168"/>
      <c r="E159" s="170"/>
      <c r="F159" s="169"/>
      <c r="G159" s="170"/>
      <c r="H159" s="170"/>
      <c r="I159" s="170"/>
      <c r="J159" s="170"/>
      <c r="K159" s="170"/>
      <c r="L159" s="170"/>
      <c r="M159" s="170"/>
      <c r="N159" s="169"/>
    </row>
    <row r="160" spans="1:14" ht="19.350000000000001" customHeight="1">
      <c r="A160" s="2"/>
      <c r="B160" s="172"/>
      <c r="C160" s="174"/>
      <c r="D160" s="172"/>
      <c r="E160" s="170"/>
      <c r="F160" s="169"/>
      <c r="G160" s="170"/>
      <c r="H160" s="170"/>
      <c r="I160" s="170"/>
      <c r="J160" s="170"/>
      <c r="K160" s="170"/>
      <c r="L160" s="170"/>
      <c r="M160" s="170"/>
      <c r="N160" s="169"/>
    </row>
    <row r="161" spans="1:14" ht="19.350000000000001" customHeight="1">
      <c r="A161" s="179"/>
      <c r="B161" s="174"/>
      <c r="C161" s="174"/>
      <c r="D161" s="174"/>
      <c r="E161" s="170"/>
      <c r="F161" s="169"/>
      <c r="G161" s="170"/>
      <c r="H161" s="170"/>
      <c r="I161" s="170"/>
      <c r="J161" s="170"/>
      <c r="K161" s="170"/>
      <c r="L161" s="170"/>
      <c r="M161" s="170"/>
      <c r="N161" s="169"/>
    </row>
    <row r="162" spans="1:14" ht="19.350000000000001" customHeight="1">
      <c r="A162" s="179"/>
      <c r="B162" s="168"/>
      <c r="C162" s="187"/>
      <c r="D162" s="172"/>
      <c r="E162" s="170"/>
      <c r="F162" s="169"/>
      <c r="G162" s="170"/>
      <c r="H162" s="170"/>
      <c r="I162" s="170"/>
      <c r="J162" s="170"/>
      <c r="K162" s="170"/>
      <c r="L162" s="170"/>
      <c r="M162" s="170"/>
      <c r="N162" s="169"/>
    </row>
    <row r="163" spans="1:14" ht="19.350000000000001" customHeight="1">
      <c r="A163" s="167"/>
      <c r="B163" s="188"/>
      <c r="C163" s="187"/>
      <c r="D163" s="172"/>
      <c r="F163" s="169"/>
      <c r="G163" s="170"/>
      <c r="H163" s="170"/>
      <c r="I163" s="170"/>
      <c r="J163" s="170"/>
      <c r="K163" s="170"/>
      <c r="L163" s="170"/>
      <c r="M163" s="170"/>
      <c r="N163" s="169"/>
    </row>
    <row r="164" spans="1:14" ht="19.350000000000001" customHeight="1">
      <c r="A164" s="167"/>
      <c r="B164" s="174"/>
      <c r="C164" s="174"/>
      <c r="D164" s="174"/>
      <c r="F164" s="169"/>
      <c r="G164" s="170"/>
      <c r="H164" s="170"/>
      <c r="I164" s="170"/>
      <c r="J164" s="170"/>
      <c r="K164" s="170"/>
      <c r="L164" s="170"/>
      <c r="M164" s="170"/>
      <c r="N164" s="169"/>
    </row>
    <row r="165" spans="1:14" ht="19.350000000000001" customHeight="1">
      <c r="B165" s="174"/>
      <c r="C165" s="174"/>
      <c r="D165" s="174"/>
      <c r="F165" s="169"/>
      <c r="G165" s="170"/>
      <c r="H165" s="170"/>
      <c r="I165" s="170"/>
      <c r="J165" s="170"/>
      <c r="K165" s="170"/>
      <c r="L165" s="170"/>
      <c r="M165" s="170"/>
      <c r="N165" s="169"/>
    </row>
    <row r="166" spans="1:14" ht="19.350000000000001" customHeight="1">
      <c r="B166" s="174"/>
      <c r="C166" s="174"/>
      <c r="D166" s="174"/>
      <c r="F166" s="169"/>
      <c r="G166" s="170"/>
      <c r="H166" s="170"/>
      <c r="I166" s="170"/>
      <c r="J166" s="170"/>
      <c r="K166" s="170"/>
      <c r="L166" s="170"/>
      <c r="M166" s="170"/>
      <c r="N166" s="169"/>
    </row>
    <row r="167" spans="1:14" ht="19.350000000000001" customHeight="1">
      <c r="A167" s="548"/>
      <c r="B167" s="182"/>
      <c r="C167" s="182"/>
      <c r="D167" s="172"/>
      <c r="E167" s="170"/>
      <c r="F167" s="169"/>
      <c r="G167" s="170"/>
      <c r="H167" s="170"/>
      <c r="I167" s="170"/>
      <c r="J167" s="170"/>
      <c r="K167" s="170"/>
      <c r="L167" s="184"/>
      <c r="M167" s="170"/>
      <c r="N167" s="169"/>
    </row>
    <row r="168" spans="1:14" ht="19.350000000000001" customHeight="1">
      <c r="A168" s="175"/>
      <c r="B168" s="171"/>
      <c r="C168" s="174"/>
      <c r="D168" s="174"/>
      <c r="F168" s="169"/>
      <c r="G168" s="170"/>
      <c r="H168" s="170"/>
      <c r="I168" s="170"/>
      <c r="J168" s="170"/>
      <c r="K168" s="170"/>
      <c r="L168" s="170"/>
      <c r="M168" s="170"/>
    </row>
    <row r="169" spans="1:14" ht="19.350000000000001" customHeight="1">
      <c r="A169" s="175"/>
      <c r="B169" s="171"/>
      <c r="C169" s="185"/>
      <c r="D169" s="178"/>
      <c r="F169" s="169"/>
      <c r="G169" s="170"/>
      <c r="H169" s="170"/>
      <c r="I169" s="170"/>
      <c r="J169" s="170"/>
      <c r="K169" s="170"/>
      <c r="L169" s="170"/>
      <c r="M169" s="170"/>
    </row>
    <row r="170" spans="1:14" ht="19.350000000000001" customHeight="1">
      <c r="A170" s="175"/>
      <c r="B170" s="171"/>
      <c r="C170" s="185"/>
      <c r="D170" s="178"/>
      <c r="F170" s="169"/>
      <c r="G170" s="170"/>
      <c r="H170" s="170"/>
      <c r="I170" s="170"/>
      <c r="J170" s="170"/>
      <c r="K170" s="170"/>
      <c r="L170" s="184"/>
      <c r="M170" s="170"/>
    </row>
    <row r="171" spans="1:14" ht="19.350000000000001" customHeight="1">
      <c r="A171" s="175"/>
      <c r="B171" s="168"/>
      <c r="C171" s="168"/>
      <c r="D171" s="168"/>
      <c r="F171" s="169"/>
      <c r="G171" s="170"/>
      <c r="H171" s="170"/>
      <c r="I171" s="170"/>
      <c r="J171" s="170"/>
      <c r="K171" s="170"/>
      <c r="L171" s="170"/>
      <c r="M171" s="170"/>
    </row>
    <row r="172" spans="1:14" ht="19.350000000000001" customHeight="1">
      <c r="A172" s="173"/>
      <c r="B172" s="168"/>
      <c r="C172" s="168"/>
      <c r="D172" s="172"/>
      <c r="F172" s="169"/>
      <c r="G172" s="170"/>
      <c r="H172" s="170"/>
      <c r="I172" s="170"/>
      <c r="J172" s="170"/>
      <c r="K172" s="170"/>
      <c r="L172" s="184"/>
      <c r="M172" s="170"/>
    </row>
    <row r="173" spans="1:14" ht="19.350000000000001" customHeight="1">
      <c r="A173" s="177"/>
      <c r="B173" s="185"/>
      <c r="C173" s="174"/>
      <c r="D173" s="174"/>
      <c r="F173" s="169"/>
      <c r="G173" s="170"/>
      <c r="H173" s="170"/>
      <c r="I173" s="170"/>
      <c r="J173" s="170"/>
      <c r="K173" s="170"/>
      <c r="L173" s="170"/>
      <c r="M173" s="170"/>
    </row>
    <row r="174" spans="1:14" ht="19.350000000000001" customHeight="1">
      <c r="A174" s="177"/>
      <c r="B174" s="185"/>
      <c r="C174" s="174"/>
      <c r="D174" s="174"/>
      <c r="F174" s="169"/>
      <c r="G174" s="170"/>
      <c r="H174" s="170"/>
      <c r="I174" s="170"/>
      <c r="J174" s="170"/>
      <c r="K174" s="170"/>
      <c r="L174" s="170"/>
      <c r="M174" s="170"/>
    </row>
    <row r="175" spans="1:14" ht="19.350000000000001" customHeight="1">
      <c r="A175" s="177"/>
      <c r="B175" s="185"/>
      <c r="C175" s="174"/>
      <c r="D175" s="174"/>
      <c r="F175" s="169"/>
      <c r="G175" s="170"/>
      <c r="H175" s="170"/>
      <c r="I175" s="170"/>
      <c r="J175" s="170"/>
      <c r="K175" s="170"/>
      <c r="L175" s="184"/>
      <c r="M175" s="170"/>
    </row>
    <row r="176" spans="1:14" ht="19.350000000000001" customHeight="1">
      <c r="A176" s="175"/>
      <c r="B176" s="185"/>
      <c r="C176" s="174"/>
      <c r="D176" s="174"/>
      <c r="F176" s="169"/>
      <c r="G176" s="170"/>
      <c r="H176" s="170"/>
      <c r="I176" s="170"/>
      <c r="J176" s="170"/>
      <c r="K176" s="170"/>
      <c r="L176" s="170"/>
      <c r="M176" s="170"/>
    </row>
    <row r="177" spans="1:14" ht="19.350000000000001" customHeight="1">
      <c r="A177" s="177"/>
      <c r="B177" s="185"/>
      <c r="C177" s="174"/>
      <c r="D177" s="174"/>
      <c r="F177" s="169"/>
      <c r="G177" s="170"/>
      <c r="H177" s="170"/>
      <c r="I177" s="170"/>
      <c r="J177" s="170"/>
      <c r="K177" s="170"/>
      <c r="L177" s="170"/>
      <c r="M177" s="170"/>
    </row>
    <row r="178" spans="1:14" ht="19.350000000000001" customHeight="1">
      <c r="A178" s="177"/>
      <c r="B178" s="185"/>
      <c r="C178" s="174"/>
      <c r="D178" s="174"/>
      <c r="F178" s="169"/>
      <c r="G178" s="170"/>
      <c r="H178" s="170"/>
      <c r="I178" s="170"/>
      <c r="J178" s="170"/>
      <c r="K178" s="170"/>
      <c r="L178" s="170"/>
      <c r="M178" s="170"/>
    </row>
    <row r="179" spans="1:14" ht="19.350000000000001" customHeight="1">
      <c r="A179" s="177"/>
      <c r="B179" s="174"/>
      <c r="C179" s="174"/>
      <c r="D179" s="174"/>
      <c r="F179" s="169"/>
      <c r="G179" s="170"/>
      <c r="H179" s="170"/>
      <c r="I179" s="170"/>
      <c r="J179" s="170"/>
      <c r="K179" s="170"/>
      <c r="L179" s="170"/>
      <c r="M179" s="170"/>
    </row>
    <row r="180" spans="1:14" ht="19.350000000000001" customHeight="1">
      <c r="A180" s="2"/>
      <c r="B180" s="172"/>
      <c r="C180" s="174"/>
      <c r="D180" s="172"/>
      <c r="F180" s="169"/>
      <c r="G180" s="170"/>
      <c r="H180" s="170"/>
      <c r="I180" s="170"/>
      <c r="J180" s="170"/>
      <c r="K180" s="170"/>
      <c r="L180" s="170"/>
      <c r="M180" s="170"/>
      <c r="N180" s="169"/>
    </row>
    <row r="181" spans="1:14" ht="19.350000000000001" customHeight="1">
      <c r="B181" s="171"/>
      <c r="C181" s="174"/>
      <c r="D181" s="174"/>
      <c r="F181" s="169"/>
      <c r="G181" s="170"/>
      <c r="H181" s="170"/>
      <c r="I181" s="170"/>
      <c r="J181" s="170"/>
      <c r="K181" s="170"/>
      <c r="L181" s="170"/>
      <c r="M181" s="170"/>
      <c r="N181" s="169"/>
    </row>
    <row r="182" spans="1:14" ht="19.350000000000001" customHeight="1">
      <c r="A182" s="177"/>
      <c r="B182" s="171"/>
      <c r="C182" s="174"/>
      <c r="D182" s="174"/>
      <c r="F182" s="169"/>
      <c r="G182" s="170"/>
      <c r="H182" s="170"/>
      <c r="I182" s="170"/>
      <c r="J182" s="170"/>
      <c r="K182" s="170"/>
      <c r="L182" s="170"/>
      <c r="M182" s="170"/>
      <c r="N182" s="169"/>
    </row>
    <row r="183" spans="1:14" ht="19.350000000000001" customHeight="1">
      <c r="A183" s="177"/>
      <c r="B183" s="171"/>
      <c r="C183" s="174"/>
      <c r="D183" s="174"/>
      <c r="F183" s="169"/>
      <c r="G183" s="170"/>
      <c r="H183" s="170"/>
      <c r="I183" s="170"/>
      <c r="J183" s="170"/>
      <c r="K183" s="170"/>
      <c r="L183" s="170"/>
      <c r="M183" s="170"/>
      <c r="N183" s="169"/>
    </row>
    <row r="184" spans="1:14" ht="19.350000000000001" customHeight="1">
      <c r="A184" s="191"/>
      <c r="B184" s="171"/>
      <c r="C184" s="174"/>
      <c r="D184" s="174"/>
      <c r="F184" s="169"/>
      <c r="G184" s="170"/>
      <c r="H184" s="170"/>
      <c r="I184" s="170"/>
      <c r="J184" s="170"/>
      <c r="K184" s="170"/>
      <c r="L184" s="170"/>
      <c r="M184" s="170"/>
      <c r="N184" s="169"/>
    </row>
    <row r="185" spans="1:14" ht="19.350000000000001" customHeight="1">
      <c r="A185" s="2"/>
      <c r="B185" s="171"/>
      <c r="C185" s="174"/>
      <c r="D185" s="172"/>
      <c r="E185" s="170"/>
      <c r="F185" s="169"/>
      <c r="G185" s="170"/>
      <c r="H185" s="170"/>
      <c r="I185" s="170"/>
      <c r="J185" s="170"/>
      <c r="K185" s="170"/>
      <c r="L185" s="170"/>
      <c r="M185" s="170"/>
      <c r="N185" s="169"/>
    </row>
    <row r="186" spans="1:14" ht="19.350000000000001" customHeight="1">
      <c r="A186" s="2"/>
      <c r="B186" s="171"/>
      <c r="C186" s="185"/>
      <c r="D186" s="172"/>
      <c r="E186" s="170"/>
      <c r="F186" s="169"/>
      <c r="G186" s="170"/>
      <c r="H186" s="170"/>
      <c r="I186" s="170"/>
      <c r="J186" s="170"/>
      <c r="K186" s="170"/>
      <c r="L186" s="184"/>
      <c r="M186" s="170"/>
      <c r="N186" s="169"/>
    </row>
    <row r="187" spans="1:14" ht="19.350000000000001" customHeight="1">
      <c r="A187" s="2"/>
      <c r="B187" s="168"/>
      <c r="C187" s="168"/>
      <c r="D187" s="168"/>
      <c r="E187" s="170"/>
      <c r="F187" s="169"/>
      <c r="G187" s="170"/>
      <c r="H187" s="170"/>
      <c r="I187" s="170"/>
      <c r="J187" s="170"/>
      <c r="K187" s="170"/>
      <c r="L187" s="170"/>
      <c r="M187" s="170"/>
      <c r="N187" s="169"/>
    </row>
    <row r="188" spans="1:14" ht="19.350000000000001" customHeight="1">
      <c r="A188" s="2"/>
      <c r="B188" s="172"/>
      <c r="C188" s="174"/>
      <c r="D188" s="172"/>
      <c r="E188" s="170"/>
      <c r="F188" s="169"/>
      <c r="G188" s="170"/>
      <c r="H188" s="170"/>
      <c r="I188" s="170"/>
      <c r="J188" s="170"/>
      <c r="K188" s="170"/>
      <c r="L188" s="170"/>
      <c r="M188" s="170"/>
      <c r="N188" s="169"/>
    </row>
    <row r="189" spans="1:14" ht="19.350000000000001" customHeight="1">
      <c r="A189" s="179"/>
      <c r="B189" s="174"/>
      <c r="C189" s="174"/>
      <c r="D189" s="174"/>
      <c r="E189" s="170"/>
      <c r="F189" s="169"/>
      <c r="G189" s="170"/>
      <c r="H189" s="170"/>
      <c r="I189" s="170"/>
      <c r="J189" s="170"/>
      <c r="K189" s="170"/>
      <c r="L189" s="170"/>
      <c r="M189" s="170"/>
      <c r="N189" s="169"/>
    </row>
    <row r="190" spans="1:14" ht="19.350000000000001" customHeight="1">
      <c r="A190" s="179"/>
      <c r="B190" s="168"/>
      <c r="C190" s="187"/>
      <c r="D190" s="172"/>
      <c r="E190" s="170"/>
      <c r="F190" s="169"/>
      <c r="G190" s="170"/>
      <c r="H190" s="170"/>
      <c r="I190" s="170"/>
      <c r="J190" s="170"/>
      <c r="K190" s="170"/>
      <c r="L190" s="170"/>
      <c r="M190" s="170"/>
      <c r="N190" s="169"/>
    </row>
    <row r="191" spans="1:14" ht="19.350000000000001" customHeight="1">
      <c r="A191" s="167"/>
      <c r="B191" s="188"/>
      <c r="C191" s="187"/>
      <c r="D191" s="172"/>
      <c r="F191" s="169"/>
      <c r="G191" s="170"/>
      <c r="H191" s="170"/>
      <c r="I191" s="170"/>
      <c r="J191" s="170"/>
      <c r="K191" s="170"/>
      <c r="L191" s="170"/>
      <c r="M191" s="170"/>
      <c r="N191" s="169"/>
    </row>
    <row r="192" spans="1:14" ht="19.350000000000001" customHeight="1">
      <c r="A192" s="167"/>
      <c r="B192" s="174"/>
      <c r="C192" s="174"/>
      <c r="D192" s="174"/>
      <c r="F192" s="169"/>
      <c r="G192" s="170"/>
      <c r="H192" s="170"/>
      <c r="I192" s="170"/>
      <c r="J192" s="170"/>
      <c r="K192" s="170"/>
      <c r="L192" s="170"/>
      <c r="M192" s="170"/>
      <c r="N192" s="169"/>
    </row>
    <row r="193" spans="1:14" ht="19.350000000000001" customHeight="1">
      <c r="B193" s="174"/>
      <c r="C193" s="174"/>
      <c r="D193" s="174"/>
      <c r="F193" s="169"/>
      <c r="G193" s="170"/>
      <c r="H193" s="170"/>
      <c r="I193" s="170"/>
      <c r="J193" s="170"/>
      <c r="K193" s="170"/>
      <c r="L193" s="170"/>
      <c r="M193" s="170"/>
      <c r="N193" s="169"/>
    </row>
    <row r="194" spans="1:14" ht="19.350000000000001" customHeight="1">
      <c r="B194" s="174"/>
      <c r="C194" s="174"/>
      <c r="D194" s="174"/>
      <c r="F194" s="169"/>
      <c r="G194" s="170"/>
      <c r="H194" s="170"/>
      <c r="I194" s="170"/>
      <c r="J194" s="170"/>
      <c r="K194" s="170"/>
      <c r="L194" s="170"/>
      <c r="M194" s="170"/>
      <c r="N194" s="169"/>
    </row>
    <row r="195" spans="1:14" ht="19.350000000000001" customHeight="1">
      <c r="A195" s="548"/>
      <c r="B195" s="182"/>
      <c r="C195" s="182"/>
      <c r="D195" s="172"/>
      <c r="E195" s="170"/>
      <c r="F195" s="169"/>
      <c r="G195" s="170"/>
      <c r="H195" s="170"/>
      <c r="I195" s="170"/>
      <c r="J195" s="170"/>
      <c r="K195" s="170"/>
      <c r="L195" s="184"/>
      <c r="M195" s="170"/>
      <c r="N195" s="169"/>
    </row>
    <row r="196" spans="1:14" ht="19.350000000000001" customHeight="1">
      <c r="A196" s="175"/>
      <c r="B196" s="171"/>
      <c r="C196" s="174"/>
      <c r="D196" s="174"/>
      <c r="F196" s="169"/>
      <c r="G196" s="170"/>
      <c r="H196" s="170"/>
      <c r="I196" s="170"/>
      <c r="J196" s="170"/>
      <c r="K196" s="170"/>
      <c r="L196" s="170"/>
      <c r="M196" s="170"/>
    </row>
    <row r="197" spans="1:14" ht="19.350000000000001" customHeight="1">
      <c r="A197" s="175"/>
      <c r="B197" s="171"/>
      <c r="C197" s="185"/>
      <c r="D197" s="178"/>
      <c r="F197" s="169"/>
      <c r="G197" s="170"/>
      <c r="H197" s="170"/>
      <c r="I197" s="170"/>
      <c r="J197" s="170"/>
      <c r="K197" s="170"/>
      <c r="L197" s="170"/>
      <c r="M197" s="170"/>
    </row>
    <row r="198" spans="1:14" ht="19.350000000000001" customHeight="1">
      <c r="A198" s="175"/>
      <c r="B198" s="171"/>
      <c r="C198" s="185"/>
      <c r="D198" s="178"/>
      <c r="F198" s="169"/>
      <c r="G198" s="170"/>
      <c r="H198" s="170"/>
      <c r="I198" s="170"/>
      <c r="J198" s="170"/>
      <c r="K198" s="170"/>
      <c r="L198" s="184"/>
      <c r="M198" s="170"/>
    </row>
    <row r="199" spans="1:14" ht="19.350000000000001" customHeight="1">
      <c r="A199" s="175"/>
      <c r="B199" s="168"/>
      <c r="C199" s="168"/>
      <c r="D199" s="168"/>
      <c r="F199" s="169"/>
      <c r="G199" s="170"/>
      <c r="H199" s="170"/>
      <c r="I199" s="170"/>
      <c r="J199" s="170"/>
      <c r="K199" s="170"/>
      <c r="L199" s="170"/>
      <c r="M199" s="170"/>
    </row>
    <row r="200" spans="1:14" ht="19.350000000000001" customHeight="1">
      <c r="A200" s="173"/>
      <c r="B200" s="168"/>
      <c r="C200" s="168"/>
      <c r="D200" s="172"/>
      <c r="F200" s="169"/>
      <c r="G200" s="170"/>
      <c r="H200" s="170"/>
      <c r="I200" s="170"/>
      <c r="J200" s="170"/>
      <c r="K200" s="170"/>
      <c r="L200" s="184"/>
      <c r="M200" s="170"/>
    </row>
    <row r="201" spans="1:14" ht="19.350000000000001" customHeight="1">
      <c r="A201" s="177"/>
      <c r="B201" s="185"/>
      <c r="C201" s="174"/>
      <c r="D201" s="174"/>
      <c r="F201" s="169"/>
      <c r="G201" s="170"/>
      <c r="H201" s="170"/>
      <c r="I201" s="170"/>
      <c r="J201" s="170"/>
      <c r="K201" s="170"/>
      <c r="L201" s="170"/>
      <c r="M201" s="170"/>
    </row>
    <row r="202" spans="1:14" ht="19.350000000000001" customHeight="1">
      <c r="A202" s="177"/>
      <c r="B202" s="185"/>
      <c r="C202" s="174"/>
      <c r="D202" s="174"/>
      <c r="F202" s="169"/>
      <c r="G202" s="170"/>
      <c r="H202" s="170"/>
      <c r="I202" s="170"/>
      <c r="J202" s="170"/>
      <c r="K202" s="170"/>
      <c r="L202" s="170"/>
      <c r="M202" s="170"/>
    </row>
    <row r="203" spans="1:14" ht="19.350000000000001" customHeight="1">
      <c r="A203" s="177"/>
      <c r="B203" s="185"/>
      <c r="C203" s="174"/>
      <c r="D203" s="174"/>
      <c r="F203" s="169"/>
      <c r="G203" s="170"/>
      <c r="H203" s="170"/>
      <c r="I203" s="170"/>
      <c r="J203" s="170"/>
      <c r="K203" s="170"/>
      <c r="L203" s="184"/>
      <c r="M203" s="170"/>
    </row>
    <row r="204" spans="1:14" ht="19.350000000000001" customHeight="1">
      <c r="A204" s="175"/>
      <c r="B204" s="185"/>
      <c r="C204" s="174"/>
      <c r="D204" s="174"/>
      <c r="F204" s="169"/>
      <c r="G204" s="170"/>
      <c r="H204" s="170"/>
      <c r="I204" s="170"/>
      <c r="J204" s="170"/>
      <c r="K204" s="170"/>
      <c r="L204" s="170"/>
      <c r="M204" s="170"/>
    </row>
    <row r="205" spans="1:14" ht="19.350000000000001" customHeight="1">
      <c r="A205" s="177"/>
      <c r="B205" s="185"/>
      <c r="C205" s="174"/>
      <c r="D205" s="174"/>
      <c r="F205" s="169"/>
      <c r="G205" s="170"/>
      <c r="H205" s="170"/>
      <c r="I205" s="170"/>
      <c r="J205" s="170"/>
      <c r="K205" s="170"/>
      <c r="L205" s="170"/>
      <c r="M205" s="170"/>
    </row>
    <row r="206" spans="1:14" ht="19.350000000000001" customHeight="1">
      <c r="A206" s="177"/>
      <c r="B206" s="185"/>
      <c r="C206" s="174"/>
      <c r="D206" s="174"/>
      <c r="F206" s="169"/>
      <c r="G206" s="170"/>
      <c r="H206" s="170"/>
      <c r="I206" s="170"/>
      <c r="J206" s="170"/>
      <c r="K206" s="170"/>
      <c r="L206" s="170"/>
      <c r="M206" s="170"/>
    </row>
    <row r="207" spans="1:14" ht="19.350000000000001" customHeight="1">
      <c r="A207" s="177"/>
      <c r="B207" s="174"/>
      <c r="C207" s="174"/>
      <c r="D207" s="174"/>
      <c r="F207" s="169"/>
      <c r="G207" s="170"/>
      <c r="H207" s="170"/>
      <c r="I207" s="170"/>
      <c r="J207" s="170"/>
      <c r="K207" s="170"/>
      <c r="L207" s="170"/>
      <c r="M207" s="170"/>
    </row>
    <row r="208" spans="1:14" ht="19.350000000000001" customHeight="1">
      <c r="A208" s="2"/>
      <c r="B208" s="172"/>
      <c r="C208" s="174"/>
      <c r="D208" s="172"/>
      <c r="F208" s="169"/>
      <c r="G208" s="170"/>
      <c r="H208" s="170"/>
      <c r="I208" s="170"/>
      <c r="J208" s="170"/>
      <c r="K208" s="170"/>
      <c r="L208" s="170"/>
      <c r="M208" s="170"/>
      <c r="N208" s="169"/>
    </row>
    <row r="209" spans="1:14" ht="19.350000000000001" customHeight="1">
      <c r="B209" s="171"/>
      <c r="C209" s="174"/>
      <c r="D209" s="174"/>
      <c r="F209" s="169"/>
      <c r="G209" s="170"/>
      <c r="H209" s="170"/>
      <c r="I209" s="170"/>
      <c r="J209" s="170"/>
      <c r="K209" s="170"/>
      <c r="L209" s="170"/>
      <c r="M209" s="170"/>
      <c r="N209" s="169"/>
    </row>
    <row r="210" spans="1:14" ht="19.350000000000001" customHeight="1">
      <c r="A210" s="177"/>
      <c r="B210" s="171"/>
      <c r="C210" s="174"/>
      <c r="D210" s="174"/>
      <c r="F210" s="169"/>
      <c r="G210" s="170"/>
      <c r="H210" s="170"/>
      <c r="I210" s="170"/>
      <c r="J210" s="170"/>
      <c r="K210" s="170"/>
      <c r="L210" s="170"/>
      <c r="M210" s="170"/>
      <c r="N210" s="169"/>
    </row>
    <row r="211" spans="1:14" ht="19.350000000000001" customHeight="1">
      <c r="A211" s="177"/>
      <c r="B211" s="171"/>
      <c r="C211" s="174"/>
      <c r="D211" s="174"/>
      <c r="F211" s="169"/>
      <c r="G211" s="170"/>
      <c r="H211" s="170"/>
      <c r="I211" s="170"/>
      <c r="J211" s="170"/>
      <c r="K211" s="170"/>
      <c r="L211" s="170"/>
      <c r="M211" s="170"/>
      <c r="N211" s="169"/>
    </row>
    <row r="212" spans="1:14" ht="19.350000000000001" customHeight="1">
      <c r="A212" s="191"/>
      <c r="B212" s="171"/>
      <c r="C212" s="174"/>
      <c r="D212" s="174"/>
      <c r="F212" s="169"/>
      <c r="G212" s="170"/>
      <c r="H212" s="170"/>
      <c r="I212" s="170"/>
      <c r="J212" s="170"/>
      <c r="K212" s="170"/>
      <c r="L212" s="170"/>
      <c r="M212" s="170"/>
      <c r="N212" s="169"/>
    </row>
    <row r="213" spans="1:14" ht="19.350000000000001" customHeight="1">
      <c r="A213" s="2"/>
      <c r="B213" s="171"/>
      <c r="C213" s="174"/>
      <c r="D213" s="172"/>
      <c r="E213" s="170"/>
      <c r="F213" s="169"/>
      <c r="G213" s="170"/>
      <c r="H213" s="170"/>
      <c r="I213" s="170"/>
      <c r="J213" s="170"/>
      <c r="K213" s="170"/>
      <c r="L213" s="170"/>
      <c r="M213" s="170"/>
      <c r="N213" s="169"/>
    </row>
    <row r="214" spans="1:14" ht="19.350000000000001" customHeight="1">
      <c r="A214" s="2"/>
      <c r="B214" s="171"/>
      <c r="C214" s="185"/>
      <c r="D214" s="172"/>
      <c r="E214" s="170"/>
      <c r="F214" s="169"/>
      <c r="G214" s="170"/>
      <c r="H214" s="170"/>
      <c r="I214" s="170"/>
      <c r="J214" s="170"/>
      <c r="K214" s="170"/>
      <c r="L214" s="184"/>
      <c r="M214" s="170"/>
      <c r="N214" s="169"/>
    </row>
    <row r="215" spans="1:14" ht="19.350000000000001" customHeight="1">
      <c r="A215" s="2"/>
      <c r="B215" s="168"/>
      <c r="C215" s="168"/>
      <c r="D215" s="168"/>
      <c r="E215" s="170"/>
      <c r="F215" s="169"/>
      <c r="G215" s="170"/>
      <c r="H215" s="170"/>
      <c r="I215" s="170"/>
      <c r="J215" s="170"/>
      <c r="K215" s="170"/>
      <c r="L215" s="170"/>
      <c r="M215" s="170"/>
      <c r="N215" s="169"/>
    </row>
    <row r="216" spans="1:14" ht="19.350000000000001" customHeight="1">
      <c r="A216" s="2"/>
      <c r="B216" s="172"/>
      <c r="C216" s="174"/>
      <c r="D216" s="172"/>
      <c r="E216" s="170"/>
      <c r="F216" s="169"/>
      <c r="G216" s="170"/>
      <c r="H216" s="170"/>
      <c r="I216" s="170"/>
      <c r="J216" s="170"/>
      <c r="K216" s="170"/>
      <c r="L216" s="170"/>
      <c r="M216" s="170"/>
      <c r="N216" s="169"/>
    </row>
    <row r="217" spans="1:14" ht="19.350000000000001" customHeight="1">
      <c r="A217" s="179"/>
      <c r="B217" s="174"/>
      <c r="C217" s="174"/>
      <c r="D217" s="174"/>
      <c r="E217" s="170"/>
      <c r="F217" s="169"/>
      <c r="G217" s="170"/>
      <c r="H217" s="170"/>
      <c r="I217" s="170"/>
      <c r="J217" s="170"/>
      <c r="K217" s="170"/>
      <c r="L217" s="170"/>
      <c r="M217" s="170"/>
      <c r="N217" s="169"/>
    </row>
    <row r="218" spans="1:14" ht="19.350000000000001" customHeight="1">
      <c r="A218" s="179"/>
      <c r="B218" s="168"/>
      <c r="C218" s="187"/>
      <c r="D218" s="172"/>
      <c r="E218" s="170"/>
      <c r="F218" s="169"/>
      <c r="G218" s="170"/>
      <c r="H218" s="170"/>
      <c r="I218" s="170"/>
      <c r="J218" s="170"/>
      <c r="K218" s="170"/>
      <c r="L218" s="170"/>
      <c r="M218" s="170"/>
      <c r="N218" s="169"/>
    </row>
    <row r="219" spans="1:14" ht="19.350000000000001" customHeight="1">
      <c r="A219" s="167"/>
      <c r="B219" s="188"/>
      <c r="C219" s="187"/>
      <c r="D219" s="172"/>
      <c r="F219" s="169"/>
      <c r="G219" s="170"/>
      <c r="H219" s="170"/>
      <c r="I219" s="170"/>
      <c r="J219" s="170"/>
      <c r="K219" s="170"/>
      <c r="L219" s="170"/>
      <c r="M219" s="170"/>
      <c r="N219" s="169"/>
    </row>
    <row r="220" spans="1:14" ht="19.350000000000001" customHeight="1">
      <c r="A220" s="167"/>
      <c r="B220" s="174"/>
      <c r="C220" s="174"/>
      <c r="D220" s="174"/>
      <c r="F220" s="169"/>
      <c r="G220" s="170"/>
      <c r="H220" s="170"/>
      <c r="I220" s="170"/>
      <c r="J220" s="170"/>
      <c r="K220" s="170"/>
      <c r="L220" s="170"/>
      <c r="M220" s="170"/>
      <c r="N220" s="169"/>
    </row>
    <row r="221" spans="1:14" ht="19.350000000000001" customHeight="1">
      <c r="B221" s="174"/>
      <c r="C221" s="174"/>
      <c r="D221" s="174"/>
      <c r="F221" s="169"/>
      <c r="G221" s="170"/>
      <c r="H221" s="170"/>
      <c r="I221" s="170"/>
      <c r="J221" s="170"/>
      <c r="K221" s="170"/>
      <c r="L221" s="170"/>
      <c r="M221" s="170"/>
      <c r="N221" s="169"/>
    </row>
    <row r="222" spans="1:14" ht="19.350000000000001" customHeight="1">
      <c r="B222" s="174"/>
      <c r="C222" s="174"/>
      <c r="D222" s="174"/>
      <c r="F222" s="169"/>
      <c r="G222" s="170"/>
      <c r="H222" s="170"/>
      <c r="I222" s="170"/>
      <c r="J222" s="170"/>
      <c r="K222" s="170"/>
      <c r="L222" s="170"/>
      <c r="M222" s="170"/>
      <c r="N222" s="169"/>
    </row>
    <row r="223" spans="1:14" ht="19.350000000000001" customHeight="1">
      <c r="A223" s="548"/>
      <c r="B223" s="182"/>
      <c r="C223" s="182"/>
      <c r="D223" s="172"/>
      <c r="E223" s="170"/>
      <c r="F223" s="169"/>
      <c r="G223" s="170"/>
      <c r="H223" s="170"/>
      <c r="I223" s="170"/>
      <c r="J223" s="170"/>
      <c r="K223" s="170"/>
      <c r="L223" s="184"/>
      <c r="M223" s="170"/>
      <c r="N223" s="169"/>
    </row>
    <row r="224" spans="1:14" ht="19.350000000000001" customHeight="1">
      <c r="A224" s="175"/>
      <c r="B224" s="171"/>
      <c r="C224" s="174"/>
      <c r="D224" s="174"/>
      <c r="F224" s="169"/>
      <c r="G224" s="170"/>
      <c r="H224" s="170"/>
      <c r="I224" s="170"/>
      <c r="J224" s="170"/>
      <c r="K224" s="170"/>
      <c r="L224" s="170"/>
      <c r="M224" s="170"/>
    </row>
    <row r="225" spans="1:14" ht="19.350000000000001" customHeight="1">
      <c r="A225" s="175"/>
      <c r="B225" s="171"/>
      <c r="C225" s="185"/>
      <c r="D225" s="178"/>
      <c r="F225" s="169"/>
      <c r="G225" s="170"/>
      <c r="H225" s="170"/>
      <c r="I225" s="170"/>
      <c r="J225" s="170"/>
      <c r="K225" s="170"/>
      <c r="L225" s="170"/>
      <c r="M225" s="170"/>
    </row>
    <row r="226" spans="1:14" ht="19.350000000000001" customHeight="1">
      <c r="A226" s="175"/>
      <c r="B226" s="171"/>
      <c r="C226" s="185"/>
      <c r="D226" s="178"/>
      <c r="F226" s="169"/>
      <c r="G226" s="170"/>
      <c r="H226" s="170"/>
      <c r="I226" s="170"/>
      <c r="J226" s="170"/>
      <c r="K226" s="170"/>
      <c r="L226" s="184"/>
      <c r="M226" s="170"/>
    </row>
    <row r="227" spans="1:14" ht="19.350000000000001" customHeight="1">
      <c r="A227" s="175"/>
      <c r="B227" s="168"/>
      <c r="C227" s="168"/>
      <c r="D227" s="168"/>
      <c r="F227" s="169"/>
      <c r="G227" s="170"/>
      <c r="H227" s="170"/>
      <c r="I227" s="170"/>
      <c r="J227" s="170"/>
      <c r="K227" s="170"/>
      <c r="L227" s="170"/>
      <c r="M227" s="170"/>
    </row>
    <row r="228" spans="1:14" ht="19.350000000000001" customHeight="1">
      <c r="A228" s="173"/>
      <c r="B228" s="168"/>
      <c r="C228" s="168"/>
      <c r="D228" s="172"/>
      <c r="F228" s="169"/>
      <c r="G228" s="170"/>
      <c r="H228" s="170"/>
      <c r="I228" s="170"/>
      <c r="J228" s="170"/>
      <c r="K228" s="170"/>
      <c r="L228" s="184"/>
      <c r="M228" s="170"/>
    </row>
    <row r="229" spans="1:14" ht="19.350000000000001" customHeight="1">
      <c r="A229" s="177"/>
      <c r="B229" s="185"/>
      <c r="C229" s="174"/>
      <c r="D229" s="174"/>
      <c r="F229" s="169"/>
      <c r="G229" s="170"/>
      <c r="H229" s="170"/>
      <c r="I229" s="170"/>
      <c r="J229" s="170"/>
      <c r="K229" s="170"/>
      <c r="L229" s="170"/>
      <c r="M229" s="170"/>
    </row>
    <row r="230" spans="1:14" ht="19.350000000000001" customHeight="1">
      <c r="A230" s="177"/>
      <c r="B230" s="185"/>
      <c r="C230" s="174"/>
      <c r="D230" s="174"/>
      <c r="F230" s="169"/>
      <c r="G230" s="170"/>
      <c r="H230" s="170"/>
      <c r="I230" s="170"/>
      <c r="J230" s="170"/>
      <c r="K230" s="170"/>
      <c r="L230" s="170"/>
      <c r="M230" s="170"/>
    </row>
    <row r="231" spans="1:14" ht="19.350000000000001" customHeight="1">
      <c r="A231" s="177"/>
      <c r="B231" s="185"/>
      <c r="C231" s="174"/>
      <c r="D231" s="174"/>
      <c r="F231" s="169"/>
      <c r="G231" s="170"/>
      <c r="H231" s="170"/>
      <c r="I231" s="170"/>
      <c r="J231" s="170"/>
      <c r="K231" s="170"/>
      <c r="L231" s="184"/>
      <c r="M231" s="170"/>
    </row>
    <row r="232" spans="1:14" ht="19.350000000000001" customHeight="1">
      <c r="A232" s="175"/>
      <c r="B232" s="185"/>
      <c r="C232" s="174"/>
      <c r="D232" s="174"/>
      <c r="F232" s="169"/>
      <c r="G232" s="170"/>
      <c r="H232" s="170"/>
      <c r="I232" s="170"/>
      <c r="J232" s="170"/>
      <c r="K232" s="170"/>
      <c r="L232" s="170"/>
      <c r="M232" s="170"/>
    </row>
    <row r="233" spans="1:14" ht="19.350000000000001" customHeight="1">
      <c r="A233" s="177"/>
      <c r="B233" s="185"/>
      <c r="C233" s="174"/>
      <c r="D233" s="174"/>
      <c r="F233" s="169"/>
      <c r="G233" s="170"/>
      <c r="H233" s="170"/>
      <c r="I233" s="170"/>
      <c r="J233" s="170"/>
      <c r="K233" s="170"/>
      <c r="L233" s="170"/>
      <c r="M233" s="170"/>
    </row>
    <row r="234" spans="1:14" ht="19.350000000000001" customHeight="1">
      <c r="A234" s="177"/>
      <c r="B234" s="185"/>
      <c r="C234" s="174"/>
      <c r="D234" s="174"/>
      <c r="F234" s="169"/>
      <c r="G234" s="170"/>
      <c r="H234" s="170"/>
      <c r="I234" s="170"/>
      <c r="J234" s="170"/>
      <c r="K234" s="170"/>
      <c r="L234" s="170"/>
      <c r="M234" s="170"/>
    </row>
    <row r="235" spans="1:14" ht="19.350000000000001" customHeight="1">
      <c r="A235" s="177"/>
      <c r="B235" s="174"/>
      <c r="C235" s="174"/>
      <c r="D235" s="174"/>
      <c r="F235" s="169"/>
      <c r="G235" s="170"/>
      <c r="H235" s="170"/>
      <c r="I235" s="170"/>
      <c r="J235" s="170"/>
      <c r="K235" s="170"/>
      <c r="L235" s="170"/>
      <c r="M235" s="170"/>
    </row>
    <row r="236" spans="1:14" ht="19.350000000000001" customHeight="1">
      <c r="A236" s="2"/>
      <c r="B236" s="172"/>
      <c r="C236" s="174"/>
      <c r="D236" s="172"/>
      <c r="F236" s="169"/>
      <c r="G236" s="170"/>
      <c r="H236" s="170"/>
      <c r="I236" s="170"/>
      <c r="J236" s="170"/>
      <c r="K236" s="170"/>
      <c r="L236" s="170"/>
      <c r="M236" s="170"/>
      <c r="N236" s="169"/>
    </row>
    <row r="237" spans="1:14" ht="19.350000000000001" customHeight="1">
      <c r="B237" s="171"/>
      <c r="C237" s="174"/>
      <c r="D237" s="174"/>
      <c r="F237" s="169"/>
      <c r="G237" s="170"/>
      <c r="H237" s="170"/>
      <c r="I237" s="170"/>
      <c r="J237" s="170"/>
      <c r="K237" s="170"/>
      <c r="L237" s="170"/>
      <c r="M237" s="170"/>
      <c r="N237" s="169"/>
    </row>
    <row r="238" spans="1:14" ht="19.350000000000001" customHeight="1">
      <c r="A238" s="177"/>
      <c r="B238" s="171"/>
      <c r="C238" s="174"/>
      <c r="D238" s="174"/>
      <c r="F238" s="169"/>
      <c r="G238" s="170"/>
      <c r="H238" s="170"/>
      <c r="I238" s="170"/>
      <c r="J238" s="170"/>
      <c r="K238" s="170"/>
      <c r="L238" s="170"/>
      <c r="M238" s="170"/>
      <c r="N238" s="169"/>
    </row>
    <row r="239" spans="1:14" ht="19.350000000000001" customHeight="1">
      <c r="A239" s="177"/>
      <c r="B239" s="171"/>
      <c r="C239" s="174"/>
      <c r="D239" s="174"/>
      <c r="F239" s="169"/>
      <c r="G239" s="170"/>
      <c r="H239" s="170"/>
      <c r="I239" s="170"/>
      <c r="J239" s="170"/>
      <c r="K239" s="170"/>
      <c r="L239" s="170"/>
      <c r="M239" s="170"/>
      <c r="N239" s="169"/>
    </row>
    <row r="240" spans="1:14" ht="19.350000000000001" customHeight="1">
      <c r="A240" s="191"/>
      <c r="B240" s="171"/>
      <c r="C240" s="174"/>
      <c r="D240" s="174"/>
      <c r="F240" s="169"/>
      <c r="G240" s="170"/>
      <c r="H240" s="170"/>
      <c r="I240" s="170"/>
      <c r="J240" s="170"/>
      <c r="K240" s="170"/>
      <c r="L240" s="170"/>
      <c r="M240" s="170"/>
      <c r="N240" s="169"/>
    </row>
    <row r="241" spans="1:14" ht="19.350000000000001" customHeight="1">
      <c r="A241" s="2"/>
      <c r="B241" s="171"/>
      <c r="C241" s="174"/>
      <c r="D241" s="172"/>
      <c r="E241" s="170"/>
      <c r="F241" s="169"/>
      <c r="G241" s="170"/>
      <c r="H241" s="170"/>
      <c r="I241" s="170"/>
      <c r="J241" s="170"/>
      <c r="K241" s="170"/>
      <c r="L241" s="170"/>
      <c r="M241" s="170"/>
      <c r="N241" s="169"/>
    </row>
    <row r="242" spans="1:14" ht="19.350000000000001" customHeight="1">
      <c r="A242" s="2"/>
      <c r="B242" s="171"/>
      <c r="C242" s="185"/>
      <c r="D242" s="172"/>
      <c r="E242" s="170"/>
      <c r="F242" s="169"/>
      <c r="G242" s="170"/>
      <c r="H242" s="170"/>
      <c r="I242" s="170"/>
      <c r="J242" s="170"/>
      <c r="K242" s="170"/>
      <c r="L242" s="184"/>
      <c r="M242" s="170"/>
      <c r="N242" s="169"/>
    </row>
    <row r="243" spans="1:14" ht="19.350000000000001" customHeight="1">
      <c r="A243" s="2"/>
      <c r="B243" s="168"/>
      <c r="C243" s="168"/>
      <c r="D243" s="168"/>
      <c r="E243" s="170"/>
      <c r="F243" s="169"/>
      <c r="G243" s="170"/>
      <c r="H243" s="170"/>
      <c r="I243" s="170"/>
      <c r="J243" s="170"/>
      <c r="K243" s="170"/>
      <c r="L243" s="170"/>
      <c r="M243" s="170"/>
      <c r="N243" s="169"/>
    </row>
    <row r="244" spans="1:14" ht="19.350000000000001" customHeight="1">
      <c r="A244" s="2"/>
      <c r="B244" s="172"/>
      <c r="C244" s="174"/>
      <c r="D244" s="172"/>
      <c r="E244" s="170"/>
      <c r="F244" s="169"/>
      <c r="G244" s="170"/>
      <c r="H244" s="170"/>
      <c r="I244" s="170"/>
      <c r="J244" s="170"/>
      <c r="K244" s="170"/>
      <c r="L244" s="170"/>
      <c r="M244" s="170"/>
      <c r="N244" s="169"/>
    </row>
    <row r="245" spans="1:14" ht="19.350000000000001" customHeight="1">
      <c r="A245" s="179"/>
      <c r="B245" s="174"/>
      <c r="C245" s="174"/>
      <c r="D245" s="174"/>
      <c r="E245" s="170"/>
      <c r="F245" s="169"/>
      <c r="G245" s="170"/>
      <c r="H245" s="170"/>
      <c r="I245" s="170"/>
      <c r="J245" s="170"/>
      <c r="K245" s="170"/>
      <c r="L245" s="170"/>
      <c r="M245" s="170"/>
      <c r="N245" s="169"/>
    </row>
    <row r="246" spans="1:14" ht="19.350000000000001" customHeight="1">
      <c r="A246" s="179"/>
      <c r="B246" s="168"/>
      <c r="C246" s="187"/>
      <c r="D246" s="172"/>
      <c r="E246" s="170"/>
      <c r="F246" s="169"/>
      <c r="G246" s="170"/>
      <c r="H246" s="170"/>
      <c r="I246" s="170"/>
      <c r="J246" s="170"/>
      <c r="K246" s="170"/>
      <c r="L246" s="170"/>
      <c r="M246" s="170"/>
      <c r="N246" s="169"/>
    </row>
    <row r="247" spans="1:14" ht="19.350000000000001" customHeight="1">
      <c r="A247" s="167"/>
      <c r="B247" s="188"/>
      <c r="C247" s="187"/>
      <c r="D247" s="172"/>
      <c r="F247" s="169"/>
      <c r="G247" s="170"/>
      <c r="H247" s="170"/>
      <c r="I247" s="170"/>
      <c r="J247" s="170"/>
      <c r="K247" s="170"/>
      <c r="L247" s="170"/>
      <c r="M247" s="170"/>
      <c r="N247" s="169"/>
    </row>
    <row r="248" spans="1:14" ht="19.350000000000001" customHeight="1">
      <c r="A248" s="167"/>
      <c r="B248" s="174"/>
      <c r="C248" s="174"/>
      <c r="D248" s="174"/>
      <c r="F248" s="169"/>
      <c r="G248" s="170"/>
      <c r="H248" s="170"/>
      <c r="I248" s="170"/>
      <c r="J248" s="170"/>
      <c r="K248" s="170"/>
      <c r="L248" s="170"/>
      <c r="M248" s="170"/>
      <c r="N248" s="169"/>
    </row>
    <row r="249" spans="1:14" ht="19.350000000000001" customHeight="1">
      <c r="B249" s="174"/>
      <c r="C249" s="174"/>
      <c r="D249" s="174"/>
      <c r="F249" s="169"/>
      <c r="G249" s="170"/>
      <c r="H249" s="170"/>
      <c r="I249" s="170"/>
      <c r="J249" s="170"/>
      <c r="K249" s="170"/>
      <c r="L249" s="170"/>
      <c r="M249" s="170"/>
      <c r="N249" s="169"/>
    </row>
    <row r="250" spans="1:14" ht="19.350000000000001" customHeight="1">
      <c r="B250" s="174"/>
      <c r="C250" s="174"/>
      <c r="D250" s="174"/>
      <c r="F250" s="169"/>
      <c r="G250" s="170"/>
      <c r="H250" s="170"/>
      <c r="I250" s="170"/>
      <c r="J250" s="170"/>
      <c r="K250" s="170"/>
      <c r="L250" s="170"/>
      <c r="M250" s="170"/>
      <c r="N250" s="169"/>
    </row>
    <row r="251" spans="1:14" ht="19.350000000000001" customHeight="1">
      <c r="A251" s="548"/>
      <c r="B251" s="182"/>
      <c r="C251" s="182"/>
      <c r="D251" s="172"/>
      <c r="E251" s="170"/>
      <c r="F251" s="169"/>
      <c r="G251" s="170"/>
      <c r="H251" s="170"/>
      <c r="I251" s="170"/>
      <c r="J251" s="170"/>
      <c r="K251" s="170"/>
      <c r="L251" s="184"/>
      <c r="M251" s="170"/>
      <c r="N251" s="169"/>
    </row>
    <row r="252" spans="1:14" ht="19.350000000000001" customHeight="1">
      <c r="A252" s="175"/>
      <c r="B252" s="171"/>
      <c r="C252" s="174"/>
      <c r="D252" s="174"/>
      <c r="F252" s="169"/>
      <c r="G252" s="170"/>
      <c r="H252" s="170"/>
      <c r="I252" s="170"/>
      <c r="J252" s="170"/>
      <c r="K252" s="170"/>
      <c r="L252" s="170"/>
      <c r="M252" s="170"/>
    </row>
    <row r="253" spans="1:14" ht="19.350000000000001" customHeight="1">
      <c r="A253" s="175"/>
      <c r="B253" s="171"/>
      <c r="C253" s="185"/>
      <c r="D253" s="178"/>
      <c r="F253" s="169"/>
      <c r="G253" s="170"/>
      <c r="H253" s="170"/>
      <c r="I253" s="170"/>
      <c r="J253" s="170"/>
      <c r="K253" s="170"/>
      <c r="L253" s="170"/>
      <c r="M253" s="170"/>
    </row>
    <row r="254" spans="1:14" ht="19.350000000000001" customHeight="1">
      <c r="A254" s="175"/>
      <c r="B254" s="171"/>
      <c r="C254" s="185"/>
      <c r="D254" s="178"/>
      <c r="F254" s="169"/>
      <c r="G254" s="170"/>
      <c r="H254" s="170"/>
      <c r="I254" s="170"/>
      <c r="J254" s="170"/>
      <c r="K254" s="170"/>
      <c r="L254" s="184"/>
      <c r="M254" s="170"/>
    </row>
    <row r="255" spans="1:14" ht="19.350000000000001" customHeight="1">
      <c r="A255" s="175"/>
      <c r="B255" s="168"/>
      <c r="C255" s="168"/>
      <c r="D255" s="168"/>
      <c r="F255" s="169"/>
      <c r="G255" s="170"/>
      <c r="H255" s="170"/>
      <c r="I255" s="170"/>
      <c r="J255" s="170"/>
      <c r="K255" s="170"/>
      <c r="L255" s="170"/>
      <c r="M255" s="170"/>
    </row>
    <row r="256" spans="1:14" ht="19.350000000000001" customHeight="1">
      <c r="A256" s="173"/>
      <c r="B256" s="168"/>
      <c r="C256" s="168"/>
      <c r="D256" s="172"/>
      <c r="F256" s="169"/>
      <c r="G256" s="170"/>
      <c r="H256" s="170"/>
      <c r="I256" s="170"/>
      <c r="J256" s="170"/>
      <c r="K256" s="170"/>
      <c r="L256" s="184"/>
      <c r="M256" s="170"/>
    </row>
    <row r="257" spans="1:14" ht="19.350000000000001" customHeight="1">
      <c r="A257" s="177"/>
      <c r="B257" s="185"/>
      <c r="C257" s="174"/>
      <c r="D257" s="174"/>
      <c r="F257" s="169"/>
      <c r="G257" s="170"/>
      <c r="H257" s="170"/>
      <c r="I257" s="170"/>
      <c r="J257" s="170"/>
      <c r="K257" s="170"/>
      <c r="L257" s="170"/>
      <c r="M257" s="170"/>
    </row>
    <row r="258" spans="1:14" ht="19.350000000000001" customHeight="1">
      <c r="A258" s="177"/>
      <c r="B258" s="185"/>
      <c r="C258" s="174"/>
      <c r="D258" s="174"/>
      <c r="F258" s="169"/>
      <c r="G258" s="170"/>
      <c r="H258" s="170"/>
      <c r="I258" s="170"/>
      <c r="J258" s="170"/>
      <c r="K258" s="170"/>
      <c r="L258" s="170"/>
      <c r="M258" s="170"/>
    </row>
    <row r="259" spans="1:14" ht="19.350000000000001" customHeight="1">
      <c r="A259" s="177"/>
      <c r="B259" s="185"/>
      <c r="C259" s="174"/>
      <c r="D259" s="174"/>
      <c r="F259" s="169"/>
      <c r="G259" s="170"/>
      <c r="H259" s="170"/>
      <c r="I259" s="170"/>
      <c r="J259" s="170"/>
      <c r="K259" s="170"/>
      <c r="L259" s="184"/>
      <c r="M259" s="170"/>
    </row>
    <row r="260" spans="1:14" ht="19.350000000000001" customHeight="1">
      <c r="A260" s="175"/>
      <c r="B260" s="185"/>
      <c r="C260" s="174"/>
      <c r="D260" s="174"/>
      <c r="F260" s="169"/>
      <c r="G260" s="170"/>
      <c r="H260" s="170"/>
      <c r="I260" s="170"/>
      <c r="J260" s="170"/>
      <c r="K260" s="170"/>
      <c r="L260" s="170"/>
      <c r="M260" s="170"/>
    </row>
    <row r="261" spans="1:14" ht="19.350000000000001" customHeight="1">
      <c r="A261" s="177"/>
      <c r="B261" s="185"/>
      <c r="C261" s="174"/>
      <c r="D261" s="174"/>
      <c r="F261" s="169"/>
      <c r="G261" s="170"/>
      <c r="H261" s="170"/>
      <c r="I261" s="170"/>
      <c r="J261" s="170"/>
      <c r="K261" s="170"/>
      <c r="L261" s="170"/>
      <c r="M261" s="170"/>
    </row>
    <row r="262" spans="1:14" ht="19.350000000000001" customHeight="1">
      <c r="A262" s="177"/>
      <c r="B262" s="185"/>
      <c r="C262" s="174"/>
      <c r="D262" s="174"/>
      <c r="F262" s="169"/>
      <c r="G262" s="170"/>
      <c r="H262" s="170"/>
      <c r="I262" s="170"/>
      <c r="J262" s="170"/>
      <c r="K262" s="170"/>
      <c r="L262" s="170"/>
      <c r="M262" s="170"/>
    </row>
    <row r="263" spans="1:14" ht="19.350000000000001" customHeight="1">
      <c r="A263" s="177"/>
      <c r="B263" s="174"/>
      <c r="C263" s="174"/>
      <c r="D263" s="174"/>
      <c r="F263" s="169"/>
      <c r="G263" s="170"/>
      <c r="H263" s="170"/>
      <c r="I263" s="170"/>
      <c r="J263" s="170"/>
      <c r="K263" s="170"/>
      <c r="L263" s="170"/>
      <c r="M263" s="170"/>
    </row>
    <row r="264" spans="1:14" ht="19.350000000000001" customHeight="1">
      <c r="A264" s="2"/>
      <c r="B264" s="172"/>
      <c r="C264" s="174"/>
      <c r="D264" s="172"/>
      <c r="F264" s="169"/>
      <c r="G264" s="170"/>
      <c r="H264" s="170"/>
      <c r="I264" s="170"/>
      <c r="J264" s="170"/>
      <c r="K264" s="170"/>
      <c r="L264" s="170"/>
      <c r="M264" s="170"/>
      <c r="N264" s="169"/>
    </row>
    <row r="265" spans="1:14" ht="19.350000000000001" customHeight="1">
      <c r="B265" s="171"/>
      <c r="C265" s="174"/>
      <c r="D265" s="174"/>
      <c r="F265" s="169"/>
      <c r="G265" s="170"/>
      <c r="H265" s="170"/>
      <c r="I265" s="170"/>
      <c r="J265" s="170"/>
      <c r="K265" s="170"/>
      <c r="L265" s="170"/>
      <c r="M265" s="170"/>
      <c r="N265" s="169"/>
    </row>
    <row r="266" spans="1:14" ht="19.350000000000001" customHeight="1">
      <c r="A266" s="177"/>
      <c r="B266" s="171"/>
      <c r="C266" s="174"/>
      <c r="D266" s="174"/>
      <c r="F266" s="169"/>
      <c r="G266" s="170"/>
      <c r="H266" s="170"/>
      <c r="I266" s="170"/>
      <c r="J266" s="170"/>
      <c r="K266" s="170"/>
      <c r="L266" s="170"/>
      <c r="M266" s="170"/>
      <c r="N266" s="169"/>
    </row>
    <row r="267" spans="1:14" ht="19.350000000000001" customHeight="1">
      <c r="A267" s="177"/>
      <c r="B267" s="171"/>
      <c r="C267" s="174"/>
      <c r="D267" s="174"/>
      <c r="F267" s="169"/>
      <c r="G267" s="170"/>
      <c r="H267" s="170"/>
      <c r="I267" s="170"/>
      <c r="J267" s="170"/>
      <c r="K267" s="170"/>
      <c r="L267" s="170"/>
      <c r="M267" s="170"/>
      <c r="N267" s="169"/>
    </row>
    <row r="268" spans="1:14" ht="19.350000000000001" customHeight="1">
      <c r="A268" s="191"/>
      <c r="B268" s="171"/>
      <c r="C268" s="174"/>
      <c r="D268" s="174"/>
      <c r="F268" s="169"/>
      <c r="G268" s="170"/>
      <c r="H268" s="170"/>
      <c r="I268" s="170"/>
      <c r="J268" s="170"/>
      <c r="K268" s="170"/>
      <c r="L268" s="170"/>
      <c r="M268" s="170"/>
      <c r="N268" s="169"/>
    </row>
    <row r="269" spans="1:14" ht="19.350000000000001" customHeight="1">
      <c r="A269" s="2"/>
      <c r="B269" s="171"/>
      <c r="C269" s="174"/>
      <c r="D269" s="172"/>
      <c r="E269" s="170"/>
      <c r="F269" s="169"/>
      <c r="G269" s="170"/>
      <c r="H269" s="170"/>
      <c r="I269" s="170"/>
      <c r="J269" s="170"/>
      <c r="K269" s="170"/>
      <c r="L269" s="170"/>
      <c r="M269" s="170"/>
      <c r="N269" s="169"/>
    </row>
    <row r="270" spans="1:14" ht="19.350000000000001" customHeight="1">
      <c r="A270" s="2"/>
      <c r="B270" s="171"/>
      <c r="C270" s="185"/>
      <c r="D270" s="172"/>
      <c r="E270" s="170"/>
      <c r="F270" s="169"/>
      <c r="G270" s="170"/>
      <c r="H270" s="170"/>
      <c r="I270" s="170"/>
      <c r="J270" s="170"/>
      <c r="K270" s="170"/>
      <c r="L270" s="184"/>
      <c r="M270" s="170"/>
      <c r="N270" s="169"/>
    </row>
    <row r="271" spans="1:14" ht="19.350000000000001" customHeight="1">
      <c r="A271" s="2"/>
      <c r="B271" s="168"/>
      <c r="C271" s="168"/>
      <c r="D271" s="168"/>
      <c r="E271" s="170"/>
      <c r="F271" s="169"/>
      <c r="G271" s="170"/>
      <c r="H271" s="170"/>
      <c r="I271" s="170"/>
      <c r="J271" s="170"/>
      <c r="K271" s="170"/>
      <c r="L271" s="170"/>
      <c r="M271" s="170"/>
      <c r="N271" s="169"/>
    </row>
    <row r="272" spans="1:14" ht="19.350000000000001" customHeight="1">
      <c r="A272" s="2"/>
      <c r="B272" s="172"/>
      <c r="C272" s="174"/>
      <c r="D272" s="172"/>
      <c r="E272" s="170"/>
      <c r="F272" s="169"/>
      <c r="G272" s="170"/>
      <c r="H272" s="170"/>
      <c r="I272" s="170"/>
      <c r="J272" s="170"/>
      <c r="K272" s="170"/>
      <c r="L272" s="170"/>
      <c r="M272" s="170"/>
      <c r="N272" s="169"/>
    </row>
    <row r="273" spans="1:14" ht="19.350000000000001" customHeight="1">
      <c r="A273" s="179"/>
      <c r="B273" s="174"/>
      <c r="C273" s="174"/>
      <c r="D273" s="174"/>
      <c r="E273" s="170"/>
      <c r="F273" s="169"/>
      <c r="G273" s="170"/>
      <c r="H273" s="170"/>
      <c r="I273" s="170"/>
      <c r="J273" s="170"/>
      <c r="K273" s="170"/>
      <c r="L273" s="170"/>
      <c r="M273" s="170"/>
      <c r="N273" s="169"/>
    </row>
    <row r="274" spans="1:14" ht="19.350000000000001" customHeight="1">
      <c r="A274" s="179"/>
      <c r="B274" s="168"/>
      <c r="C274" s="187"/>
      <c r="D274" s="172"/>
      <c r="E274" s="170"/>
      <c r="F274" s="169"/>
      <c r="G274" s="170"/>
      <c r="H274" s="170"/>
      <c r="I274" s="170"/>
      <c r="J274" s="170"/>
      <c r="K274" s="170"/>
      <c r="L274" s="170"/>
      <c r="M274" s="170"/>
      <c r="N274" s="169"/>
    </row>
    <row r="275" spans="1:14" ht="19.350000000000001" customHeight="1">
      <c r="A275" s="167"/>
      <c r="B275" s="188"/>
      <c r="C275" s="187"/>
      <c r="D275" s="172"/>
      <c r="F275" s="169"/>
      <c r="G275" s="170"/>
      <c r="H275" s="170"/>
      <c r="I275" s="170"/>
      <c r="J275" s="170"/>
      <c r="K275" s="170"/>
      <c r="L275" s="170"/>
      <c r="M275" s="170"/>
      <c r="N275" s="169"/>
    </row>
    <row r="276" spans="1:14" ht="19.350000000000001" customHeight="1">
      <c r="A276" s="167"/>
      <c r="B276" s="174"/>
      <c r="C276" s="174"/>
      <c r="D276" s="174"/>
      <c r="F276" s="169"/>
      <c r="G276" s="170"/>
      <c r="H276" s="170"/>
      <c r="I276" s="170"/>
      <c r="J276" s="170"/>
      <c r="K276" s="170"/>
      <c r="L276" s="170"/>
      <c r="M276" s="170"/>
      <c r="N276" s="169"/>
    </row>
    <row r="277" spans="1:14" ht="19.350000000000001" customHeight="1">
      <c r="B277" s="174"/>
      <c r="C277" s="174"/>
      <c r="D277" s="174"/>
      <c r="F277" s="169"/>
      <c r="G277" s="170"/>
      <c r="H277" s="170"/>
      <c r="I277" s="170"/>
      <c r="J277" s="170"/>
      <c r="K277" s="170"/>
      <c r="L277" s="170"/>
      <c r="M277" s="170"/>
      <c r="N277" s="169"/>
    </row>
    <row r="278" spans="1:14" ht="19.350000000000001" customHeight="1">
      <c r="B278" s="174"/>
      <c r="C278" s="174"/>
      <c r="D278" s="174"/>
      <c r="F278" s="169"/>
      <c r="G278" s="170"/>
      <c r="H278" s="170"/>
      <c r="I278" s="170"/>
      <c r="J278" s="170"/>
      <c r="K278" s="170"/>
      <c r="L278" s="170"/>
      <c r="M278" s="170"/>
      <c r="N278" s="169"/>
    </row>
    <row r="279" spans="1:14" ht="19.350000000000001" customHeight="1">
      <c r="A279" s="548"/>
      <c r="B279" s="182"/>
      <c r="C279" s="182"/>
      <c r="D279" s="172"/>
      <c r="E279" s="170"/>
      <c r="F279" s="169"/>
      <c r="G279" s="170"/>
      <c r="H279" s="170"/>
      <c r="I279" s="170"/>
      <c r="J279" s="170"/>
      <c r="K279" s="170"/>
      <c r="L279" s="184"/>
      <c r="M279" s="170"/>
      <c r="N279" s="169"/>
    </row>
    <row r="280" spans="1:14" ht="19.350000000000001" customHeight="1">
      <c r="A280" s="175"/>
      <c r="B280" s="171"/>
      <c r="C280" s="174"/>
      <c r="D280" s="174"/>
      <c r="F280" s="169"/>
      <c r="G280" s="170"/>
      <c r="H280" s="170"/>
      <c r="I280" s="170"/>
      <c r="J280" s="170"/>
      <c r="K280" s="170"/>
      <c r="L280" s="170"/>
      <c r="M280" s="170"/>
    </row>
    <row r="281" spans="1:14" ht="19.350000000000001" customHeight="1">
      <c r="A281" s="175"/>
      <c r="B281" s="171"/>
      <c r="C281" s="185"/>
      <c r="D281" s="178"/>
      <c r="F281" s="169"/>
      <c r="G281" s="170"/>
      <c r="H281" s="170"/>
      <c r="I281" s="170"/>
      <c r="J281" s="170"/>
      <c r="K281" s="170"/>
      <c r="L281" s="170"/>
      <c r="M281" s="170"/>
    </row>
    <row r="282" spans="1:14" ht="19.350000000000001" customHeight="1">
      <c r="A282" s="175"/>
      <c r="B282" s="171"/>
      <c r="C282" s="185"/>
      <c r="D282" s="178"/>
      <c r="F282" s="169"/>
      <c r="G282" s="170"/>
      <c r="H282" s="170"/>
      <c r="I282" s="170"/>
      <c r="J282" s="170"/>
      <c r="K282" s="170"/>
      <c r="L282" s="184"/>
      <c r="M282" s="170"/>
    </row>
    <row r="283" spans="1:14" ht="19.350000000000001" customHeight="1">
      <c r="A283" s="175"/>
      <c r="B283" s="168"/>
      <c r="C283" s="168"/>
      <c r="D283" s="168"/>
      <c r="F283" s="169"/>
      <c r="G283" s="170"/>
      <c r="H283" s="170"/>
      <c r="I283" s="170"/>
      <c r="J283" s="170"/>
      <c r="K283" s="170"/>
      <c r="L283" s="170"/>
      <c r="M283" s="170"/>
    </row>
    <row r="284" spans="1:14" ht="19.350000000000001" customHeight="1">
      <c r="A284" s="173"/>
      <c r="B284" s="168"/>
      <c r="C284" s="168"/>
      <c r="D284" s="172"/>
      <c r="F284" s="169"/>
      <c r="G284" s="170"/>
      <c r="H284" s="170"/>
      <c r="I284" s="170"/>
      <c r="J284" s="170"/>
      <c r="K284" s="170"/>
      <c r="L284" s="184"/>
      <c r="M284" s="170"/>
    </row>
    <row r="285" spans="1:14" ht="19.350000000000001" customHeight="1">
      <c r="A285" s="177"/>
      <c r="B285" s="185"/>
      <c r="C285" s="174"/>
      <c r="D285" s="174"/>
      <c r="F285" s="169"/>
      <c r="G285" s="170"/>
      <c r="H285" s="170"/>
      <c r="I285" s="170"/>
      <c r="J285" s="170"/>
      <c r="K285" s="170"/>
      <c r="L285" s="170"/>
      <c r="M285" s="170"/>
    </row>
    <row r="286" spans="1:14" ht="19.350000000000001" customHeight="1">
      <c r="A286" s="177"/>
      <c r="B286" s="185"/>
      <c r="C286" s="174"/>
      <c r="D286" s="174"/>
      <c r="F286" s="169"/>
      <c r="G286" s="170"/>
      <c r="H286" s="170"/>
      <c r="I286" s="170"/>
      <c r="J286" s="170"/>
      <c r="K286" s="170"/>
      <c r="L286" s="170"/>
      <c r="M286" s="170"/>
    </row>
    <row r="287" spans="1:14" ht="19.350000000000001" customHeight="1">
      <c r="A287" s="177"/>
      <c r="B287" s="185"/>
      <c r="C287" s="174"/>
      <c r="D287" s="174"/>
      <c r="F287" s="169"/>
      <c r="G287" s="170"/>
      <c r="H287" s="170"/>
      <c r="I287" s="170"/>
      <c r="J287" s="170"/>
      <c r="K287" s="170"/>
      <c r="L287" s="184"/>
      <c r="M287" s="170"/>
    </row>
    <row r="288" spans="1:14" ht="19.350000000000001" customHeight="1">
      <c r="A288" s="175"/>
      <c r="B288" s="185"/>
      <c r="C288" s="174"/>
      <c r="D288" s="174"/>
      <c r="F288" s="169"/>
      <c r="G288" s="170"/>
      <c r="H288" s="170"/>
      <c r="I288" s="170"/>
      <c r="J288" s="170"/>
      <c r="K288" s="170"/>
      <c r="L288" s="170"/>
      <c r="M288" s="170"/>
    </row>
    <row r="289" spans="1:14" ht="19.350000000000001" customHeight="1">
      <c r="A289" s="177"/>
      <c r="B289" s="185"/>
      <c r="C289" s="174"/>
      <c r="D289" s="174"/>
      <c r="F289" s="169"/>
      <c r="G289" s="170"/>
      <c r="H289" s="170"/>
      <c r="I289" s="170"/>
      <c r="J289" s="170"/>
      <c r="K289" s="170"/>
      <c r="L289" s="170"/>
      <c r="M289" s="170"/>
    </row>
    <row r="290" spans="1:14" ht="19.350000000000001" customHeight="1">
      <c r="A290" s="177"/>
      <c r="B290" s="185"/>
      <c r="C290" s="174"/>
      <c r="D290" s="174"/>
      <c r="F290" s="169"/>
      <c r="G290" s="170"/>
      <c r="H290" s="170"/>
      <c r="I290" s="170"/>
      <c r="J290" s="170"/>
      <c r="K290" s="170"/>
      <c r="L290" s="170"/>
      <c r="M290" s="170"/>
    </row>
    <row r="291" spans="1:14" ht="19.350000000000001" customHeight="1">
      <c r="A291" s="177"/>
      <c r="B291" s="174"/>
      <c r="C291" s="174"/>
      <c r="D291" s="174"/>
      <c r="F291" s="169"/>
      <c r="G291" s="170"/>
      <c r="H291" s="170"/>
      <c r="I291" s="170"/>
      <c r="J291" s="170"/>
      <c r="K291" s="170"/>
      <c r="L291" s="170"/>
      <c r="M291" s="170"/>
    </row>
    <row r="292" spans="1:14" ht="19.350000000000001" customHeight="1">
      <c r="A292" s="2"/>
      <c r="B292" s="172"/>
      <c r="C292" s="174"/>
      <c r="D292" s="172"/>
      <c r="F292" s="169"/>
      <c r="G292" s="170"/>
      <c r="H292" s="170"/>
      <c r="I292" s="170"/>
      <c r="J292" s="170"/>
      <c r="K292" s="170"/>
      <c r="L292" s="170"/>
      <c r="M292" s="170"/>
      <c r="N292" s="169"/>
    </row>
    <row r="293" spans="1:14" ht="19.350000000000001" customHeight="1">
      <c r="B293" s="171"/>
      <c r="C293" s="174"/>
      <c r="D293" s="174"/>
      <c r="F293" s="169"/>
      <c r="G293" s="170"/>
      <c r="H293" s="170"/>
      <c r="I293" s="170"/>
      <c r="J293" s="170"/>
      <c r="K293" s="170"/>
      <c r="L293" s="170"/>
      <c r="M293" s="170"/>
      <c r="N293" s="169"/>
    </row>
    <row r="294" spans="1:14" ht="19.350000000000001" customHeight="1">
      <c r="A294" s="177"/>
      <c r="B294" s="171"/>
      <c r="C294" s="174"/>
      <c r="D294" s="174"/>
      <c r="F294" s="169"/>
      <c r="G294" s="170"/>
      <c r="H294" s="170"/>
      <c r="I294" s="170"/>
      <c r="J294" s="170"/>
      <c r="K294" s="170"/>
      <c r="L294" s="170"/>
      <c r="M294" s="170"/>
      <c r="N294" s="169"/>
    </row>
    <row r="295" spans="1:14" ht="19.350000000000001" customHeight="1">
      <c r="A295" s="177"/>
      <c r="B295" s="171"/>
      <c r="C295" s="174"/>
      <c r="D295" s="174"/>
      <c r="F295" s="169"/>
      <c r="G295" s="170"/>
      <c r="H295" s="170"/>
      <c r="I295" s="170"/>
      <c r="J295" s="170"/>
      <c r="K295" s="170"/>
      <c r="L295" s="170"/>
      <c r="M295" s="170"/>
      <c r="N295" s="169"/>
    </row>
    <row r="296" spans="1:14" ht="19.350000000000001" customHeight="1">
      <c r="A296" s="191"/>
      <c r="B296" s="171"/>
      <c r="C296" s="174"/>
      <c r="D296" s="174"/>
      <c r="F296" s="169"/>
      <c r="G296" s="170"/>
      <c r="H296" s="170"/>
      <c r="I296" s="170"/>
      <c r="J296" s="170"/>
      <c r="K296" s="170"/>
      <c r="L296" s="170"/>
      <c r="M296" s="170"/>
      <c r="N296" s="169"/>
    </row>
    <row r="297" spans="1:14" ht="19.350000000000001" customHeight="1">
      <c r="A297" s="2"/>
      <c r="B297" s="171"/>
      <c r="C297" s="174"/>
      <c r="D297" s="172"/>
      <c r="E297" s="170"/>
      <c r="F297" s="169"/>
      <c r="G297" s="170"/>
      <c r="H297" s="170"/>
      <c r="I297" s="170"/>
      <c r="J297" s="170"/>
      <c r="K297" s="170"/>
      <c r="L297" s="170"/>
      <c r="M297" s="170"/>
      <c r="N297" s="169"/>
    </row>
    <row r="298" spans="1:14" ht="19.350000000000001" customHeight="1">
      <c r="A298" s="2"/>
      <c r="B298" s="171"/>
      <c r="C298" s="185"/>
      <c r="D298" s="172"/>
      <c r="E298" s="170"/>
      <c r="F298" s="169"/>
      <c r="G298" s="170"/>
      <c r="H298" s="170"/>
      <c r="I298" s="170"/>
      <c r="J298" s="170"/>
      <c r="K298" s="170"/>
      <c r="L298" s="184"/>
      <c r="M298" s="170"/>
      <c r="N298" s="169"/>
    </row>
    <row r="299" spans="1:14" ht="19.350000000000001" customHeight="1">
      <c r="A299" s="2"/>
      <c r="B299" s="168"/>
      <c r="C299" s="168"/>
      <c r="D299" s="168"/>
      <c r="E299" s="170"/>
      <c r="F299" s="169"/>
      <c r="G299" s="170"/>
      <c r="H299" s="170"/>
      <c r="I299" s="170"/>
      <c r="J299" s="170"/>
      <c r="K299" s="170"/>
      <c r="L299" s="170"/>
      <c r="M299" s="170"/>
      <c r="N299" s="169"/>
    </row>
    <row r="300" spans="1:14" ht="19.350000000000001" customHeight="1">
      <c r="A300" s="2"/>
      <c r="B300" s="172"/>
      <c r="C300" s="174"/>
      <c r="D300" s="172"/>
      <c r="E300" s="170"/>
      <c r="F300" s="169"/>
      <c r="G300" s="170"/>
      <c r="H300" s="170"/>
      <c r="I300" s="170"/>
      <c r="J300" s="170"/>
      <c r="K300" s="170"/>
      <c r="L300" s="170"/>
      <c r="M300" s="170"/>
      <c r="N300" s="169"/>
    </row>
    <row r="301" spans="1:14" ht="19.350000000000001" customHeight="1">
      <c r="A301" s="179"/>
      <c r="B301" s="174"/>
      <c r="C301" s="174"/>
      <c r="D301" s="174"/>
      <c r="E301" s="170"/>
      <c r="F301" s="169"/>
      <c r="G301" s="170"/>
      <c r="H301" s="170"/>
      <c r="I301" s="170"/>
      <c r="J301" s="170"/>
      <c r="K301" s="170"/>
      <c r="L301" s="170"/>
      <c r="M301" s="170"/>
      <c r="N301" s="169"/>
    </row>
    <row r="302" spans="1:14" ht="19.350000000000001" customHeight="1">
      <c r="A302" s="179"/>
      <c r="B302" s="168"/>
      <c r="C302" s="187"/>
      <c r="D302" s="172"/>
      <c r="E302" s="170"/>
      <c r="F302" s="169"/>
      <c r="G302" s="170"/>
      <c r="H302" s="170"/>
      <c r="I302" s="170"/>
      <c r="J302" s="170"/>
      <c r="K302" s="170"/>
      <c r="L302" s="170"/>
      <c r="M302" s="170"/>
      <c r="N302" s="169"/>
    </row>
    <row r="303" spans="1:14" ht="19.350000000000001" customHeight="1">
      <c r="A303" s="167"/>
      <c r="B303" s="188"/>
      <c r="C303" s="187"/>
      <c r="D303" s="172"/>
      <c r="F303" s="169"/>
      <c r="G303" s="170"/>
      <c r="H303" s="170"/>
      <c r="I303" s="170"/>
      <c r="J303" s="170"/>
      <c r="K303" s="170"/>
      <c r="L303" s="170"/>
      <c r="M303" s="170"/>
      <c r="N303" s="169"/>
    </row>
    <row r="304" spans="1:14" ht="19.350000000000001" customHeight="1">
      <c r="A304" s="167"/>
      <c r="B304" s="174"/>
      <c r="C304" s="174"/>
      <c r="D304" s="174"/>
      <c r="F304" s="169"/>
      <c r="G304" s="170"/>
      <c r="H304" s="170"/>
      <c r="I304" s="170"/>
      <c r="J304" s="170"/>
      <c r="K304" s="170"/>
      <c r="L304" s="170"/>
      <c r="M304" s="170"/>
      <c r="N304" s="169"/>
    </row>
    <row r="305" spans="1:14" ht="19.350000000000001" customHeight="1">
      <c r="B305" s="174"/>
      <c r="C305" s="174"/>
      <c r="D305" s="174"/>
      <c r="F305" s="169"/>
      <c r="G305" s="170"/>
      <c r="H305" s="170"/>
      <c r="I305" s="170"/>
      <c r="J305" s="170"/>
      <c r="K305" s="170"/>
      <c r="L305" s="170"/>
      <c r="M305" s="170"/>
      <c r="N305" s="169"/>
    </row>
    <row r="306" spans="1:14" ht="19.350000000000001" customHeight="1">
      <c r="B306" s="174"/>
      <c r="C306" s="174"/>
      <c r="D306" s="174"/>
      <c r="F306" s="169"/>
      <c r="G306" s="170"/>
      <c r="H306" s="170"/>
      <c r="I306" s="170"/>
      <c r="J306" s="170"/>
      <c r="K306" s="170"/>
      <c r="L306" s="170"/>
      <c r="M306" s="170"/>
      <c r="N306" s="169"/>
    </row>
    <row r="307" spans="1:14" ht="19.350000000000001" customHeight="1">
      <c r="A307" s="548"/>
      <c r="B307" s="182"/>
      <c r="C307" s="182"/>
      <c r="D307" s="172"/>
      <c r="E307" s="170"/>
      <c r="F307" s="169"/>
      <c r="G307" s="170"/>
      <c r="H307" s="170"/>
      <c r="I307" s="170"/>
      <c r="J307" s="170"/>
      <c r="K307" s="170"/>
      <c r="L307" s="184"/>
      <c r="M307" s="170"/>
      <c r="N307" s="169"/>
    </row>
    <row r="308" spans="1:14" ht="19.350000000000001" customHeight="1">
      <c r="A308" s="175"/>
      <c r="B308" s="171"/>
      <c r="C308" s="174"/>
      <c r="D308" s="174"/>
      <c r="F308" s="169"/>
      <c r="G308" s="170"/>
      <c r="H308" s="170"/>
      <c r="I308" s="170"/>
      <c r="J308" s="170"/>
      <c r="K308" s="170"/>
      <c r="L308" s="170"/>
      <c r="M308" s="170"/>
    </row>
    <row r="309" spans="1:14" ht="19.350000000000001" customHeight="1">
      <c r="A309" s="175"/>
      <c r="B309" s="171"/>
      <c r="C309" s="185"/>
      <c r="D309" s="178"/>
      <c r="F309" s="169"/>
      <c r="G309" s="170"/>
      <c r="H309" s="170"/>
      <c r="I309" s="170"/>
      <c r="J309" s="170"/>
      <c r="K309" s="170"/>
      <c r="L309" s="170"/>
      <c r="M309" s="170"/>
    </row>
    <row r="310" spans="1:14" ht="19.350000000000001" customHeight="1">
      <c r="A310" s="175"/>
      <c r="B310" s="171"/>
      <c r="C310" s="185"/>
      <c r="D310" s="178"/>
      <c r="F310" s="169"/>
      <c r="G310" s="170"/>
      <c r="H310" s="170"/>
      <c r="I310" s="170"/>
      <c r="J310" s="170"/>
      <c r="K310" s="170"/>
      <c r="L310" s="184"/>
      <c r="M310" s="170"/>
    </row>
    <row r="311" spans="1:14" ht="19.350000000000001" customHeight="1">
      <c r="A311" s="175"/>
      <c r="B311" s="168"/>
      <c r="C311" s="168"/>
      <c r="D311" s="168"/>
      <c r="F311" s="169"/>
      <c r="G311" s="170"/>
      <c r="H311" s="170"/>
      <c r="I311" s="170"/>
      <c r="J311" s="170"/>
      <c r="K311" s="170"/>
      <c r="L311" s="170"/>
      <c r="M311" s="170"/>
    </row>
    <row r="312" spans="1:14" ht="19.350000000000001" customHeight="1">
      <c r="A312" s="173"/>
      <c r="B312" s="168"/>
      <c r="C312" s="168"/>
      <c r="D312" s="172"/>
      <c r="F312" s="169"/>
      <c r="G312" s="170"/>
      <c r="H312" s="170"/>
      <c r="I312" s="170"/>
      <c r="J312" s="170"/>
      <c r="K312" s="170"/>
      <c r="L312" s="184"/>
      <c r="M312" s="170"/>
    </row>
    <row r="313" spans="1:14" ht="19.350000000000001" customHeight="1">
      <c r="A313" s="177"/>
      <c r="B313" s="185"/>
      <c r="C313" s="174"/>
      <c r="D313" s="174"/>
      <c r="F313" s="169"/>
      <c r="G313" s="170"/>
      <c r="H313" s="170"/>
      <c r="I313" s="170"/>
      <c r="J313" s="170"/>
      <c r="K313" s="170"/>
      <c r="L313" s="170"/>
      <c r="M313" s="170"/>
    </row>
    <row r="314" spans="1:14" ht="19.350000000000001" customHeight="1">
      <c r="A314" s="177"/>
      <c r="B314" s="185"/>
      <c r="C314" s="174"/>
      <c r="D314" s="174"/>
      <c r="F314" s="169"/>
      <c r="G314" s="170"/>
      <c r="H314" s="170"/>
      <c r="I314" s="170"/>
      <c r="J314" s="170"/>
      <c r="K314" s="170"/>
      <c r="L314" s="170"/>
      <c r="M314" s="170"/>
    </row>
    <row r="315" spans="1:14" ht="19.350000000000001" customHeight="1">
      <c r="A315" s="177"/>
      <c r="B315" s="185"/>
      <c r="C315" s="174"/>
      <c r="D315" s="174"/>
      <c r="F315" s="169"/>
      <c r="G315" s="170"/>
      <c r="H315" s="170"/>
      <c r="I315" s="170"/>
      <c r="J315" s="170"/>
      <c r="K315" s="170"/>
      <c r="L315" s="184"/>
      <c r="M315" s="170"/>
    </row>
    <row r="316" spans="1:14" ht="19.350000000000001" customHeight="1">
      <c r="A316" s="175"/>
      <c r="B316" s="185"/>
      <c r="C316" s="174"/>
      <c r="D316" s="174"/>
      <c r="F316" s="169"/>
      <c r="G316" s="170"/>
      <c r="H316" s="170"/>
      <c r="I316" s="170"/>
      <c r="J316" s="170"/>
      <c r="K316" s="170"/>
      <c r="L316" s="170"/>
      <c r="M316" s="170"/>
    </row>
    <row r="317" spans="1:14" ht="19.350000000000001" customHeight="1">
      <c r="A317" s="177"/>
      <c r="B317" s="185"/>
      <c r="C317" s="174"/>
      <c r="D317" s="174"/>
      <c r="F317" s="169"/>
      <c r="G317" s="170"/>
      <c r="H317" s="170"/>
      <c r="I317" s="170"/>
      <c r="J317" s="170"/>
      <c r="K317" s="170"/>
      <c r="L317" s="170"/>
      <c r="M317" s="170"/>
    </row>
    <row r="318" spans="1:14" ht="19.350000000000001" customHeight="1">
      <c r="A318" s="177"/>
      <c r="B318" s="185"/>
      <c r="C318" s="174"/>
      <c r="D318" s="174"/>
      <c r="F318" s="169"/>
      <c r="G318" s="170"/>
      <c r="H318" s="170"/>
      <c r="I318" s="170"/>
      <c r="J318" s="170"/>
      <c r="K318" s="170"/>
      <c r="L318" s="170"/>
      <c r="M318" s="170"/>
    </row>
    <row r="319" spans="1:14" ht="19.350000000000001" customHeight="1">
      <c r="A319" s="177"/>
      <c r="B319" s="174"/>
      <c r="C319" s="174"/>
      <c r="D319" s="174"/>
      <c r="F319" s="169"/>
      <c r="G319" s="170"/>
      <c r="H319" s="170"/>
      <c r="I319" s="170"/>
      <c r="J319" s="170"/>
      <c r="K319" s="170"/>
      <c r="L319" s="170"/>
      <c r="M319" s="170"/>
    </row>
    <row r="320" spans="1:14" ht="19.350000000000001" customHeight="1">
      <c r="A320" s="2"/>
      <c r="B320" s="172"/>
      <c r="C320" s="174"/>
      <c r="D320" s="172"/>
      <c r="F320" s="169"/>
      <c r="G320" s="170"/>
      <c r="H320" s="170"/>
      <c r="I320" s="170"/>
      <c r="J320" s="170"/>
      <c r="K320" s="170"/>
      <c r="L320" s="170"/>
      <c r="M320" s="170"/>
      <c r="N320" s="169"/>
    </row>
    <row r="321" spans="1:14" ht="19.350000000000001" customHeight="1">
      <c r="B321" s="171"/>
      <c r="C321" s="174"/>
      <c r="D321" s="174"/>
      <c r="F321" s="169"/>
      <c r="G321" s="170"/>
      <c r="H321" s="170"/>
      <c r="I321" s="170"/>
      <c r="J321" s="170"/>
      <c r="K321" s="170"/>
      <c r="L321" s="170"/>
      <c r="M321" s="170"/>
      <c r="N321" s="169"/>
    </row>
    <row r="322" spans="1:14" ht="19.350000000000001" customHeight="1">
      <c r="A322" s="177"/>
      <c r="B322" s="171"/>
      <c r="C322" s="174"/>
      <c r="D322" s="174"/>
      <c r="F322" s="169"/>
      <c r="G322" s="170"/>
      <c r="H322" s="170"/>
      <c r="I322" s="170"/>
      <c r="J322" s="170"/>
      <c r="K322" s="170"/>
      <c r="L322" s="170"/>
      <c r="M322" s="170"/>
      <c r="N322" s="169"/>
    </row>
    <row r="323" spans="1:14" ht="19.350000000000001" customHeight="1">
      <c r="A323" s="177"/>
      <c r="B323" s="171"/>
      <c r="C323" s="174"/>
      <c r="D323" s="174"/>
      <c r="F323" s="169"/>
      <c r="G323" s="170"/>
      <c r="H323" s="170"/>
      <c r="I323" s="170"/>
      <c r="J323" s="170"/>
      <c r="K323" s="170"/>
      <c r="L323" s="170"/>
      <c r="M323" s="170"/>
      <c r="N323" s="169"/>
    </row>
    <row r="324" spans="1:14" ht="19.350000000000001" customHeight="1">
      <c r="A324" s="191"/>
      <c r="B324" s="171"/>
      <c r="C324" s="174"/>
      <c r="D324" s="174"/>
      <c r="F324" s="169"/>
      <c r="G324" s="170"/>
      <c r="H324" s="170"/>
      <c r="I324" s="170"/>
      <c r="J324" s="170"/>
      <c r="K324" s="170"/>
      <c r="L324" s="170"/>
      <c r="M324" s="170"/>
      <c r="N324" s="169"/>
    </row>
    <row r="325" spans="1:14" ht="19.350000000000001" customHeight="1">
      <c r="A325" s="2"/>
      <c r="B325" s="171"/>
      <c r="C325" s="174"/>
      <c r="D325" s="172"/>
      <c r="E325" s="170"/>
      <c r="F325" s="169"/>
      <c r="G325" s="170"/>
      <c r="H325" s="170"/>
      <c r="I325" s="170"/>
      <c r="J325" s="170"/>
      <c r="K325" s="170"/>
      <c r="L325" s="170"/>
      <c r="M325" s="170"/>
      <c r="N325" s="169"/>
    </row>
    <row r="326" spans="1:14" ht="19.350000000000001" customHeight="1">
      <c r="A326" s="2"/>
      <c r="B326" s="171"/>
      <c r="C326" s="185"/>
      <c r="D326" s="172"/>
      <c r="E326" s="170"/>
      <c r="F326" s="169"/>
      <c r="G326" s="170"/>
      <c r="H326" s="170"/>
      <c r="I326" s="170"/>
      <c r="J326" s="170"/>
      <c r="K326" s="170"/>
      <c r="L326" s="184"/>
      <c r="M326" s="170"/>
      <c r="N326" s="169"/>
    </row>
    <row r="327" spans="1:14" ht="19.350000000000001" customHeight="1">
      <c r="A327" s="2"/>
      <c r="B327" s="168"/>
      <c r="C327" s="168"/>
      <c r="D327" s="168"/>
      <c r="E327" s="170"/>
      <c r="F327" s="169"/>
      <c r="G327" s="170"/>
      <c r="H327" s="170"/>
      <c r="I327" s="170"/>
      <c r="J327" s="170"/>
      <c r="K327" s="170"/>
      <c r="L327" s="170"/>
      <c r="M327" s="170"/>
      <c r="N327" s="169"/>
    </row>
    <row r="328" spans="1:14" ht="19.350000000000001" customHeight="1">
      <c r="A328" s="2"/>
      <c r="B328" s="172"/>
      <c r="C328" s="174"/>
      <c r="D328" s="172"/>
      <c r="E328" s="170"/>
      <c r="F328" s="169"/>
      <c r="G328" s="170"/>
      <c r="H328" s="170"/>
      <c r="I328" s="170"/>
      <c r="J328" s="170"/>
      <c r="K328" s="170"/>
      <c r="L328" s="170"/>
      <c r="M328" s="170"/>
      <c r="N328" s="169"/>
    </row>
    <row r="329" spans="1:14" ht="19.350000000000001" customHeight="1">
      <c r="A329" s="179"/>
      <c r="B329" s="174"/>
      <c r="C329" s="174"/>
      <c r="D329" s="174"/>
      <c r="E329" s="170"/>
      <c r="F329" s="169"/>
      <c r="G329" s="170"/>
      <c r="H329" s="170"/>
      <c r="I329" s="170"/>
      <c r="J329" s="170"/>
      <c r="K329" s="170"/>
      <c r="L329" s="170"/>
      <c r="M329" s="170"/>
      <c r="N329" s="169"/>
    </row>
    <row r="330" spans="1:14" ht="19.350000000000001" customHeight="1">
      <c r="A330" s="179"/>
      <c r="B330" s="168"/>
      <c r="C330" s="187"/>
      <c r="D330" s="172"/>
      <c r="E330" s="170"/>
      <c r="F330" s="169"/>
      <c r="G330" s="170"/>
      <c r="H330" s="170"/>
      <c r="I330" s="170"/>
      <c r="J330" s="170"/>
      <c r="K330" s="170"/>
      <c r="L330" s="170"/>
      <c r="M330" s="170"/>
      <c r="N330" s="169"/>
    </row>
    <row r="331" spans="1:14" ht="19.350000000000001" customHeight="1">
      <c r="A331" s="167"/>
      <c r="B331" s="188"/>
      <c r="C331" s="187"/>
      <c r="D331" s="172"/>
      <c r="F331" s="169"/>
      <c r="G331" s="170"/>
      <c r="H331" s="170"/>
      <c r="I331" s="170"/>
      <c r="J331" s="170"/>
      <c r="K331" s="170"/>
      <c r="L331" s="170"/>
      <c r="M331" s="170"/>
      <c r="N331" s="169"/>
    </row>
    <row r="332" spans="1:14" ht="19.350000000000001" customHeight="1">
      <c r="A332" s="167"/>
      <c r="B332" s="174"/>
      <c r="C332" s="174"/>
      <c r="D332" s="174"/>
      <c r="F332" s="169"/>
      <c r="G332" s="170"/>
      <c r="H332" s="170"/>
      <c r="I332" s="170"/>
      <c r="J332" s="170"/>
      <c r="K332" s="170"/>
      <c r="L332" s="170"/>
      <c r="M332" s="170"/>
      <c r="N332" s="169"/>
    </row>
    <row r="333" spans="1:14" ht="19.350000000000001" customHeight="1">
      <c r="B333" s="174"/>
      <c r="C333" s="174"/>
      <c r="D333" s="174"/>
      <c r="F333" s="169"/>
      <c r="G333" s="170"/>
      <c r="H333" s="170"/>
      <c r="I333" s="170"/>
      <c r="J333" s="170"/>
      <c r="K333" s="170"/>
      <c r="L333" s="170"/>
      <c r="M333" s="170"/>
      <c r="N333" s="169"/>
    </row>
    <row r="334" spans="1:14" ht="19.350000000000001" customHeight="1">
      <c r="B334" s="174"/>
      <c r="C334" s="174"/>
      <c r="D334" s="174"/>
      <c r="F334" s="169"/>
      <c r="G334" s="170"/>
      <c r="H334" s="170"/>
      <c r="I334" s="170"/>
      <c r="J334" s="170"/>
      <c r="K334" s="170"/>
      <c r="L334" s="170"/>
      <c r="M334" s="170"/>
      <c r="N334" s="169"/>
    </row>
    <row r="335" spans="1:14" ht="19.350000000000001" customHeight="1">
      <c r="A335" s="548"/>
      <c r="B335" s="182"/>
      <c r="C335" s="182"/>
      <c r="D335" s="172"/>
      <c r="E335" s="170"/>
      <c r="F335" s="169"/>
      <c r="G335" s="170"/>
      <c r="H335" s="170"/>
      <c r="I335" s="170"/>
      <c r="J335" s="170"/>
      <c r="K335" s="170"/>
      <c r="L335" s="184"/>
      <c r="M335" s="170"/>
      <c r="N335" s="169"/>
    </row>
    <row r="336" spans="1:14" ht="19.350000000000001" customHeight="1">
      <c r="A336" s="175"/>
      <c r="B336" s="171"/>
      <c r="C336" s="174"/>
      <c r="D336" s="174"/>
      <c r="F336" s="169"/>
      <c r="G336" s="170"/>
      <c r="H336" s="170"/>
      <c r="I336" s="170"/>
      <c r="J336" s="170"/>
      <c r="K336" s="170"/>
      <c r="L336" s="170"/>
      <c r="M336" s="170"/>
    </row>
    <row r="337" spans="1:14" ht="19.350000000000001" customHeight="1">
      <c r="A337" s="175"/>
      <c r="B337" s="171"/>
      <c r="C337" s="185"/>
      <c r="D337" s="178"/>
      <c r="F337" s="169"/>
      <c r="G337" s="170"/>
      <c r="H337" s="170"/>
      <c r="I337" s="170"/>
      <c r="J337" s="170"/>
      <c r="K337" s="170"/>
      <c r="L337" s="170"/>
      <c r="M337" s="170"/>
    </row>
    <row r="338" spans="1:14" ht="19.350000000000001" customHeight="1">
      <c r="A338" s="175"/>
      <c r="B338" s="171"/>
      <c r="C338" s="185"/>
      <c r="D338" s="178"/>
      <c r="F338" s="169"/>
      <c r="G338" s="170"/>
      <c r="H338" s="170"/>
      <c r="I338" s="170"/>
      <c r="J338" s="170"/>
      <c r="K338" s="170"/>
      <c r="L338" s="184"/>
      <c r="M338" s="170"/>
    </row>
    <row r="339" spans="1:14" ht="19.350000000000001" customHeight="1">
      <c r="A339" s="175"/>
      <c r="B339" s="168"/>
      <c r="C339" s="168"/>
      <c r="D339" s="168"/>
      <c r="F339" s="169"/>
      <c r="G339" s="170"/>
      <c r="H339" s="170"/>
      <c r="I339" s="170"/>
      <c r="J339" s="170"/>
      <c r="K339" s="170"/>
      <c r="L339" s="170"/>
      <c r="M339" s="170"/>
    </row>
    <row r="340" spans="1:14" ht="19.350000000000001" customHeight="1">
      <c r="A340" s="173"/>
      <c r="B340" s="168"/>
      <c r="C340" s="168"/>
      <c r="D340" s="172"/>
      <c r="F340" s="169"/>
      <c r="G340" s="170"/>
      <c r="H340" s="170"/>
      <c r="I340" s="170"/>
      <c r="J340" s="170"/>
      <c r="K340" s="170"/>
      <c r="L340" s="184"/>
      <c r="M340" s="170"/>
    </row>
    <row r="341" spans="1:14" ht="19.350000000000001" customHeight="1">
      <c r="A341" s="177"/>
      <c r="B341" s="185"/>
      <c r="C341" s="174"/>
      <c r="D341" s="174"/>
      <c r="F341" s="169"/>
      <c r="G341" s="170"/>
      <c r="H341" s="170"/>
      <c r="I341" s="170"/>
      <c r="J341" s="170"/>
      <c r="K341" s="170"/>
      <c r="L341" s="170"/>
      <c r="M341" s="170"/>
    </row>
    <row r="342" spans="1:14" ht="19.350000000000001" customHeight="1">
      <c r="A342" s="177"/>
      <c r="B342" s="185"/>
      <c r="C342" s="174"/>
      <c r="D342" s="174"/>
      <c r="F342" s="169"/>
      <c r="G342" s="170"/>
      <c r="H342" s="170"/>
      <c r="I342" s="170"/>
      <c r="J342" s="170"/>
      <c r="K342" s="170"/>
      <c r="L342" s="170"/>
      <c r="M342" s="170"/>
    </row>
    <row r="343" spans="1:14" ht="19.350000000000001" customHeight="1">
      <c r="A343" s="177"/>
      <c r="B343" s="185"/>
      <c r="C343" s="174"/>
      <c r="D343" s="174"/>
      <c r="F343" s="169"/>
      <c r="G343" s="170"/>
      <c r="H343" s="170"/>
      <c r="I343" s="170"/>
      <c r="J343" s="170"/>
      <c r="K343" s="170"/>
      <c r="L343" s="184"/>
      <c r="M343" s="170"/>
    </row>
    <row r="344" spans="1:14" ht="19.350000000000001" customHeight="1">
      <c r="A344" s="175"/>
      <c r="B344" s="185"/>
      <c r="C344" s="174"/>
      <c r="D344" s="174"/>
      <c r="F344" s="169"/>
      <c r="G344" s="170"/>
      <c r="H344" s="170"/>
      <c r="I344" s="170"/>
      <c r="J344" s="170"/>
      <c r="K344" s="170"/>
      <c r="L344" s="170"/>
      <c r="M344" s="170"/>
    </row>
    <row r="345" spans="1:14" ht="19.350000000000001" customHeight="1">
      <c r="A345" s="177"/>
      <c r="B345" s="185"/>
      <c r="C345" s="174"/>
      <c r="D345" s="174"/>
      <c r="F345" s="169"/>
      <c r="G345" s="170"/>
      <c r="H345" s="170"/>
      <c r="I345" s="170"/>
      <c r="J345" s="170"/>
      <c r="K345" s="170"/>
      <c r="L345" s="170"/>
      <c r="M345" s="170"/>
    </row>
    <row r="346" spans="1:14" ht="19.350000000000001" customHeight="1">
      <c r="A346" s="177"/>
      <c r="B346" s="185"/>
      <c r="C346" s="174"/>
      <c r="D346" s="174"/>
      <c r="F346" s="169"/>
      <c r="G346" s="170"/>
      <c r="H346" s="170"/>
      <c r="I346" s="170"/>
      <c r="J346" s="170"/>
      <c r="K346" s="170"/>
      <c r="L346" s="170"/>
      <c r="M346" s="170"/>
    </row>
    <row r="347" spans="1:14" ht="19.350000000000001" customHeight="1">
      <c r="A347" s="177"/>
      <c r="B347" s="174"/>
      <c r="C347" s="174"/>
      <c r="D347" s="174"/>
      <c r="F347" s="169"/>
      <c r="G347" s="170"/>
      <c r="H347" s="170"/>
      <c r="I347" s="170"/>
      <c r="J347" s="170"/>
      <c r="K347" s="170"/>
      <c r="L347" s="170"/>
      <c r="M347" s="170"/>
    </row>
    <row r="348" spans="1:14" ht="19.350000000000001" customHeight="1">
      <c r="A348" s="2"/>
      <c r="B348" s="172"/>
      <c r="C348" s="174"/>
      <c r="D348" s="172"/>
      <c r="F348" s="169"/>
      <c r="G348" s="170"/>
      <c r="H348" s="170"/>
      <c r="I348" s="170"/>
      <c r="J348" s="170"/>
      <c r="K348" s="170"/>
      <c r="L348" s="170"/>
      <c r="M348" s="170"/>
      <c r="N348" s="169"/>
    </row>
    <row r="349" spans="1:14" ht="19.350000000000001" customHeight="1">
      <c r="B349" s="171"/>
      <c r="C349" s="174"/>
      <c r="D349" s="174"/>
      <c r="F349" s="169"/>
      <c r="G349" s="170"/>
      <c r="H349" s="170"/>
      <c r="I349" s="170"/>
      <c r="J349" s="170"/>
      <c r="K349" s="170"/>
      <c r="L349" s="170"/>
      <c r="M349" s="170"/>
      <c r="N349" s="169"/>
    </row>
    <row r="350" spans="1:14" ht="19.350000000000001" customHeight="1">
      <c r="A350" s="177"/>
      <c r="B350" s="171"/>
      <c r="C350" s="174"/>
      <c r="D350" s="174"/>
      <c r="F350" s="169"/>
      <c r="G350" s="170"/>
      <c r="H350" s="170"/>
      <c r="I350" s="170"/>
      <c r="J350" s="170"/>
      <c r="K350" s="170"/>
      <c r="L350" s="170"/>
      <c r="M350" s="170"/>
      <c r="N350" s="169"/>
    </row>
    <row r="351" spans="1:14" ht="19.350000000000001" customHeight="1">
      <c r="A351" s="177"/>
      <c r="B351" s="171"/>
      <c r="C351" s="174"/>
      <c r="D351" s="174"/>
      <c r="F351" s="169"/>
      <c r="G351" s="170"/>
      <c r="H351" s="170"/>
      <c r="I351" s="170"/>
      <c r="J351" s="170"/>
      <c r="K351" s="170"/>
      <c r="L351" s="170"/>
      <c r="M351" s="170"/>
      <c r="N351" s="169"/>
    </row>
    <row r="352" spans="1:14" ht="19.350000000000001" customHeight="1">
      <c r="A352" s="191"/>
      <c r="B352" s="171"/>
      <c r="C352" s="174"/>
      <c r="D352" s="174"/>
      <c r="F352" s="169"/>
      <c r="G352" s="170"/>
      <c r="H352" s="170"/>
      <c r="I352" s="170"/>
      <c r="J352" s="170"/>
      <c r="K352" s="170"/>
      <c r="L352" s="170"/>
      <c r="M352" s="170"/>
      <c r="N352" s="169"/>
    </row>
    <row r="353" spans="1:14" ht="19.350000000000001" customHeight="1">
      <c r="A353" s="2"/>
      <c r="B353" s="171"/>
      <c r="C353" s="174"/>
      <c r="D353" s="172"/>
      <c r="E353" s="170"/>
      <c r="F353" s="169"/>
      <c r="G353" s="170"/>
      <c r="H353" s="170"/>
      <c r="I353" s="170"/>
      <c r="J353" s="170"/>
      <c r="K353" s="170"/>
      <c r="L353" s="170"/>
      <c r="M353" s="170"/>
      <c r="N353" s="169"/>
    </row>
    <row r="354" spans="1:14" ht="19.350000000000001" customHeight="1">
      <c r="A354" s="2"/>
      <c r="B354" s="171"/>
      <c r="C354" s="185"/>
      <c r="D354" s="172"/>
      <c r="E354" s="170"/>
      <c r="F354" s="169"/>
      <c r="G354" s="170"/>
      <c r="H354" s="170"/>
      <c r="I354" s="170"/>
      <c r="J354" s="170"/>
      <c r="K354" s="170"/>
      <c r="L354" s="184"/>
      <c r="M354" s="170"/>
      <c r="N354" s="169"/>
    </row>
    <row r="355" spans="1:14" ht="19.350000000000001" customHeight="1">
      <c r="A355" s="2"/>
      <c r="B355" s="168"/>
      <c r="C355" s="168"/>
      <c r="D355" s="168"/>
      <c r="E355" s="170"/>
      <c r="F355" s="169"/>
      <c r="G355" s="170"/>
      <c r="H355" s="170"/>
      <c r="I355" s="170"/>
      <c r="J355" s="170"/>
      <c r="K355" s="170"/>
      <c r="L355" s="170"/>
      <c r="M355" s="170"/>
      <c r="N355" s="169"/>
    </row>
    <row r="356" spans="1:14" ht="19.350000000000001" customHeight="1">
      <c r="A356" s="2"/>
      <c r="B356" s="172"/>
      <c r="C356" s="174"/>
      <c r="D356" s="172"/>
      <c r="E356" s="170"/>
      <c r="F356" s="169"/>
      <c r="G356" s="170"/>
      <c r="H356" s="170"/>
      <c r="I356" s="170"/>
      <c r="J356" s="170"/>
      <c r="K356" s="170"/>
      <c r="L356" s="170"/>
      <c r="M356" s="170"/>
      <c r="N356" s="169"/>
    </row>
    <row r="357" spans="1:14" ht="19.350000000000001" customHeight="1">
      <c r="A357" s="179"/>
      <c r="B357" s="174"/>
      <c r="C357" s="174"/>
      <c r="D357" s="174"/>
      <c r="E357" s="170"/>
      <c r="F357" s="169"/>
      <c r="G357" s="170"/>
      <c r="H357" s="170"/>
      <c r="I357" s="170"/>
      <c r="J357" s="170"/>
      <c r="K357" s="170"/>
      <c r="L357" s="170"/>
      <c r="M357" s="170"/>
      <c r="N357" s="169"/>
    </row>
    <row r="358" spans="1:14" ht="19.350000000000001" customHeight="1">
      <c r="A358" s="179"/>
      <c r="B358" s="168"/>
      <c r="C358" s="187"/>
      <c r="D358" s="172"/>
      <c r="E358" s="170"/>
      <c r="F358" s="169"/>
      <c r="G358" s="170"/>
      <c r="H358" s="170"/>
      <c r="I358" s="170"/>
      <c r="J358" s="170"/>
      <c r="K358" s="170"/>
      <c r="L358" s="170"/>
      <c r="M358" s="170"/>
      <c r="N358" s="169"/>
    </row>
    <row r="359" spans="1:14" ht="19.350000000000001" customHeight="1">
      <c r="A359" s="167"/>
      <c r="B359" s="188"/>
      <c r="C359" s="187"/>
      <c r="D359" s="172"/>
      <c r="F359" s="169"/>
      <c r="G359" s="170"/>
      <c r="H359" s="170"/>
      <c r="I359" s="170"/>
      <c r="J359" s="170"/>
      <c r="K359" s="170"/>
      <c r="L359" s="170"/>
      <c r="M359" s="170"/>
      <c r="N359" s="169"/>
    </row>
    <row r="360" spans="1:14" ht="19.350000000000001" customHeight="1">
      <c r="A360" s="167"/>
      <c r="B360" s="174"/>
      <c r="C360" s="174"/>
      <c r="D360" s="174"/>
      <c r="F360" s="169"/>
      <c r="G360" s="170"/>
      <c r="H360" s="170"/>
      <c r="I360" s="170"/>
      <c r="J360" s="170"/>
      <c r="K360" s="170"/>
      <c r="L360" s="170"/>
      <c r="M360" s="170"/>
      <c r="N360" s="169"/>
    </row>
    <row r="361" spans="1:14" ht="19.350000000000001" customHeight="1">
      <c r="B361" s="174"/>
      <c r="C361" s="174"/>
      <c r="D361" s="174"/>
      <c r="F361" s="169"/>
      <c r="G361" s="170"/>
      <c r="H361" s="170"/>
      <c r="I361" s="170"/>
      <c r="J361" s="170"/>
      <c r="K361" s="170"/>
      <c r="L361" s="170"/>
      <c r="M361" s="170"/>
      <c r="N361" s="169"/>
    </row>
    <row r="362" spans="1:14" ht="19.350000000000001" customHeight="1">
      <c r="B362" s="174"/>
      <c r="C362" s="174"/>
      <c r="D362" s="174"/>
      <c r="F362" s="169"/>
      <c r="G362" s="170"/>
      <c r="H362" s="170"/>
      <c r="I362" s="170"/>
      <c r="J362" s="170"/>
      <c r="K362" s="170"/>
      <c r="L362" s="170"/>
      <c r="M362" s="170"/>
      <c r="N362" s="169"/>
    </row>
    <row r="363" spans="1:14" ht="19.350000000000001" customHeight="1">
      <c r="A363" s="548"/>
      <c r="B363" s="182"/>
      <c r="C363" s="182"/>
      <c r="D363" s="172"/>
      <c r="E363" s="170"/>
      <c r="F363" s="169"/>
      <c r="G363" s="170"/>
      <c r="H363" s="170"/>
      <c r="I363" s="170"/>
      <c r="J363" s="170"/>
      <c r="K363" s="170"/>
      <c r="L363" s="184"/>
      <c r="M363" s="170"/>
      <c r="N363" s="169"/>
    </row>
    <row r="364" spans="1:14" ht="19.350000000000001" customHeight="1">
      <c r="A364" s="175"/>
      <c r="B364" s="171"/>
      <c r="C364" s="174"/>
      <c r="D364" s="174"/>
      <c r="F364" s="169"/>
      <c r="G364" s="170"/>
      <c r="H364" s="170"/>
      <c r="I364" s="170"/>
      <c r="J364" s="170"/>
      <c r="K364" s="170"/>
      <c r="L364" s="170"/>
      <c r="M364" s="170"/>
    </row>
    <row r="365" spans="1:14" ht="19.350000000000001" customHeight="1">
      <c r="A365" s="175"/>
      <c r="B365" s="171"/>
      <c r="C365" s="185"/>
      <c r="D365" s="178"/>
      <c r="F365" s="169"/>
      <c r="G365" s="170"/>
      <c r="H365" s="170"/>
      <c r="I365" s="170"/>
      <c r="J365" s="170"/>
      <c r="K365" s="170"/>
      <c r="L365" s="170"/>
      <c r="M365" s="170"/>
    </row>
    <row r="366" spans="1:14" ht="19.350000000000001" customHeight="1">
      <c r="A366" s="175"/>
      <c r="B366" s="171"/>
      <c r="C366" s="185"/>
      <c r="D366" s="178"/>
      <c r="F366" s="169"/>
      <c r="G366" s="170"/>
      <c r="H366" s="170"/>
      <c r="I366" s="170"/>
      <c r="J366" s="170"/>
      <c r="K366" s="170"/>
      <c r="L366" s="184"/>
      <c r="M366" s="170"/>
    </row>
    <row r="367" spans="1:14" ht="19.350000000000001" customHeight="1">
      <c r="A367" s="175"/>
      <c r="B367" s="168"/>
      <c r="C367" s="168"/>
      <c r="D367" s="168"/>
      <c r="F367" s="169"/>
      <c r="G367" s="170"/>
      <c r="H367" s="170"/>
      <c r="I367" s="170"/>
      <c r="J367" s="170"/>
      <c r="K367" s="170"/>
      <c r="L367" s="170"/>
      <c r="M367" s="170"/>
    </row>
    <row r="368" spans="1:14" ht="19.350000000000001" customHeight="1">
      <c r="A368" s="173"/>
      <c r="B368" s="168"/>
      <c r="C368" s="168"/>
      <c r="D368" s="172"/>
      <c r="F368" s="169"/>
      <c r="G368" s="170"/>
      <c r="H368" s="170"/>
      <c r="I368" s="170"/>
      <c r="J368" s="170"/>
      <c r="K368" s="170"/>
      <c r="L368" s="184"/>
      <c r="M368" s="170"/>
    </row>
    <row r="369" spans="1:14" ht="19.350000000000001" customHeight="1">
      <c r="A369" s="177"/>
      <c r="B369" s="185"/>
      <c r="C369" s="174"/>
      <c r="D369" s="174"/>
      <c r="F369" s="169"/>
      <c r="G369" s="170"/>
      <c r="H369" s="170"/>
      <c r="I369" s="170"/>
      <c r="J369" s="170"/>
      <c r="K369" s="170"/>
      <c r="L369" s="170"/>
      <c r="M369" s="170"/>
    </row>
    <row r="370" spans="1:14" ht="19.350000000000001" customHeight="1">
      <c r="A370" s="177"/>
      <c r="B370" s="185"/>
      <c r="C370" s="174"/>
      <c r="D370" s="174"/>
      <c r="F370" s="169"/>
      <c r="G370" s="170"/>
      <c r="H370" s="170"/>
      <c r="I370" s="170"/>
      <c r="J370" s="170"/>
      <c r="K370" s="170"/>
      <c r="L370" s="170"/>
      <c r="M370" s="170"/>
    </row>
    <row r="371" spans="1:14" ht="19.350000000000001" customHeight="1">
      <c r="A371" s="177"/>
      <c r="B371" s="185"/>
      <c r="C371" s="174"/>
      <c r="D371" s="174"/>
      <c r="F371" s="169"/>
      <c r="G371" s="170"/>
      <c r="H371" s="170"/>
      <c r="I371" s="170"/>
      <c r="J371" s="170"/>
      <c r="K371" s="170"/>
      <c r="L371" s="184"/>
      <c r="M371" s="170"/>
    </row>
    <row r="372" spans="1:14" ht="19.350000000000001" customHeight="1">
      <c r="A372" s="175"/>
      <c r="B372" s="185"/>
      <c r="C372" s="174"/>
      <c r="D372" s="174"/>
      <c r="F372" s="169"/>
      <c r="G372" s="170"/>
      <c r="H372" s="170"/>
      <c r="I372" s="170"/>
      <c r="J372" s="170"/>
      <c r="K372" s="170"/>
      <c r="L372" s="170"/>
      <c r="M372" s="170"/>
    </row>
    <row r="373" spans="1:14" ht="19.350000000000001" customHeight="1">
      <c r="A373" s="177"/>
      <c r="B373" s="185"/>
      <c r="C373" s="174"/>
      <c r="D373" s="174"/>
      <c r="F373" s="169"/>
      <c r="G373" s="170"/>
      <c r="H373" s="170"/>
      <c r="I373" s="170"/>
      <c r="J373" s="170"/>
      <c r="K373" s="170"/>
      <c r="L373" s="170"/>
      <c r="M373" s="170"/>
    </row>
    <row r="374" spans="1:14" ht="19.350000000000001" customHeight="1">
      <c r="A374" s="177"/>
      <c r="B374" s="185"/>
      <c r="C374" s="174"/>
      <c r="D374" s="174"/>
      <c r="F374" s="169"/>
      <c r="G374" s="170"/>
      <c r="H374" s="170"/>
      <c r="I374" s="170"/>
      <c r="J374" s="170"/>
      <c r="K374" s="170"/>
      <c r="L374" s="170"/>
      <c r="M374" s="170"/>
    </row>
    <row r="375" spans="1:14" ht="19.350000000000001" customHeight="1">
      <c r="A375" s="177"/>
      <c r="B375" s="174"/>
      <c r="C375" s="174"/>
      <c r="D375" s="174"/>
      <c r="F375" s="169"/>
      <c r="G375" s="170"/>
      <c r="H375" s="170"/>
      <c r="I375" s="170"/>
      <c r="J375" s="170"/>
      <c r="K375" s="170"/>
      <c r="L375" s="170"/>
      <c r="M375" s="170"/>
    </row>
    <row r="376" spans="1:14" ht="19.350000000000001" customHeight="1">
      <c r="A376" s="2"/>
      <c r="B376" s="172"/>
      <c r="C376" s="174"/>
      <c r="D376" s="172"/>
      <c r="F376" s="169"/>
      <c r="G376" s="170"/>
      <c r="H376" s="170"/>
      <c r="I376" s="170"/>
      <c r="J376" s="170"/>
      <c r="K376" s="170"/>
      <c r="L376" s="170"/>
      <c r="M376" s="170"/>
      <c r="N376" s="169"/>
    </row>
    <row r="377" spans="1:14" ht="19.350000000000001" customHeight="1">
      <c r="B377" s="171"/>
      <c r="C377" s="174"/>
      <c r="D377" s="174"/>
      <c r="F377" s="169"/>
      <c r="G377" s="170"/>
      <c r="H377" s="170"/>
      <c r="I377" s="170"/>
      <c r="J377" s="170"/>
      <c r="K377" s="170"/>
      <c r="L377" s="170"/>
      <c r="M377" s="170"/>
      <c r="N377" s="169"/>
    </row>
    <row r="378" spans="1:14" ht="19.350000000000001" customHeight="1">
      <c r="A378" s="177"/>
      <c r="B378" s="171"/>
      <c r="C378" s="174"/>
      <c r="D378" s="174"/>
      <c r="F378" s="169"/>
      <c r="G378" s="170"/>
      <c r="H378" s="170"/>
      <c r="I378" s="170"/>
      <c r="J378" s="170"/>
      <c r="K378" s="170"/>
      <c r="L378" s="170"/>
      <c r="M378" s="170"/>
      <c r="N378" s="169"/>
    </row>
    <row r="379" spans="1:14" ht="19.350000000000001" customHeight="1">
      <c r="A379" s="177"/>
      <c r="B379" s="171"/>
      <c r="C379" s="174"/>
      <c r="D379" s="174"/>
      <c r="F379" s="169"/>
      <c r="G379" s="170"/>
      <c r="H379" s="170"/>
      <c r="I379" s="170"/>
      <c r="J379" s="170"/>
      <c r="K379" s="170"/>
      <c r="L379" s="170"/>
      <c r="M379" s="170"/>
      <c r="N379" s="169"/>
    </row>
    <row r="380" spans="1:14" ht="19.350000000000001" customHeight="1">
      <c r="A380" s="191"/>
      <c r="B380" s="171"/>
      <c r="C380" s="174"/>
      <c r="D380" s="174"/>
      <c r="F380" s="169"/>
      <c r="G380" s="170"/>
      <c r="H380" s="170"/>
      <c r="I380" s="170"/>
      <c r="J380" s="170"/>
      <c r="K380" s="170"/>
      <c r="L380" s="170"/>
      <c r="M380" s="170"/>
      <c r="N380" s="169"/>
    </row>
    <row r="381" spans="1:14" ht="19.350000000000001" customHeight="1">
      <c r="A381" s="2"/>
      <c r="B381" s="171"/>
      <c r="C381" s="174"/>
      <c r="D381" s="172"/>
      <c r="E381" s="170"/>
      <c r="F381" s="169"/>
      <c r="G381" s="170"/>
      <c r="H381" s="170"/>
      <c r="I381" s="170"/>
      <c r="J381" s="170"/>
      <c r="K381" s="170"/>
      <c r="L381" s="170"/>
      <c r="M381" s="170"/>
      <c r="N381" s="169"/>
    </row>
    <row r="382" spans="1:14" ht="19.350000000000001" customHeight="1">
      <c r="A382" s="2"/>
      <c r="B382" s="171"/>
      <c r="C382" s="185"/>
      <c r="D382" s="172"/>
      <c r="E382" s="170"/>
      <c r="F382" s="169"/>
      <c r="G382" s="170"/>
      <c r="H382" s="170"/>
      <c r="I382" s="170"/>
      <c r="J382" s="170"/>
      <c r="K382" s="170"/>
      <c r="L382" s="184"/>
      <c r="M382" s="170"/>
      <c r="N382" s="169"/>
    </row>
    <row r="383" spans="1:14" ht="19.350000000000001" customHeight="1">
      <c r="A383" s="2"/>
      <c r="B383" s="168"/>
      <c r="C383" s="168"/>
      <c r="D383" s="168"/>
      <c r="E383" s="170"/>
      <c r="F383" s="169"/>
      <c r="G383" s="170"/>
      <c r="H383" s="170"/>
      <c r="I383" s="170"/>
      <c r="J383" s="170"/>
      <c r="K383" s="170"/>
      <c r="L383" s="170"/>
      <c r="M383" s="170"/>
      <c r="N383" s="169"/>
    </row>
    <row r="384" spans="1:14" ht="19.350000000000001" customHeight="1">
      <c r="A384" s="2"/>
      <c r="B384" s="172"/>
      <c r="C384" s="174"/>
      <c r="D384" s="172"/>
      <c r="E384" s="170"/>
      <c r="F384" s="169"/>
      <c r="G384" s="170"/>
      <c r="H384" s="170"/>
      <c r="I384" s="170"/>
      <c r="J384" s="170"/>
      <c r="K384" s="170"/>
      <c r="L384" s="170"/>
      <c r="M384" s="170"/>
      <c r="N384" s="169"/>
    </row>
    <row r="385" spans="1:14" ht="19.350000000000001" customHeight="1">
      <c r="A385" s="179"/>
      <c r="B385" s="174"/>
      <c r="C385" s="174"/>
      <c r="D385" s="174"/>
      <c r="E385" s="170"/>
      <c r="F385" s="169"/>
      <c r="G385" s="170"/>
      <c r="H385" s="170"/>
      <c r="I385" s="170"/>
      <c r="J385" s="170"/>
      <c r="K385" s="170"/>
      <c r="L385" s="170"/>
      <c r="M385" s="170"/>
      <c r="N385" s="169"/>
    </row>
    <row r="386" spans="1:14" ht="19.350000000000001" customHeight="1">
      <c r="A386" s="179"/>
      <c r="B386" s="168"/>
      <c r="C386" s="187"/>
      <c r="D386" s="172"/>
      <c r="E386" s="170"/>
      <c r="F386" s="169"/>
      <c r="G386" s="170"/>
      <c r="H386" s="170"/>
      <c r="I386" s="170"/>
      <c r="J386" s="170"/>
      <c r="K386" s="170"/>
      <c r="L386" s="170"/>
      <c r="M386" s="170"/>
      <c r="N386" s="169"/>
    </row>
    <row r="387" spans="1:14" ht="19.350000000000001" customHeight="1">
      <c r="A387" s="167"/>
      <c r="B387" s="188"/>
      <c r="C387" s="187"/>
      <c r="D387" s="172"/>
      <c r="F387" s="169"/>
      <c r="G387" s="170"/>
      <c r="H387" s="170"/>
      <c r="I387" s="170"/>
      <c r="J387" s="170"/>
      <c r="K387" s="170"/>
      <c r="L387" s="170"/>
      <c r="M387" s="170"/>
      <c r="N387" s="169"/>
    </row>
    <row r="388" spans="1:14" ht="19.350000000000001" customHeight="1">
      <c r="A388" s="167"/>
      <c r="B388" s="174"/>
      <c r="C388" s="174"/>
      <c r="D388" s="174"/>
      <c r="F388" s="169"/>
      <c r="G388" s="170"/>
      <c r="H388" s="170"/>
      <c r="I388" s="170"/>
      <c r="J388" s="170"/>
      <c r="K388" s="170"/>
      <c r="L388" s="170"/>
      <c r="M388" s="170"/>
      <c r="N388" s="169"/>
    </row>
    <row r="389" spans="1:14" ht="19.350000000000001" customHeight="1">
      <c r="B389" s="174"/>
      <c r="C389" s="174"/>
      <c r="D389" s="174"/>
      <c r="F389" s="169"/>
      <c r="G389" s="170"/>
      <c r="H389" s="170"/>
      <c r="I389" s="170"/>
      <c r="J389" s="170"/>
      <c r="K389" s="170"/>
      <c r="L389" s="170"/>
      <c r="M389" s="170"/>
      <c r="N389" s="169"/>
    </row>
    <row r="390" spans="1:14" ht="19.350000000000001" customHeight="1">
      <c r="B390" s="174"/>
      <c r="C390" s="174"/>
      <c r="D390" s="174"/>
      <c r="F390" s="169"/>
      <c r="G390" s="170"/>
      <c r="H390" s="170"/>
      <c r="I390" s="170"/>
      <c r="J390" s="170"/>
      <c r="K390" s="170"/>
      <c r="L390" s="170"/>
      <c r="M390" s="170"/>
      <c r="N390" s="169"/>
    </row>
    <row r="391" spans="1:14" ht="19.350000000000001" customHeight="1">
      <c r="A391" s="179"/>
      <c r="B391" s="182"/>
      <c r="C391" s="168"/>
      <c r="D391" s="172"/>
      <c r="E391" s="170"/>
      <c r="F391" s="169"/>
      <c r="G391" s="170"/>
      <c r="H391" s="170"/>
      <c r="I391" s="170"/>
      <c r="J391" s="170"/>
      <c r="K391" s="170"/>
      <c r="L391" s="184"/>
      <c r="M391" s="170"/>
      <c r="N391" s="169"/>
    </row>
    <row r="392" spans="1:14" ht="19.350000000000001" customHeight="1">
      <c r="A392" s="179"/>
      <c r="B392" s="182"/>
      <c r="C392" s="182"/>
      <c r="D392" s="172"/>
      <c r="E392" s="170"/>
      <c r="F392" s="169"/>
      <c r="G392" s="170"/>
      <c r="H392" s="170"/>
      <c r="I392" s="170"/>
      <c r="J392" s="170"/>
      <c r="K392" s="170"/>
      <c r="L392" s="184"/>
      <c r="M392" s="170"/>
      <c r="N392" s="169"/>
    </row>
    <row r="393" spans="1:14" ht="19.350000000000001" customHeight="1">
      <c r="A393" s="177"/>
      <c r="B393" s="174"/>
      <c r="C393" s="174"/>
      <c r="D393" s="174"/>
      <c r="F393" s="169"/>
      <c r="G393" s="170"/>
      <c r="H393" s="170"/>
      <c r="I393" s="170"/>
      <c r="J393" s="170"/>
      <c r="K393" s="170"/>
      <c r="L393" s="170"/>
      <c r="M393" s="170"/>
    </row>
    <row r="394" spans="1:14" ht="19.350000000000001" customHeight="1">
      <c r="A394" s="177"/>
      <c r="B394" s="174"/>
      <c r="C394" s="174"/>
      <c r="D394" s="174"/>
      <c r="F394" s="169"/>
      <c r="G394" s="170"/>
      <c r="H394" s="170"/>
      <c r="I394" s="170"/>
      <c r="J394" s="170"/>
      <c r="K394" s="170"/>
      <c r="L394" s="170"/>
      <c r="M394" s="170"/>
    </row>
    <row r="395" spans="1:14" ht="19.350000000000001" customHeight="1">
      <c r="A395" s="177"/>
      <c r="B395" s="174"/>
      <c r="C395" s="174"/>
      <c r="D395" s="174"/>
      <c r="F395" s="169"/>
      <c r="G395" s="170"/>
      <c r="H395" s="170"/>
      <c r="I395" s="170"/>
      <c r="J395" s="170"/>
      <c r="K395" s="170"/>
      <c r="L395" s="170"/>
      <c r="M395" s="170"/>
    </row>
    <row r="396" spans="1:14" ht="19.350000000000001" customHeight="1">
      <c r="A396" s="177"/>
      <c r="B396" s="174"/>
      <c r="C396" s="174"/>
      <c r="D396" s="174"/>
      <c r="F396" s="169"/>
      <c r="G396" s="170"/>
      <c r="H396" s="170"/>
      <c r="I396" s="170"/>
      <c r="J396" s="170"/>
      <c r="K396" s="170"/>
      <c r="L396" s="170"/>
      <c r="M396" s="170"/>
    </row>
    <row r="397" spans="1:14" ht="19.350000000000001" customHeight="1">
      <c r="A397" s="177"/>
      <c r="B397" s="174"/>
      <c r="C397" s="174"/>
      <c r="D397" s="174"/>
      <c r="F397" s="169"/>
      <c r="G397" s="170"/>
      <c r="H397" s="170"/>
      <c r="I397" s="170"/>
      <c r="J397" s="170"/>
      <c r="K397" s="170"/>
      <c r="L397" s="170"/>
      <c r="M397" s="170"/>
    </row>
    <row r="398" spans="1:14" ht="19.350000000000001" customHeight="1">
      <c r="A398" s="177"/>
      <c r="B398" s="174"/>
      <c r="C398" s="174"/>
      <c r="D398" s="174"/>
      <c r="F398" s="169"/>
      <c r="G398" s="170"/>
      <c r="H398" s="170"/>
      <c r="I398" s="170"/>
      <c r="J398" s="170"/>
      <c r="K398" s="170"/>
      <c r="L398" s="170"/>
      <c r="M398" s="170"/>
    </row>
    <row r="399" spans="1:14" ht="19.350000000000001" customHeight="1">
      <c r="A399" s="177"/>
      <c r="B399" s="174"/>
      <c r="C399" s="174"/>
      <c r="D399" s="174"/>
      <c r="F399" s="169"/>
      <c r="G399" s="170"/>
      <c r="H399" s="170"/>
      <c r="I399" s="170"/>
      <c r="J399" s="170"/>
      <c r="K399" s="170"/>
      <c r="L399" s="170"/>
      <c r="M399" s="170"/>
    </row>
    <row r="400" spans="1:14" ht="19.350000000000001" customHeight="1">
      <c r="A400" s="2"/>
      <c r="B400" s="172"/>
      <c r="C400" s="174"/>
      <c r="D400" s="172"/>
      <c r="F400" s="169"/>
      <c r="G400" s="170"/>
      <c r="H400" s="170"/>
      <c r="I400" s="170"/>
      <c r="J400" s="170"/>
      <c r="K400" s="170"/>
      <c r="L400" s="170"/>
      <c r="M400" s="170"/>
      <c r="N400" s="169"/>
    </row>
    <row r="401" spans="1:14" ht="19.350000000000001" customHeight="1">
      <c r="B401" s="172"/>
      <c r="C401" s="174"/>
      <c r="D401" s="174"/>
      <c r="F401" s="169"/>
      <c r="G401" s="170"/>
      <c r="H401" s="170"/>
      <c r="I401" s="170"/>
      <c r="J401" s="170"/>
      <c r="K401" s="170"/>
      <c r="L401" s="184"/>
      <c r="M401" s="170"/>
      <c r="N401" s="169"/>
    </row>
    <row r="402" spans="1:14" ht="19.350000000000001" customHeight="1">
      <c r="A402" s="177"/>
      <c r="B402" s="174"/>
      <c r="C402" s="174"/>
      <c r="D402" s="174"/>
      <c r="F402" s="169"/>
      <c r="G402" s="170"/>
      <c r="H402" s="170"/>
      <c r="I402" s="170"/>
      <c r="J402" s="170"/>
      <c r="K402" s="170"/>
      <c r="L402" s="170"/>
      <c r="M402" s="170"/>
      <c r="N402" s="169"/>
    </row>
    <row r="403" spans="1:14" ht="19.350000000000001" customHeight="1">
      <c r="A403" s="177"/>
      <c r="B403" s="174"/>
      <c r="C403" s="174"/>
      <c r="D403" s="174"/>
      <c r="F403" s="169"/>
      <c r="G403" s="170"/>
      <c r="H403" s="170"/>
      <c r="I403" s="170"/>
      <c r="J403" s="170"/>
      <c r="K403" s="170"/>
      <c r="L403" s="170"/>
      <c r="M403" s="170"/>
      <c r="N403" s="169"/>
    </row>
    <row r="404" spans="1:14" ht="19.350000000000001" customHeight="1">
      <c r="A404" s="191"/>
      <c r="B404" s="174"/>
      <c r="C404" s="174"/>
      <c r="D404" s="174"/>
      <c r="F404" s="169"/>
      <c r="G404" s="170"/>
      <c r="H404" s="170"/>
      <c r="I404" s="170"/>
      <c r="J404" s="170"/>
      <c r="K404" s="170"/>
      <c r="L404" s="170"/>
      <c r="M404" s="170"/>
      <c r="N404" s="169"/>
    </row>
    <row r="405" spans="1:14" ht="19.350000000000001" customHeight="1">
      <c r="A405" s="2"/>
      <c r="B405" s="172"/>
      <c r="C405" s="174"/>
      <c r="D405" s="172"/>
      <c r="E405" s="170"/>
      <c r="F405" s="169"/>
      <c r="G405" s="170"/>
      <c r="H405" s="170"/>
      <c r="I405" s="170"/>
      <c r="J405" s="170"/>
      <c r="K405" s="170"/>
      <c r="L405" s="170"/>
      <c r="M405" s="170"/>
      <c r="N405" s="169"/>
    </row>
    <row r="406" spans="1:14" ht="19.350000000000001" customHeight="1">
      <c r="A406" s="2"/>
      <c r="B406" s="172"/>
      <c r="C406" s="174"/>
      <c r="D406" s="172"/>
      <c r="E406" s="170"/>
      <c r="F406" s="169"/>
      <c r="G406" s="170"/>
      <c r="H406" s="170"/>
      <c r="I406" s="170"/>
      <c r="J406" s="170"/>
      <c r="K406" s="170"/>
      <c r="L406" s="170"/>
      <c r="M406" s="170"/>
      <c r="N406" s="169"/>
    </row>
    <row r="407" spans="1:14" ht="19.350000000000001" customHeight="1">
      <c r="A407" s="2"/>
      <c r="B407" s="172"/>
      <c r="C407" s="174"/>
      <c r="D407" s="172"/>
      <c r="E407" s="170"/>
      <c r="F407" s="169"/>
      <c r="G407" s="170"/>
      <c r="H407" s="170"/>
      <c r="I407" s="170"/>
      <c r="J407" s="170"/>
      <c r="K407" s="170"/>
      <c r="L407" s="170"/>
      <c r="M407" s="170"/>
      <c r="N407" s="169"/>
    </row>
    <row r="408" spans="1:14" ht="19.350000000000001" customHeight="1">
      <c r="A408" s="2"/>
      <c r="B408" s="172"/>
      <c r="C408" s="174"/>
      <c r="D408" s="172"/>
      <c r="E408" s="170"/>
      <c r="F408" s="169"/>
      <c r="G408" s="170"/>
      <c r="H408" s="170"/>
      <c r="I408" s="170"/>
      <c r="J408" s="170"/>
      <c r="K408" s="170"/>
      <c r="L408" s="170"/>
      <c r="M408" s="170"/>
      <c r="N408" s="169"/>
    </row>
    <row r="409" spans="1:14" ht="19.350000000000001" customHeight="1">
      <c r="A409" s="179"/>
      <c r="B409" s="168"/>
      <c r="C409" s="187"/>
      <c r="D409" s="172"/>
      <c r="E409" s="170"/>
      <c r="F409" s="169"/>
      <c r="G409" s="170"/>
      <c r="H409" s="170"/>
      <c r="I409" s="170"/>
      <c r="J409" s="170"/>
      <c r="K409" s="170"/>
      <c r="L409" s="170"/>
      <c r="M409" s="170"/>
      <c r="N409" s="169"/>
    </row>
    <row r="410" spans="1:14" ht="19.350000000000001" customHeight="1">
      <c r="A410" s="179"/>
      <c r="B410" s="168"/>
      <c r="C410" s="187"/>
      <c r="D410" s="172"/>
      <c r="E410" s="170"/>
      <c r="F410" s="169"/>
      <c r="G410" s="170"/>
      <c r="H410" s="170"/>
      <c r="I410" s="170"/>
      <c r="J410" s="170"/>
      <c r="K410" s="170"/>
      <c r="L410" s="170"/>
      <c r="M410" s="170"/>
      <c r="N410" s="169"/>
    </row>
    <row r="411" spans="1:14" ht="19.350000000000001" customHeight="1">
      <c r="A411" s="167"/>
      <c r="B411" s="188"/>
      <c r="C411" s="187"/>
      <c r="D411" s="172"/>
      <c r="F411" s="169"/>
      <c r="G411" s="170"/>
      <c r="H411" s="170"/>
      <c r="I411" s="170"/>
      <c r="J411" s="170"/>
      <c r="K411" s="170"/>
      <c r="L411" s="170"/>
      <c r="M411" s="170"/>
      <c r="N411" s="169"/>
    </row>
    <row r="412" spans="1:14" ht="19.350000000000001" customHeight="1">
      <c r="A412" s="167"/>
      <c r="B412" s="168"/>
      <c r="C412" s="182"/>
      <c r="D412" s="189"/>
      <c r="F412" s="169"/>
      <c r="G412" s="170"/>
      <c r="H412" s="170"/>
      <c r="I412" s="170"/>
      <c r="J412" s="170"/>
      <c r="K412" s="170"/>
      <c r="L412" s="170"/>
      <c r="M412" s="170"/>
      <c r="N412" s="169"/>
    </row>
    <row r="413" spans="1:14" ht="19.350000000000001" customHeight="1">
      <c r="A413" s="167"/>
      <c r="B413" s="168"/>
      <c r="C413" s="186"/>
      <c r="D413" s="172"/>
      <c r="F413" s="169"/>
      <c r="G413" s="170"/>
      <c r="H413" s="170"/>
      <c r="I413" s="170"/>
      <c r="J413" s="170"/>
      <c r="K413" s="170"/>
      <c r="L413" s="170"/>
      <c r="M413" s="170"/>
      <c r="N413" s="169"/>
    </row>
    <row r="414" spans="1:14" ht="19.350000000000001" customHeight="1">
      <c r="A414" s="2"/>
      <c r="B414" s="168"/>
      <c r="C414" s="186"/>
      <c r="D414" s="168"/>
      <c r="F414" s="169"/>
      <c r="G414" s="170"/>
      <c r="H414" s="170"/>
      <c r="I414" s="170"/>
      <c r="J414" s="170"/>
      <c r="K414" s="170"/>
      <c r="L414" s="170"/>
      <c r="M414" s="170"/>
      <c r="N414" s="169"/>
    </row>
    <row r="415" spans="1:14" ht="19.350000000000001" customHeight="1">
      <c r="A415" s="167"/>
      <c r="B415" s="168"/>
      <c r="C415" s="186"/>
      <c r="D415" s="172"/>
      <c r="F415" s="169"/>
      <c r="G415" s="170"/>
      <c r="H415" s="170"/>
      <c r="I415" s="170"/>
      <c r="J415" s="170"/>
      <c r="K415" s="170"/>
      <c r="L415" s="170"/>
      <c r="M415" s="170"/>
      <c r="N415" s="169"/>
    </row>
    <row r="416" spans="1:14" ht="19.350000000000001" customHeight="1">
      <c r="A416" s="167"/>
      <c r="B416" s="174"/>
      <c r="C416" s="174"/>
      <c r="D416" s="174"/>
      <c r="F416" s="169"/>
      <c r="G416" s="170"/>
      <c r="H416" s="170"/>
      <c r="I416" s="170"/>
      <c r="J416" s="170"/>
      <c r="K416" s="170"/>
      <c r="L416" s="170"/>
      <c r="M416" s="170"/>
      <c r="N416" s="169"/>
    </row>
    <row r="417" spans="1:14" ht="19.350000000000001" customHeight="1">
      <c r="B417" s="174"/>
      <c r="C417" s="174"/>
      <c r="D417" s="174"/>
      <c r="F417" s="169"/>
      <c r="G417" s="170"/>
      <c r="H417" s="170"/>
      <c r="I417" s="170"/>
      <c r="J417" s="170"/>
      <c r="K417" s="170"/>
      <c r="L417" s="170"/>
      <c r="M417" s="170"/>
      <c r="N417" s="169"/>
    </row>
    <row r="418" spans="1:14" ht="19.350000000000001" customHeight="1">
      <c r="B418" s="174"/>
      <c r="C418" s="174"/>
      <c r="D418" s="174"/>
      <c r="F418" s="169"/>
      <c r="G418" s="170"/>
      <c r="H418" s="170"/>
      <c r="I418" s="170"/>
      <c r="J418" s="170"/>
      <c r="K418" s="170"/>
      <c r="L418" s="170"/>
      <c r="M418" s="170"/>
      <c r="N418" s="169"/>
    </row>
    <row r="419" spans="1:14" ht="19.350000000000001" customHeight="1">
      <c r="A419" s="179"/>
      <c r="B419" s="182"/>
      <c r="C419" s="182"/>
      <c r="D419" s="172"/>
      <c r="E419" s="170"/>
      <c r="F419" s="169"/>
      <c r="G419" s="170"/>
      <c r="H419" s="170"/>
      <c r="I419" s="170"/>
      <c r="J419" s="170"/>
      <c r="K419" s="170"/>
      <c r="L419" s="184"/>
      <c r="M419" s="170"/>
      <c r="N419" s="169"/>
    </row>
    <row r="420" spans="1:14" ht="19.350000000000001" customHeight="1">
      <c r="A420" s="179"/>
      <c r="B420" s="182"/>
      <c r="C420" s="182"/>
      <c r="D420" s="172"/>
      <c r="E420" s="170"/>
      <c r="F420" s="169"/>
      <c r="G420" s="170"/>
      <c r="H420" s="170"/>
      <c r="I420" s="170"/>
      <c r="J420" s="170"/>
      <c r="K420" s="170"/>
      <c r="L420" s="184"/>
      <c r="M420" s="170"/>
      <c r="N420" s="169"/>
    </row>
    <row r="421" spans="1:14" ht="19.350000000000001" customHeight="1">
      <c r="A421" s="177"/>
      <c r="B421" s="174"/>
      <c r="C421" s="174"/>
      <c r="D421" s="174"/>
      <c r="F421" s="169"/>
      <c r="G421" s="170"/>
      <c r="H421" s="170"/>
      <c r="I421" s="170"/>
      <c r="J421" s="170"/>
      <c r="K421" s="170"/>
      <c r="L421" s="170"/>
      <c r="M421" s="170"/>
    </row>
    <row r="422" spans="1:14" ht="19.350000000000001" customHeight="1">
      <c r="A422" s="177"/>
      <c r="B422" s="174"/>
      <c r="C422" s="174"/>
      <c r="D422" s="174"/>
      <c r="F422" s="169"/>
      <c r="G422" s="170"/>
      <c r="H422" s="170"/>
      <c r="I422" s="170"/>
      <c r="J422" s="170"/>
      <c r="K422" s="170"/>
      <c r="L422" s="170"/>
      <c r="M422" s="170"/>
    </row>
    <row r="423" spans="1:14" ht="19.350000000000001" customHeight="1">
      <c r="A423" s="177"/>
      <c r="B423" s="174"/>
      <c r="C423" s="174"/>
      <c r="D423" s="174"/>
      <c r="F423" s="169"/>
      <c r="G423" s="170"/>
      <c r="H423" s="170"/>
      <c r="I423" s="170"/>
      <c r="J423" s="170"/>
      <c r="K423" s="170"/>
      <c r="L423" s="170"/>
      <c r="M423" s="170"/>
    </row>
    <row r="424" spans="1:14" ht="19.350000000000001" customHeight="1">
      <c r="A424" s="177"/>
      <c r="B424" s="174"/>
      <c r="C424" s="174"/>
      <c r="D424" s="174"/>
      <c r="F424" s="169"/>
      <c r="G424" s="170"/>
      <c r="H424" s="170"/>
      <c r="I424" s="170"/>
      <c r="J424" s="170"/>
      <c r="K424" s="170"/>
      <c r="L424" s="170"/>
      <c r="M424" s="170"/>
    </row>
    <row r="425" spans="1:14" ht="19.350000000000001" customHeight="1">
      <c r="A425" s="177"/>
      <c r="B425" s="174"/>
      <c r="C425" s="174"/>
      <c r="D425" s="174"/>
      <c r="F425" s="169"/>
      <c r="G425" s="170"/>
      <c r="H425" s="170"/>
      <c r="I425" s="170"/>
      <c r="J425" s="170"/>
      <c r="K425" s="170"/>
      <c r="L425" s="170"/>
      <c r="M425" s="170"/>
    </row>
    <row r="426" spans="1:14" ht="19.350000000000001" customHeight="1">
      <c r="A426" s="177"/>
      <c r="B426" s="174"/>
      <c r="C426" s="174"/>
      <c r="D426" s="174"/>
      <c r="F426" s="169"/>
      <c r="G426" s="170"/>
      <c r="H426" s="170"/>
      <c r="I426" s="170"/>
      <c r="J426" s="170"/>
      <c r="K426" s="170"/>
      <c r="L426" s="170"/>
      <c r="M426" s="170"/>
    </row>
    <row r="427" spans="1:14" ht="19.350000000000001" customHeight="1">
      <c r="A427" s="177"/>
      <c r="B427" s="174"/>
      <c r="C427" s="174"/>
      <c r="D427" s="174"/>
      <c r="F427" s="169"/>
      <c r="G427" s="170"/>
      <c r="H427" s="170"/>
      <c r="I427" s="170"/>
      <c r="J427" s="170"/>
      <c r="K427" s="170"/>
      <c r="L427" s="170"/>
      <c r="M427" s="170"/>
    </row>
    <row r="428" spans="1:14" ht="19.350000000000001" customHeight="1">
      <c r="A428" s="2"/>
      <c r="B428" s="172"/>
      <c r="C428" s="174"/>
      <c r="D428" s="172"/>
      <c r="F428" s="169"/>
      <c r="G428" s="170"/>
      <c r="H428" s="170"/>
      <c r="I428" s="170"/>
      <c r="J428" s="170"/>
      <c r="K428" s="170"/>
      <c r="L428" s="170"/>
      <c r="M428" s="170"/>
      <c r="N428" s="169"/>
    </row>
    <row r="429" spans="1:14" ht="19.350000000000001" customHeight="1">
      <c r="B429" s="172"/>
      <c r="C429" s="174"/>
      <c r="D429" s="174"/>
      <c r="F429" s="169"/>
      <c r="G429" s="170"/>
      <c r="H429" s="170"/>
      <c r="I429" s="170"/>
      <c r="J429" s="170"/>
      <c r="K429" s="170"/>
      <c r="L429" s="184"/>
      <c r="M429" s="170"/>
      <c r="N429" s="169"/>
    </row>
    <row r="430" spans="1:14" ht="19.350000000000001" customHeight="1">
      <c r="A430" s="177"/>
      <c r="B430" s="174"/>
      <c r="C430" s="174"/>
      <c r="D430" s="174"/>
      <c r="F430" s="169"/>
      <c r="G430" s="170"/>
      <c r="H430" s="170"/>
      <c r="I430" s="170"/>
      <c r="J430" s="170"/>
      <c r="K430" s="170"/>
      <c r="L430" s="170"/>
      <c r="M430" s="170"/>
      <c r="N430" s="169"/>
    </row>
    <row r="431" spans="1:14" ht="19.350000000000001" customHeight="1">
      <c r="A431" s="177"/>
      <c r="B431" s="174"/>
      <c r="C431" s="174"/>
      <c r="D431" s="174"/>
      <c r="F431" s="169"/>
      <c r="G431" s="170"/>
      <c r="H431" s="170"/>
      <c r="I431" s="170"/>
      <c r="J431" s="170"/>
      <c r="K431" s="170"/>
      <c r="L431" s="170"/>
      <c r="M431" s="170"/>
      <c r="N431" s="169"/>
    </row>
    <row r="432" spans="1:14" ht="19.350000000000001" customHeight="1">
      <c r="A432" s="191"/>
      <c r="B432" s="174"/>
      <c r="C432" s="174"/>
      <c r="D432" s="174"/>
      <c r="F432" s="169"/>
      <c r="G432" s="170"/>
      <c r="H432" s="170"/>
      <c r="I432" s="170"/>
      <c r="J432" s="170"/>
      <c r="K432" s="170"/>
      <c r="L432" s="170"/>
      <c r="M432" s="170"/>
      <c r="N432" s="169"/>
    </row>
    <row r="433" spans="1:14" ht="19.350000000000001" customHeight="1">
      <c r="A433" s="2"/>
      <c r="B433" s="172"/>
      <c r="C433" s="174"/>
      <c r="D433" s="172"/>
      <c r="E433" s="170"/>
      <c r="F433" s="169"/>
      <c r="G433" s="170"/>
      <c r="H433" s="170"/>
      <c r="I433" s="170"/>
      <c r="J433" s="170"/>
      <c r="K433" s="170"/>
      <c r="L433" s="170"/>
      <c r="M433" s="170"/>
      <c r="N433" s="169"/>
    </row>
    <row r="434" spans="1:14" ht="19.350000000000001" customHeight="1">
      <c r="A434" s="2"/>
      <c r="B434" s="172"/>
      <c r="C434" s="174"/>
      <c r="D434" s="172"/>
      <c r="E434" s="170"/>
      <c r="F434" s="169"/>
      <c r="G434" s="170"/>
      <c r="H434" s="170"/>
      <c r="I434" s="170"/>
      <c r="J434" s="170"/>
      <c r="K434" s="170"/>
      <c r="L434" s="170"/>
      <c r="M434" s="170"/>
      <c r="N434" s="169"/>
    </row>
    <row r="435" spans="1:14" ht="19.350000000000001" customHeight="1">
      <c r="A435" s="2"/>
      <c r="B435" s="172"/>
      <c r="C435" s="174"/>
      <c r="D435" s="172"/>
      <c r="E435" s="170"/>
      <c r="F435" s="169"/>
      <c r="G435" s="170"/>
      <c r="H435" s="170"/>
      <c r="I435" s="170"/>
      <c r="J435" s="170"/>
      <c r="K435" s="170"/>
      <c r="L435" s="170"/>
      <c r="M435" s="170"/>
      <c r="N435" s="169"/>
    </row>
    <row r="436" spans="1:14" ht="19.350000000000001" customHeight="1">
      <c r="A436" s="2"/>
      <c r="B436" s="172"/>
      <c r="C436" s="174"/>
      <c r="D436" s="172"/>
      <c r="E436" s="170"/>
      <c r="F436" s="169"/>
      <c r="G436" s="170"/>
      <c r="H436" s="170"/>
      <c r="I436" s="170"/>
      <c r="J436" s="170"/>
      <c r="K436" s="170"/>
      <c r="L436" s="170"/>
      <c r="M436" s="170"/>
      <c r="N436" s="169"/>
    </row>
    <row r="437" spans="1:14" ht="19.350000000000001" customHeight="1">
      <c r="A437" s="179"/>
      <c r="B437" s="168"/>
      <c r="C437" s="187"/>
      <c r="D437" s="172"/>
      <c r="E437" s="170"/>
      <c r="F437" s="169"/>
      <c r="G437" s="170"/>
      <c r="H437" s="170"/>
      <c r="I437" s="170"/>
      <c r="J437" s="170"/>
      <c r="K437" s="170"/>
      <c r="L437" s="170"/>
      <c r="M437" s="170"/>
      <c r="N437" s="169"/>
    </row>
    <row r="438" spans="1:14" ht="19.350000000000001" customHeight="1">
      <c r="A438" s="179"/>
      <c r="B438" s="168"/>
      <c r="C438" s="187"/>
      <c r="D438" s="172"/>
      <c r="E438" s="170"/>
      <c r="F438" s="169"/>
      <c r="G438" s="170"/>
      <c r="H438" s="170"/>
      <c r="I438" s="170"/>
      <c r="J438" s="170"/>
      <c r="K438" s="170"/>
      <c r="L438" s="170"/>
      <c r="M438" s="170"/>
      <c r="N438" s="169"/>
    </row>
    <row r="439" spans="1:14" ht="19.350000000000001" customHeight="1">
      <c r="A439" s="167"/>
      <c r="B439" s="188"/>
      <c r="C439" s="187"/>
      <c r="D439" s="172"/>
      <c r="F439" s="169"/>
      <c r="G439" s="170"/>
      <c r="H439" s="170"/>
      <c r="I439" s="170"/>
      <c r="J439" s="170"/>
      <c r="K439" s="170"/>
      <c r="L439" s="170"/>
      <c r="M439" s="170"/>
      <c r="N439" s="169"/>
    </row>
    <row r="440" spans="1:14" ht="19.350000000000001" customHeight="1">
      <c r="A440" s="167"/>
      <c r="B440" s="168"/>
      <c r="C440" s="182"/>
      <c r="D440" s="189"/>
      <c r="F440" s="169"/>
      <c r="G440" s="170"/>
      <c r="H440" s="170"/>
      <c r="I440" s="170"/>
      <c r="J440" s="170"/>
      <c r="K440" s="170"/>
      <c r="L440" s="170"/>
      <c r="M440" s="170"/>
      <c r="N440" s="169"/>
    </row>
    <row r="441" spans="1:14" ht="19.350000000000001" customHeight="1">
      <c r="A441" s="167"/>
      <c r="B441" s="168"/>
      <c r="C441" s="186"/>
      <c r="D441" s="172"/>
      <c r="F441" s="169"/>
      <c r="G441" s="170"/>
      <c r="H441" s="170"/>
      <c r="I441" s="170"/>
      <c r="J441" s="170"/>
      <c r="K441" s="170"/>
      <c r="L441" s="170"/>
      <c r="M441" s="170"/>
      <c r="N441" s="169"/>
    </row>
    <row r="442" spans="1:14" ht="19.350000000000001" customHeight="1">
      <c r="A442" s="2"/>
      <c r="B442" s="168"/>
      <c r="C442" s="186"/>
      <c r="D442" s="168"/>
      <c r="F442" s="169"/>
      <c r="G442" s="170"/>
      <c r="H442" s="170"/>
      <c r="I442" s="170"/>
      <c r="J442" s="170"/>
      <c r="K442" s="170"/>
      <c r="L442" s="170"/>
      <c r="M442" s="170"/>
      <c r="N442" s="169"/>
    </row>
    <row r="443" spans="1:14" ht="19.350000000000001" customHeight="1">
      <c r="A443" s="167"/>
      <c r="B443" s="168"/>
      <c r="C443" s="186"/>
      <c r="D443" s="172"/>
      <c r="F443" s="169"/>
      <c r="G443" s="170"/>
      <c r="H443" s="170"/>
      <c r="I443" s="170"/>
      <c r="J443" s="170"/>
      <c r="K443" s="170"/>
      <c r="L443" s="170"/>
      <c r="M443" s="170"/>
      <c r="N443" s="169"/>
    </row>
    <row r="444" spans="1:14" ht="19.350000000000001" customHeight="1">
      <c r="A444" s="167"/>
      <c r="B444" s="174"/>
      <c r="C444" s="174"/>
      <c r="D444" s="174"/>
      <c r="F444" s="169"/>
      <c r="G444" s="170"/>
      <c r="H444" s="170"/>
      <c r="I444" s="170"/>
      <c r="J444" s="170"/>
      <c r="K444" s="170"/>
      <c r="L444" s="170"/>
      <c r="M444" s="170"/>
      <c r="N444" s="169"/>
    </row>
    <row r="445" spans="1:14" ht="19.350000000000001" customHeight="1">
      <c r="B445" s="174"/>
      <c r="C445" s="174"/>
      <c r="D445" s="174"/>
      <c r="F445" s="169"/>
      <c r="G445" s="170"/>
      <c r="H445" s="170"/>
      <c r="I445" s="170"/>
      <c r="J445" s="170"/>
      <c r="K445" s="170"/>
      <c r="L445" s="170"/>
      <c r="M445" s="170"/>
      <c r="N445" s="169"/>
    </row>
    <row r="446" spans="1:14" ht="19.350000000000001" customHeight="1">
      <c r="B446" s="174"/>
      <c r="C446" s="174"/>
      <c r="D446" s="174"/>
      <c r="F446" s="169"/>
      <c r="G446" s="170"/>
      <c r="H446" s="170"/>
      <c r="I446" s="170"/>
      <c r="J446" s="170"/>
      <c r="K446" s="170"/>
      <c r="L446" s="170"/>
      <c r="M446" s="170"/>
      <c r="N446" s="169"/>
    </row>
    <row r="447" spans="1:14" ht="19.350000000000001" customHeight="1">
      <c r="G447" s="170"/>
      <c r="H447" s="170"/>
      <c r="I447" s="170"/>
      <c r="J447" s="170"/>
      <c r="K447" s="170"/>
      <c r="L447" s="170"/>
      <c r="M447" s="170"/>
    </row>
  </sheetData>
  <mergeCells count="22">
    <mergeCell ref="B77:D77"/>
    <mergeCell ref="B86:D86"/>
    <mergeCell ref="A5:A6"/>
    <mergeCell ref="E5:E6"/>
    <mergeCell ref="F5:F6"/>
    <mergeCell ref="B29:D29"/>
    <mergeCell ref="B44:D44"/>
    <mergeCell ref="B51:D51"/>
    <mergeCell ref="B66:D66"/>
    <mergeCell ref="B72:D72"/>
    <mergeCell ref="B16:D16"/>
    <mergeCell ref="B20:D20"/>
    <mergeCell ref="B21:D21"/>
    <mergeCell ref="N5:N6"/>
    <mergeCell ref="B5:D6"/>
    <mergeCell ref="G5:I5"/>
    <mergeCell ref="J5:L5"/>
    <mergeCell ref="A1:C1"/>
    <mergeCell ref="D1:I1"/>
    <mergeCell ref="L1:N1"/>
    <mergeCell ref="A2:C2"/>
    <mergeCell ref="A3:C3"/>
  </mergeCells>
  <printOptions horizontalCentered="1"/>
  <pageMargins left="0.39370078740157499" right="0.39370078740157499" top="0.94488188976377996" bottom="0" header="0.59055118110236204" footer="0"/>
  <pageSetup paperSize="9" scale="83" firstPageNumber="164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  แผ่นที่ &amp;P/166</oddHeader>
  </headerFooter>
  <rowBreaks count="12" manualBreakCount="12">
    <brk id="30" max="13" man="1"/>
    <brk id="58" max="13" man="1"/>
    <brk id="110" max="11" man="1"/>
    <brk id="138" max="11" man="1"/>
    <brk id="166" max="11" man="1"/>
    <brk id="194" max="11" man="1"/>
    <brk id="222" max="11" man="1"/>
    <brk id="250" max="11" man="1"/>
    <brk id="278" max="11" man="1"/>
    <brk id="306" max="11" man="1"/>
    <brk id="334" max="11" man="1"/>
    <brk id="362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M82"/>
  <sheetViews>
    <sheetView view="pageBreakPreview" topLeftCell="A10" zoomScaleNormal="100" workbookViewId="0">
      <selection activeCell="H26" sqref="H26"/>
    </sheetView>
  </sheetViews>
  <sheetFormatPr defaultColWidth="9.1796875" defaultRowHeight="20.25" customHeight="1"/>
  <cols>
    <col min="1" max="1" width="8.7265625" style="444" customWidth="1"/>
    <col min="2" max="2" width="35.54296875" style="444" customWidth="1"/>
    <col min="3" max="3" width="20.7265625" style="444" customWidth="1"/>
    <col min="4" max="4" width="16.1796875" style="444" customWidth="1"/>
    <col min="5" max="7" width="20.7265625" style="444" customWidth="1"/>
    <col min="8" max="8" width="16.81640625" style="445" customWidth="1"/>
    <col min="9" max="9" width="18.81640625" style="445" customWidth="1"/>
    <col min="10" max="10" width="29.7265625" style="445" customWidth="1"/>
    <col min="11" max="16384" width="9.1796875" style="444"/>
  </cols>
  <sheetData>
    <row r="1" spans="1:13" ht="27" customHeight="1">
      <c r="E1" s="446"/>
      <c r="F1" s="446" t="s">
        <v>3577</v>
      </c>
      <c r="G1" s="446"/>
    </row>
    <row r="2" spans="1:13" s="442" customFormat="1" ht="27" customHeight="1">
      <c r="A2" s="1206" t="s">
        <v>3578</v>
      </c>
      <c r="B2" s="1206"/>
      <c r="C2" s="1206"/>
      <c r="D2" s="1206"/>
      <c r="E2" s="1206"/>
      <c r="F2" s="1206"/>
      <c r="G2" s="447"/>
      <c r="H2" s="448"/>
      <c r="I2" s="448"/>
      <c r="J2" s="448"/>
    </row>
    <row r="3" spans="1:13" s="442" customFormat="1" ht="27" customHeight="1">
      <c r="A3" s="447"/>
      <c r="B3" s="447"/>
      <c r="C3" s="447"/>
      <c r="D3" s="447"/>
      <c r="E3" s="447"/>
      <c r="F3" s="447"/>
      <c r="G3" s="447"/>
      <c r="H3" s="448"/>
      <c r="I3" s="448"/>
      <c r="J3" s="448"/>
    </row>
    <row r="4" spans="1:13" s="443" customFormat="1" ht="50.1" customHeight="1">
      <c r="A4" s="449" t="s">
        <v>123</v>
      </c>
      <c r="B4" s="449"/>
      <c r="C4" s="1228" t="str">
        <f>+'RKCA1_ปร.5 (ก)'!C4</f>
        <v>โครงการจัดตั้งศูนย์การเรียนรู้แห่งชาติ OKMD : OKMD National Knowledge Center (Ratchadamnoen Center 1 และ 2)</v>
      </c>
      <c r="D4" s="1228"/>
      <c r="E4" s="1228"/>
      <c r="F4" s="1228"/>
      <c r="G4" s="450"/>
      <c r="H4" s="451"/>
      <c r="I4" s="505"/>
      <c r="J4" s="505"/>
    </row>
    <row r="5" spans="1:13" ht="27" customHeight="1">
      <c r="A5" s="452" t="s">
        <v>125</v>
      </c>
      <c r="B5" s="452"/>
      <c r="C5" s="453" t="str">
        <f>+'RKCA1_ปร.5 (ก)'!C5</f>
        <v>แขวงตลาดยอด เขตพระนคร กรุงเทพมหานคร</v>
      </c>
      <c r="D5" s="454"/>
      <c r="E5" s="454"/>
      <c r="F5" s="454"/>
      <c r="G5" s="455"/>
    </row>
    <row r="6" spans="1:13" ht="27" customHeight="1">
      <c r="A6" s="452" t="s">
        <v>127</v>
      </c>
      <c r="B6" s="452"/>
      <c r="C6" s="454" t="s">
        <v>128</v>
      </c>
      <c r="D6" s="454"/>
      <c r="E6" s="454"/>
      <c r="F6" s="454"/>
      <c r="G6" s="455"/>
      <c r="I6" s="501"/>
      <c r="J6" s="501"/>
    </row>
    <row r="7" spans="1:13" ht="27" customHeight="1">
      <c r="A7" s="452" t="s">
        <v>129</v>
      </c>
      <c r="B7" s="452"/>
      <c r="C7" s="1208" t="s">
        <v>130</v>
      </c>
      <c r="D7" s="1208"/>
      <c r="E7" s="1208"/>
      <c r="F7" s="1208"/>
      <c r="G7" s="456"/>
      <c r="I7" s="1388"/>
      <c r="J7" s="1206"/>
      <c r="K7" s="1206"/>
      <c r="L7" s="1206"/>
      <c r="M7" s="1206"/>
    </row>
    <row r="8" spans="1:13" ht="27" customHeight="1">
      <c r="A8" s="452" t="s">
        <v>3579</v>
      </c>
      <c r="B8" s="452"/>
      <c r="C8" s="454" t="s">
        <v>3580</v>
      </c>
      <c r="D8" s="454"/>
      <c r="E8" s="454"/>
      <c r="F8" s="454"/>
      <c r="G8" s="455"/>
      <c r="I8" s="1388"/>
      <c r="J8" s="1206"/>
      <c r="K8" s="1206"/>
      <c r="L8" s="1206"/>
      <c r="M8" s="1206"/>
    </row>
    <row r="9" spans="1:13" ht="27" customHeight="1">
      <c r="A9" s="452" t="s">
        <v>133</v>
      </c>
      <c r="B9" s="452"/>
      <c r="C9" s="454" t="str">
        <f>+'RKCA1_ปร.5 (ก)'!C9</f>
        <v>คณะกรรมการกำหนดราคากลาง</v>
      </c>
      <c r="D9" s="457"/>
      <c r="E9" s="458"/>
      <c r="F9" s="459"/>
      <c r="G9" s="460"/>
      <c r="I9" s="499"/>
      <c r="J9" s="499"/>
      <c r="K9" s="447"/>
      <c r="L9" s="447"/>
      <c r="M9" s="447"/>
    </row>
    <row r="10" spans="1:13" ht="27" customHeight="1">
      <c r="A10" s="458" t="s">
        <v>135</v>
      </c>
      <c r="B10" s="461"/>
      <c r="C10" s="454" t="str">
        <f>+'RKCA1_ปร.5 (ก)'!C10</f>
        <v xml:space="preserve">  16 กรกฎาคม 2568</v>
      </c>
      <c r="D10" s="461"/>
      <c r="E10" s="461"/>
      <c r="F10" s="461"/>
      <c r="G10" s="447"/>
    </row>
    <row r="11" spans="1:13" ht="27" customHeight="1">
      <c r="B11" s="462"/>
    </row>
    <row r="12" spans="1:13" s="442" customFormat="1" ht="27" customHeight="1">
      <c r="A12" s="1220" t="s">
        <v>137</v>
      </c>
      <c r="B12" s="1386" t="s">
        <v>138</v>
      </c>
      <c r="C12" s="463" t="s">
        <v>158</v>
      </c>
      <c r="D12" s="1216" t="s">
        <v>3581</v>
      </c>
      <c r="E12" s="463" t="s">
        <v>160</v>
      </c>
      <c r="F12" s="1221" t="s">
        <v>140</v>
      </c>
      <c r="G12" s="1216"/>
      <c r="H12" s="448"/>
      <c r="I12" s="448"/>
      <c r="J12" s="445"/>
    </row>
    <row r="13" spans="1:13" s="442" customFormat="1" ht="27" customHeight="1">
      <c r="A13" s="1222"/>
      <c r="B13" s="1387"/>
      <c r="C13" s="465" t="s">
        <v>161</v>
      </c>
      <c r="D13" s="1217"/>
      <c r="E13" s="465" t="s">
        <v>161</v>
      </c>
      <c r="F13" s="1223"/>
      <c r="G13" s="1217"/>
      <c r="H13" s="448"/>
      <c r="I13" s="448"/>
      <c r="J13" s="448"/>
    </row>
    <row r="14" spans="1:13" ht="27" customHeight="1">
      <c r="A14" s="466"/>
      <c r="B14" s="467" t="s">
        <v>144</v>
      </c>
      <c r="C14" s="468"/>
      <c r="D14" s="469"/>
      <c r="E14" s="470"/>
      <c r="F14" s="470"/>
      <c r="G14" s="470"/>
      <c r="H14" s="448"/>
      <c r="I14" s="448"/>
    </row>
    <row r="15" spans="1:13" ht="27" customHeight="1">
      <c r="A15" s="471"/>
      <c r="B15" s="472" t="s">
        <v>162</v>
      </c>
      <c r="C15" s="473"/>
      <c r="D15" s="474"/>
      <c r="E15" s="475"/>
      <c r="F15" s="475"/>
      <c r="G15" s="475"/>
    </row>
    <row r="16" spans="1:13" ht="27" customHeight="1">
      <c r="A16" s="476">
        <v>1</v>
      </c>
      <c r="B16" s="477" t="s">
        <v>3582</v>
      </c>
      <c r="C16" s="478">
        <v>55956542.747113399</v>
      </c>
      <c r="D16" s="478">
        <f>C16*7%</f>
        <v>3916957.9922979381</v>
      </c>
      <c r="E16" s="479">
        <f>C16+D16</f>
        <v>59873500.739411339</v>
      </c>
      <c r="F16" s="480"/>
      <c r="G16" s="481"/>
    </row>
    <row r="17" spans="1:8" ht="27" customHeight="1">
      <c r="A17" s="476">
        <v>2</v>
      </c>
      <c r="B17" s="482" t="s">
        <v>3583</v>
      </c>
      <c r="C17" s="479">
        <f>RKCA1_LF!L14</f>
        <v>24899952.936958492</v>
      </c>
      <c r="D17" s="478">
        <f t="shared" ref="D17:D22" si="0">C17*7%</f>
        <v>1742996.7055870946</v>
      </c>
      <c r="E17" s="479">
        <f t="shared" ref="E17:E22" si="1">C17+D17</f>
        <v>26642949.642545588</v>
      </c>
      <c r="F17" s="480"/>
      <c r="G17" s="481"/>
    </row>
    <row r="18" spans="1:8" ht="27" customHeight="1">
      <c r="A18" s="476">
        <v>3</v>
      </c>
      <c r="B18" s="482" t="s">
        <v>3584</v>
      </c>
      <c r="C18" s="483">
        <f>'RKCA1_LE &amp;FB'!L14</f>
        <v>24408640.995007098</v>
      </c>
      <c r="D18" s="478">
        <f t="shared" si="0"/>
        <v>1708604.8696504971</v>
      </c>
      <c r="E18" s="479">
        <f t="shared" si="1"/>
        <v>26117245.864657596</v>
      </c>
      <c r="F18" s="480"/>
      <c r="G18" s="481"/>
    </row>
    <row r="19" spans="1:8" ht="27" customHeight="1">
      <c r="A19" s="476">
        <v>4</v>
      </c>
      <c r="B19" s="482" t="s">
        <v>3585</v>
      </c>
      <c r="C19" s="484">
        <f>'RKCA1_AV '!M20</f>
        <v>17157979.399751492</v>
      </c>
      <c r="D19" s="478">
        <f t="shared" si="0"/>
        <v>1201058.5579826045</v>
      </c>
      <c r="E19" s="479">
        <f t="shared" si="1"/>
        <v>18359037.957734097</v>
      </c>
      <c r="F19" s="480"/>
      <c r="G19" s="481"/>
    </row>
    <row r="20" spans="1:8" ht="27" customHeight="1">
      <c r="A20" s="476">
        <v>5</v>
      </c>
      <c r="B20" s="482" t="s">
        <v>3586</v>
      </c>
      <c r="C20" s="485">
        <f>RKCA1_CURTAIN!L12</f>
        <v>5895882.2639548415</v>
      </c>
      <c r="D20" s="478">
        <f t="shared" si="0"/>
        <v>412711.75847683894</v>
      </c>
      <c r="E20" s="479">
        <f t="shared" si="1"/>
        <v>6308594.0224316809</v>
      </c>
      <c r="F20" s="480"/>
      <c r="G20" s="481"/>
    </row>
    <row r="21" spans="1:8" ht="27" customHeight="1">
      <c r="A21" s="476">
        <v>6</v>
      </c>
      <c r="B21" s="486" t="s">
        <v>3587</v>
      </c>
      <c r="C21" s="483">
        <f>RKCA1_SIGNAGE!M12</f>
        <v>5650958.1992867999</v>
      </c>
      <c r="D21" s="478">
        <f t="shared" si="0"/>
        <v>395567.07395007601</v>
      </c>
      <c r="E21" s="479">
        <f t="shared" si="1"/>
        <v>6046525.2732368764</v>
      </c>
      <c r="F21" s="480"/>
      <c r="G21" s="481"/>
    </row>
    <row r="22" spans="1:8" ht="27" customHeight="1">
      <c r="A22" s="476">
        <v>7</v>
      </c>
      <c r="B22" s="487" t="s">
        <v>3588</v>
      </c>
      <c r="C22" s="483">
        <f>SOFTSCAPE!M13</f>
        <v>5161981.6576368129</v>
      </c>
      <c r="D22" s="478">
        <f t="shared" si="0"/>
        <v>361338.71603457694</v>
      </c>
      <c r="E22" s="479">
        <f t="shared" si="1"/>
        <v>5523320.3736713901</v>
      </c>
      <c r="F22" s="480"/>
      <c r="G22" s="481"/>
    </row>
    <row r="23" spans="1:8" ht="27" customHeight="1">
      <c r="A23" s="476"/>
      <c r="B23" s="488"/>
      <c r="C23" s="489"/>
      <c r="D23" s="476"/>
      <c r="E23" s="490"/>
      <c r="F23" s="475"/>
      <c r="G23" s="481"/>
    </row>
    <row r="24" spans="1:8" ht="27" customHeight="1">
      <c r="A24" s="476"/>
      <c r="B24" s="488"/>
      <c r="C24" s="489"/>
      <c r="D24" s="476"/>
      <c r="E24" s="490"/>
      <c r="F24" s="475"/>
      <c r="G24" s="481"/>
    </row>
    <row r="25" spans="1:8" ht="27" customHeight="1">
      <c r="A25" s="464" t="s">
        <v>149</v>
      </c>
      <c r="B25" s="1224" t="s">
        <v>176</v>
      </c>
      <c r="C25" s="1225"/>
      <c r="D25" s="1226"/>
      <c r="E25" s="491">
        <f>SUM(E14:E24)</f>
        <v>148871173.87368855</v>
      </c>
      <c r="F25" s="492"/>
      <c r="G25" s="481">
        <v>159236166.97</v>
      </c>
      <c r="H25" s="445">
        <f>G25*0.934908047</f>
        <v>148871173.87368861</v>
      </c>
    </row>
    <row r="26" spans="1:8" ht="27" customHeight="1">
      <c r="A26" s="493"/>
      <c r="B26" s="494" t="str">
        <f>"("&amp;BAHTTEXT(E25)&amp;")"</f>
        <v>(หนึ่งร้อยสี่สิบแปดล้านแปดแสนเจ็ดหมื่นหนึ่งพันหนึ่งร้อยเจ็ดสิบสามบาทแปดสิบเจ็ดสตางค์)</v>
      </c>
      <c r="C26" s="495"/>
      <c r="D26" s="495"/>
      <c r="E26" s="496"/>
      <c r="F26" s="497"/>
      <c r="G26" s="481"/>
    </row>
    <row r="27" spans="1:8" ht="27" customHeight="1">
      <c r="B27" s="498" t="s">
        <v>177</v>
      </c>
      <c r="C27" s="499">
        <f>+'RKCA1_ปร.5 (ก)'!C33</f>
        <v>16450</v>
      </c>
      <c r="D27" s="444" t="s">
        <v>178</v>
      </c>
      <c r="G27" s="481"/>
    </row>
    <row r="28" spans="1:8" ht="27" customHeight="1">
      <c r="B28" s="498" t="s">
        <v>179</v>
      </c>
      <c r="C28" s="499">
        <f>+E25/C27</f>
        <v>9049.9193844187575</v>
      </c>
      <c r="D28" s="444" t="s">
        <v>180</v>
      </c>
      <c r="G28" s="481"/>
    </row>
    <row r="29" spans="1:8" ht="26.25">
      <c r="B29" s="442"/>
      <c r="C29" s="500"/>
      <c r="G29" s="481"/>
    </row>
    <row r="30" spans="1:8" ht="26.25">
      <c r="A30" s="446"/>
      <c r="B30" s="442"/>
      <c r="C30" s="501"/>
      <c r="D30" s="445"/>
      <c r="G30" s="481"/>
    </row>
    <row r="31" spans="1:8" ht="26.25">
      <c r="B31" s="442"/>
      <c r="C31" s="499"/>
      <c r="D31" s="445"/>
      <c r="G31" s="481"/>
    </row>
    <row r="32" spans="1:8" ht="26.25">
      <c r="B32" s="442"/>
      <c r="C32" s="502"/>
      <c r="G32" s="481"/>
    </row>
    <row r="33" spans="1:3" ht="20.25" customHeight="1">
      <c r="A33" s="446"/>
      <c r="B33" s="442"/>
    </row>
    <row r="34" spans="1:3" ht="20.25" customHeight="1">
      <c r="B34" s="442"/>
      <c r="C34" s="503"/>
    </row>
    <row r="35" spans="1:3" ht="39.950000000000003" customHeight="1">
      <c r="B35" s="442"/>
      <c r="C35" s="504"/>
    </row>
    <row r="36" spans="1:3" ht="20.25" customHeight="1">
      <c r="A36" s="446"/>
      <c r="B36" s="442"/>
    </row>
    <row r="37" spans="1:3" ht="20.25" customHeight="1">
      <c r="B37" s="442"/>
      <c r="C37" s="503"/>
    </row>
    <row r="38" spans="1:3" ht="39.950000000000003" customHeight="1">
      <c r="B38" s="442"/>
      <c r="C38" s="504"/>
    </row>
    <row r="39" spans="1:3" ht="20.25" customHeight="1">
      <c r="A39" s="446"/>
      <c r="B39" s="442"/>
    </row>
    <row r="40" spans="1:3" ht="20.25" customHeight="1">
      <c r="B40" s="442"/>
      <c r="C40" s="503"/>
    </row>
    <row r="41" spans="1:3" ht="39.950000000000003" customHeight="1">
      <c r="B41" s="442"/>
      <c r="C41" s="504"/>
    </row>
    <row r="42" spans="1:3" ht="20.25" customHeight="1">
      <c r="A42" s="446"/>
      <c r="B42" s="442"/>
    </row>
    <row r="43" spans="1:3" ht="20.25" customHeight="1">
      <c r="B43" s="442"/>
      <c r="C43" s="503"/>
    </row>
    <row r="44" spans="1:3" ht="39.950000000000003" customHeight="1">
      <c r="B44" s="442"/>
      <c r="C44" s="504"/>
    </row>
    <row r="45" spans="1:3" ht="20.25" customHeight="1">
      <c r="A45" s="446"/>
      <c r="B45" s="442"/>
    </row>
    <row r="46" spans="1:3" ht="20.25" customHeight="1">
      <c r="B46" s="442"/>
      <c r="C46" s="503"/>
    </row>
    <row r="47" spans="1:3" ht="39.950000000000003" customHeight="1">
      <c r="B47" s="442"/>
      <c r="C47" s="504"/>
    </row>
    <row r="48" spans="1:3" ht="20.25" customHeight="1">
      <c r="A48" s="446"/>
      <c r="B48" s="442"/>
    </row>
    <row r="49" spans="1:3" ht="20.25" customHeight="1">
      <c r="B49" s="442"/>
      <c r="C49" s="503"/>
    </row>
    <row r="50" spans="1:3" ht="39.950000000000003" customHeight="1">
      <c r="B50" s="442"/>
      <c r="C50" s="504"/>
    </row>
    <row r="51" spans="1:3" ht="20.25" customHeight="1">
      <c r="A51" s="446"/>
      <c r="B51" s="442"/>
    </row>
    <row r="52" spans="1:3" ht="20.25" customHeight="1">
      <c r="B52" s="442"/>
      <c r="C52" s="503"/>
    </row>
    <row r="53" spans="1:3" ht="39.950000000000003" customHeight="1">
      <c r="B53" s="442"/>
      <c r="C53" s="504"/>
    </row>
    <row r="54" spans="1:3" ht="20.25" customHeight="1">
      <c r="A54" s="446"/>
      <c r="B54" s="442"/>
    </row>
    <row r="55" spans="1:3" ht="20.25" customHeight="1">
      <c r="B55" s="442"/>
      <c r="C55" s="503"/>
    </row>
    <row r="56" spans="1:3" ht="39.950000000000003" customHeight="1">
      <c r="B56" s="442"/>
      <c r="C56" s="504"/>
    </row>
    <row r="57" spans="1:3" ht="20.25" customHeight="1">
      <c r="A57" s="446"/>
      <c r="B57" s="442"/>
    </row>
    <row r="58" spans="1:3" ht="20.25" customHeight="1">
      <c r="B58" s="442"/>
      <c r="C58" s="503"/>
    </row>
    <row r="59" spans="1:3" ht="39.950000000000003" customHeight="1">
      <c r="B59" s="442"/>
      <c r="C59" s="504"/>
    </row>
    <row r="60" spans="1:3" ht="20.25" customHeight="1">
      <c r="A60" s="446"/>
      <c r="B60" s="442"/>
    </row>
    <row r="61" spans="1:3" ht="20.25" customHeight="1">
      <c r="B61" s="442"/>
      <c r="C61" s="503"/>
    </row>
    <row r="62" spans="1:3" ht="39.950000000000003" customHeight="1">
      <c r="B62" s="442"/>
      <c r="C62" s="504"/>
    </row>
    <row r="63" spans="1:3" ht="20.25" customHeight="1">
      <c r="A63" s="446"/>
      <c r="B63" s="442"/>
    </row>
    <row r="64" spans="1:3" ht="20.25" customHeight="1">
      <c r="B64" s="442"/>
      <c r="C64" s="503"/>
    </row>
    <row r="65" spans="1:3" ht="39.950000000000003" customHeight="1">
      <c r="B65" s="442"/>
      <c r="C65" s="504"/>
    </row>
    <row r="66" spans="1:3" ht="20.25" customHeight="1">
      <c r="A66" s="446"/>
      <c r="B66" s="442"/>
    </row>
    <row r="67" spans="1:3" ht="20.25" customHeight="1">
      <c r="B67" s="442"/>
      <c r="C67" s="503"/>
    </row>
    <row r="68" spans="1:3" ht="39.950000000000003" customHeight="1">
      <c r="B68" s="442"/>
      <c r="C68" s="504"/>
    </row>
    <row r="69" spans="1:3" ht="20.25" customHeight="1">
      <c r="A69" s="446"/>
      <c r="B69" s="442"/>
    </row>
    <row r="70" spans="1:3" ht="20.25" customHeight="1">
      <c r="B70" s="442"/>
      <c r="C70" s="503"/>
    </row>
    <row r="71" spans="1:3" ht="39.950000000000003" customHeight="1">
      <c r="B71" s="442"/>
      <c r="C71" s="504"/>
    </row>
    <row r="72" spans="1:3" ht="20.25" customHeight="1">
      <c r="A72" s="446"/>
      <c r="B72" s="442"/>
    </row>
    <row r="73" spans="1:3" ht="20.25" customHeight="1">
      <c r="B73" s="442"/>
      <c r="C73" s="503"/>
    </row>
    <row r="74" spans="1:3" ht="39.950000000000003" customHeight="1">
      <c r="B74" s="442"/>
      <c r="C74" s="504"/>
    </row>
    <row r="75" spans="1:3" ht="20.25" customHeight="1">
      <c r="A75" s="446"/>
      <c r="B75" s="442"/>
    </row>
    <row r="76" spans="1:3" ht="20.25" customHeight="1">
      <c r="B76" s="442"/>
      <c r="C76" s="503"/>
    </row>
    <row r="77" spans="1:3" ht="39.950000000000003" customHeight="1">
      <c r="B77" s="442"/>
      <c r="C77" s="504"/>
    </row>
    <row r="78" spans="1:3" ht="20.25" customHeight="1">
      <c r="A78" s="446"/>
      <c r="B78" s="442"/>
    </row>
    <row r="79" spans="1:3" ht="20.25" customHeight="1">
      <c r="B79" s="442"/>
      <c r="C79" s="503"/>
    </row>
    <row r="80" spans="1:3" ht="39.950000000000003" customHeight="1">
      <c r="B80" s="442"/>
      <c r="C80" s="504"/>
    </row>
    <row r="81" spans="1:3" ht="20.25" customHeight="1">
      <c r="A81" s="446"/>
      <c r="B81" s="442"/>
    </row>
    <row r="82" spans="1:3" ht="20.25" customHeight="1">
      <c r="B82" s="442"/>
      <c r="C82" s="503"/>
    </row>
  </sheetData>
  <mergeCells count="13">
    <mergeCell ref="G12:G13"/>
    <mergeCell ref="I7:I8"/>
    <mergeCell ref="L7:L8"/>
    <mergeCell ref="M7:M8"/>
    <mergeCell ref="J7:K8"/>
    <mergeCell ref="A2:F2"/>
    <mergeCell ref="C4:F4"/>
    <mergeCell ref="C7:F7"/>
    <mergeCell ref="B25:D25"/>
    <mergeCell ref="A12:A13"/>
    <mergeCell ref="B12:B13"/>
    <mergeCell ref="D12:D13"/>
    <mergeCell ref="F12:F13"/>
  </mergeCells>
  <printOptions horizontalCentered="1"/>
  <pageMargins left="0.59055118110236204" right="0.39370078740157499" top="0.59055118110236204" bottom="0.59055118110236204" header="0.39370078740157499" footer="0.39370078740157499"/>
  <pageSetup paperSize="9" scale="84" orientation="portrait"/>
  <headerFooter differentFirst="1" alignWithMargins="0">
    <oddHeader>&amp;C&amp;"TH SarabunPSK,Regular"&amp;14&amp;P</oddHeader>
  </headerFooter>
  <rowBreaks count="1" manualBreakCount="1">
    <brk id="55" max="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AA174"/>
  <sheetViews>
    <sheetView showGridLines="0" view="pageBreakPreview" zoomScaleNormal="100" workbookViewId="0">
      <pane xSplit="7" ySplit="6" topLeftCell="H46" activePane="bottomRight" state="frozen"/>
      <selection pane="bottomRight" activeCell="I59" sqref="I59"/>
      <selection pane="bottomLeft"/>
      <selection pane="topRight"/>
    </sheetView>
  </sheetViews>
  <sheetFormatPr defaultColWidth="10.453125" defaultRowHeight="18.95" customHeight="1"/>
  <cols>
    <col min="1" max="1" width="6.7265625" style="203" customWidth="1"/>
    <col min="2" max="2" width="8.7265625" style="205" customWidth="1"/>
    <col min="3" max="3" width="24.453125" style="205" customWidth="1"/>
    <col min="4" max="4" width="37.1796875" style="203" customWidth="1"/>
    <col min="5" max="5" width="11.453125" style="157" customWidth="1"/>
    <col min="6" max="6" width="9.54296875" style="157" customWidth="1"/>
    <col min="7" max="12" width="15.7265625" style="157" customWidth="1"/>
    <col min="13" max="13" width="17.26953125" style="157" customWidth="1"/>
    <col min="14" max="15" width="19.26953125" style="203" customWidth="1"/>
    <col min="16" max="16" width="11" style="203" customWidth="1"/>
    <col min="17" max="17" width="13.7265625" style="203" customWidth="1"/>
    <col min="18" max="18" width="10.453125" style="203"/>
    <col min="19" max="19" width="24.7265625" style="203" customWidth="1"/>
    <col min="20" max="20" width="11" style="203" customWidth="1"/>
    <col min="21" max="21" width="12.1796875" style="203" customWidth="1"/>
    <col min="22" max="22" width="10.453125" style="203"/>
    <col min="23" max="23" width="13.7265625" style="203" customWidth="1"/>
    <col min="24" max="24" width="10.54296875" style="203" customWidth="1"/>
    <col min="25" max="25" width="27.453125" style="203" customWidth="1"/>
    <col min="26" max="26" width="15.1796875" style="203" customWidth="1"/>
    <col min="27" max="27" width="12.1796875" style="203" customWidth="1"/>
    <col min="28" max="16384" width="10.453125" style="203"/>
  </cols>
  <sheetData>
    <row r="1" spans="1:27" s="1" customFormat="1" ht="18.95" customHeight="1">
      <c r="A1" s="1229" t="s">
        <v>181</v>
      </c>
      <c r="B1" s="1229"/>
      <c r="C1" s="1229"/>
      <c r="D1" s="1367" t="str">
        <f>+'แบบ ปร.5(ข)'!C4</f>
        <v>โครงการจัดตั้งศูนย์การเรียนรู้แห่งชาติ OKMD : OKMD National Knowledge Center (Ratchadamnoen Center 1 และ 2)</v>
      </c>
      <c r="E1" s="1367"/>
      <c r="F1" s="1367"/>
      <c r="G1" s="1367"/>
      <c r="H1" s="1367"/>
      <c r="I1" s="1367"/>
      <c r="J1" s="95" t="s">
        <v>182</v>
      </c>
      <c r="K1" s="1230" t="s">
        <v>3589</v>
      </c>
      <c r="L1" s="1230"/>
      <c r="M1" s="304"/>
    </row>
    <row r="2" spans="1:27" s="1" customFormat="1" ht="18.95" customHeight="1">
      <c r="A2" s="1231" t="s">
        <v>125</v>
      </c>
      <c r="B2" s="1231"/>
      <c r="C2" s="1231"/>
      <c r="D2" s="7" t="str">
        <f>+'แบบ ปร.5(ข)'!C5</f>
        <v>แขวงตลาดยอด เขตพระนคร กรุงเทพมหานคร</v>
      </c>
      <c r="E2" s="8"/>
      <c r="F2" s="8"/>
      <c r="G2" s="8"/>
      <c r="H2" s="8"/>
      <c r="I2" s="8"/>
      <c r="J2" s="96" t="s">
        <v>184</v>
      </c>
      <c r="K2" s="97" t="str">
        <f>+'แบบ ปร.5(ข)'!C10</f>
        <v xml:space="preserve">  16 กรกฎาคม 2568</v>
      </c>
      <c r="L2" s="98"/>
      <c r="M2" s="8"/>
    </row>
    <row r="3" spans="1:27" s="1" customFormat="1" ht="18.95" customHeight="1">
      <c r="A3" s="1231" t="s">
        <v>185</v>
      </c>
      <c r="B3" s="1231"/>
      <c r="C3" s="1231"/>
      <c r="D3" s="9" t="str">
        <f>+'แบบ ปร.5(ข)'!C9</f>
        <v>คณะกรรมการกำหนดราคากลาง</v>
      </c>
      <c r="E3" s="8"/>
      <c r="F3" s="8"/>
      <c r="G3" s="8"/>
      <c r="H3" s="8"/>
      <c r="I3" s="96"/>
      <c r="J3" s="96"/>
      <c r="K3" s="97"/>
      <c r="L3" s="8"/>
      <c r="M3" s="8"/>
    </row>
    <row r="4" spans="1:27" s="1" customFormat="1" ht="18.95" customHeight="1">
      <c r="B4" s="2"/>
      <c r="C4" s="2"/>
      <c r="E4" s="3"/>
      <c r="F4" s="3"/>
      <c r="G4" s="3"/>
      <c r="H4" s="3"/>
      <c r="I4" s="3"/>
      <c r="J4" s="3"/>
      <c r="K4" s="3"/>
      <c r="L4" s="3"/>
      <c r="M4" s="3"/>
    </row>
    <row r="5" spans="1:27" ht="18.95" customHeight="1">
      <c r="A5" s="1270" t="s">
        <v>186</v>
      </c>
      <c r="B5" s="1235" t="s">
        <v>138</v>
      </c>
      <c r="C5" s="1287"/>
      <c r="D5" s="1288"/>
      <c r="E5" s="1237" t="s">
        <v>187</v>
      </c>
      <c r="F5" s="1237" t="s">
        <v>188</v>
      </c>
      <c r="G5" s="1369" t="s">
        <v>189</v>
      </c>
      <c r="H5" s="1369"/>
      <c r="I5" s="1369"/>
      <c r="J5" s="1369" t="s">
        <v>190</v>
      </c>
      <c r="K5" s="1369"/>
      <c r="L5" s="10" t="s">
        <v>191</v>
      </c>
      <c r="M5" s="1237" t="s">
        <v>140</v>
      </c>
      <c r="P5" s="1375"/>
      <c r="Q5" s="1371"/>
      <c r="R5" s="1371"/>
      <c r="S5" s="1371"/>
      <c r="T5" s="1371"/>
      <c r="U5" s="1371"/>
      <c r="V5" s="422"/>
      <c r="W5" s="1371"/>
      <c r="X5" s="1371"/>
      <c r="Y5" s="1371"/>
      <c r="Z5" s="1371"/>
      <c r="AA5" s="1371"/>
    </row>
    <row r="6" spans="1:27" ht="18.95" customHeight="1">
      <c r="A6" s="1271"/>
      <c r="B6" s="1236"/>
      <c r="C6" s="1289"/>
      <c r="D6" s="1290"/>
      <c r="E6" s="1238"/>
      <c r="F6" s="1238"/>
      <c r="G6" s="12" t="s">
        <v>192</v>
      </c>
      <c r="H6" s="12" t="s">
        <v>192</v>
      </c>
      <c r="I6" s="12" t="s">
        <v>193</v>
      </c>
      <c r="J6" s="12" t="s">
        <v>192</v>
      </c>
      <c r="K6" s="12" t="s">
        <v>193</v>
      </c>
      <c r="L6" s="12" t="s">
        <v>194</v>
      </c>
      <c r="M6" s="1238"/>
      <c r="P6" s="1375"/>
      <c r="Q6" s="1372"/>
      <c r="R6" s="1372"/>
      <c r="S6" s="1371"/>
      <c r="T6" s="1371"/>
      <c r="U6" s="1377"/>
      <c r="V6" s="422"/>
      <c r="W6" s="1372"/>
      <c r="X6" s="1372"/>
      <c r="Y6" s="1371"/>
      <c r="Z6" s="1371"/>
      <c r="AA6" s="1377"/>
    </row>
    <row r="7" spans="1:27" ht="18.95" customHeight="1">
      <c r="A7" s="14"/>
      <c r="B7" s="216" t="s">
        <v>3590</v>
      </c>
      <c r="C7" s="15"/>
      <c r="D7" s="17"/>
      <c r="E7" s="18"/>
      <c r="F7" s="19"/>
      <c r="G7" s="18"/>
      <c r="H7" s="18"/>
      <c r="I7" s="18"/>
      <c r="J7" s="20"/>
      <c r="K7" s="218"/>
      <c r="L7" s="19"/>
      <c r="M7" s="19"/>
      <c r="P7" s="1375"/>
      <c r="Q7" s="1376"/>
      <c r="R7" s="1372"/>
      <c r="S7" s="1371"/>
      <c r="T7" s="1371"/>
      <c r="U7" s="1378"/>
      <c r="V7" s="422"/>
      <c r="W7" s="1376"/>
      <c r="X7" s="1372"/>
      <c r="Y7" s="1371"/>
      <c r="Z7" s="1371"/>
      <c r="AA7" s="1378"/>
    </row>
    <row r="8" spans="1:27" ht="18.95" customHeight="1">
      <c r="A8" s="207"/>
      <c r="B8" s="22" t="s">
        <v>162</v>
      </c>
      <c r="C8" s="208"/>
      <c r="D8" s="24"/>
      <c r="E8" s="25"/>
      <c r="F8" s="26"/>
      <c r="G8" s="25"/>
      <c r="H8" s="25"/>
      <c r="I8" s="25"/>
      <c r="J8" s="30"/>
      <c r="K8" s="30"/>
      <c r="L8" s="72"/>
      <c r="M8" s="26"/>
      <c r="P8" s="1375"/>
      <c r="Q8" s="1376"/>
      <c r="R8" s="1372"/>
      <c r="S8" s="1371"/>
      <c r="T8" s="1371"/>
      <c r="U8" s="1378"/>
      <c r="V8" s="422"/>
      <c r="W8" s="1376"/>
      <c r="X8" s="1372"/>
      <c r="Y8" s="1371"/>
      <c r="Z8" s="1371"/>
      <c r="AA8" s="1378"/>
    </row>
    <row r="9" spans="1:27" ht="18.95" customHeight="1">
      <c r="A9" s="207"/>
      <c r="B9" s="42"/>
      <c r="C9" s="29"/>
      <c r="D9" s="24"/>
      <c r="E9" s="25"/>
      <c r="F9" s="26"/>
      <c r="G9" s="25"/>
      <c r="H9" s="25"/>
      <c r="I9" s="25"/>
      <c r="J9" s="30"/>
      <c r="K9" s="30"/>
      <c r="L9" s="72"/>
      <c r="M9" s="26"/>
      <c r="P9" s="422"/>
      <c r="Q9" s="422"/>
      <c r="R9" s="422"/>
      <c r="S9" s="422"/>
      <c r="T9" s="422"/>
      <c r="U9" s="422"/>
      <c r="V9" s="422"/>
      <c r="W9" s="422"/>
      <c r="X9" s="422"/>
      <c r="Y9" s="422"/>
      <c r="Z9" s="422"/>
      <c r="AA9" s="422"/>
    </row>
    <row r="10" spans="1:27" ht="18.95" customHeight="1">
      <c r="A10" s="207">
        <v>1</v>
      </c>
      <c r="B10" s="1190" t="s">
        <v>3591</v>
      </c>
      <c r="C10" s="29"/>
      <c r="D10" s="24"/>
      <c r="E10" s="25"/>
      <c r="F10" s="26"/>
      <c r="G10" s="25"/>
      <c r="H10" s="25"/>
      <c r="I10" s="25"/>
      <c r="J10" s="30"/>
      <c r="K10" s="30"/>
      <c r="L10" s="72">
        <f>L45</f>
        <v>17038699.156574998</v>
      </c>
      <c r="M10" s="26"/>
      <c r="N10" s="157">
        <f>O10*0.934908047</f>
        <v>17038699.156574998</v>
      </c>
      <c r="O10" s="157">
        <v>18225000</v>
      </c>
      <c r="P10" s="422"/>
      <c r="Q10" s="422"/>
      <c r="R10" s="422"/>
      <c r="S10" s="422"/>
      <c r="T10" s="422"/>
      <c r="U10" s="422"/>
      <c r="V10" s="422"/>
      <c r="W10" s="422"/>
      <c r="X10" s="422"/>
      <c r="Y10" s="422"/>
      <c r="Z10" s="422"/>
      <c r="AA10" s="422"/>
    </row>
    <row r="11" spans="1:27" ht="18.95" customHeight="1">
      <c r="A11" s="207">
        <v>2</v>
      </c>
      <c r="B11" s="42" t="s">
        <v>3592</v>
      </c>
      <c r="C11" s="29"/>
      <c r="D11" s="24"/>
      <c r="E11" s="25"/>
      <c r="F11" s="26"/>
      <c r="G11" s="25"/>
      <c r="H11" s="25"/>
      <c r="I11" s="25"/>
      <c r="J11" s="30"/>
      <c r="K11" s="30"/>
      <c r="L11" s="72">
        <f>L53</f>
        <v>3569478.9234459996</v>
      </c>
      <c r="M11" s="26"/>
      <c r="N11" s="157">
        <f t="shared" ref="N11:N13" si="0">O11*0.934908047</f>
        <v>3569478.9234460001</v>
      </c>
      <c r="O11" s="157">
        <v>3818000</v>
      </c>
      <c r="P11" s="422"/>
      <c r="Q11" s="422"/>
      <c r="R11" s="422"/>
      <c r="S11" s="422"/>
      <c r="T11" s="422"/>
      <c r="U11" s="422"/>
      <c r="V11" s="422"/>
      <c r="W11" s="422"/>
      <c r="X11" s="422"/>
      <c r="Y11" s="422"/>
      <c r="Z11" s="422"/>
      <c r="AA11" s="422"/>
    </row>
    <row r="12" spans="1:27" ht="18.95" customHeight="1">
      <c r="A12" s="207">
        <v>3</v>
      </c>
      <c r="B12" s="42" t="s">
        <v>3593</v>
      </c>
      <c r="C12" s="29"/>
      <c r="D12" s="24"/>
      <c r="E12" s="25"/>
      <c r="F12" s="26"/>
      <c r="G12" s="25"/>
      <c r="H12" s="25"/>
      <c r="I12" s="25"/>
      <c r="J12" s="30"/>
      <c r="K12" s="30"/>
      <c r="L12" s="72">
        <f>L61</f>
        <v>2606897.5982547998</v>
      </c>
      <c r="M12" s="26"/>
      <c r="N12" s="157">
        <f t="shared" si="0"/>
        <v>2606897.5982547998</v>
      </c>
      <c r="O12" s="157">
        <v>2788400</v>
      </c>
      <c r="P12" s="422"/>
      <c r="Q12" s="422"/>
      <c r="R12" s="422"/>
      <c r="S12" s="422"/>
      <c r="T12" s="422"/>
      <c r="U12" s="422"/>
      <c r="V12" s="422"/>
      <c r="W12" s="422"/>
      <c r="X12" s="422"/>
      <c r="Y12" s="422"/>
      <c r="Z12" s="422"/>
      <c r="AA12" s="422"/>
    </row>
    <row r="13" spans="1:27" ht="18.95" customHeight="1">
      <c r="A13" s="207">
        <v>4</v>
      </c>
      <c r="B13" s="42" t="s">
        <v>3594</v>
      </c>
      <c r="C13" s="29"/>
      <c r="D13" s="24"/>
      <c r="E13" s="25"/>
      <c r="F13" s="26"/>
      <c r="G13" s="25"/>
      <c r="H13" s="25"/>
      <c r="I13" s="25"/>
      <c r="J13" s="30"/>
      <c r="K13" s="30"/>
      <c r="L13" s="72">
        <f>+L174</f>
        <v>32741467.068837643</v>
      </c>
      <c r="M13" s="26"/>
      <c r="N13" s="157">
        <f t="shared" si="0"/>
        <v>32741467.068837631</v>
      </c>
      <c r="O13" s="157">
        <v>35021056</v>
      </c>
      <c r="P13" s="422"/>
      <c r="Q13" s="422"/>
      <c r="R13" s="422"/>
      <c r="S13" s="422"/>
      <c r="T13" s="422"/>
      <c r="U13" s="422"/>
      <c r="V13" s="422"/>
      <c r="W13" s="422"/>
      <c r="X13" s="422"/>
      <c r="Y13" s="422"/>
      <c r="Z13" s="422"/>
      <c r="AA13" s="422"/>
    </row>
    <row r="14" spans="1:27" ht="18.95" customHeight="1">
      <c r="A14" s="207"/>
      <c r="B14" s="42"/>
      <c r="C14" s="29"/>
      <c r="D14" s="24"/>
      <c r="E14" s="25"/>
      <c r="F14" s="26"/>
      <c r="G14" s="30"/>
      <c r="H14" s="30"/>
      <c r="I14" s="30"/>
      <c r="J14" s="30"/>
      <c r="K14" s="72"/>
      <c r="L14" s="72"/>
      <c r="M14" s="26"/>
      <c r="N14" s="157">
        <f t="shared" ref="N14" si="1">O14*0.934899332</f>
        <v>0</v>
      </c>
      <c r="O14" s="157"/>
      <c r="P14" s="422"/>
      <c r="Q14" s="422"/>
      <c r="R14" s="422"/>
      <c r="S14" s="422"/>
      <c r="T14" s="422"/>
      <c r="U14" s="422"/>
      <c r="V14" s="422"/>
      <c r="W14" s="422"/>
      <c r="X14" s="422"/>
      <c r="Y14" s="422"/>
      <c r="Z14" s="422"/>
      <c r="AA14" s="422"/>
    </row>
    <row r="15" spans="1:27" ht="18.95" customHeight="1">
      <c r="A15" s="207"/>
      <c r="B15" s="1272" t="s">
        <v>3595</v>
      </c>
      <c r="C15" s="1273"/>
      <c r="D15" s="1274"/>
      <c r="E15" s="25"/>
      <c r="F15" s="26"/>
      <c r="G15" s="25"/>
      <c r="H15" s="25"/>
      <c r="I15" s="25"/>
      <c r="J15" s="30"/>
      <c r="K15" s="30"/>
      <c r="L15" s="126">
        <f>SUM(L10:L14)</f>
        <v>55956542.747113436</v>
      </c>
      <c r="M15" s="26"/>
      <c r="N15" s="157">
        <f>SUM(N10:N14)</f>
        <v>55956542.747113429</v>
      </c>
      <c r="O15" s="157">
        <f>SUM(O10:O14)</f>
        <v>59852456</v>
      </c>
      <c r="P15" s="422"/>
      <c r="Q15" s="422"/>
      <c r="R15" s="422"/>
      <c r="S15" s="422"/>
      <c r="T15" s="422"/>
      <c r="U15" s="422"/>
      <c r="V15" s="422"/>
      <c r="W15" s="422"/>
      <c r="X15" s="422"/>
      <c r="Y15" s="422"/>
      <c r="Z15" s="422"/>
      <c r="AA15" s="422"/>
    </row>
    <row r="16" spans="1:27" ht="18.95" customHeight="1">
      <c r="A16" s="207"/>
      <c r="B16" s="42"/>
      <c r="C16" s="209"/>
      <c r="D16" s="24"/>
      <c r="E16" s="25"/>
      <c r="F16" s="26"/>
      <c r="G16" s="30"/>
      <c r="H16" s="30"/>
      <c r="I16" s="30"/>
      <c r="J16" s="30"/>
      <c r="K16" s="72"/>
      <c r="L16" s="72"/>
      <c r="M16" s="26"/>
      <c r="P16" s="422"/>
      <c r="Q16" s="422"/>
      <c r="R16" s="422"/>
      <c r="S16" s="422"/>
      <c r="T16" s="422"/>
      <c r="U16" s="422"/>
      <c r="V16" s="422"/>
      <c r="W16" s="422"/>
      <c r="X16" s="422"/>
      <c r="Y16" s="422"/>
      <c r="Z16" s="422"/>
      <c r="AA16" s="422"/>
    </row>
    <row r="17" spans="1:27" ht="18.95" customHeight="1">
      <c r="A17" s="207"/>
      <c r="B17" s="42"/>
      <c r="C17" s="209"/>
      <c r="D17" s="24"/>
      <c r="E17" s="25"/>
      <c r="F17" s="26"/>
      <c r="G17" s="30"/>
      <c r="H17" s="30"/>
      <c r="I17" s="30"/>
      <c r="J17" s="30"/>
      <c r="K17" s="72"/>
      <c r="L17" s="72"/>
      <c r="M17" s="26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422"/>
      <c r="AA17" s="422"/>
    </row>
    <row r="18" spans="1:27" ht="18.95" customHeight="1">
      <c r="A18" s="207"/>
      <c r="B18" s="223"/>
      <c r="C18" s="208"/>
      <c r="D18" s="24"/>
      <c r="E18" s="25"/>
      <c r="F18" s="26"/>
      <c r="G18" s="30"/>
      <c r="H18" s="30"/>
      <c r="I18" s="30"/>
      <c r="J18" s="30"/>
      <c r="K18" s="72"/>
      <c r="L18" s="72"/>
      <c r="M18" s="26"/>
      <c r="P18" s="422"/>
      <c r="Q18" s="422"/>
      <c r="R18" s="422"/>
      <c r="S18" s="422"/>
      <c r="T18" s="422"/>
      <c r="U18" s="422"/>
      <c r="V18" s="422"/>
      <c r="W18" s="422"/>
      <c r="X18" s="422"/>
      <c r="Y18" s="422"/>
      <c r="Z18" s="422"/>
      <c r="AA18" s="422"/>
    </row>
    <row r="19" spans="1:27" ht="18.95" customHeight="1">
      <c r="A19" s="207"/>
      <c r="B19" s="229"/>
      <c r="C19" s="208"/>
      <c r="D19" s="301"/>
      <c r="E19" s="72"/>
      <c r="F19" s="26"/>
      <c r="G19" s="72"/>
      <c r="H19" s="72"/>
      <c r="I19" s="72"/>
      <c r="J19" s="72"/>
      <c r="K19" s="72"/>
      <c r="L19" s="26"/>
      <c r="M19" s="26"/>
      <c r="P19" s="422"/>
      <c r="Q19" s="422"/>
      <c r="R19" s="422"/>
      <c r="S19" s="422"/>
      <c r="T19" s="422"/>
      <c r="U19" s="422"/>
      <c r="V19" s="422"/>
      <c r="W19" s="422"/>
      <c r="X19" s="422"/>
      <c r="Y19" s="422"/>
      <c r="Z19" s="422"/>
      <c r="AA19" s="422"/>
    </row>
    <row r="20" spans="1:27" ht="18.95" customHeight="1">
      <c r="A20" s="207"/>
      <c r="B20" s="229"/>
      <c r="C20" s="408"/>
      <c r="D20" s="301"/>
      <c r="E20" s="25"/>
      <c r="F20" s="26"/>
      <c r="G20" s="30"/>
      <c r="H20" s="30"/>
      <c r="I20" s="30"/>
      <c r="J20" s="30"/>
      <c r="K20" s="72"/>
      <c r="L20" s="26"/>
      <c r="M20" s="26"/>
      <c r="P20" s="422"/>
      <c r="Q20" s="422"/>
      <c r="R20" s="422"/>
      <c r="S20" s="422"/>
      <c r="T20" s="422"/>
      <c r="U20" s="422"/>
      <c r="V20" s="422"/>
      <c r="W20" s="422"/>
      <c r="X20" s="422"/>
      <c r="Y20" s="422"/>
      <c r="Z20" s="422"/>
      <c r="AA20" s="422"/>
    </row>
    <row r="21" spans="1:27" ht="18.95" customHeight="1">
      <c r="A21" s="207"/>
      <c r="B21" s="227"/>
      <c r="C21" s="226"/>
      <c r="D21" s="49"/>
      <c r="E21" s="25"/>
      <c r="F21" s="26"/>
      <c r="G21" s="25"/>
      <c r="H21" s="25"/>
      <c r="I21" s="25"/>
      <c r="J21" s="25"/>
      <c r="K21" s="30"/>
      <c r="L21" s="25"/>
      <c r="M21" s="26"/>
      <c r="P21" s="422"/>
      <c r="Q21" s="422"/>
      <c r="R21" s="422"/>
      <c r="S21" s="422"/>
      <c r="T21" s="422"/>
      <c r="U21" s="422"/>
      <c r="V21" s="422"/>
      <c r="W21" s="422"/>
      <c r="X21" s="422"/>
      <c r="Y21" s="422"/>
      <c r="Z21" s="422"/>
      <c r="AA21" s="422"/>
    </row>
    <row r="22" spans="1:27" ht="18.95" customHeight="1">
      <c r="A22" s="207"/>
      <c r="B22" s="227"/>
      <c r="C22" s="226"/>
      <c r="D22" s="49"/>
      <c r="E22" s="25"/>
      <c r="F22" s="26"/>
      <c r="G22" s="25"/>
      <c r="H22" s="25"/>
      <c r="I22" s="25"/>
      <c r="J22" s="25"/>
      <c r="K22" s="30"/>
      <c r="L22" s="25"/>
      <c r="M22" s="26"/>
      <c r="P22" s="422"/>
      <c r="Q22" s="422"/>
      <c r="R22" s="422"/>
      <c r="S22" s="422"/>
      <c r="T22" s="422"/>
      <c r="U22" s="422"/>
      <c r="V22" s="422"/>
      <c r="W22" s="422"/>
      <c r="X22" s="422"/>
      <c r="Y22" s="422"/>
      <c r="Z22" s="422"/>
      <c r="AA22" s="422"/>
    </row>
    <row r="23" spans="1:27" ht="18.95" customHeight="1">
      <c r="A23" s="207"/>
      <c r="B23" s="229"/>
      <c r="C23" s="208"/>
      <c r="D23" s="24"/>
      <c r="E23" s="25"/>
      <c r="F23" s="26"/>
      <c r="G23" s="25"/>
      <c r="H23" s="25"/>
      <c r="I23" s="25"/>
      <c r="J23" s="25"/>
      <c r="K23" s="30"/>
      <c r="L23" s="72"/>
      <c r="M23" s="26"/>
      <c r="P23" s="422"/>
      <c r="Q23" s="422"/>
      <c r="R23" s="422"/>
      <c r="S23" s="422"/>
      <c r="T23" s="422"/>
      <c r="U23" s="422"/>
      <c r="V23" s="422"/>
      <c r="W23" s="422"/>
      <c r="X23" s="422"/>
      <c r="Y23" s="422"/>
      <c r="Z23" s="422"/>
      <c r="AA23" s="422"/>
    </row>
    <row r="24" spans="1:27" ht="18.95" customHeight="1">
      <c r="A24" s="207"/>
      <c r="B24" s="227"/>
      <c r="C24" s="226"/>
      <c r="D24" s="49"/>
      <c r="E24" s="25"/>
      <c r="F24" s="26"/>
      <c r="G24" s="25"/>
      <c r="H24" s="25"/>
      <c r="I24" s="25"/>
      <c r="J24" s="25"/>
      <c r="K24" s="30"/>
      <c r="L24" s="25"/>
      <c r="M24" s="26"/>
      <c r="P24" s="422"/>
      <c r="Q24" s="422"/>
      <c r="R24" s="422"/>
      <c r="S24" s="422"/>
      <c r="T24" s="422"/>
      <c r="U24" s="422"/>
      <c r="V24" s="422"/>
      <c r="W24" s="422"/>
      <c r="X24" s="422"/>
      <c r="Y24" s="422"/>
      <c r="Z24" s="422"/>
      <c r="AA24" s="422"/>
    </row>
    <row r="25" spans="1:27" ht="18.95" customHeight="1">
      <c r="A25" s="207"/>
      <c r="B25" s="227"/>
      <c r="C25" s="226"/>
      <c r="D25" s="49"/>
      <c r="E25" s="25"/>
      <c r="F25" s="26"/>
      <c r="G25" s="25"/>
      <c r="H25" s="25"/>
      <c r="I25" s="25"/>
      <c r="J25" s="25"/>
      <c r="K25" s="30"/>
      <c r="L25" s="25"/>
      <c r="M25" s="26"/>
      <c r="P25" s="422"/>
      <c r="Q25" s="422"/>
      <c r="R25" s="422"/>
      <c r="S25" s="422"/>
      <c r="T25" s="422"/>
      <c r="U25" s="422"/>
      <c r="V25" s="422"/>
      <c r="W25" s="422"/>
      <c r="X25" s="422"/>
      <c r="Y25" s="422"/>
      <c r="Z25" s="422"/>
      <c r="AA25" s="422"/>
    </row>
    <row r="26" spans="1:27" ht="18.95" customHeight="1">
      <c r="A26" s="207"/>
      <c r="B26" s="227"/>
      <c r="C26" s="226"/>
      <c r="D26" s="49"/>
      <c r="E26" s="25"/>
      <c r="F26" s="26"/>
      <c r="G26" s="25"/>
      <c r="H26" s="25"/>
      <c r="I26" s="25"/>
      <c r="J26" s="25"/>
      <c r="K26" s="30"/>
      <c r="L26" s="25"/>
      <c r="M26" s="26"/>
      <c r="P26" s="422"/>
      <c r="Q26" s="422"/>
      <c r="R26" s="422"/>
      <c r="S26" s="422"/>
      <c r="T26" s="422"/>
      <c r="U26" s="422"/>
      <c r="V26" s="422"/>
      <c r="W26" s="422"/>
      <c r="X26" s="422"/>
      <c r="Y26" s="422"/>
      <c r="Z26" s="422"/>
      <c r="AA26" s="422"/>
    </row>
    <row r="27" spans="1:27" ht="18.95" customHeight="1">
      <c r="A27" s="207"/>
      <c r="B27" s="227"/>
      <c r="C27" s="226"/>
      <c r="D27" s="49"/>
      <c r="E27" s="25"/>
      <c r="F27" s="26"/>
      <c r="G27" s="25"/>
      <c r="H27" s="25"/>
      <c r="I27" s="25"/>
      <c r="J27" s="25"/>
      <c r="K27" s="30"/>
      <c r="L27" s="25"/>
      <c r="M27" s="26"/>
      <c r="P27" s="422"/>
      <c r="Q27" s="422"/>
      <c r="R27" s="422"/>
      <c r="S27" s="422"/>
      <c r="T27" s="422"/>
      <c r="U27" s="422"/>
      <c r="V27" s="422"/>
      <c r="W27" s="422"/>
      <c r="X27" s="422"/>
      <c r="Y27" s="422"/>
      <c r="Z27" s="422"/>
      <c r="AA27" s="422"/>
    </row>
    <row r="28" spans="1:27" ht="18.95" customHeight="1">
      <c r="A28" s="207"/>
      <c r="B28" s="227"/>
      <c r="C28" s="226"/>
      <c r="D28" s="49"/>
      <c r="E28" s="25"/>
      <c r="F28" s="26"/>
      <c r="G28" s="25"/>
      <c r="H28" s="25"/>
      <c r="I28" s="25"/>
      <c r="J28" s="25"/>
      <c r="K28" s="30"/>
      <c r="L28" s="25"/>
      <c r="M28" s="26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</row>
    <row r="29" spans="1:27" ht="18.95" customHeight="1">
      <c r="A29" s="207"/>
      <c r="B29" s="227"/>
      <c r="C29" s="226"/>
      <c r="D29" s="49"/>
      <c r="E29" s="25"/>
      <c r="F29" s="26"/>
      <c r="G29" s="25"/>
      <c r="H29" s="25"/>
      <c r="I29" s="25"/>
      <c r="J29" s="25"/>
      <c r="K29" s="30"/>
      <c r="L29" s="25"/>
      <c r="M29" s="26"/>
      <c r="P29" s="422"/>
      <c r="Q29" s="422"/>
      <c r="R29" s="422"/>
      <c r="S29" s="422"/>
      <c r="T29" s="422"/>
      <c r="U29" s="422"/>
      <c r="V29" s="422"/>
      <c r="W29" s="422"/>
      <c r="X29" s="422"/>
      <c r="Y29" s="422"/>
      <c r="Z29" s="422"/>
      <c r="AA29" s="422"/>
    </row>
    <row r="30" spans="1:27" ht="17.45" customHeight="1">
      <c r="A30" s="21"/>
      <c r="B30" s="265"/>
      <c r="C30" s="48"/>
      <c r="D30" s="49"/>
      <c r="E30" s="25"/>
      <c r="F30" s="26"/>
      <c r="G30" s="25"/>
      <c r="H30" s="25"/>
      <c r="I30" s="25"/>
      <c r="J30" s="25"/>
      <c r="K30" s="30"/>
      <c r="L30" s="25"/>
      <c r="M30" s="26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</row>
    <row r="31" spans="1:27" ht="18.95" customHeight="1">
      <c r="A31" s="220">
        <v>1</v>
      </c>
      <c r="B31" s="1191" t="s">
        <v>3596</v>
      </c>
      <c r="C31" s="29"/>
      <c r="D31" s="301"/>
      <c r="E31" s="25"/>
      <c r="F31" s="26"/>
      <c r="G31" s="25"/>
      <c r="H31" s="25"/>
      <c r="I31" s="25"/>
      <c r="J31" s="30"/>
      <c r="K31" s="25"/>
      <c r="L31" s="26"/>
      <c r="M31" s="26"/>
      <c r="P31" s="422"/>
      <c r="Q31" s="422"/>
      <c r="R31" s="422"/>
      <c r="S31" s="422"/>
      <c r="T31" s="422"/>
      <c r="U31" s="422"/>
      <c r="V31" s="422"/>
      <c r="W31" s="422"/>
      <c r="X31" s="422"/>
      <c r="Y31" s="422"/>
      <c r="Z31" s="422"/>
      <c r="AA31" s="422"/>
    </row>
    <row r="32" spans="1:27" ht="18.95" customHeight="1">
      <c r="A32" s="44"/>
      <c r="B32" s="27" t="s">
        <v>273</v>
      </c>
      <c r="C32" s="39" t="s">
        <v>3597</v>
      </c>
      <c r="D32" s="409"/>
      <c r="E32" s="25"/>
      <c r="F32" s="26"/>
      <c r="G32" s="25"/>
      <c r="H32" s="25"/>
      <c r="I32" s="25"/>
      <c r="J32" s="30"/>
      <c r="K32" s="30"/>
      <c r="L32" s="72"/>
      <c r="M32" s="26"/>
      <c r="P32" s="423"/>
      <c r="Q32" s="426"/>
      <c r="R32" s="423"/>
      <c r="S32" s="422"/>
      <c r="T32" s="422"/>
      <c r="U32" s="422"/>
      <c r="V32" s="422"/>
      <c r="W32" s="426"/>
      <c r="X32" s="423"/>
      <c r="Y32" s="422"/>
      <c r="Z32" s="422"/>
      <c r="AA32" s="422"/>
    </row>
    <row r="33" spans="1:27" ht="18.95" customHeight="1">
      <c r="A33" s="44"/>
      <c r="B33" s="1192" t="s">
        <v>3598</v>
      </c>
      <c r="C33" s="29" t="s">
        <v>3597</v>
      </c>
      <c r="D33" s="301"/>
      <c r="E33" s="25">
        <v>1</v>
      </c>
      <c r="F33" s="26" t="s">
        <v>349</v>
      </c>
      <c r="G33" s="25">
        <v>1305000</v>
      </c>
      <c r="H33" s="25">
        <f>G33*N33</f>
        <v>1220055.0013349999</v>
      </c>
      <c r="I33" s="25">
        <f>SUM(H33*E33)</f>
        <v>1220055.0013349999</v>
      </c>
      <c r="J33" s="30">
        <v>0</v>
      </c>
      <c r="K33" s="30">
        <v>0</v>
      </c>
      <c r="L33" s="72">
        <f>SUM(I33)</f>
        <v>1220055.0013349999</v>
      </c>
      <c r="M33" s="26"/>
      <c r="N33" s="203">
        <v>0.93490804699999996</v>
      </c>
      <c r="P33" s="423"/>
      <c r="Q33" s="426"/>
      <c r="R33" s="423"/>
      <c r="S33" s="423"/>
      <c r="T33" s="423"/>
      <c r="U33" s="427"/>
      <c r="V33" s="422"/>
      <c r="W33" s="426"/>
      <c r="X33" s="428"/>
      <c r="Y33" s="423"/>
      <c r="Z33" s="435"/>
      <c r="AA33" s="427"/>
    </row>
    <row r="34" spans="1:27" ht="18.95" customHeight="1">
      <c r="A34" s="44"/>
      <c r="B34" s="1192" t="s">
        <v>3599</v>
      </c>
      <c r="C34" s="29" t="s">
        <v>3597</v>
      </c>
      <c r="D34" s="301"/>
      <c r="E34" s="25">
        <v>1</v>
      </c>
      <c r="F34" s="26" t="s">
        <v>349</v>
      </c>
      <c r="G34" s="25">
        <v>1260000</v>
      </c>
      <c r="H34" s="25">
        <f t="shared" ref="H34:H43" si="2">G34*N34</f>
        <v>1177984.13922</v>
      </c>
      <c r="I34" s="25">
        <f t="shared" ref="I34:I43" si="3">SUM(H34*E34)</f>
        <v>1177984.13922</v>
      </c>
      <c r="J34" s="30">
        <v>0</v>
      </c>
      <c r="K34" s="30">
        <v>0</v>
      </c>
      <c r="L34" s="72">
        <f t="shared" ref="L34:L43" si="4">SUM(I34)</f>
        <v>1177984.13922</v>
      </c>
      <c r="M34" s="26"/>
      <c r="N34" s="203">
        <v>0.93490804699999996</v>
      </c>
      <c r="P34" s="423"/>
      <c r="Q34" s="426"/>
      <c r="R34" s="423"/>
      <c r="S34" s="423"/>
      <c r="T34" s="423"/>
      <c r="U34" s="427"/>
      <c r="V34" s="422"/>
      <c r="W34" s="426"/>
      <c r="X34" s="423"/>
      <c r="Y34" s="423"/>
      <c r="Z34" s="435"/>
      <c r="AA34" s="427"/>
    </row>
    <row r="35" spans="1:27" ht="18.95" customHeight="1">
      <c r="A35" s="44"/>
      <c r="B35" s="1192" t="s">
        <v>3600</v>
      </c>
      <c r="C35" s="29" t="s">
        <v>3597</v>
      </c>
      <c r="D35" s="409"/>
      <c r="E35" s="25">
        <v>1</v>
      </c>
      <c r="F35" s="26" t="s">
        <v>349</v>
      </c>
      <c r="G35" s="25">
        <v>1395000</v>
      </c>
      <c r="H35" s="25">
        <f t="shared" si="2"/>
        <v>1304196.725565</v>
      </c>
      <c r="I35" s="25">
        <f t="shared" si="3"/>
        <v>1304196.725565</v>
      </c>
      <c r="J35" s="30">
        <v>0</v>
      </c>
      <c r="K35" s="30">
        <v>0</v>
      </c>
      <c r="L35" s="72">
        <f t="shared" si="4"/>
        <v>1304196.725565</v>
      </c>
      <c r="M35" s="26"/>
      <c r="N35" s="203">
        <v>0.93490804699999996</v>
      </c>
      <c r="P35" s="423"/>
      <c r="Q35" s="426"/>
      <c r="R35" s="423"/>
      <c r="S35" s="423"/>
      <c r="T35" s="423"/>
      <c r="U35" s="427"/>
      <c r="V35" s="422"/>
      <c r="W35" s="426"/>
      <c r="X35" s="423"/>
      <c r="Y35" s="423"/>
      <c r="Z35" s="435"/>
      <c r="AA35" s="427"/>
    </row>
    <row r="36" spans="1:27" ht="18.95" customHeight="1">
      <c r="A36" s="44"/>
      <c r="B36" s="1192" t="s">
        <v>3601</v>
      </c>
      <c r="C36" s="29" t="s">
        <v>3597</v>
      </c>
      <c r="D36" s="301"/>
      <c r="E36" s="25">
        <v>1</v>
      </c>
      <c r="F36" s="26" t="s">
        <v>349</v>
      </c>
      <c r="G36" s="25">
        <v>1305000</v>
      </c>
      <c r="H36" s="25">
        <f t="shared" si="2"/>
        <v>1220055.0013349999</v>
      </c>
      <c r="I36" s="25">
        <f t="shared" si="3"/>
        <v>1220055.0013349999</v>
      </c>
      <c r="J36" s="30">
        <v>0</v>
      </c>
      <c r="K36" s="30">
        <v>0</v>
      </c>
      <c r="L36" s="72">
        <f t="shared" si="4"/>
        <v>1220055.0013349999</v>
      </c>
      <c r="M36" s="26"/>
      <c r="N36" s="203">
        <v>0.93490804699999996</v>
      </c>
      <c r="P36" s="423"/>
      <c r="Q36" s="426"/>
      <c r="R36" s="423"/>
      <c r="S36" s="423"/>
      <c r="T36" s="423"/>
      <c r="U36" s="427"/>
      <c r="V36" s="422"/>
      <c r="W36" s="426"/>
      <c r="X36" s="423"/>
      <c r="Y36" s="423"/>
      <c r="Z36" s="435"/>
      <c r="AA36" s="427"/>
    </row>
    <row r="37" spans="1:27" ht="18.95" customHeight="1">
      <c r="A37" s="220"/>
      <c r="B37" s="1192" t="s">
        <v>3602</v>
      </c>
      <c r="C37" s="29" t="s">
        <v>3597</v>
      </c>
      <c r="D37" s="301"/>
      <c r="E37" s="25">
        <v>1</v>
      </c>
      <c r="F37" s="26" t="s">
        <v>349</v>
      </c>
      <c r="G37" s="25">
        <v>1260000</v>
      </c>
      <c r="H37" s="25">
        <f t="shared" si="2"/>
        <v>1177984.13922</v>
      </c>
      <c r="I37" s="25">
        <f t="shared" si="3"/>
        <v>1177984.13922</v>
      </c>
      <c r="J37" s="30">
        <v>0</v>
      </c>
      <c r="K37" s="30">
        <v>0</v>
      </c>
      <c r="L37" s="72">
        <f t="shared" si="4"/>
        <v>1177984.13922</v>
      </c>
      <c r="M37" s="26"/>
      <c r="N37" s="203">
        <v>0.93490804699999996</v>
      </c>
      <c r="P37" s="423"/>
      <c r="Q37" s="426"/>
      <c r="R37" s="423"/>
      <c r="S37" s="423"/>
      <c r="T37" s="423"/>
      <c r="U37" s="427"/>
      <c r="V37" s="422"/>
      <c r="W37" s="426"/>
      <c r="X37" s="423"/>
      <c r="Y37" s="423"/>
      <c r="Z37" s="435"/>
      <c r="AA37" s="427"/>
    </row>
    <row r="38" spans="1:27" ht="18.95" customHeight="1">
      <c r="A38" s="44"/>
      <c r="B38" s="1192" t="s">
        <v>3603</v>
      </c>
      <c r="C38" s="29" t="s">
        <v>3597</v>
      </c>
      <c r="D38" s="301"/>
      <c r="E38" s="25">
        <v>1</v>
      </c>
      <c r="F38" s="26" t="s">
        <v>349</v>
      </c>
      <c r="G38" s="25">
        <v>1305000</v>
      </c>
      <c r="H38" s="25">
        <f t="shared" si="2"/>
        <v>1220055.0013349999</v>
      </c>
      <c r="I38" s="25">
        <f t="shared" si="3"/>
        <v>1220055.0013349999</v>
      </c>
      <c r="J38" s="30">
        <v>0</v>
      </c>
      <c r="K38" s="30">
        <v>0</v>
      </c>
      <c r="L38" s="72">
        <f t="shared" si="4"/>
        <v>1220055.0013349999</v>
      </c>
      <c r="M38" s="26"/>
      <c r="N38" s="203">
        <v>0.93490804699999996</v>
      </c>
      <c r="P38" s="423"/>
      <c r="Q38" s="426"/>
      <c r="R38" s="423"/>
      <c r="S38" s="423"/>
      <c r="T38" s="423"/>
      <c r="U38" s="427"/>
      <c r="V38" s="422"/>
      <c r="W38" s="426"/>
      <c r="X38" s="423"/>
      <c r="Y38" s="423"/>
      <c r="Z38" s="435"/>
      <c r="AA38" s="427"/>
    </row>
    <row r="39" spans="1:27" ht="18.95" customHeight="1">
      <c r="A39" s="44"/>
      <c r="B39" s="1192" t="s">
        <v>3604</v>
      </c>
      <c r="C39" s="411" t="s">
        <v>3605</v>
      </c>
      <c r="D39" s="412"/>
      <c r="E39" s="25">
        <v>1</v>
      </c>
      <c r="F39" s="26" t="s">
        <v>349</v>
      </c>
      <c r="G39" s="25">
        <v>2475000</v>
      </c>
      <c r="H39" s="25">
        <f t="shared" si="2"/>
        <v>2313897.4163250001</v>
      </c>
      <c r="I39" s="25">
        <f t="shared" si="3"/>
        <v>2313897.4163250001</v>
      </c>
      <c r="J39" s="30">
        <v>0</v>
      </c>
      <c r="K39" s="30">
        <v>0</v>
      </c>
      <c r="L39" s="72">
        <f t="shared" si="4"/>
        <v>2313897.4163250001</v>
      </c>
      <c r="M39" s="26"/>
      <c r="N39" s="203">
        <v>0.93490804699999996</v>
      </c>
      <c r="P39" s="423"/>
      <c r="Q39" s="426"/>
      <c r="R39" s="423"/>
      <c r="S39" s="423"/>
      <c r="T39" s="423"/>
      <c r="U39" s="427"/>
      <c r="V39" s="422"/>
      <c r="W39" s="426"/>
      <c r="X39" s="423"/>
      <c r="Y39" s="423"/>
      <c r="Z39" s="435"/>
      <c r="AA39" s="427"/>
    </row>
    <row r="40" spans="1:27" ht="18.95" customHeight="1">
      <c r="A40" s="44"/>
      <c r="B40" s="27" t="s">
        <v>273</v>
      </c>
      <c r="C40" s="39" t="s">
        <v>3606</v>
      </c>
      <c r="D40" s="409"/>
      <c r="E40" s="25"/>
      <c r="F40" s="26"/>
      <c r="G40" s="25"/>
      <c r="H40" s="25">
        <f t="shared" si="2"/>
        <v>0</v>
      </c>
      <c r="I40" s="25">
        <f t="shared" si="3"/>
        <v>0</v>
      </c>
      <c r="J40" s="30"/>
      <c r="K40" s="30"/>
      <c r="L40" s="72"/>
      <c r="M40" s="26"/>
      <c r="N40" s="203">
        <v>0.93490804699999996</v>
      </c>
      <c r="P40" s="423"/>
      <c r="Q40" s="426"/>
      <c r="R40" s="423"/>
      <c r="S40" s="422"/>
      <c r="T40" s="422"/>
      <c r="U40" s="422"/>
      <c r="V40" s="422"/>
      <c r="W40" s="426"/>
      <c r="X40" s="423"/>
      <c r="Y40" s="422"/>
      <c r="Z40" s="422"/>
      <c r="AA40" s="422"/>
    </row>
    <row r="41" spans="1:27" ht="18.95" customHeight="1">
      <c r="A41" s="44"/>
      <c r="B41" s="410" t="s">
        <v>3607</v>
      </c>
      <c r="C41" s="39" t="s">
        <v>3606</v>
      </c>
      <c r="D41" s="409"/>
      <c r="E41" s="25">
        <v>2</v>
      </c>
      <c r="F41" s="26" t="s">
        <v>349</v>
      </c>
      <c r="G41" s="25">
        <v>1395000</v>
      </c>
      <c r="H41" s="25">
        <f t="shared" si="2"/>
        <v>1304196.725565</v>
      </c>
      <c r="I41" s="25">
        <f t="shared" si="3"/>
        <v>2608393.4511299999</v>
      </c>
      <c r="J41" s="30">
        <v>0</v>
      </c>
      <c r="K41" s="30">
        <v>0</v>
      </c>
      <c r="L41" s="72">
        <f t="shared" si="4"/>
        <v>2608393.4511299999</v>
      </c>
      <c r="M41" s="26"/>
      <c r="N41" s="203">
        <v>0.93490804699999996</v>
      </c>
      <c r="P41" s="423"/>
      <c r="Q41" s="426"/>
      <c r="R41" s="423"/>
      <c r="S41" s="423"/>
      <c r="T41" s="423"/>
      <c r="U41" s="427"/>
      <c r="V41" s="422"/>
      <c r="W41" s="426"/>
      <c r="X41" s="423"/>
      <c r="Y41" s="423"/>
      <c r="Z41" s="435"/>
      <c r="AA41" s="427"/>
    </row>
    <row r="42" spans="1:27" ht="18.95" customHeight="1">
      <c r="A42" s="44"/>
      <c r="B42" s="410" t="s">
        <v>3608</v>
      </c>
      <c r="C42" s="39" t="s">
        <v>3606</v>
      </c>
      <c r="D42" s="409"/>
      <c r="E42" s="25">
        <v>2</v>
      </c>
      <c r="F42" s="26" t="s">
        <v>349</v>
      </c>
      <c r="G42" s="25">
        <v>1350000</v>
      </c>
      <c r="H42" s="25">
        <f t="shared" si="2"/>
        <v>1262125.8634500001</v>
      </c>
      <c r="I42" s="25">
        <f t="shared" si="3"/>
        <v>2524251.7269000001</v>
      </c>
      <c r="J42" s="30">
        <v>0</v>
      </c>
      <c r="K42" s="30">
        <v>0</v>
      </c>
      <c r="L42" s="72">
        <f t="shared" si="4"/>
        <v>2524251.7269000001</v>
      </c>
      <c r="M42" s="26"/>
      <c r="N42" s="203">
        <v>0.93490804699999996</v>
      </c>
      <c r="P42" s="423"/>
      <c r="Q42" s="426"/>
      <c r="R42" s="423"/>
      <c r="S42" s="423"/>
      <c r="T42" s="423"/>
      <c r="U42" s="427"/>
      <c r="V42" s="422"/>
      <c r="W42" s="426"/>
      <c r="X42" s="423"/>
      <c r="Y42" s="423"/>
      <c r="Z42" s="435"/>
      <c r="AA42" s="427"/>
    </row>
    <row r="43" spans="1:27" ht="18.95" customHeight="1">
      <c r="A43" s="44"/>
      <c r="B43" s="410" t="s">
        <v>3609</v>
      </c>
      <c r="C43" s="39" t="s">
        <v>3606</v>
      </c>
      <c r="D43" s="301"/>
      <c r="E43" s="25">
        <v>2</v>
      </c>
      <c r="F43" s="26" t="s">
        <v>349</v>
      </c>
      <c r="G43" s="25">
        <v>1215000</v>
      </c>
      <c r="H43" s="25">
        <f t="shared" si="2"/>
        <v>1135913.2771049999</v>
      </c>
      <c r="I43" s="25">
        <f t="shared" si="3"/>
        <v>2271826.5542099997</v>
      </c>
      <c r="J43" s="30">
        <v>0</v>
      </c>
      <c r="K43" s="30">
        <v>0</v>
      </c>
      <c r="L43" s="72">
        <f t="shared" si="4"/>
        <v>2271826.5542099997</v>
      </c>
      <c r="M43" s="26"/>
      <c r="N43" s="203">
        <v>0.93490804699999996</v>
      </c>
      <c r="P43" s="423"/>
      <c r="Q43" s="426"/>
      <c r="R43" s="423"/>
      <c r="S43" s="423"/>
      <c r="T43" s="423"/>
      <c r="U43" s="427"/>
      <c r="V43" s="422"/>
      <c r="W43" s="426"/>
      <c r="X43" s="423"/>
      <c r="Y43" s="423"/>
      <c r="Z43" s="435"/>
      <c r="AA43" s="427"/>
    </row>
    <row r="44" spans="1:27" ht="18.95" customHeight="1">
      <c r="A44" s="44"/>
      <c r="B44" s="27"/>
      <c r="C44" s="29"/>
      <c r="D44" s="301"/>
      <c r="E44" s="25"/>
      <c r="F44" s="26"/>
      <c r="G44" s="25"/>
      <c r="H44" s="25"/>
      <c r="I44" s="25"/>
      <c r="J44" s="30"/>
      <c r="K44" s="30"/>
      <c r="L44" s="72"/>
      <c r="M44" s="72"/>
      <c r="N44" s="203">
        <v>0.93490804699999996</v>
      </c>
      <c r="P44" s="422"/>
      <c r="Q44" s="422"/>
      <c r="R44" s="422"/>
      <c r="S44" s="422"/>
      <c r="T44" s="422"/>
      <c r="U44" s="422"/>
      <c r="V44" s="422"/>
      <c r="W44" s="422"/>
      <c r="X44" s="422"/>
      <c r="Y44" s="422"/>
      <c r="Z44" s="422"/>
      <c r="AA44" s="422"/>
    </row>
    <row r="45" spans="1:27" ht="18.95" customHeight="1">
      <c r="A45" s="220"/>
      <c r="B45" s="1272" t="s">
        <v>3610</v>
      </c>
      <c r="C45" s="1273"/>
      <c r="D45" s="1274"/>
      <c r="E45" s="25"/>
      <c r="F45" s="26"/>
      <c r="G45" s="25"/>
      <c r="H45" s="25"/>
      <c r="I45" s="25"/>
      <c r="J45" s="30"/>
      <c r="K45" s="30"/>
      <c r="L45" s="126">
        <f>SUM(L33:L44)</f>
        <v>17038699.156574998</v>
      </c>
      <c r="M45" s="26"/>
      <c r="N45" s="203">
        <v>0.93490804699999996</v>
      </c>
      <c r="P45" s="422"/>
      <c r="Q45" s="422"/>
      <c r="R45" s="422"/>
      <c r="S45" s="422"/>
      <c r="T45" s="422"/>
      <c r="U45" s="422"/>
      <c r="V45" s="422"/>
      <c r="W45" s="422"/>
      <c r="X45" s="422"/>
      <c r="Y45" s="422"/>
      <c r="Z45" s="422"/>
      <c r="AA45" s="422"/>
    </row>
    <row r="46" spans="1:27" ht="18.95" customHeight="1">
      <c r="A46" s="413"/>
      <c r="B46" s="348"/>
      <c r="C46" s="414"/>
      <c r="D46" s="267"/>
      <c r="E46" s="25"/>
      <c r="F46" s="26"/>
      <c r="G46" s="25"/>
      <c r="H46" s="25"/>
      <c r="I46" s="25"/>
      <c r="J46" s="30"/>
      <c r="K46" s="30"/>
      <c r="L46" s="72"/>
      <c r="M46" s="26"/>
      <c r="N46" s="203">
        <v>0.93490804699999996</v>
      </c>
      <c r="P46" s="422"/>
      <c r="Q46" s="422"/>
      <c r="R46" s="422"/>
      <c r="S46" s="422"/>
      <c r="T46" s="422"/>
      <c r="U46" s="422"/>
      <c r="V46" s="422"/>
      <c r="W46" s="422"/>
      <c r="X46" s="422"/>
      <c r="Y46" s="422"/>
      <c r="Z46" s="422"/>
      <c r="AA46" s="422"/>
    </row>
    <row r="47" spans="1:27" ht="18.95" customHeight="1">
      <c r="A47" s="220">
        <v>2</v>
      </c>
      <c r="B47" s="1193" t="s">
        <v>3592</v>
      </c>
      <c r="C47" s="29"/>
      <c r="D47" s="24"/>
      <c r="E47" s="25"/>
      <c r="F47" s="26"/>
      <c r="G47" s="25"/>
      <c r="H47" s="25"/>
      <c r="I47" s="25"/>
      <c r="J47" s="30"/>
      <c r="K47" s="30"/>
      <c r="L47" s="72"/>
      <c r="M47" s="26"/>
      <c r="N47" s="203">
        <v>0.93490804699999996</v>
      </c>
      <c r="P47" s="422"/>
      <c r="Q47" s="422"/>
      <c r="R47" s="422"/>
      <c r="S47" s="422"/>
      <c r="T47" s="422"/>
      <c r="U47" s="422"/>
      <c r="V47" s="422"/>
      <c r="W47" s="422"/>
      <c r="X47" s="422"/>
      <c r="Y47" s="422"/>
      <c r="Z47" s="422"/>
      <c r="AA47" s="422"/>
    </row>
    <row r="48" spans="1:27" ht="18.95" customHeight="1">
      <c r="A48" s="413"/>
      <c r="B48" s="297" t="s">
        <v>3611</v>
      </c>
      <c r="C48" s="79"/>
      <c r="D48" s="73"/>
      <c r="E48" s="263"/>
      <c r="F48" s="248"/>
      <c r="G48" s="25"/>
      <c r="H48" s="25"/>
      <c r="I48" s="30"/>
      <c r="J48" s="30"/>
      <c r="K48" s="30"/>
      <c r="L48" s="72"/>
      <c r="M48" s="21"/>
      <c r="N48" s="203">
        <v>0.93490804699999996</v>
      </c>
    </row>
    <row r="49" spans="1:27" ht="18.95" customHeight="1">
      <c r="A49" s="28"/>
      <c r="B49" s="118" t="s">
        <v>273</v>
      </c>
      <c r="C49" s="97" t="s">
        <v>2005</v>
      </c>
      <c r="D49" s="73"/>
      <c r="E49" s="291">
        <v>2</v>
      </c>
      <c r="F49" s="30" t="s">
        <v>349</v>
      </c>
      <c r="G49" s="30">
        <v>1089000</v>
      </c>
      <c r="H49" s="25">
        <f t="shared" ref="H49" si="5">G49*N49</f>
        <v>1018114.863183</v>
      </c>
      <c r="I49" s="25">
        <f t="shared" ref="I49" si="6">SUM(H49*E49)</f>
        <v>2036229.726366</v>
      </c>
      <c r="J49" s="25">
        <v>0</v>
      </c>
      <c r="K49" s="25">
        <f>ROUNDDOWN(E49*J49,2)</f>
        <v>0</v>
      </c>
      <c r="L49" s="25">
        <f>I49+K49</f>
        <v>2036229.726366</v>
      </c>
      <c r="M49" s="21"/>
      <c r="N49" s="203">
        <v>0.93490804699999996</v>
      </c>
    </row>
    <row r="50" spans="1:27" ht="18.95" customHeight="1">
      <c r="A50" s="44"/>
      <c r="B50" s="297" t="s">
        <v>3612</v>
      </c>
      <c r="C50" s="79"/>
      <c r="D50" s="73"/>
      <c r="E50" s="263"/>
      <c r="F50" s="248"/>
      <c r="G50" s="25"/>
      <c r="H50" s="25"/>
      <c r="I50" s="30"/>
      <c r="J50" s="30"/>
      <c r="K50" s="30"/>
      <c r="L50" s="72"/>
      <c r="M50" s="21"/>
      <c r="N50" s="203">
        <v>0.93490804699999996</v>
      </c>
    </row>
    <row r="51" spans="1:27" ht="18.95" customHeight="1">
      <c r="A51" s="44"/>
      <c r="B51" s="118" t="s">
        <v>273</v>
      </c>
      <c r="C51" s="97" t="s">
        <v>3613</v>
      </c>
      <c r="D51" s="415"/>
      <c r="E51" s="291">
        <v>1</v>
      </c>
      <c r="F51" s="30" t="s">
        <v>349</v>
      </c>
      <c r="G51" s="30">
        <v>1640000</v>
      </c>
      <c r="H51" s="25">
        <f t="shared" ref="H51" si="7">G51*N51</f>
        <v>1533249.1970799998</v>
      </c>
      <c r="I51" s="25">
        <f t="shared" ref="I51" si="8">SUM(H51*E51)</f>
        <v>1533249.1970799998</v>
      </c>
      <c r="J51" s="25">
        <v>0</v>
      </c>
      <c r="K51" s="25">
        <f>ROUNDDOWN(E51*J51,2)</f>
        <v>0</v>
      </c>
      <c r="L51" s="25">
        <f>I51+K51</f>
        <v>1533249.1970799998</v>
      </c>
      <c r="M51" s="21"/>
      <c r="N51" s="203">
        <v>0.93490804699999996</v>
      </c>
      <c r="O51" s="424"/>
    </row>
    <row r="52" spans="1:27" ht="18.95" customHeight="1">
      <c r="A52" s="44"/>
      <c r="B52" s="38"/>
      <c r="C52" s="416"/>
      <c r="D52" s="417"/>
      <c r="E52" s="25"/>
      <c r="F52" s="26"/>
      <c r="G52" s="25"/>
      <c r="H52" s="25"/>
      <c r="I52" s="30"/>
      <c r="J52" s="30"/>
      <c r="K52" s="30"/>
      <c r="L52" s="72"/>
      <c r="M52" s="26"/>
      <c r="N52" s="203">
        <v>0.93490804699999996</v>
      </c>
      <c r="P52" s="422"/>
      <c r="Q52" s="422"/>
      <c r="R52" s="422"/>
      <c r="S52" s="422"/>
      <c r="T52" s="422"/>
      <c r="U52" s="422"/>
      <c r="V52" s="422"/>
      <c r="W52" s="422"/>
      <c r="X52" s="422"/>
      <c r="Y52" s="422"/>
      <c r="Z52" s="422"/>
      <c r="AA52" s="422"/>
    </row>
    <row r="53" spans="1:27" ht="18.95" customHeight="1">
      <c r="A53" s="44"/>
      <c r="B53" s="1272" t="s">
        <v>3614</v>
      </c>
      <c r="C53" s="1273"/>
      <c r="D53" s="1274"/>
      <c r="E53" s="25"/>
      <c r="F53" s="26"/>
      <c r="G53" s="25"/>
      <c r="H53" s="25"/>
      <c r="I53" s="30"/>
      <c r="J53" s="30"/>
      <c r="K53" s="30"/>
      <c r="L53" s="126">
        <f>SUM(L49:L52)</f>
        <v>3569478.9234459996</v>
      </c>
      <c r="M53" s="26"/>
      <c r="N53" s="203">
        <v>0.93490804699999996</v>
      </c>
      <c r="P53" s="422"/>
      <c r="Q53" s="422"/>
      <c r="R53" s="422"/>
      <c r="S53" s="422"/>
      <c r="T53" s="422"/>
      <c r="U53" s="422"/>
      <c r="V53" s="422"/>
      <c r="W53" s="422"/>
      <c r="X53" s="422"/>
      <c r="Y53" s="422"/>
      <c r="Z53" s="422"/>
      <c r="AA53" s="422"/>
    </row>
    <row r="54" spans="1:27" ht="18.95" customHeight="1">
      <c r="A54" s="44"/>
      <c r="B54" s="38"/>
      <c r="C54" s="416"/>
      <c r="D54" s="417"/>
      <c r="E54" s="25"/>
      <c r="F54" s="26"/>
      <c r="G54" s="25"/>
      <c r="H54" s="25"/>
      <c r="I54" s="30"/>
      <c r="J54" s="30"/>
      <c r="K54" s="30"/>
      <c r="L54" s="72"/>
      <c r="M54" s="26"/>
      <c r="N54" s="203">
        <v>0.93490804699999996</v>
      </c>
      <c r="P54" s="422"/>
      <c r="Q54" s="422"/>
      <c r="R54" s="422"/>
      <c r="S54" s="422"/>
      <c r="T54" s="422"/>
      <c r="U54" s="422"/>
      <c r="V54" s="422"/>
      <c r="W54" s="422"/>
      <c r="X54" s="422"/>
      <c r="Y54" s="422"/>
      <c r="Z54" s="422"/>
      <c r="AA54" s="422"/>
    </row>
    <row r="55" spans="1:27" ht="18.95" customHeight="1">
      <c r="A55" s="220">
        <v>3</v>
      </c>
      <c r="B55" s="1193" t="s">
        <v>3593</v>
      </c>
      <c r="C55" s="29"/>
      <c r="D55" s="417"/>
      <c r="E55" s="25"/>
      <c r="F55" s="26"/>
      <c r="G55" s="25"/>
      <c r="H55" s="25"/>
      <c r="I55" s="30"/>
      <c r="J55" s="30"/>
      <c r="K55" s="30"/>
      <c r="L55" s="72"/>
      <c r="M55" s="26"/>
      <c r="N55" s="203">
        <v>0.93490804699999996</v>
      </c>
      <c r="P55" s="422"/>
      <c r="Q55" s="422"/>
      <c r="R55" s="422"/>
      <c r="S55" s="422"/>
      <c r="T55" s="422"/>
      <c r="U55" s="422"/>
      <c r="V55" s="422"/>
      <c r="W55" s="422"/>
      <c r="X55" s="422"/>
      <c r="Y55" s="422"/>
      <c r="Z55" s="422"/>
      <c r="AA55" s="422"/>
    </row>
    <row r="56" spans="1:27" ht="18.95" customHeight="1">
      <c r="A56" s="44"/>
      <c r="B56" s="38" t="s">
        <v>3029</v>
      </c>
      <c r="C56" s="416"/>
      <c r="D56" s="417"/>
      <c r="E56" s="25"/>
      <c r="F56" s="26"/>
      <c r="G56" s="25"/>
      <c r="H56" s="25"/>
      <c r="I56" s="30"/>
      <c r="J56" s="30"/>
      <c r="K56" s="30"/>
      <c r="L56" s="72"/>
      <c r="M56" s="26"/>
      <c r="N56" s="203">
        <v>0.93490804699999996</v>
      </c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2"/>
    </row>
    <row r="57" spans="1:27" ht="18.95" customHeight="1">
      <c r="A57" s="413"/>
      <c r="B57" s="418" t="s">
        <v>2685</v>
      </c>
      <c r="C57" s="419"/>
      <c r="D57" s="267"/>
      <c r="E57" s="25"/>
      <c r="F57" s="26"/>
      <c r="G57" s="72"/>
      <c r="H57" s="72"/>
      <c r="I57" s="72"/>
      <c r="J57" s="25"/>
      <c r="K57" s="72"/>
      <c r="L57" s="72"/>
      <c r="M57" s="26"/>
      <c r="N57" s="203">
        <v>0.93490804699999996</v>
      </c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</row>
    <row r="58" spans="1:27" ht="18.95" customHeight="1">
      <c r="A58" s="413"/>
      <c r="B58" s="420" t="s">
        <v>273</v>
      </c>
      <c r="C58" s="368" t="s">
        <v>3157</v>
      </c>
      <c r="D58" s="301"/>
      <c r="E58" s="25"/>
      <c r="F58" s="26"/>
      <c r="G58" s="72"/>
      <c r="H58" s="72"/>
      <c r="I58" s="72"/>
      <c r="J58" s="25"/>
      <c r="K58" s="72"/>
      <c r="L58" s="72"/>
      <c r="M58" s="26"/>
      <c r="N58" s="203">
        <v>0.93490804699999996</v>
      </c>
      <c r="P58" s="422"/>
      <c r="Q58" s="422"/>
      <c r="R58" s="422"/>
      <c r="S58" s="422"/>
      <c r="T58" s="422"/>
      <c r="U58" s="422"/>
      <c r="V58" s="422"/>
      <c r="W58" s="422"/>
      <c r="X58" s="422"/>
      <c r="Y58" s="422"/>
      <c r="Z58" s="422"/>
      <c r="AA58" s="422"/>
    </row>
    <row r="59" spans="1:27" ht="18.95" customHeight="1">
      <c r="A59" s="44"/>
      <c r="B59" s="421"/>
      <c r="C59" s="368" t="s">
        <v>3158</v>
      </c>
      <c r="D59" s="301"/>
      <c r="E59" s="25">
        <v>1</v>
      </c>
      <c r="F59" s="1188" t="s">
        <v>349</v>
      </c>
      <c r="G59" s="72">
        <v>2678400</v>
      </c>
      <c r="H59" s="25">
        <f>G59*N59</f>
        <v>2504057.7130847997</v>
      </c>
      <c r="I59" s="25">
        <f t="shared" ref="I59:I60" si="9">SUM(H59*E59)</f>
        <v>2504057.7130847997</v>
      </c>
      <c r="J59" s="25">
        <v>0</v>
      </c>
      <c r="K59" s="72">
        <f>ROUNDDOWN(E59*J59,2)</f>
        <v>0</v>
      </c>
      <c r="L59" s="72">
        <f>I59+K59</f>
        <v>2504057.7130847997</v>
      </c>
      <c r="M59" s="26"/>
      <c r="N59" s="203">
        <v>0.93490804699999996</v>
      </c>
      <c r="P59" s="422"/>
      <c r="Q59" s="422"/>
      <c r="R59" s="422"/>
      <c r="S59" s="422"/>
      <c r="T59" s="422"/>
      <c r="U59" s="422"/>
      <c r="V59" s="422"/>
      <c r="W59" s="422"/>
      <c r="X59" s="422"/>
      <c r="Y59" s="422"/>
      <c r="Z59" s="422"/>
      <c r="AA59" s="422"/>
    </row>
    <row r="60" spans="1:27" ht="18.95" customHeight="1">
      <c r="A60" s="413"/>
      <c r="B60" s="421"/>
      <c r="C60" s="368" t="s">
        <v>3159</v>
      </c>
      <c r="D60" s="301"/>
      <c r="E60" s="25">
        <v>1</v>
      </c>
      <c r="F60" s="1188" t="s">
        <v>349</v>
      </c>
      <c r="G60" s="72">
        <v>110000</v>
      </c>
      <c r="H60" s="25">
        <f t="shared" ref="H60" si="10">G60*N60</f>
        <v>102839.88516999999</v>
      </c>
      <c r="I60" s="25">
        <f t="shared" si="9"/>
        <v>102839.88516999999</v>
      </c>
      <c r="J60" s="25">
        <v>0</v>
      </c>
      <c r="K60" s="72">
        <f>ROUNDDOWN(E60*J60,2)</f>
        <v>0</v>
      </c>
      <c r="L60" s="72">
        <f>I60+K60</f>
        <v>102839.88516999999</v>
      </c>
      <c r="M60" s="26"/>
      <c r="N60" s="203">
        <v>0.93490804699999996</v>
      </c>
      <c r="P60" s="422"/>
      <c r="Q60" s="422"/>
      <c r="R60" s="422"/>
      <c r="S60" s="422"/>
      <c r="T60" s="422"/>
      <c r="U60" s="422"/>
      <c r="V60" s="422"/>
      <c r="W60" s="422"/>
      <c r="X60" s="422"/>
      <c r="Y60" s="422"/>
      <c r="Z60" s="422"/>
      <c r="AA60" s="422"/>
    </row>
    <row r="61" spans="1:27" ht="18.95" customHeight="1">
      <c r="A61" s="413"/>
      <c r="B61" s="1272" t="s">
        <v>3615</v>
      </c>
      <c r="C61" s="1273"/>
      <c r="D61" s="1274"/>
      <c r="E61" s="25"/>
      <c r="F61" s="26"/>
      <c r="G61" s="25"/>
      <c r="H61" s="25"/>
      <c r="I61" s="30"/>
      <c r="J61" s="30"/>
      <c r="K61" s="30"/>
      <c r="L61" s="126">
        <f>SUM(L59:L60)</f>
        <v>2606897.5982547998</v>
      </c>
      <c r="M61" s="26"/>
      <c r="N61" s="203">
        <v>0.93490804699999996</v>
      </c>
      <c r="P61" s="422"/>
      <c r="Q61" s="422"/>
      <c r="R61" s="422"/>
      <c r="S61" s="422"/>
      <c r="T61" s="422"/>
      <c r="U61" s="422"/>
      <c r="V61" s="422"/>
      <c r="W61" s="422"/>
      <c r="X61" s="422"/>
      <c r="Y61" s="422"/>
      <c r="Z61" s="422"/>
      <c r="AA61" s="422"/>
    </row>
    <row r="62" spans="1:27" ht="18.95" customHeight="1">
      <c r="A62" s="21"/>
      <c r="B62" s="38"/>
      <c r="C62" s="416"/>
      <c r="D62" s="417"/>
      <c r="E62" s="25"/>
      <c r="F62" s="26"/>
      <c r="G62" s="25"/>
      <c r="H62" s="25"/>
      <c r="I62" s="30"/>
      <c r="J62" s="25"/>
      <c r="K62" s="30"/>
      <c r="L62" s="25"/>
      <c r="M62" s="26"/>
      <c r="N62" s="203">
        <v>0.93490804699999996</v>
      </c>
      <c r="P62" s="422"/>
      <c r="Q62" s="422"/>
      <c r="R62" s="422"/>
      <c r="S62" s="422"/>
      <c r="T62" s="422"/>
      <c r="U62" s="422"/>
      <c r="V62" s="422"/>
      <c r="W62" s="422"/>
      <c r="X62" s="422"/>
      <c r="Y62" s="422"/>
      <c r="Z62" s="422"/>
      <c r="AA62" s="422"/>
    </row>
    <row r="63" spans="1:27" ht="18.95" customHeight="1">
      <c r="A63" s="220">
        <v>4</v>
      </c>
      <c r="B63" s="1193" t="s">
        <v>3594</v>
      </c>
      <c r="C63" s="416"/>
      <c r="D63" s="417"/>
      <c r="E63" s="25"/>
      <c r="F63" s="26"/>
      <c r="G63" s="25"/>
      <c r="H63" s="25"/>
      <c r="I63" s="30"/>
      <c r="J63" s="30"/>
      <c r="K63" s="25"/>
      <c r="L63" s="26"/>
      <c r="M63" s="26"/>
      <c r="N63" s="203">
        <v>0.93490804699999996</v>
      </c>
      <c r="P63" s="425"/>
      <c r="Q63" s="429"/>
      <c r="R63" s="430"/>
      <c r="S63" s="431"/>
      <c r="T63" s="431"/>
      <c r="U63" s="432"/>
      <c r="V63" s="422"/>
      <c r="W63" s="433"/>
      <c r="X63" s="422"/>
      <c r="Y63" s="422"/>
      <c r="Z63" s="422"/>
      <c r="AA63" s="422"/>
    </row>
    <row r="64" spans="1:27" ht="18.95" customHeight="1">
      <c r="A64" s="44"/>
      <c r="B64" s="348" t="s">
        <v>3226</v>
      </c>
      <c r="C64" s="416"/>
      <c r="D64" s="417"/>
      <c r="E64" s="25"/>
      <c r="F64" s="26"/>
      <c r="G64" s="25"/>
      <c r="H64" s="25"/>
      <c r="I64" s="30"/>
      <c r="J64" s="30"/>
      <c r="K64" s="30"/>
      <c r="L64" s="72"/>
      <c r="M64" s="26"/>
      <c r="N64" s="203">
        <v>0.93490804699999996</v>
      </c>
      <c r="P64" s="425"/>
      <c r="Q64" s="429"/>
      <c r="R64" s="430"/>
      <c r="S64" s="431"/>
      <c r="T64" s="431"/>
      <c r="U64" s="434"/>
      <c r="V64" s="422"/>
      <c r="W64" s="433"/>
      <c r="X64" s="422"/>
      <c r="Y64" s="422"/>
      <c r="Z64" s="422"/>
      <c r="AA64" s="422"/>
    </row>
    <row r="65" spans="1:27" ht="18.95" customHeight="1">
      <c r="A65" s="44"/>
      <c r="B65" s="436" t="s">
        <v>3235</v>
      </c>
      <c r="C65" s="29"/>
      <c r="D65" s="24"/>
      <c r="E65" s="25"/>
      <c r="F65" s="26"/>
      <c r="G65" s="25"/>
      <c r="H65" s="25"/>
      <c r="I65" s="25"/>
      <c r="J65" s="30"/>
      <c r="K65" s="30"/>
      <c r="L65" s="72"/>
      <c r="M65" s="26"/>
      <c r="N65" s="203">
        <v>0.93490804699999996</v>
      </c>
      <c r="O65" s="2"/>
      <c r="P65" s="425"/>
      <c r="Q65" s="429"/>
      <c r="R65" s="430"/>
      <c r="S65" s="431"/>
      <c r="T65" s="431"/>
      <c r="U65" s="434"/>
      <c r="V65" s="422"/>
      <c r="W65" s="433"/>
      <c r="X65" s="422"/>
      <c r="Y65" s="422"/>
      <c r="Z65" s="422"/>
      <c r="AA65" s="422"/>
    </row>
    <row r="66" spans="1:27" ht="18.95" customHeight="1">
      <c r="A66" s="44"/>
      <c r="B66" s="38"/>
      <c r="C66" s="416" t="s">
        <v>3236</v>
      </c>
      <c r="D66" s="437" t="s">
        <v>3237</v>
      </c>
      <c r="E66" s="25">
        <v>2</v>
      </c>
      <c r="F66" s="1188" t="s">
        <v>349</v>
      </c>
      <c r="G66" s="25">
        <v>17416</v>
      </c>
      <c r="H66" s="25">
        <f t="shared" ref="H66:H129" si="11">G66*N66</f>
        <v>16282.358546551999</v>
      </c>
      <c r="I66" s="25">
        <f t="shared" ref="I66:I129" si="12">SUM(H66*E66)</f>
        <v>32564.717093103998</v>
      </c>
      <c r="J66" s="30">
        <v>0</v>
      </c>
      <c r="K66" s="30">
        <v>0</v>
      </c>
      <c r="L66" s="72">
        <f t="shared" ref="L66:L85" si="13">SUM(I66)</f>
        <v>32564.717093103998</v>
      </c>
      <c r="M66" s="26"/>
      <c r="N66" s="203">
        <v>0.93490804699999996</v>
      </c>
      <c r="O66" s="438"/>
      <c r="P66" s="423"/>
      <c r="Q66" s="426"/>
      <c r="R66" s="422"/>
      <c r="S66" s="423"/>
      <c r="T66" s="423"/>
      <c r="U66" s="427"/>
      <c r="V66" s="422"/>
      <c r="W66" s="433"/>
      <c r="X66" s="422"/>
      <c r="Y66" s="423"/>
      <c r="Z66" s="440"/>
      <c r="AA66" s="427"/>
    </row>
    <row r="67" spans="1:27" ht="18.95" customHeight="1">
      <c r="A67" s="44"/>
      <c r="B67" s="38"/>
      <c r="C67" s="416" t="s">
        <v>3238</v>
      </c>
      <c r="D67" s="417" t="s">
        <v>3239</v>
      </c>
      <c r="E67" s="25">
        <v>2</v>
      </c>
      <c r="F67" s="1188" t="s">
        <v>349</v>
      </c>
      <c r="G67" s="25">
        <v>68936</v>
      </c>
      <c r="H67" s="25">
        <f t="shared" si="11"/>
        <v>64448.821127992</v>
      </c>
      <c r="I67" s="25">
        <f t="shared" si="12"/>
        <v>128897.642255984</v>
      </c>
      <c r="J67" s="30">
        <v>0</v>
      </c>
      <c r="K67" s="30">
        <v>0</v>
      </c>
      <c r="L67" s="72">
        <f t="shared" si="13"/>
        <v>128897.642255984</v>
      </c>
      <c r="M67" s="26"/>
      <c r="N67" s="203">
        <v>0.93490804699999996</v>
      </c>
      <c r="O67" s="438"/>
      <c r="P67" s="423"/>
      <c r="Q67" s="426"/>
      <c r="R67" s="423"/>
      <c r="S67" s="423"/>
      <c r="T67" s="423"/>
      <c r="U67" s="427"/>
      <c r="V67" s="422"/>
      <c r="W67" s="433"/>
      <c r="X67" s="422"/>
      <c r="Y67" s="423"/>
      <c r="Z67" s="440"/>
      <c r="AA67" s="427"/>
    </row>
    <row r="68" spans="1:27" ht="18.95" customHeight="1">
      <c r="A68" s="44"/>
      <c r="B68" s="38"/>
      <c r="C68" s="416" t="s">
        <v>3240</v>
      </c>
      <c r="D68" s="417" t="s">
        <v>3241</v>
      </c>
      <c r="E68" s="25">
        <v>2</v>
      </c>
      <c r="F68" s="1188" t="s">
        <v>349</v>
      </c>
      <c r="G68" s="25">
        <v>18984</v>
      </c>
      <c r="H68" s="25">
        <f t="shared" si="11"/>
        <v>17748.294364247999</v>
      </c>
      <c r="I68" s="25">
        <f t="shared" si="12"/>
        <v>35496.588728495997</v>
      </c>
      <c r="J68" s="30">
        <v>0</v>
      </c>
      <c r="K68" s="30">
        <v>0</v>
      </c>
      <c r="L68" s="72">
        <f t="shared" si="13"/>
        <v>35496.588728495997</v>
      </c>
      <c r="M68" s="26"/>
      <c r="N68" s="203">
        <v>0.93490804699999996</v>
      </c>
      <c r="O68" s="438"/>
      <c r="P68" s="423"/>
      <c r="Q68" s="426"/>
      <c r="R68" s="423"/>
      <c r="S68" s="423"/>
      <c r="T68" s="423"/>
      <c r="U68" s="427"/>
      <c r="V68" s="422"/>
      <c r="W68" s="433"/>
      <c r="X68" s="422"/>
      <c r="Y68" s="423"/>
      <c r="Z68" s="440"/>
      <c r="AA68" s="427"/>
    </row>
    <row r="69" spans="1:27" ht="18.95" customHeight="1">
      <c r="A69" s="44"/>
      <c r="B69" s="38"/>
      <c r="C69" s="416" t="s">
        <v>3242</v>
      </c>
      <c r="D69" s="417" t="s">
        <v>3243</v>
      </c>
      <c r="E69" s="25">
        <v>5</v>
      </c>
      <c r="F69" s="1188" t="s">
        <v>349</v>
      </c>
      <c r="G69" s="25">
        <v>65016</v>
      </c>
      <c r="H69" s="25">
        <f t="shared" si="11"/>
        <v>60783.981583752</v>
      </c>
      <c r="I69" s="25">
        <f t="shared" si="12"/>
        <v>303919.90791875997</v>
      </c>
      <c r="J69" s="30">
        <v>0</v>
      </c>
      <c r="K69" s="30">
        <v>0</v>
      </c>
      <c r="L69" s="72">
        <f t="shared" si="13"/>
        <v>303919.90791875997</v>
      </c>
      <c r="M69" s="26"/>
      <c r="N69" s="203">
        <v>0.93490804699999996</v>
      </c>
      <c r="O69" s="438"/>
      <c r="P69" s="423"/>
      <c r="Q69" s="426"/>
      <c r="R69" s="423"/>
      <c r="S69" s="423"/>
      <c r="T69" s="423"/>
      <c r="U69" s="427"/>
      <c r="V69" s="422"/>
      <c r="W69" s="433"/>
      <c r="X69" s="422"/>
      <c r="Y69" s="423"/>
      <c r="Z69" s="440"/>
      <c r="AA69" s="427"/>
    </row>
    <row r="70" spans="1:27" ht="18.95" customHeight="1">
      <c r="A70" s="44"/>
      <c r="B70" s="38"/>
      <c r="C70" s="416" t="s">
        <v>3244</v>
      </c>
      <c r="D70" s="417" t="s">
        <v>3243</v>
      </c>
      <c r="E70" s="25">
        <v>1</v>
      </c>
      <c r="F70" s="1188" t="s">
        <v>349</v>
      </c>
      <c r="G70" s="25">
        <v>65016</v>
      </c>
      <c r="H70" s="25">
        <f t="shared" si="11"/>
        <v>60783.981583752</v>
      </c>
      <c r="I70" s="25">
        <f t="shared" si="12"/>
        <v>60783.981583752</v>
      </c>
      <c r="J70" s="30">
        <v>0</v>
      </c>
      <c r="K70" s="30">
        <v>0</v>
      </c>
      <c r="L70" s="72">
        <f t="shared" si="13"/>
        <v>60783.981583752</v>
      </c>
      <c r="M70" s="26"/>
      <c r="N70" s="203">
        <v>0.93490804699999996</v>
      </c>
      <c r="O70" s="438"/>
      <c r="P70" s="423"/>
      <c r="Q70" s="426"/>
      <c r="R70" s="423"/>
      <c r="S70" s="423"/>
      <c r="T70" s="423"/>
      <c r="U70" s="427"/>
      <c r="V70" s="422"/>
      <c r="W70" s="433"/>
      <c r="X70" s="422"/>
      <c r="Y70" s="423"/>
      <c r="Z70" s="440"/>
      <c r="AA70" s="427"/>
    </row>
    <row r="71" spans="1:27" ht="18.95" customHeight="1">
      <c r="A71" s="44"/>
      <c r="B71" s="38"/>
      <c r="C71" s="416" t="s">
        <v>3245</v>
      </c>
      <c r="D71" s="437" t="s">
        <v>3246</v>
      </c>
      <c r="E71" s="25">
        <v>1</v>
      </c>
      <c r="F71" s="1188" t="s">
        <v>349</v>
      </c>
      <c r="G71" s="25">
        <v>22456</v>
      </c>
      <c r="H71" s="25">
        <f t="shared" si="11"/>
        <v>20994.295103431999</v>
      </c>
      <c r="I71" s="25">
        <f t="shared" si="12"/>
        <v>20994.295103431999</v>
      </c>
      <c r="J71" s="30">
        <v>0</v>
      </c>
      <c r="K71" s="30">
        <v>0</v>
      </c>
      <c r="L71" s="72">
        <f t="shared" si="13"/>
        <v>20994.295103431999</v>
      </c>
      <c r="M71" s="26"/>
      <c r="N71" s="203">
        <v>0.93490804699999996</v>
      </c>
      <c r="O71" s="438"/>
      <c r="P71" s="423"/>
      <c r="Q71" s="426"/>
      <c r="R71" s="423"/>
      <c r="S71" s="423"/>
      <c r="T71" s="423"/>
      <c r="U71" s="427"/>
      <c r="V71" s="422"/>
      <c r="W71" s="433"/>
      <c r="X71" s="422"/>
      <c r="Y71" s="423"/>
      <c r="Z71" s="440"/>
      <c r="AA71" s="427"/>
    </row>
    <row r="72" spans="1:27" ht="18.95" customHeight="1">
      <c r="A72" s="44"/>
      <c r="B72" s="38"/>
      <c r="C72" s="416" t="s">
        <v>3247</v>
      </c>
      <c r="D72" s="437" t="s">
        <v>3248</v>
      </c>
      <c r="E72" s="25">
        <v>1</v>
      </c>
      <c r="F72" s="1188" t="s">
        <v>349</v>
      </c>
      <c r="G72" s="25">
        <v>21896</v>
      </c>
      <c r="H72" s="25">
        <f t="shared" si="11"/>
        <v>20470.746597112</v>
      </c>
      <c r="I72" s="25">
        <f t="shared" si="12"/>
        <v>20470.746597112</v>
      </c>
      <c r="J72" s="30">
        <v>0</v>
      </c>
      <c r="K72" s="30">
        <v>0</v>
      </c>
      <c r="L72" s="72">
        <f t="shared" si="13"/>
        <v>20470.746597112</v>
      </c>
      <c r="M72" s="26"/>
      <c r="N72" s="203">
        <v>0.93490804699999996</v>
      </c>
      <c r="O72" s="438"/>
      <c r="P72" s="423"/>
      <c r="Q72" s="426"/>
      <c r="R72" s="423"/>
      <c r="S72" s="423"/>
      <c r="T72" s="423"/>
      <c r="U72" s="427"/>
      <c r="V72" s="422"/>
      <c r="W72" s="433"/>
      <c r="X72" s="422"/>
      <c r="Y72" s="423"/>
      <c r="Z72" s="440"/>
      <c r="AA72" s="427"/>
    </row>
    <row r="73" spans="1:27" ht="18.95" customHeight="1">
      <c r="A73" s="44"/>
      <c r="B73" s="38"/>
      <c r="C73" s="416" t="s">
        <v>3249</v>
      </c>
      <c r="D73" s="437" t="s">
        <v>3250</v>
      </c>
      <c r="E73" s="25">
        <v>1</v>
      </c>
      <c r="F73" s="1188" t="s">
        <v>349</v>
      </c>
      <c r="G73" s="25">
        <v>23576</v>
      </c>
      <c r="H73" s="25">
        <f t="shared" si="11"/>
        <v>22041.392116071998</v>
      </c>
      <c r="I73" s="25">
        <f t="shared" si="12"/>
        <v>22041.392116071998</v>
      </c>
      <c r="J73" s="30">
        <v>0</v>
      </c>
      <c r="K73" s="30">
        <v>0</v>
      </c>
      <c r="L73" s="72">
        <f t="shared" si="13"/>
        <v>22041.392116071998</v>
      </c>
      <c r="M73" s="26"/>
      <c r="N73" s="203">
        <v>0.93490804699999996</v>
      </c>
      <c r="O73" s="438"/>
      <c r="P73" s="423"/>
      <c r="Q73" s="426"/>
      <c r="R73" s="423"/>
      <c r="S73" s="423"/>
      <c r="T73" s="423"/>
      <c r="U73" s="427"/>
      <c r="V73" s="422"/>
      <c r="W73" s="433"/>
      <c r="X73" s="422"/>
      <c r="Y73" s="423"/>
      <c r="Z73" s="440"/>
      <c r="AA73" s="427"/>
    </row>
    <row r="74" spans="1:27" ht="18.95" customHeight="1">
      <c r="A74" s="44"/>
      <c r="B74" s="38"/>
      <c r="C74" s="416" t="s">
        <v>3251</v>
      </c>
      <c r="D74" s="437" t="s">
        <v>3252</v>
      </c>
      <c r="E74" s="25">
        <v>2</v>
      </c>
      <c r="F74" s="1188" t="s">
        <v>349</v>
      </c>
      <c r="G74" s="25">
        <v>27496</v>
      </c>
      <c r="H74" s="25">
        <f t="shared" si="11"/>
        <v>25706.231660311998</v>
      </c>
      <c r="I74" s="25">
        <f t="shared" si="12"/>
        <v>51412.463320623996</v>
      </c>
      <c r="J74" s="30">
        <v>0</v>
      </c>
      <c r="K74" s="30">
        <v>0</v>
      </c>
      <c r="L74" s="72">
        <f t="shared" si="13"/>
        <v>51412.463320623996</v>
      </c>
      <c r="M74" s="26"/>
      <c r="N74" s="203">
        <v>0.93490804699999996</v>
      </c>
      <c r="O74" s="438"/>
      <c r="P74" s="423"/>
      <c r="Q74" s="426"/>
      <c r="R74" s="423"/>
      <c r="S74" s="423"/>
      <c r="T74" s="423"/>
      <c r="U74" s="427"/>
      <c r="V74" s="422"/>
      <c r="W74" s="433"/>
      <c r="X74" s="422"/>
      <c r="Y74" s="423"/>
      <c r="Z74" s="440"/>
      <c r="AA74" s="427"/>
    </row>
    <row r="75" spans="1:27" ht="18.95" customHeight="1">
      <c r="A75" s="220"/>
      <c r="B75" s="38"/>
      <c r="C75" s="416" t="s">
        <v>3253</v>
      </c>
      <c r="D75" s="437" t="s">
        <v>3254</v>
      </c>
      <c r="E75" s="25">
        <v>1</v>
      </c>
      <c r="F75" s="1188" t="s">
        <v>349</v>
      </c>
      <c r="G75" s="25">
        <v>20216</v>
      </c>
      <c r="H75" s="25">
        <f t="shared" si="11"/>
        <v>18900.101078151998</v>
      </c>
      <c r="I75" s="25">
        <f t="shared" si="12"/>
        <v>18900.101078151998</v>
      </c>
      <c r="J75" s="30">
        <v>0</v>
      </c>
      <c r="K75" s="30">
        <v>0</v>
      </c>
      <c r="L75" s="72">
        <f t="shared" si="13"/>
        <v>18900.101078151998</v>
      </c>
      <c r="M75" s="26"/>
      <c r="N75" s="203">
        <v>0.93490804699999996</v>
      </c>
      <c r="O75" s="438"/>
      <c r="P75" s="423"/>
      <c r="Q75" s="426"/>
      <c r="R75" s="423"/>
      <c r="S75" s="423"/>
      <c r="T75" s="423"/>
      <c r="U75" s="427"/>
      <c r="V75" s="422"/>
      <c r="W75" s="433"/>
      <c r="X75" s="422"/>
      <c r="Y75" s="423"/>
      <c r="Z75" s="440"/>
      <c r="AA75" s="427"/>
    </row>
    <row r="76" spans="1:27" ht="18.95" customHeight="1">
      <c r="A76" s="44"/>
      <c r="B76" s="38"/>
      <c r="C76" s="416" t="s">
        <v>3255</v>
      </c>
      <c r="D76" s="437" t="s">
        <v>3254</v>
      </c>
      <c r="E76" s="25">
        <v>1</v>
      </c>
      <c r="F76" s="1188" t="s">
        <v>349</v>
      </c>
      <c r="G76" s="25">
        <v>20216</v>
      </c>
      <c r="H76" s="25">
        <f t="shared" si="11"/>
        <v>18900.101078151998</v>
      </c>
      <c r="I76" s="25">
        <f t="shared" si="12"/>
        <v>18900.101078151998</v>
      </c>
      <c r="J76" s="30">
        <v>0</v>
      </c>
      <c r="K76" s="30">
        <v>0</v>
      </c>
      <c r="L76" s="72">
        <f t="shared" si="13"/>
        <v>18900.101078151998</v>
      </c>
      <c r="M76" s="26"/>
      <c r="N76" s="203">
        <v>0.93490804699999996</v>
      </c>
      <c r="O76" s="438"/>
      <c r="P76" s="423"/>
      <c r="Q76" s="426"/>
      <c r="R76" s="423"/>
      <c r="S76" s="423"/>
      <c r="T76" s="423"/>
      <c r="U76" s="427"/>
      <c r="V76" s="422"/>
      <c r="W76" s="433"/>
      <c r="X76" s="422"/>
      <c r="Y76" s="423"/>
      <c r="Z76" s="440"/>
      <c r="AA76" s="427"/>
    </row>
    <row r="77" spans="1:27" ht="18.95" customHeight="1">
      <c r="A77" s="44"/>
      <c r="B77" s="38"/>
      <c r="C77" s="416" t="s">
        <v>3256</v>
      </c>
      <c r="D77" s="437" t="s">
        <v>3250</v>
      </c>
      <c r="E77" s="25">
        <v>1</v>
      </c>
      <c r="F77" s="1188" t="s">
        <v>349</v>
      </c>
      <c r="G77" s="25">
        <v>23576</v>
      </c>
      <c r="H77" s="25">
        <f t="shared" si="11"/>
        <v>22041.392116071998</v>
      </c>
      <c r="I77" s="25">
        <f t="shared" si="12"/>
        <v>22041.392116071998</v>
      </c>
      <c r="J77" s="30">
        <v>0</v>
      </c>
      <c r="K77" s="30">
        <v>0</v>
      </c>
      <c r="L77" s="72">
        <f t="shared" si="13"/>
        <v>22041.392116071998</v>
      </c>
      <c r="M77" s="26"/>
      <c r="N77" s="203">
        <v>0.93490804699999996</v>
      </c>
      <c r="O77" s="438"/>
      <c r="P77" s="423"/>
      <c r="Q77" s="426"/>
      <c r="R77" s="423"/>
      <c r="S77" s="423"/>
      <c r="T77" s="423"/>
      <c r="U77" s="427"/>
      <c r="V77" s="422"/>
      <c r="W77" s="433"/>
      <c r="X77" s="422"/>
      <c r="Y77" s="423"/>
      <c r="Z77" s="440"/>
      <c r="AA77" s="427"/>
    </row>
    <row r="78" spans="1:27" ht="18.95" customHeight="1">
      <c r="A78" s="44"/>
      <c r="B78" s="38"/>
      <c r="C78" s="416" t="s">
        <v>3257</v>
      </c>
      <c r="D78" s="437" t="s">
        <v>3252</v>
      </c>
      <c r="E78" s="25">
        <v>1</v>
      </c>
      <c r="F78" s="1188" t="s">
        <v>349</v>
      </c>
      <c r="G78" s="25">
        <v>27496</v>
      </c>
      <c r="H78" s="25">
        <f t="shared" si="11"/>
        <v>25706.231660311998</v>
      </c>
      <c r="I78" s="25">
        <f t="shared" si="12"/>
        <v>25706.231660311998</v>
      </c>
      <c r="J78" s="30">
        <v>0</v>
      </c>
      <c r="K78" s="30">
        <v>0</v>
      </c>
      <c r="L78" s="72">
        <f t="shared" si="13"/>
        <v>25706.231660311998</v>
      </c>
      <c r="M78" s="26"/>
      <c r="N78" s="203">
        <v>0.93490804699999996</v>
      </c>
      <c r="O78" s="438"/>
      <c r="P78" s="423"/>
      <c r="Q78" s="426"/>
      <c r="R78" s="423"/>
      <c r="S78" s="423"/>
      <c r="T78" s="423"/>
      <c r="U78" s="427"/>
      <c r="V78" s="422"/>
      <c r="W78" s="433"/>
      <c r="X78" s="422"/>
      <c r="Y78" s="423"/>
      <c r="Z78" s="440"/>
      <c r="AA78" s="427"/>
    </row>
    <row r="79" spans="1:27" ht="18.95" customHeight="1">
      <c r="A79" s="44"/>
      <c r="B79" s="38"/>
      <c r="C79" s="416" t="s">
        <v>3258</v>
      </c>
      <c r="D79" s="437" t="s">
        <v>3252</v>
      </c>
      <c r="E79" s="25">
        <v>1</v>
      </c>
      <c r="F79" s="1188" t="s">
        <v>349</v>
      </c>
      <c r="G79" s="25">
        <v>27496</v>
      </c>
      <c r="H79" s="25">
        <f t="shared" si="11"/>
        <v>25706.231660311998</v>
      </c>
      <c r="I79" s="25">
        <f t="shared" si="12"/>
        <v>25706.231660311998</v>
      </c>
      <c r="J79" s="30">
        <v>0</v>
      </c>
      <c r="K79" s="30">
        <v>0</v>
      </c>
      <c r="L79" s="72">
        <f t="shared" si="13"/>
        <v>25706.231660311998</v>
      </c>
      <c r="M79" s="26"/>
      <c r="N79" s="203">
        <v>0.93490804699999996</v>
      </c>
      <c r="O79" s="438"/>
      <c r="P79" s="423"/>
      <c r="Q79" s="426"/>
      <c r="R79" s="423"/>
      <c r="S79" s="423"/>
      <c r="T79" s="423"/>
      <c r="U79" s="427"/>
      <c r="V79" s="422"/>
      <c r="W79" s="433"/>
      <c r="X79" s="422"/>
      <c r="Y79" s="423"/>
      <c r="Z79" s="440"/>
      <c r="AA79" s="427"/>
    </row>
    <row r="80" spans="1:27" ht="18.95" customHeight="1">
      <c r="A80" s="44"/>
      <c r="B80" s="38"/>
      <c r="C80" s="416" t="s">
        <v>3259</v>
      </c>
      <c r="D80" s="437" t="s">
        <v>3260</v>
      </c>
      <c r="E80" s="25">
        <v>1</v>
      </c>
      <c r="F80" s="1188" t="s">
        <v>349</v>
      </c>
      <c r="G80" s="25">
        <v>30240</v>
      </c>
      <c r="H80" s="25">
        <f t="shared" si="11"/>
        <v>28271.619341279998</v>
      </c>
      <c r="I80" s="25">
        <f t="shared" si="12"/>
        <v>28271.619341279998</v>
      </c>
      <c r="J80" s="30">
        <v>0</v>
      </c>
      <c r="K80" s="30">
        <v>0</v>
      </c>
      <c r="L80" s="72">
        <f t="shared" si="13"/>
        <v>28271.619341279998</v>
      </c>
      <c r="M80" s="26"/>
      <c r="N80" s="203">
        <v>0.93490804699999996</v>
      </c>
      <c r="O80" s="438"/>
      <c r="P80" s="423"/>
      <c r="Q80" s="426"/>
      <c r="R80" s="423"/>
      <c r="S80" s="423"/>
      <c r="T80" s="423"/>
      <c r="U80" s="427"/>
      <c r="V80" s="422"/>
      <c r="W80" s="433"/>
      <c r="X80" s="422"/>
      <c r="Y80" s="423"/>
      <c r="Z80" s="440"/>
      <c r="AA80" s="427"/>
    </row>
    <row r="81" spans="1:27" ht="18.95" customHeight="1">
      <c r="A81" s="44"/>
      <c r="B81" s="38"/>
      <c r="C81" s="416" t="s">
        <v>3261</v>
      </c>
      <c r="D81" s="437" t="s">
        <v>3260</v>
      </c>
      <c r="E81" s="25">
        <v>1</v>
      </c>
      <c r="F81" s="1188" t="s">
        <v>349</v>
      </c>
      <c r="G81" s="25">
        <v>30240</v>
      </c>
      <c r="H81" s="25">
        <f t="shared" si="11"/>
        <v>28271.619341279998</v>
      </c>
      <c r="I81" s="25">
        <f t="shared" si="12"/>
        <v>28271.619341279998</v>
      </c>
      <c r="J81" s="30">
        <v>0</v>
      </c>
      <c r="K81" s="30">
        <v>0</v>
      </c>
      <c r="L81" s="72">
        <f t="shared" si="13"/>
        <v>28271.619341279998</v>
      </c>
      <c r="M81" s="26"/>
      <c r="N81" s="203">
        <v>0.93490804699999996</v>
      </c>
      <c r="O81" s="438"/>
      <c r="P81" s="423"/>
      <c r="Q81" s="426"/>
      <c r="R81" s="423"/>
      <c r="S81" s="423"/>
      <c r="T81" s="423"/>
      <c r="U81" s="427"/>
      <c r="V81" s="422"/>
      <c r="W81" s="433"/>
      <c r="X81" s="422"/>
      <c r="Y81" s="423"/>
      <c r="Z81" s="440"/>
      <c r="AA81" s="427"/>
    </row>
    <row r="82" spans="1:27" ht="18.95" customHeight="1">
      <c r="A82" s="44"/>
      <c r="B82" s="38"/>
      <c r="C82" s="416" t="s">
        <v>3262</v>
      </c>
      <c r="D82" s="437" t="s">
        <v>3263</v>
      </c>
      <c r="E82" s="25">
        <v>1</v>
      </c>
      <c r="F82" s="1188" t="s">
        <v>349</v>
      </c>
      <c r="G82" s="25">
        <v>29176</v>
      </c>
      <c r="H82" s="25">
        <f t="shared" si="11"/>
        <v>27276.877179272</v>
      </c>
      <c r="I82" s="25">
        <f t="shared" si="12"/>
        <v>27276.877179272</v>
      </c>
      <c r="J82" s="30">
        <v>0</v>
      </c>
      <c r="K82" s="30">
        <v>0</v>
      </c>
      <c r="L82" s="72">
        <f t="shared" si="13"/>
        <v>27276.877179272</v>
      </c>
      <c r="M82" s="26"/>
      <c r="N82" s="203">
        <v>0.93490804699999996</v>
      </c>
      <c r="O82" s="439"/>
      <c r="P82" s="423"/>
      <c r="Q82" s="426"/>
      <c r="R82" s="423"/>
      <c r="S82" s="423"/>
      <c r="T82" s="423"/>
      <c r="U82" s="427"/>
      <c r="V82" s="422"/>
      <c r="W82" s="433"/>
      <c r="X82" s="422"/>
      <c r="Y82" s="423"/>
      <c r="Z82" s="440"/>
      <c r="AA82" s="427"/>
    </row>
    <row r="83" spans="1:27" ht="18.95" customHeight="1">
      <c r="A83" s="44"/>
      <c r="B83" s="38"/>
      <c r="C83" s="416" t="s">
        <v>3264</v>
      </c>
      <c r="D83" s="437" t="s">
        <v>3265</v>
      </c>
      <c r="E83" s="25">
        <v>2</v>
      </c>
      <c r="F83" s="1188" t="s">
        <v>349</v>
      </c>
      <c r="G83" s="25">
        <v>31976</v>
      </c>
      <c r="H83" s="25">
        <f t="shared" si="11"/>
        <v>29894.619710871997</v>
      </c>
      <c r="I83" s="25">
        <f t="shared" si="12"/>
        <v>59789.239421743994</v>
      </c>
      <c r="J83" s="30">
        <v>0</v>
      </c>
      <c r="K83" s="30">
        <v>0</v>
      </c>
      <c r="L83" s="72">
        <f t="shared" si="13"/>
        <v>59789.239421743994</v>
      </c>
      <c r="M83" s="26"/>
      <c r="N83" s="203">
        <v>0.93490804699999996</v>
      </c>
      <c r="O83" s="438"/>
      <c r="P83" s="423"/>
      <c r="Q83" s="426"/>
      <c r="R83" s="423"/>
      <c r="S83" s="423"/>
      <c r="T83" s="423"/>
      <c r="U83" s="427"/>
      <c r="V83" s="422"/>
      <c r="W83" s="433"/>
      <c r="X83" s="422"/>
      <c r="Y83" s="423"/>
      <c r="Z83" s="440"/>
      <c r="AA83" s="427"/>
    </row>
    <row r="84" spans="1:27" ht="18.95" customHeight="1">
      <c r="A84" s="413"/>
      <c r="B84" s="38"/>
      <c r="C84" s="416" t="s">
        <v>3266</v>
      </c>
      <c r="D84" s="437" t="s">
        <v>3267</v>
      </c>
      <c r="E84" s="25">
        <v>1</v>
      </c>
      <c r="F84" s="1188" t="s">
        <v>349</v>
      </c>
      <c r="G84" s="25">
        <v>12152</v>
      </c>
      <c r="H84" s="25">
        <f t="shared" si="11"/>
        <v>11361.002587143999</v>
      </c>
      <c r="I84" s="25">
        <f t="shared" si="12"/>
        <v>11361.002587143999</v>
      </c>
      <c r="J84" s="30">
        <v>0</v>
      </c>
      <c r="K84" s="30">
        <v>0</v>
      </c>
      <c r="L84" s="72">
        <f t="shared" si="13"/>
        <v>11361.002587143999</v>
      </c>
      <c r="M84" s="26"/>
      <c r="N84" s="203">
        <v>0.93490804699999996</v>
      </c>
      <c r="O84" s="205"/>
      <c r="P84" s="423"/>
      <c r="Q84" s="426"/>
      <c r="R84" s="423"/>
      <c r="S84" s="423"/>
      <c r="T84" s="423"/>
      <c r="U84" s="427"/>
      <c r="V84" s="422"/>
      <c r="W84" s="433"/>
      <c r="X84" s="422"/>
      <c r="Y84" s="423"/>
      <c r="Z84" s="440"/>
      <c r="AA84" s="427"/>
    </row>
    <row r="85" spans="1:27" ht="18.95" customHeight="1">
      <c r="A85" s="413"/>
      <c r="B85" s="38"/>
      <c r="C85" s="416" t="s">
        <v>3268</v>
      </c>
      <c r="D85" s="437" t="s">
        <v>3269</v>
      </c>
      <c r="E85" s="25">
        <v>1</v>
      </c>
      <c r="F85" s="1188" t="s">
        <v>349</v>
      </c>
      <c r="G85" s="25">
        <v>41440</v>
      </c>
      <c r="H85" s="25">
        <f t="shared" si="11"/>
        <v>38742.589467680002</v>
      </c>
      <c r="I85" s="25">
        <f t="shared" si="12"/>
        <v>38742.589467680002</v>
      </c>
      <c r="J85" s="30">
        <v>0</v>
      </c>
      <c r="K85" s="30">
        <v>0</v>
      </c>
      <c r="L85" s="72">
        <f t="shared" si="13"/>
        <v>38742.589467680002</v>
      </c>
      <c r="M85" s="26"/>
      <c r="N85" s="203">
        <v>0.93490804699999996</v>
      </c>
      <c r="O85" s="205"/>
      <c r="P85" s="423"/>
      <c r="Q85" s="426"/>
      <c r="R85" s="423"/>
      <c r="S85" s="423"/>
      <c r="T85" s="423"/>
      <c r="U85" s="427"/>
      <c r="V85" s="422"/>
      <c r="W85" s="433"/>
      <c r="X85" s="422"/>
      <c r="Y85" s="423"/>
      <c r="Z85" s="440"/>
      <c r="AA85" s="427"/>
    </row>
    <row r="86" spans="1:27" ht="18.95" customHeight="1">
      <c r="A86" s="413"/>
      <c r="B86" s="38" t="s">
        <v>3270</v>
      </c>
      <c r="C86" s="416"/>
      <c r="D86" s="417"/>
      <c r="E86" s="25"/>
      <c r="F86" s="26"/>
      <c r="G86" s="25"/>
      <c r="H86" s="25"/>
      <c r="I86" s="25"/>
      <c r="J86" s="30"/>
      <c r="K86" s="30"/>
      <c r="L86" s="72"/>
      <c r="M86" s="26"/>
      <c r="N86" s="203">
        <v>0.93490804699999996</v>
      </c>
      <c r="O86" s="205"/>
      <c r="P86" s="423"/>
      <c r="Q86" s="426"/>
      <c r="R86" s="423"/>
      <c r="S86" s="423"/>
      <c r="T86" s="423"/>
      <c r="U86" s="427"/>
      <c r="V86" s="422"/>
      <c r="W86" s="433"/>
      <c r="X86" s="422"/>
      <c r="Y86" s="423"/>
      <c r="Z86" s="440"/>
      <c r="AA86" s="427"/>
    </row>
    <row r="87" spans="1:27" ht="18.95" customHeight="1">
      <c r="A87" s="413"/>
      <c r="B87" s="38"/>
      <c r="C87" s="416" t="s">
        <v>3271</v>
      </c>
      <c r="D87" s="417" t="s">
        <v>3243</v>
      </c>
      <c r="E87" s="25">
        <v>1</v>
      </c>
      <c r="F87" s="1188" t="s">
        <v>349</v>
      </c>
      <c r="G87" s="25">
        <v>65016</v>
      </c>
      <c r="H87" s="25">
        <f t="shared" si="11"/>
        <v>60783.981583752</v>
      </c>
      <c r="I87" s="25">
        <f t="shared" si="12"/>
        <v>60783.981583752</v>
      </c>
      <c r="J87" s="30">
        <v>0</v>
      </c>
      <c r="K87" s="30">
        <v>0</v>
      </c>
      <c r="L87" s="72">
        <f t="shared" ref="L87:L99" si="14">SUM(I87)</f>
        <v>60783.981583752</v>
      </c>
      <c r="M87" s="26"/>
      <c r="N87" s="203">
        <v>0.93490804699999996</v>
      </c>
      <c r="O87" s="438"/>
      <c r="P87" s="423"/>
      <c r="Q87" s="426"/>
      <c r="R87" s="423"/>
      <c r="S87" s="423"/>
      <c r="T87" s="423"/>
      <c r="U87" s="427"/>
      <c r="V87" s="422"/>
      <c r="W87" s="433"/>
      <c r="X87" s="422"/>
      <c r="Y87" s="423"/>
      <c r="Z87" s="440"/>
      <c r="AA87" s="427"/>
    </row>
    <row r="88" spans="1:27" ht="18.95" customHeight="1">
      <c r="A88" s="28"/>
      <c r="B88" s="38"/>
      <c r="C88" s="416" t="s">
        <v>3272</v>
      </c>
      <c r="D88" s="417" t="s">
        <v>3260</v>
      </c>
      <c r="E88" s="25">
        <v>1</v>
      </c>
      <c r="F88" s="1188" t="s">
        <v>349</v>
      </c>
      <c r="G88" s="25">
        <v>30240</v>
      </c>
      <c r="H88" s="25">
        <f t="shared" si="11"/>
        <v>28271.619341279998</v>
      </c>
      <c r="I88" s="25">
        <f t="shared" si="12"/>
        <v>28271.619341279998</v>
      </c>
      <c r="J88" s="30">
        <v>0</v>
      </c>
      <c r="K88" s="30">
        <v>0</v>
      </c>
      <c r="L88" s="72">
        <f t="shared" si="14"/>
        <v>28271.619341279998</v>
      </c>
      <c r="M88" s="26"/>
      <c r="N88" s="203">
        <v>0.93490804699999996</v>
      </c>
      <c r="O88" s="438"/>
      <c r="P88" s="423"/>
      <c r="Q88" s="426"/>
      <c r="R88" s="423"/>
      <c r="S88" s="423"/>
      <c r="T88" s="423"/>
      <c r="U88" s="427"/>
      <c r="V88" s="422"/>
      <c r="W88" s="433"/>
      <c r="X88" s="422"/>
      <c r="Y88" s="423"/>
      <c r="Z88" s="440"/>
      <c r="AA88" s="427"/>
    </row>
    <row r="89" spans="1:27" ht="18.95" customHeight="1">
      <c r="A89" s="413"/>
      <c r="B89" s="38"/>
      <c r="C89" s="416" t="s">
        <v>3273</v>
      </c>
      <c r="D89" s="417" t="s">
        <v>3274</v>
      </c>
      <c r="E89" s="25">
        <v>1</v>
      </c>
      <c r="F89" s="1188" t="s">
        <v>349</v>
      </c>
      <c r="G89" s="25">
        <v>29680</v>
      </c>
      <c r="H89" s="25">
        <f t="shared" si="11"/>
        <v>27748.070834959999</v>
      </c>
      <c r="I89" s="25">
        <f t="shared" si="12"/>
        <v>27748.070834959999</v>
      </c>
      <c r="J89" s="30">
        <v>0</v>
      </c>
      <c r="K89" s="30">
        <v>0</v>
      </c>
      <c r="L89" s="72">
        <f t="shared" si="14"/>
        <v>27748.070834959999</v>
      </c>
      <c r="M89" s="26"/>
      <c r="N89" s="203">
        <v>0.93490804699999996</v>
      </c>
      <c r="O89" s="438"/>
      <c r="P89" s="423"/>
      <c r="Q89" s="426"/>
      <c r="R89" s="423"/>
      <c r="S89" s="423"/>
      <c r="T89" s="423"/>
      <c r="U89" s="427"/>
      <c r="V89" s="422"/>
      <c r="W89" s="433"/>
      <c r="X89" s="422"/>
      <c r="Y89" s="423"/>
      <c r="Z89" s="440"/>
      <c r="AA89" s="427"/>
    </row>
    <row r="90" spans="1:27" ht="18.95" customHeight="1">
      <c r="A90" s="413"/>
      <c r="B90" s="38"/>
      <c r="C90" s="416" t="s">
        <v>3275</v>
      </c>
      <c r="D90" s="417" t="s">
        <v>3243</v>
      </c>
      <c r="E90" s="25">
        <v>1</v>
      </c>
      <c r="F90" s="1188" t="s">
        <v>349</v>
      </c>
      <c r="G90" s="25">
        <v>65016</v>
      </c>
      <c r="H90" s="25">
        <f t="shared" si="11"/>
        <v>60783.981583752</v>
      </c>
      <c r="I90" s="25">
        <f t="shared" si="12"/>
        <v>60783.981583752</v>
      </c>
      <c r="J90" s="30">
        <v>0</v>
      </c>
      <c r="K90" s="30">
        <v>0</v>
      </c>
      <c r="L90" s="72">
        <f t="shared" si="14"/>
        <v>60783.981583752</v>
      </c>
      <c r="M90" s="26"/>
      <c r="N90" s="203">
        <v>0.93490804699999996</v>
      </c>
      <c r="O90" s="438"/>
      <c r="P90" s="423"/>
      <c r="Q90" s="426"/>
      <c r="R90" s="423"/>
      <c r="S90" s="423"/>
      <c r="T90" s="423"/>
      <c r="U90" s="427"/>
      <c r="V90" s="422"/>
      <c r="W90" s="433"/>
      <c r="X90" s="422"/>
      <c r="Y90" s="423"/>
      <c r="Z90" s="440"/>
      <c r="AA90" s="427"/>
    </row>
    <row r="91" spans="1:27" ht="18.95" customHeight="1">
      <c r="A91" s="413"/>
      <c r="B91" s="38"/>
      <c r="C91" s="416" t="s">
        <v>3276</v>
      </c>
      <c r="D91" s="417" t="s">
        <v>3277</v>
      </c>
      <c r="E91" s="25">
        <v>1</v>
      </c>
      <c r="F91" s="1188" t="s">
        <v>349</v>
      </c>
      <c r="G91" s="25">
        <v>30240</v>
      </c>
      <c r="H91" s="25">
        <f t="shared" si="11"/>
        <v>28271.619341279998</v>
      </c>
      <c r="I91" s="25">
        <f t="shared" si="12"/>
        <v>28271.619341279998</v>
      </c>
      <c r="J91" s="30">
        <v>0</v>
      </c>
      <c r="K91" s="30">
        <v>0</v>
      </c>
      <c r="L91" s="72">
        <f t="shared" ref="L91" si="15">I91+K91</f>
        <v>28271.619341279998</v>
      </c>
      <c r="M91" s="26"/>
      <c r="N91" s="203">
        <v>0.93490804699999996</v>
      </c>
      <c r="O91" s="438"/>
      <c r="P91" s="423"/>
      <c r="Q91" s="426"/>
      <c r="R91" s="423"/>
      <c r="S91" s="423"/>
      <c r="T91" s="423"/>
      <c r="U91" s="427"/>
      <c r="V91" s="422"/>
      <c r="W91" s="433"/>
      <c r="X91" s="422"/>
      <c r="Y91" s="423"/>
      <c r="Z91" s="440"/>
      <c r="AA91" s="427"/>
    </row>
    <row r="92" spans="1:27" ht="18.95" customHeight="1">
      <c r="A92" s="413"/>
      <c r="B92" s="38"/>
      <c r="C92" s="416" t="s">
        <v>3278</v>
      </c>
      <c r="D92" s="417" t="s">
        <v>3239</v>
      </c>
      <c r="E92" s="25">
        <v>25</v>
      </c>
      <c r="F92" s="1188" t="s">
        <v>349</v>
      </c>
      <c r="G92" s="25">
        <v>68936</v>
      </c>
      <c r="H92" s="25">
        <f t="shared" si="11"/>
        <v>64448.821127992</v>
      </c>
      <c r="I92" s="25">
        <f t="shared" si="12"/>
        <v>1611220.5281998001</v>
      </c>
      <c r="J92" s="30">
        <v>0</v>
      </c>
      <c r="K92" s="30">
        <v>0</v>
      </c>
      <c r="L92" s="72">
        <f t="shared" si="14"/>
        <v>1611220.5281998001</v>
      </c>
      <c r="M92" s="26"/>
      <c r="N92" s="203">
        <v>0.93490804699999996</v>
      </c>
      <c r="O92" s="439"/>
      <c r="P92" s="423"/>
      <c r="Q92" s="426"/>
      <c r="R92" s="423"/>
      <c r="S92" s="423"/>
      <c r="T92" s="423"/>
      <c r="U92" s="427"/>
      <c r="V92" s="422"/>
      <c r="W92" s="433"/>
      <c r="X92" s="422"/>
      <c r="Y92" s="423"/>
      <c r="Z92" s="440"/>
      <c r="AA92" s="427"/>
    </row>
    <row r="93" spans="1:27" ht="18.95" customHeight="1">
      <c r="A93" s="28"/>
      <c r="B93" s="38"/>
      <c r="C93" s="416" t="s">
        <v>3279</v>
      </c>
      <c r="D93" s="417" t="s">
        <v>3243</v>
      </c>
      <c r="E93" s="25">
        <v>2</v>
      </c>
      <c r="F93" s="1188" t="s">
        <v>349</v>
      </c>
      <c r="G93" s="25">
        <v>65016</v>
      </c>
      <c r="H93" s="25">
        <f t="shared" si="11"/>
        <v>60783.981583752</v>
      </c>
      <c r="I93" s="25">
        <f t="shared" si="12"/>
        <v>121567.963167504</v>
      </c>
      <c r="J93" s="30">
        <v>0</v>
      </c>
      <c r="K93" s="30">
        <v>0</v>
      </c>
      <c r="L93" s="72">
        <f t="shared" si="14"/>
        <v>121567.963167504</v>
      </c>
      <c r="M93" s="26"/>
      <c r="N93" s="203">
        <v>0.93490804699999996</v>
      </c>
      <c r="O93" s="438"/>
      <c r="P93" s="423"/>
      <c r="Q93" s="426"/>
      <c r="R93" s="423"/>
      <c r="S93" s="423"/>
      <c r="T93" s="423"/>
      <c r="U93" s="427"/>
      <c r="V93" s="422"/>
      <c r="W93" s="433"/>
      <c r="X93" s="422"/>
      <c r="Y93" s="423"/>
      <c r="Z93" s="440"/>
      <c r="AA93" s="427"/>
    </row>
    <row r="94" spans="1:27" ht="18.95" customHeight="1">
      <c r="A94" s="220"/>
      <c r="B94" s="38"/>
      <c r="C94" s="416" t="s">
        <v>3280</v>
      </c>
      <c r="D94" s="417" t="s">
        <v>3281</v>
      </c>
      <c r="E94" s="25">
        <v>10</v>
      </c>
      <c r="F94" s="1188" t="s">
        <v>349</v>
      </c>
      <c r="G94" s="25">
        <v>68936</v>
      </c>
      <c r="H94" s="25">
        <f t="shared" si="11"/>
        <v>64448.821127992</v>
      </c>
      <c r="I94" s="25">
        <f t="shared" si="12"/>
        <v>644488.21127991995</v>
      </c>
      <c r="J94" s="30">
        <v>0</v>
      </c>
      <c r="K94" s="30">
        <v>0</v>
      </c>
      <c r="L94" s="72">
        <f t="shared" si="14"/>
        <v>644488.21127991995</v>
      </c>
      <c r="M94" s="26"/>
      <c r="N94" s="203">
        <v>0.93490804699999996</v>
      </c>
      <c r="O94" s="438"/>
      <c r="P94" s="423"/>
      <c r="Q94" s="426"/>
      <c r="R94" s="423"/>
      <c r="S94" s="423"/>
      <c r="T94" s="423"/>
      <c r="U94" s="427"/>
      <c r="V94" s="422"/>
      <c r="W94" s="433"/>
      <c r="X94" s="422"/>
      <c r="Y94" s="423"/>
      <c r="Z94" s="440"/>
      <c r="AA94" s="427"/>
    </row>
    <row r="95" spans="1:27" ht="18.95" customHeight="1">
      <c r="A95" s="44"/>
      <c r="B95" s="38"/>
      <c r="C95" s="416" t="s">
        <v>3282</v>
      </c>
      <c r="D95" s="417" t="s">
        <v>3283</v>
      </c>
      <c r="E95" s="25">
        <v>1</v>
      </c>
      <c r="F95" s="1188" t="s">
        <v>349</v>
      </c>
      <c r="G95" s="25">
        <v>20776</v>
      </c>
      <c r="H95" s="25">
        <f t="shared" si="11"/>
        <v>19423.649584471998</v>
      </c>
      <c r="I95" s="25">
        <f t="shared" si="12"/>
        <v>19423.649584471998</v>
      </c>
      <c r="J95" s="30">
        <v>0</v>
      </c>
      <c r="K95" s="30">
        <v>0</v>
      </c>
      <c r="L95" s="72">
        <f t="shared" si="14"/>
        <v>19423.649584471998</v>
      </c>
      <c r="M95" s="26"/>
      <c r="N95" s="203">
        <v>0.93490804699999996</v>
      </c>
      <c r="O95" s="438"/>
      <c r="P95" s="423"/>
      <c r="Q95" s="426"/>
      <c r="R95" s="423"/>
      <c r="S95" s="423"/>
      <c r="T95" s="423"/>
      <c r="U95" s="427"/>
      <c r="V95" s="422"/>
      <c r="W95" s="433"/>
      <c r="X95" s="422"/>
      <c r="Y95" s="423"/>
      <c r="Z95" s="440"/>
      <c r="AA95" s="427"/>
    </row>
    <row r="96" spans="1:27" ht="18.95" customHeight="1">
      <c r="A96" s="44"/>
      <c r="B96" s="38"/>
      <c r="C96" s="416" t="s">
        <v>3284</v>
      </c>
      <c r="D96" s="417" t="s">
        <v>3285</v>
      </c>
      <c r="E96" s="25">
        <v>2</v>
      </c>
      <c r="F96" s="1188" t="s">
        <v>349</v>
      </c>
      <c r="G96" s="25">
        <v>31976</v>
      </c>
      <c r="H96" s="25">
        <f t="shared" si="11"/>
        <v>29894.619710871997</v>
      </c>
      <c r="I96" s="25">
        <f t="shared" si="12"/>
        <v>59789.239421743994</v>
      </c>
      <c r="J96" s="30">
        <v>0</v>
      </c>
      <c r="K96" s="30">
        <v>0</v>
      </c>
      <c r="L96" s="72">
        <f t="shared" si="14"/>
        <v>59789.239421743994</v>
      </c>
      <c r="M96" s="26"/>
      <c r="N96" s="203">
        <v>0.93490804699999996</v>
      </c>
      <c r="O96" s="438"/>
      <c r="P96" s="423"/>
      <c r="Q96" s="426"/>
      <c r="R96" s="423"/>
      <c r="S96" s="423"/>
      <c r="T96" s="423"/>
      <c r="U96" s="427"/>
      <c r="V96" s="422"/>
      <c r="W96" s="433"/>
      <c r="X96" s="422"/>
      <c r="Y96" s="423"/>
      <c r="Z96" s="440"/>
      <c r="AA96" s="427"/>
    </row>
    <row r="97" spans="1:27" ht="18.95" customHeight="1">
      <c r="A97" s="44"/>
      <c r="B97" s="38"/>
      <c r="C97" s="416" t="s">
        <v>3286</v>
      </c>
      <c r="D97" s="417" t="s">
        <v>3250</v>
      </c>
      <c r="E97" s="25">
        <v>1</v>
      </c>
      <c r="F97" s="1188" t="s">
        <v>349</v>
      </c>
      <c r="G97" s="25">
        <v>23576</v>
      </c>
      <c r="H97" s="25">
        <f t="shared" si="11"/>
        <v>22041.392116071998</v>
      </c>
      <c r="I97" s="25">
        <f t="shared" si="12"/>
        <v>22041.392116071998</v>
      </c>
      <c r="J97" s="30">
        <v>0</v>
      </c>
      <c r="K97" s="30">
        <v>0</v>
      </c>
      <c r="L97" s="72">
        <f t="shared" si="14"/>
        <v>22041.392116071998</v>
      </c>
      <c r="M97" s="26"/>
      <c r="N97" s="203">
        <v>0.93490804699999996</v>
      </c>
      <c r="O97" s="438"/>
      <c r="P97" s="423"/>
      <c r="Q97" s="426"/>
      <c r="R97" s="423"/>
      <c r="S97" s="423"/>
      <c r="T97" s="423"/>
      <c r="U97" s="427"/>
      <c r="V97" s="422"/>
      <c r="W97" s="433"/>
      <c r="X97" s="422"/>
      <c r="Y97" s="423"/>
      <c r="Z97" s="440"/>
      <c r="AA97" s="427"/>
    </row>
    <row r="98" spans="1:27" ht="18.95" customHeight="1">
      <c r="A98" s="44"/>
      <c r="B98" s="38"/>
      <c r="C98" s="416" t="s">
        <v>3287</v>
      </c>
      <c r="D98" s="417" t="s">
        <v>3252</v>
      </c>
      <c r="E98" s="25">
        <v>1</v>
      </c>
      <c r="F98" s="1188" t="s">
        <v>349</v>
      </c>
      <c r="G98" s="25">
        <v>27496</v>
      </c>
      <c r="H98" s="25">
        <f t="shared" si="11"/>
        <v>25706.231660311998</v>
      </c>
      <c r="I98" s="25">
        <f t="shared" si="12"/>
        <v>25706.231660311998</v>
      </c>
      <c r="J98" s="30">
        <v>0</v>
      </c>
      <c r="K98" s="30">
        <v>0</v>
      </c>
      <c r="L98" s="72">
        <f t="shared" si="14"/>
        <v>25706.231660311998</v>
      </c>
      <c r="M98" s="26"/>
      <c r="N98" s="203">
        <v>0.93490804699999996</v>
      </c>
      <c r="O98" s="438"/>
      <c r="P98" s="423"/>
      <c r="Q98" s="426"/>
      <c r="R98" s="423"/>
      <c r="S98" s="423"/>
      <c r="T98" s="423"/>
      <c r="U98" s="427"/>
      <c r="V98" s="422"/>
      <c r="W98" s="433"/>
      <c r="X98" s="422"/>
      <c r="Y98" s="423"/>
      <c r="Z98" s="440"/>
      <c r="AA98" s="427"/>
    </row>
    <row r="99" spans="1:27" ht="18.95" customHeight="1">
      <c r="A99" s="44"/>
      <c r="B99" s="38"/>
      <c r="C99" s="416" t="s">
        <v>3288</v>
      </c>
      <c r="D99" s="417" t="s">
        <v>3237</v>
      </c>
      <c r="E99" s="25">
        <v>1</v>
      </c>
      <c r="F99" s="1188" t="s">
        <v>349</v>
      </c>
      <c r="G99" s="25">
        <v>19096</v>
      </c>
      <c r="H99" s="25">
        <f t="shared" si="11"/>
        <v>17853.004065511999</v>
      </c>
      <c r="I99" s="25">
        <f t="shared" si="12"/>
        <v>17853.004065511999</v>
      </c>
      <c r="J99" s="30">
        <v>0</v>
      </c>
      <c r="K99" s="30">
        <v>0</v>
      </c>
      <c r="L99" s="72">
        <f t="shared" si="14"/>
        <v>17853.004065511999</v>
      </c>
      <c r="M99" s="26"/>
      <c r="N99" s="203">
        <v>0.93490804699999996</v>
      </c>
      <c r="O99" s="438"/>
      <c r="P99" s="423"/>
      <c r="Q99" s="426"/>
      <c r="R99" s="423"/>
      <c r="S99" s="423"/>
      <c r="T99" s="423"/>
      <c r="U99" s="427"/>
      <c r="V99" s="422"/>
      <c r="W99" s="433"/>
      <c r="X99" s="422"/>
      <c r="Y99" s="423"/>
      <c r="Z99" s="440"/>
      <c r="AA99" s="427"/>
    </row>
    <row r="100" spans="1:27" ht="18.95" customHeight="1">
      <c r="A100" s="44"/>
      <c r="B100" s="38" t="s">
        <v>3289</v>
      </c>
      <c r="C100" s="416"/>
      <c r="D100" s="417"/>
      <c r="E100" s="25"/>
      <c r="F100" s="26"/>
      <c r="G100" s="25"/>
      <c r="H100" s="25"/>
      <c r="I100" s="25"/>
      <c r="J100" s="30"/>
      <c r="K100" s="30"/>
      <c r="L100" s="72"/>
      <c r="M100" s="72"/>
      <c r="N100" s="203">
        <v>0.93490804699999996</v>
      </c>
      <c r="O100" s="205"/>
      <c r="P100" s="423"/>
      <c r="Q100" s="426"/>
      <c r="R100" s="423"/>
      <c r="S100" s="423"/>
      <c r="T100" s="423"/>
      <c r="U100" s="427"/>
      <c r="V100" s="422"/>
      <c r="W100" s="433"/>
      <c r="X100" s="422"/>
      <c r="Y100" s="423"/>
      <c r="Z100" s="440"/>
      <c r="AA100" s="427"/>
    </row>
    <row r="101" spans="1:27" ht="18.95" customHeight="1">
      <c r="A101" s="44"/>
      <c r="B101" s="38"/>
      <c r="C101" s="416" t="s">
        <v>3290</v>
      </c>
      <c r="D101" s="417" t="s">
        <v>3263</v>
      </c>
      <c r="E101" s="25">
        <v>2</v>
      </c>
      <c r="F101" s="1188" t="s">
        <v>349</v>
      </c>
      <c r="G101" s="25">
        <v>68936</v>
      </c>
      <c r="H101" s="25">
        <f t="shared" si="11"/>
        <v>64448.821127992</v>
      </c>
      <c r="I101" s="25">
        <f t="shared" si="12"/>
        <v>128897.642255984</v>
      </c>
      <c r="J101" s="30">
        <v>0</v>
      </c>
      <c r="K101" s="30">
        <v>0</v>
      </c>
      <c r="L101" s="72">
        <f t="shared" ref="L101:L110" si="16">SUM(I101)</f>
        <v>128897.642255984</v>
      </c>
      <c r="M101" s="26"/>
      <c r="N101" s="203">
        <v>0.93490804699999996</v>
      </c>
      <c r="O101" s="438"/>
      <c r="P101" s="423"/>
      <c r="Q101" s="426"/>
      <c r="R101" s="423"/>
      <c r="S101" s="423"/>
      <c r="T101" s="423"/>
      <c r="U101" s="427"/>
      <c r="V101" s="422"/>
      <c r="W101" s="433"/>
      <c r="X101" s="422"/>
      <c r="Y101" s="423"/>
      <c r="Z101" s="440"/>
      <c r="AA101" s="427"/>
    </row>
    <row r="102" spans="1:27" ht="18.95" customHeight="1">
      <c r="A102" s="44"/>
      <c r="B102" s="38"/>
      <c r="C102" s="416" t="s">
        <v>3291</v>
      </c>
      <c r="D102" s="417" t="s">
        <v>3263</v>
      </c>
      <c r="E102" s="25">
        <v>2</v>
      </c>
      <c r="F102" s="1188" t="s">
        <v>349</v>
      </c>
      <c r="G102" s="25">
        <v>29176</v>
      </c>
      <c r="H102" s="25">
        <f t="shared" si="11"/>
        <v>27276.877179272</v>
      </c>
      <c r="I102" s="25">
        <f t="shared" si="12"/>
        <v>54553.754358544</v>
      </c>
      <c r="J102" s="30">
        <v>0</v>
      </c>
      <c r="K102" s="30">
        <v>0</v>
      </c>
      <c r="L102" s="72">
        <f t="shared" si="16"/>
        <v>54553.754358544</v>
      </c>
      <c r="M102" s="26"/>
      <c r="N102" s="203">
        <v>0.93490804699999996</v>
      </c>
      <c r="O102" s="439"/>
      <c r="P102" s="423"/>
      <c r="Q102" s="426"/>
      <c r="R102" s="423"/>
      <c r="S102" s="423"/>
      <c r="T102" s="423"/>
      <c r="U102" s="427"/>
      <c r="V102" s="422"/>
      <c r="W102" s="433"/>
      <c r="X102" s="422"/>
      <c r="Y102" s="423"/>
      <c r="Z102" s="440"/>
      <c r="AA102" s="427"/>
    </row>
    <row r="103" spans="1:27" ht="18.95" customHeight="1">
      <c r="A103" s="44"/>
      <c r="B103" s="38"/>
      <c r="C103" s="416" t="s">
        <v>3292</v>
      </c>
      <c r="D103" s="417" t="s">
        <v>3239</v>
      </c>
      <c r="E103" s="25">
        <v>10</v>
      </c>
      <c r="F103" s="1188" t="s">
        <v>349</v>
      </c>
      <c r="G103" s="25">
        <v>68936</v>
      </c>
      <c r="H103" s="25">
        <f t="shared" si="11"/>
        <v>64448.821127992</v>
      </c>
      <c r="I103" s="25">
        <f t="shared" si="12"/>
        <v>644488.21127991995</v>
      </c>
      <c r="J103" s="30">
        <v>0</v>
      </c>
      <c r="K103" s="30">
        <v>0</v>
      </c>
      <c r="L103" s="72">
        <f t="shared" si="16"/>
        <v>644488.21127991995</v>
      </c>
      <c r="M103" s="26"/>
      <c r="N103" s="203">
        <v>0.93490804699999996</v>
      </c>
      <c r="O103" s="438"/>
      <c r="P103" s="423"/>
      <c r="Q103" s="426"/>
      <c r="R103" s="423"/>
      <c r="S103" s="423"/>
      <c r="T103" s="423"/>
      <c r="U103" s="427"/>
      <c r="V103" s="422"/>
      <c r="W103" s="433"/>
      <c r="X103" s="422"/>
      <c r="Y103" s="423"/>
      <c r="Z103" s="440"/>
      <c r="AA103" s="427"/>
    </row>
    <row r="104" spans="1:27" ht="18.95" customHeight="1">
      <c r="A104" s="413"/>
      <c r="B104" s="38"/>
      <c r="C104" s="416" t="s">
        <v>3293</v>
      </c>
      <c r="D104" s="417" t="s">
        <v>3294</v>
      </c>
      <c r="E104" s="25">
        <v>24</v>
      </c>
      <c r="F104" s="1188" t="s">
        <v>349</v>
      </c>
      <c r="G104" s="25">
        <v>68936</v>
      </c>
      <c r="H104" s="25">
        <f t="shared" si="11"/>
        <v>64448.821127992</v>
      </c>
      <c r="I104" s="25">
        <f t="shared" si="12"/>
        <v>1546771.7070718079</v>
      </c>
      <c r="J104" s="30">
        <v>0</v>
      </c>
      <c r="K104" s="30">
        <v>0</v>
      </c>
      <c r="L104" s="72">
        <f t="shared" si="16"/>
        <v>1546771.7070718079</v>
      </c>
      <c r="M104" s="26"/>
      <c r="N104" s="203">
        <v>0.93490804699999996</v>
      </c>
      <c r="O104" s="438"/>
      <c r="P104" s="423"/>
      <c r="Q104" s="426"/>
      <c r="R104" s="423"/>
      <c r="S104" s="423"/>
      <c r="T104" s="423"/>
      <c r="U104" s="427"/>
      <c r="V104" s="422"/>
      <c r="W104" s="433"/>
      <c r="X104" s="422"/>
      <c r="Y104" s="423"/>
      <c r="Z104" s="440"/>
      <c r="AA104" s="427"/>
    </row>
    <row r="105" spans="1:27" ht="18.95" customHeight="1">
      <c r="A105" s="28"/>
      <c r="B105" s="38"/>
      <c r="C105" s="416" t="s">
        <v>3295</v>
      </c>
      <c r="D105" s="417" t="s">
        <v>3296</v>
      </c>
      <c r="E105" s="25">
        <v>4</v>
      </c>
      <c r="F105" s="1188" t="s">
        <v>349</v>
      </c>
      <c r="G105" s="25">
        <v>23576</v>
      </c>
      <c r="H105" s="25">
        <f t="shared" si="11"/>
        <v>22041.392116071998</v>
      </c>
      <c r="I105" s="25">
        <f t="shared" si="12"/>
        <v>88165.568464287993</v>
      </c>
      <c r="J105" s="30">
        <v>0</v>
      </c>
      <c r="K105" s="30">
        <v>0</v>
      </c>
      <c r="L105" s="72">
        <f t="shared" si="16"/>
        <v>88165.568464287993</v>
      </c>
      <c r="M105" s="26"/>
      <c r="N105" s="203">
        <v>0.93490804699999996</v>
      </c>
      <c r="O105" s="438"/>
      <c r="P105" s="423"/>
      <c r="Q105" s="426"/>
      <c r="R105" s="423"/>
      <c r="S105" s="423"/>
      <c r="T105" s="423"/>
      <c r="U105" s="427"/>
      <c r="V105" s="422"/>
      <c r="W105" s="433"/>
      <c r="X105" s="422"/>
      <c r="Y105" s="423"/>
      <c r="Z105" s="440"/>
      <c r="AA105" s="427"/>
    </row>
    <row r="106" spans="1:27" ht="18.95" customHeight="1">
      <c r="A106" s="413"/>
      <c r="B106" s="38"/>
      <c r="C106" s="416" t="s">
        <v>3297</v>
      </c>
      <c r="D106" s="417" t="s">
        <v>3298</v>
      </c>
      <c r="E106" s="25">
        <v>1</v>
      </c>
      <c r="F106" s="1188" t="s">
        <v>349</v>
      </c>
      <c r="G106" s="25">
        <v>18984</v>
      </c>
      <c r="H106" s="25">
        <f t="shared" si="11"/>
        <v>17748.294364247999</v>
      </c>
      <c r="I106" s="25">
        <f t="shared" si="12"/>
        <v>17748.294364247999</v>
      </c>
      <c r="J106" s="30">
        <v>0</v>
      </c>
      <c r="K106" s="30">
        <v>0</v>
      </c>
      <c r="L106" s="72">
        <f t="shared" si="16"/>
        <v>17748.294364247999</v>
      </c>
      <c r="M106" s="26"/>
      <c r="N106" s="203">
        <v>0.93490804699999996</v>
      </c>
      <c r="O106" s="438"/>
      <c r="P106" s="423"/>
      <c r="Q106" s="426"/>
      <c r="R106" s="423"/>
      <c r="S106" s="423"/>
      <c r="T106" s="423"/>
      <c r="U106" s="427"/>
      <c r="V106" s="422"/>
      <c r="W106" s="433"/>
      <c r="X106" s="422"/>
      <c r="Y106" s="423"/>
      <c r="Z106" s="440"/>
      <c r="AA106" s="427"/>
    </row>
    <row r="107" spans="1:27" ht="18.95" customHeight="1">
      <c r="A107" s="28"/>
      <c r="B107" s="38"/>
      <c r="C107" s="416" t="s">
        <v>3299</v>
      </c>
      <c r="D107" s="417" t="s">
        <v>3300</v>
      </c>
      <c r="E107" s="25">
        <v>2</v>
      </c>
      <c r="F107" s="1188" t="s">
        <v>349</v>
      </c>
      <c r="G107" s="25">
        <v>19096</v>
      </c>
      <c r="H107" s="25">
        <f t="shared" si="11"/>
        <v>17853.004065511999</v>
      </c>
      <c r="I107" s="25">
        <f t="shared" si="12"/>
        <v>35706.008131023998</v>
      </c>
      <c r="J107" s="30">
        <v>0</v>
      </c>
      <c r="K107" s="30">
        <v>0</v>
      </c>
      <c r="L107" s="72">
        <f t="shared" si="16"/>
        <v>35706.008131023998</v>
      </c>
      <c r="M107" s="26"/>
      <c r="N107" s="203">
        <v>0.93490804699999996</v>
      </c>
      <c r="O107" s="438"/>
      <c r="P107" s="423"/>
      <c r="Q107" s="426"/>
      <c r="R107" s="423"/>
      <c r="S107" s="423"/>
      <c r="T107" s="423"/>
      <c r="U107" s="427"/>
      <c r="V107" s="422"/>
      <c r="W107" s="433"/>
      <c r="X107" s="422"/>
      <c r="Y107" s="423"/>
      <c r="Z107" s="440"/>
      <c r="AA107" s="427"/>
    </row>
    <row r="108" spans="1:27" ht="18.95" customHeight="1">
      <c r="A108" s="44"/>
      <c r="B108" s="38"/>
      <c r="C108" s="416" t="s">
        <v>3301</v>
      </c>
      <c r="D108" s="417" t="s">
        <v>3302</v>
      </c>
      <c r="E108" s="25">
        <v>1</v>
      </c>
      <c r="F108" s="1188" t="s">
        <v>349</v>
      </c>
      <c r="G108" s="25">
        <v>18536</v>
      </c>
      <c r="H108" s="25">
        <f t="shared" si="11"/>
        <v>17329.455559192</v>
      </c>
      <c r="I108" s="25">
        <f t="shared" si="12"/>
        <v>17329.455559192</v>
      </c>
      <c r="J108" s="30">
        <v>0</v>
      </c>
      <c r="K108" s="30">
        <v>0</v>
      </c>
      <c r="L108" s="72">
        <f t="shared" si="16"/>
        <v>17329.455559192</v>
      </c>
      <c r="M108" s="26"/>
      <c r="N108" s="203">
        <v>0.93490804699999996</v>
      </c>
      <c r="O108" s="438"/>
      <c r="P108" s="423"/>
      <c r="Q108" s="426"/>
      <c r="R108" s="423"/>
      <c r="S108" s="423"/>
      <c r="T108" s="423"/>
      <c r="U108" s="427"/>
      <c r="V108" s="422"/>
      <c r="W108" s="433"/>
      <c r="X108" s="422"/>
      <c r="Y108" s="423"/>
      <c r="Z108" s="440"/>
      <c r="AA108" s="427"/>
    </row>
    <row r="109" spans="1:27" ht="18.95" customHeight="1">
      <c r="A109" s="413"/>
      <c r="B109" s="38"/>
      <c r="C109" s="416" t="s">
        <v>3303</v>
      </c>
      <c r="D109" s="417" t="s">
        <v>3302</v>
      </c>
      <c r="E109" s="25">
        <v>1</v>
      </c>
      <c r="F109" s="1188" t="s">
        <v>349</v>
      </c>
      <c r="G109" s="25">
        <v>18536</v>
      </c>
      <c r="H109" s="25">
        <f t="shared" si="11"/>
        <v>17329.455559192</v>
      </c>
      <c r="I109" s="25">
        <f t="shared" si="12"/>
        <v>17329.455559192</v>
      </c>
      <c r="J109" s="30">
        <v>0</v>
      </c>
      <c r="K109" s="30">
        <v>0</v>
      </c>
      <c r="L109" s="72">
        <f t="shared" si="16"/>
        <v>17329.455559192</v>
      </c>
      <c r="M109" s="26"/>
      <c r="N109" s="203">
        <v>0.93490804699999996</v>
      </c>
      <c r="O109" s="438"/>
      <c r="P109" s="423"/>
      <c r="Q109" s="426"/>
      <c r="R109" s="423"/>
      <c r="S109" s="423"/>
      <c r="T109" s="423"/>
      <c r="U109" s="427"/>
      <c r="V109" s="422"/>
      <c r="W109" s="433"/>
      <c r="X109" s="422"/>
      <c r="Y109" s="423"/>
      <c r="Z109" s="440"/>
      <c r="AA109" s="427"/>
    </row>
    <row r="110" spans="1:27" ht="18.95" customHeight="1">
      <c r="A110" s="44"/>
      <c r="B110" s="38"/>
      <c r="C110" s="416" t="s">
        <v>3304</v>
      </c>
      <c r="D110" s="417" t="s">
        <v>3239</v>
      </c>
      <c r="E110" s="25">
        <v>2</v>
      </c>
      <c r="F110" s="1188" t="s">
        <v>349</v>
      </c>
      <c r="G110" s="25">
        <v>68936</v>
      </c>
      <c r="H110" s="25">
        <f t="shared" si="11"/>
        <v>64448.821127992</v>
      </c>
      <c r="I110" s="25">
        <f t="shared" si="12"/>
        <v>128897.642255984</v>
      </c>
      <c r="J110" s="30">
        <v>0</v>
      </c>
      <c r="K110" s="30">
        <v>0</v>
      </c>
      <c r="L110" s="72">
        <f t="shared" si="16"/>
        <v>128897.642255984</v>
      </c>
      <c r="M110" s="26"/>
      <c r="N110" s="203">
        <v>0.93490804699999996</v>
      </c>
      <c r="O110" s="438"/>
      <c r="P110" s="423"/>
      <c r="Q110" s="426"/>
      <c r="R110" s="423"/>
      <c r="S110" s="423"/>
      <c r="T110" s="423"/>
      <c r="U110" s="427"/>
      <c r="V110" s="422"/>
      <c r="W110" s="433"/>
      <c r="X110" s="422"/>
      <c r="Y110" s="423"/>
      <c r="Z110" s="440"/>
      <c r="AA110" s="427"/>
    </row>
    <row r="111" spans="1:27" ht="18.95" customHeight="1">
      <c r="A111" s="44"/>
      <c r="B111" s="38" t="s">
        <v>3305</v>
      </c>
      <c r="C111" s="416"/>
      <c r="D111" s="417"/>
      <c r="E111" s="25"/>
      <c r="F111" s="26"/>
      <c r="G111" s="25"/>
      <c r="H111" s="25"/>
      <c r="I111" s="25"/>
      <c r="J111" s="30"/>
      <c r="K111" s="30"/>
      <c r="L111" s="72"/>
      <c r="M111" s="26"/>
      <c r="N111" s="203">
        <v>0.93490804699999996</v>
      </c>
      <c r="O111" s="205"/>
      <c r="P111" s="423"/>
      <c r="Q111" s="426"/>
      <c r="R111" s="423"/>
      <c r="S111" s="423"/>
      <c r="T111" s="423"/>
      <c r="U111" s="427"/>
      <c r="V111" s="422"/>
      <c r="W111" s="433"/>
      <c r="X111" s="422"/>
      <c r="Y111" s="423"/>
      <c r="Z111" s="440"/>
      <c r="AA111" s="427"/>
    </row>
    <row r="112" spans="1:27" ht="18.95" customHeight="1">
      <c r="A112" s="44"/>
      <c r="B112" s="38"/>
      <c r="C112" s="416" t="s">
        <v>3306</v>
      </c>
      <c r="D112" s="417" t="s">
        <v>3285</v>
      </c>
      <c r="E112" s="25">
        <v>2</v>
      </c>
      <c r="F112" s="1188" t="s">
        <v>349</v>
      </c>
      <c r="G112" s="25">
        <v>31976</v>
      </c>
      <c r="H112" s="25">
        <f t="shared" si="11"/>
        <v>29894.619710871997</v>
      </c>
      <c r="I112" s="25">
        <f t="shared" si="12"/>
        <v>59789.239421743994</v>
      </c>
      <c r="J112" s="30">
        <v>0</v>
      </c>
      <c r="K112" s="30">
        <v>0</v>
      </c>
      <c r="L112" s="72">
        <f t="shared" ref="L112:L123" si="17">SUM(I112)</f>
        <v>59789.239421743994</v>
      </c>
      <c r="M112" s="26"/>
      <c r="N112" s="203">
        <v>0.93490804699999996</v>
      </c>
      <c r="O112" s="438"/>
      <c r="P112" s="423"/>
      <c r="Q112" s="426"/>
      <c r="R112" s="423"/>
      <c r="S112" s="423"/>
      <c r="T112" s="423"/>
      <c r="U112" s="427"/>
      <c r="V112" s="422"/>
      <c r="W112" s="433"/>
      <c r="X112" s="422"/>
      <c r="Y112" s="423"/>
      <c r="Z112" s="440"/>
      <c r="AA112" s="427"/>
    </row>
    <row r="113" spans="1:27" ht="18.95" customHeight="1">
      <c r="A113" s="44"/>
      <c r="B113" s="38"/>
      <c r="C113" s="416" t="s">
        <v>3307</v>
      </c>
      <c r="D113" s="417" t="s">
        <v>3308</v>
      </c>
      <c r="E113" s="25">
        <v>2</v>
      </c>
      <c r="F113" s="1188" t="s">
        <v>349</v>
      </c>
      <c r="G113" s="25">
        <v>34160</v>
      </c>
      <c r="H113" s="25">
        <f t="shared" si="11"/>
        <v>31936.458885519998</v>
      </c>
      <c r="I113" s="25">
        <f t="shared" si="12"/>
        <v>63872.917771039996</v>
      </c>
      <c r="J113" s="30">
        <v>0</v>
      </c>
      <c r="K113" s="30">
        <v>0</v>
      </c>
      <c r="L113" s="72">
        <f t="shared" si="17"/>
        <v>63872.917771039996</v>
      </c>
      <c r="M113" s="26"/>
      <c r="N113" s="203">
        <v>0.93490804699999996</v>
      </c>
      <c r="O113" s="438"/>
      <c r="P113" s="423"/>
      <c r="Q113" s="426"/>
      <c r="R113" s="423"/>
      <c r="S113" s="423"/>
      <c r="T113" s="423"/>
      <c r="U113" s="427"/>
      <c r="V113" s="422"/>
      <c r="W113" s="433"/>
      <c r="X113" s="422"/>
      <c r="Y113" s="423"/>
      <c r="Z113" s="440"/>
      <c r="AA113" s="427"/>
    </row>
    <row r="114" spans="1:27" ht="18.95" customHeight="1">
      <c r="A114" s="413"/>
      <c r="B114" s="38"/>
      <c r="C114" s="416" t="s">
        <v>3309</v>
      </c>
      <c r="D114" s="417" t="s">
        <v>3310</v>
      </c>
      <c r="E114" s="25">
        <v>1</v>
      </c>
      <c r="F114" s="1188" t="s">
        <v>349</v>
      </c>
      <c r="G114" s="25">
        <v>18424</v>
      </c>
      <c r="H114" s="25">
        <f t="shared" si="11"/>
        <v>17224.745857927999</v>
      </c>
      <c r="I114" s="25">
        <f t="shared" si="12"/>
        <v>17224.745857927999</v>
      </c>
      <c r="J114" s="30">
        <v>0</v>
      </c>
      <c r="K114" s="30">
        <v>0</v>
      </c>
      <c r="L114" s="72">
        <f t="shared" si="17"/>
        <v>17224.745857927999</v>
      </c>
      <c r="M114" s="26"/>
      <c r="N114" s="203">
        <v>0.93490804699999996</v>
      </c>
      <c r="O114" s="438"/>
      <c r="P114" s="423"/>
      <c r="Q114" s="426"/>
      <c r="R114" s="423"/>
      <c r="S114" s="423"/>
      <c r="T114" s="423"/>
      <c r="U114" s="427"/>
      <c r="V114" s="422"/>
      <c r="W114" s="433"/>
      <c r="X114" s="422"/>
      <c r="Y114" s="423"/>
      <c r="Z114" s="440"/>
      <c r="AA114" s="427"/>
    </row>
    <row r="115" spans="1:27" ht="18.95" customHeight="1">
      <c r="A115" s="44"/>
      <c r="B115" s="38"/>
      <c r="C115" s="416" t="s">
        <v>3311</v>
      </c>
      <c r="D115" s="417" t="s">
        <v>3310</v>
      </c>
      <c r="E115" s="25">
        <v>1</v>
      </c>
      <c r="F115" s="1188" t="s">
        <v>349</v>
      </c>
      <c r="G115" s="25">
        <v>18424</v>
      </c>
      <c r="H115" s="25">
        <f t="shared" si="11"/>
        <v>17224.745857927999</v>
      </c>
      <c r="I115" s="25">
        <f t="shared" si="12"/>
        <v>17224.745857927999</v>
      </c>
      <c r="J115" s="30">
        <v>0</v>
      </c>
      <c r="K115" s="30">
        <v>0</v>
      </c>
      <c r="L115" s="72">
        <f t="shared" si="17"/>
        <v>17224.745857927999</v>
      </c>
      <c r="M115" s="26"/>
      <c r="N115" s="203">
        <v>0.93490804699999996</v>
      </c>
      <c r="O115" s="438"/>
      <c r="P115" s="423"/>
      <c r="Q115" s="426"/>
      <c r="R115" s="423"/>
      <c r="S115" s="423"/>
      <c r="T115" s="423"/>
      <c r="U115" s="427"/>
      <c r="V115" s="422"/>
      <c r="W115" s="433"/>
      <c r="X115" s="422"/>
      <c r="Y115" s="423"/>
      <c r="Z115" s="440"/>
      <c r="AA115" s="427"/>
    </row>
    <row r="116" spans="1:27" ht="18.95" customHeight="1">
      <c r="A116" s="413"/>
      <c r="B116" s="38"/>
      <c r="C116" s="416" t="s">
        <v>3312</v>
      </c>
      <c r="D116" s="417" t="s">
        <v>3239</v>
      </c>
      <c r="E116" s="25">
        <v>24</v>
      </c>
      <c r="F116" s="1188" t="s">
        <v>349</v>
      </c>
      <c r="G116" s="25">
        <v>68936</v>
      </c>
      <c r="H116" s="25">
        <f t="shared" si="11"/>
        <v>64448.821127992</v>
      </c>
      <c r="I116" s="25">
        <f t="shared" si="12"/>
        <v>1546771.7070718079</v>
      </c>
      <c r="J116" s="30">
        <v>0</v>
      </c>
      <c r="K116" s="30">
        <v>0</v>
      </c>
      <c r="L116" s="72">
        <f t="shared" si="17"/>
        <v>1546771.7070718079</v>
      </c>
      <c r="M116" s="26"/>
      <c r="N116" s="203">
        <v>0.93490804699999996</v>
      </c>
      <c r="O116" s="438"/>
      <c r="P116" s="423"/>
      <c r="Q116" s="426"/>
      <c r="R116" s="423"/>
      <c r="S116" s="423"/>
      <c r="T116" s="423"/>
      <c r="U116" s="427"/>
      <c r="V116" s="422"/>
      <c r="W116" s="433"/>
      <c r="X116" s="422"/>
      <c r="Y116" s="423"/>
      <c r="Z116" s="440"/>
      <c r="AA116" s="427"/>
    </row>
    <row r="117" spans="1:27" ht="18.95" customHeight="1">
      <c r="A117" s="413"/>
      <c r="B117" s="38"/>
      <c r="C117" s="416" t="s">
        <v>3313</v>
      </c>
      <c r="D117" s="417" t="s">
        <v>3314</v>
      </c>
      <c r="E117" s="25">
        <v>19</v>
      </c>
      <c r="F117" s="1188" t="s">
        <v>349</v>
      </c>
      <c r="G117" s="25">
        <v>68936</v>
      </c>
      <c r="H117" s="25">
        <f t="shared" si="11"/>
        <v>64448.821127992</v>
      </c>
      <c r="I117" s="25">
        <f t="shared" si="12"/>
        <v>1224527.601431848</v>
      </c>
      <c r="J117" s="30">
        <v>0</v>
      </c>
      <c r="K117" s="30">
        <v>0</v>
      </c>
      <c r="L117" s="72">
        <f t="shared" si="17"/>
        <v>1224527.601431848</v>
      </c>
      <c r="M117" s="26"/>
      <c r="N117" s="203">
        <v>0.93490804699999996</v>
      </c>
      <c r="O117" s="438"/>
      <c r="P117" s="423"/>
      <c r="Q117" s="426"/>
      <c r="R117" s="423"/>
      <c r="S117" s="423"/>
      <c r="T117" s="423"/>
      <c r="U117" s="427"/>
      <c r="V117" s="422"/>
      <c r="W117" s="433"/>
      <c r="X117" s="422"/>
      <c r="Y117" s="423"/>
      <c r="Z117" s="440"/>
      <c r="AA117" s="427"/>
    </row>
    <row r="118" spans="1:27" ht="18.95" customHeight="1">
      <c r="A118" s="413"/>
      <c r="B118" s="38"/>
      <c r="C118" s="416" t="s">
        <v>3315</v>
      </c>
      <c r="D118" s="417" t="s">
        <v>3265</v>
      </c>
      <c r="E118" s="25">
        <v>3</v>
      </c>
      <c r="F118" s="1188" t="s">
        <v>349</v>
      </c>
      <c r="G118" s="25">
        <v>30296</v>
      </c>
      <c r="H118" s="25">
        <f t="shared" si="11"/>
        <v>28323.974191911999</v>
      </c>
      <c r="I118" s="25">
        <f t="shared" si="12"/>
        <v>84971.922575735996</v>
      </c>
      <c r="J118" s="30">
        <v>0</v>
      </c>
      <c r="K118" s="30">
        <v>0</v>
      </c>
      <c r="L118" s="72">
        <f t="shared" si="17"/>
        <v>84971.922575735996</v>
      </c>
      <c r="M118" s="26"/>
      <c r="N118" s="203">
        <v>0.93490804699999996</v>
      </c>
      <c r="O118" s="438"/>
      <c r="P118" s="423"/>
      <c r="Q118" s="426"/>
      <c r="R118" s="423"/>
      <c r="S118" s="423"/>
      <c r="T118" s="423"/>
      <c r="U118" s="427"/>
      <c r="V118" s="422"/>
      <c r="W118" s="433"/>
      <c r="X118" s="422"/>
      <c r="Y118" s="423"/>
      <c r="Z118" s="440"/>
      <c r="AA118" s="427"/>
    </row>
    <row r="119" spans="1:27" ht="18.95" customHeight="1">
      <c r="A119" s="413"/>
      <c r="B119" s="38"/>
      <c r="C119" s="416" t="s">
        <v>3316</v>
      </c>
      <c r="D119" s="417" t="s">
        <v>3317</v>
      </c>
      <c r="E119" s="25">
        <v>1</v>
      </c>
      <c r="F119" s="1188" t="s">
        <v>349</v>
      </c>
      <c r="G119" s="25">
        <v>34720</v>
      </c>
      <c r="H119" s="25">
        <f t="shared" si="11"/>
        <v>32460.007391839998</v>
      </c>
      <c r="I119" s="25">
        <f t="shared" si="12"/>
        <v>32460.007391839998</v>
      </c>
      <c r="J119" s="30">
        <v>0</v>
      </c>
      <c r="K119" s="30">
        <v>0</v>
      </c>
      <c r="L119" s="72">
        <f t="shared" si="17"/>
        <v>32460.007391839998</v>
      </c>
      <c r="M119" s="26"/>
      <c r="N119" s="203">
        <v>0.93490804699999996</v>
      </c>
      <c r="O119" s="438"/>
      <c r="P119" s="423"/>
      <c r="Q119" s="426"/>
      <c r="R119" s="423"/>
      <c r="S119" s="423"/>
      <c r="T119" s="423"/>
      <c r="U119" s="427"/>
      <c r="V119" s="422"/>
      <c r="W119" s="433"/>
      <c r="X119" s="422"/>
      <c r="Y119" s="423"/>
      <c r="Z119" s="440"/>
      <c r="AA119" s="427"/>
    </row>
    <row r="120" spans="1:27" ht="18.95" customHeight="1">
      <c r="A120" s="44"/>
      <c r="B120" s="38"/>
      <c r="C120" s="416" t="s">
        <v>3318</v>
      </c>
      <c r="D120" s="417" t="s">
        <v>3285</v>
      </c>
      <c r="E120" s="25">
        <v>2</v>
      </c>
      <c r="F120" s="1188" t="s">
        <v>349</v>
      </c>
      <c r="G120" s="25">
        <v>31976</v>
      </c>
      <c r="H120" s="25">
        <f t="shared" si="11"/>
        <v>29894.619710871997</v>
      </c>
      <c r="I120" s="25">
        <f t="shared" si="12"/>
        <v>59789.239421743994</v>
      </c>
      <c r="J120" s="30">
        <v>0</v>
      </c>
      <c r="K120" s="30">
        <v>0</v>
      </c>
      <c r="L120" s="72">
        <f t="shared" si="17"/>
        <v>59789.239421743994</v>
      </c>
      <c r="M120" s="26"/>
      <c r="N120" s="203">
        <v>0.93490804699999996</v>
      </c>
      <c r="O120" s="438"/>
      <c r="P120" s="423"/>
      <c r="Q120" s="426"/>
      <c r="R120" s="423"/>
      <c r="S120" s="423"/>
      <c r="T120" s="423"/>
      <c r="U120" s="427"/>
      <c r="V120" s="422"/>
      <c r="W120" s="433"/>
      <c r="X120" s="422"/>
      <c r="Y120" s="423"/>
      <c r="Z120" s="440"/>
      <c r="AA120" s="427"/>
    </row>
    <row r="121" spans="1:27" ht="18.95" customHeight="1">
      <c r="A121" s="44"/>
      <c r="B121" s="38"/>
      <c r="C121" s="416" t="s">
        <v>3319</v>
      </c>
      <c r="D121" s="417" t="s">
        <v>3274</v>
      </c>
      <c r="E121" s="25">
        <v>1</v>
      </c>
      <c r="F121" s="1188" t="s">
        <v>349</v>
      </c>
      <c r="G121" s="25">
        <v>29680</v>
      </c>
      <c r="H121" s="25">
        <f t="shared" si="11"/>
        <v>27748.070834959999</v>
      </c>
      <c r="I121" s="25">
        <f t="shared" si="12"/>
        <v>27748.070834959999</v>
      </c>
      <c r="J121" s="30">
        <v>0</v>
      </c>
      <c r="K121" s="30">
        <v>0</v>
      </c>
      <c r="L121" s="72">
        <f t="shared" si="17"/>
        <v>27748.070834959999</v>
      </c>
      <c r="M121" s="26"/>
      <c r="N121" s="203">
        <v>0.93490804699999996</v>
      </c>
      <c r="O121" s="438"/>
      <c r="P121" s="423"/>
      <c r="Q121" s="426"/>
      <c r="R121" s="423"/>
      <c r="S121" s="423"/>
      <c r="T121" s="423"/>
      <c r="U121" s="427"/>
      <c r="V121" s="422"/>
      <c r="W121" s="433"/>
      <c r="X121" s="422"/>
      <c r="Y121" s="423"/>
      <c r="Z121" s="440"/>
      <c r="AA121" s="427"/>
    </row>
    <row r="122" spans="1:27" ht="18.95" customHeight="1">
      <c r="A122" s="44"/>
      <c r="B122" s="38"/>
      <c r="C122" s="416" t="s">
        <v>3320</v>
      </c>
      <c r="D122" s="417" t="s">
        <v>3237</v>
      </c>
      <c r="E122" s="25">
        <v>1</v>
      </c>
      <c r="F122" s="1188" t="s">
        <v>349</v>
      </c>
      <c r="G122" s="25">
        <v>19096</v>
      </c>
      <c r="H122" s="25">
        <f t="shared" si="11"/>
        <v>17853.004065511999</v>
      </c>
      <c r="I122" s="25">
        <f t="shared" si="12"/>
        <v>17853.004065511999</v>
      </c>
      <c r="J122" s="30">
        <v>0</v>
      </c>
      <c r="K122" s="30">
        <v>0</v>
      </c>
      <c r="L122" s="72">
        <f t="shared" si="17"/>
        <v>17853.004065511999</v>
      </c>
      <c r="M122" s="26"/>
      <c r="N122" s="203">
        <v>0.93490804699999996</v>
      </c>
      <c r="O122" s="438"/>
      <c r="P122" s="423"/>
      <c r="Q122" s="426"/>
      <c r="R122" s="423"/>
      <c r="S122" s="423"/>
      <c r="T122" s="423"/>
      <c r="U122" s="427"/>
      <c r="V122" s="422"/>
      <c r="W122" s="433"/>
      <c r="X122" s="422"/>
      <c r="Y122" s="423"/>
      <c r="Z122" s="440"/>
      <c r="AA122" s="427"/>
    </row>
    <row r="123" spans="1:27" ht="18.95" customHeight="1">
      <c r="A123" s="44"/>
      <c r="B123" s="38"/>
      <c r="C123" s="416" t="s">
        <v>3616</v>
      </c>
      <c r="D123" s="417"/>
      <c r="E123" s="25">
        <v>1</v>
      </c>
      <c r="F123" s="1188" t="s">
        <v>349</v>
      </c>
      <c r="G123" s="25">
        <v>0</v>
      </c>
      <c r="H123" s="25">
        <f t="shared" si="11"/>
        <v>0</v>
      </c>
      <c r="I123" s="25">
        <f t="shared" si="12"/>
        <v>0</v>
      </c>
      <c r="J123" s="30">
        <v>0</v>
      </c>
      <c r="K123" s="30">
        <v>0</v>
      </c>
      <c r="L123" s="72">
        <f t="shared" si="17"/>
        <v>0</v>
      </c>
      <c r="M123" s="26"/>
      <c r="N123" s="203">
        <v>0.93490804699999996</v>
      </c>
      <c r="O123" s="205"/>
      <c r="P123" s="423"/>
      <c r="Q123" s="426"/>
      <c r="R123" s="423"/>
      <c r="S123" s="423"/>
      <c r="T123" s="423"/>
      <c r="U123" s="427"/>
      <c r="V123" s="422"/>
      <c r="W123" s="433"/>
      <c r="X123" s="422"/>
      <c r="Y123" s="423"/>
      <c r="Z123" s="440"/>
      <c r="AA123" s="427"/>
    </row>
    <row r="124" spans="1:27" ht="18.95" customHeight="1">
      <c r="A124" s="413"/>
      <c r="B124" s="38"/>
      <c r="C124" s="416" t="s">
        <v>3617</v>
      </c>
      <c r="D124" s="417" t="s">
        <v>3322</v>
      </c>
      <c r="E124" s="25">
        <v>1</v>
      </c>
      <c r="F124" s="1188" t="s">
        <v>349</v>
      </c>
      <c r="G124" s="25">
        <v>399168</v>
      </c>
      <c r="H124" s="25">
        <f t="shared" si="11"/>
        <v>373185.37530489598</v>
      </c>
      <c r="I124" s="25">
        <f t="shared" si="12"/>
        <v>373185.37530489598</v>
      </c>
      <c r="J124" s="30"/>
      <c r="K124" s="30">
        <f>ROUNDDOWN(E124*J124,2)</f>
        <v>0</v>
      </c>
      <c r="L124" s="72">
        <f>I124+K124</f>
        <v>373185.37530489598</v>
      </c>
      <c r="M124" s="26"/>
      <c r="N124" s="203">
        <v>0.93490804699999996</v>
      </c>
      <c r="O124" s="438"/>
      <c r="P124" s="423"/>
      <c r="Q124" s="426"/>
      <c r="R124" s="423"/>
      <c r="S124" s="423"/>
      <c r="T124" s="423"/>
      <c r="U124" s="427"/>
      <c r="V124" s="422"/>
      <c r="W124" s="433"/>
      <c r="X124" s="422"/>
      <c r="Y124" s="423"/>
      <c r="Z124" s="440"/>
      <c r="AA124" s="427"/>
    </row>
    <row r="125" spans="1:27" ht="18.95" customHeight="1">
      <c r="A125" s="44"/>
      <c r="B125" s="38" t="s">
        <v>3618</v>
      </c>
      <c r="C125" s="416"/>
      <c r="D125" s="417"/>
      <c r="E125" s="25"/>
      <c r="F125" s="26"/>
      <c r="G125" s="25"/>
      <c r="H125" s="25"/>
      <c r="I125" s="25"/>
      <c r="J125" s="30"/>
      <c r="K125" s="30"/>
      <c r="L125" s="72"/>
      <c r="M125" s="72"/>
      <c r="N125" s="203">
        <v>0.93490804699999996</v>
      </c>
      <c r="O125" s="438"/>
      <c r="P125" s="423"/>
      <c r="Q125" s="426"/>
      <c r="R125" s="423"/>
      <c r="S125" s="423"/>
      <c r="T125" s="423"/>
      <c r="U125" s="427"/>
      <c r="V125" s="422"/>
      <c r="W125" s="433"/>
      <c r="X125" s="422"/>
      <c r="Y125" s="423"/>
      <c r="Z125" s="440"/>
      <c r="AA125" s="427"/>
    </row>
    <row r="126" spans="1:27" ht="18.95" customHeight="1">
      <c r="A126" s="44"/>
      <c r="B126" s="38"/>
      <c r="C126" s="416" t="s">
        <v>3619</v>
      </c>
      <c r="D126" s="417" t="s">
        <v>3265</v>
      </c>
      <c r="E126" s="25">
        <v>2</v>
      </c>
      <c r="F126" s="1188" t="s">
        <v>349</v>
      </c>
      <c r="G126" s="25">
        <v>30296</v>
      </c>
      <c r="H126" s="25">
        <f t="shared" si="11"/>
        <v>28323.974191911999</v>
      </c>
      <c r="I126" s="25">
        <f t="shared" si="12"/>
        <v>56647.948383823998</v>
      </c>
      <c r="J126" s="30">
        <v>0</v>
      </c>
      <c r="K126" s="30">
        <v>0</v>
      </c>
      <c r="L126" s="72">
        <f t="shared" ref="L126:L135" si="18">SUM(I126)</f>
        <v>56647.948383823998</v>
      </c>
      <c r="M126" s="26"/>
      <c r="N126" s="203">
        <v>0.93490804699999996</v>
      </c>
      <c r="O126" s="438"/>
      <c r="P126" s="423"/>
      <c r="Q126" s="426"/>
      <c r="R126" s="423"/>
      <c r="S126" s="423"/>
      <c r="T126" s="423"/>
      <c r="U126" s="427"/>
      <c r="V126" s="422"/>
      <c r="W126" s="433"/>
      <c r="X126" s="422"/>
      <c r="Y126" s="423"/>
      <c r="Z126" s="440"/>
      <c r="AA126" s="427"/>
    </row>
    <row r="127" spans="1:27" ht="18.95" customHeight="1">
      <c r="A127" s="44"/>
      <c r="B127" s="38"/>
      <c r="C127" s="416" t="s">
        <v>3620</v>
      </c>
      <c r="D127" s="417" t="s">
        <v>3265</v>
      </c>
      <c r="E127" s="25">
        <v>1</v>
      </c>
      <c r="F127" s="1188" t="s">
        <v>349</v>
      </c>
      <c r="G127" s="25">
        <v>30296</v>
      </c>
      <c r="H127" s="25">
        <f t="shared" si="11"/>
        <v>28323.974191911999</v>
      </c>
      <c r="I127" s="25">
        <f t="shared" si="12"/>
        <v>28323.974191911999</v>
      </c>
      <c r="J127" s="30">
        <v>0</v>
      </c>
      <c r="K127" s="30">
        <v>0</v>
      </c>
      <c r="L127" s="72">
        <f t="shared" si="18"/>
        <v>28323.974191911999</v>
      </c>
      <c r="M127" s="26"/>
      <c r="N127" s="203">
        <v>0.93490804699999996</v>
      </c>
      <c r="O127" s="438"/>
      <c r="P127" s="423"/>
      <c r="Q127" s="426"/>
      <c r="R127" s="423"/>
      <c r="S127" s="423"/>
      <c r="T127" s="423"/>
      <c r="U127" s="427"/>
      <c r="V127" s="422"/>
      <c r="W127" s="433"/>
      <c r="X127" s="422"/>
      <c r="Y127" s="423"/>
      <c r="Z127" s="440"/>
      <c r="AA127" s="427"/>
    </row>
    <row r="128" spans="1:27" ht="18.95" customHeight="1">
      <c r="A128" s="44"/>
      <c r="B128" s="38"/>
      <c r="C128" s="416" t="s">
        <v>3326</v>
      </c>
      <c r="D128" s="417" t="s">
        <v>3265</v>
      </c>
      <c r="E128" s="25">
        <v>1</v>
      </c>
      <c r="F128" s="1188" t="s">
        <v>349</v>
      </c>
      <c r="G128" s="25">
        <v>30296</v>
      </c>
      <c r="H128" s="25">
        <f t="shared" si="11"/>
        <v>28323.974191911999</v>
      </c>
      <c r="I128" s="25">
        <f t="shared" si="12"/>
        <v>28323.974191911999</v>
      </c>
      <c r="J128" s="30">
        <v>0</v>
      </c>
      <c r="K128" s="30">
        <v>0</v>
      </c>
      <c r="L128" s="72">
        <f t="shared" si="18"/>
        <v>28323.974191911999</v>
      </c>
      <c r="M128" s="26"/>
      <c r="N128" s="203">
        <v>0.93490804699999996</v>
      </c>
      <c r="O128" s="438"/>
      <c r="P128" s="423"/>
      <c r="Q128" s="426"/>
      <c r="R128" s="423"/>
      <c r="S128" s="423"/>
      <c r="T128" s="423"/>
      <c r="U128" s="427"/>
      <c r="V128" s="422"/>
      <c r="W128" s="433"/>
      <c r="X128" s="422"/>
      <c r="Y128" s="423"/>
      <c r="Z128" s="440"/>
      <c r="AA128" s="427"/>
    </row>
    <row r="129" spans="1:27" ht="18.95" customHeight="1">
      <c r="A129" s="44"/>
      <c r="B129" s="38"/>
      <c r="C129" s="416" t="s">
        <v>3327</v>
      </c>
      <c r="D129" s="417" t="s">
        <v>3265</v>
      </c>
      <c r="E129" s="25">
        <v>1</v>
      </c>
      <c r="F129" s="1188" t="s">
        <v>349</v>
      </c>
      <c r="G129" s="25">
        <v>30296</v>
      </c>
      <c r="H129" s="25">
        <f t="shared" si="11"/>
        <v>28323.974191911999</v>
      </c>
      <c r="I129" s="25">
        <f t="shared" si="12"/>
        <v>28323.974191911999</v>
      </c>
      <c r="J129" s="30">
        <v>0</v>
      </c>
      <c r="K129" s="30">
        <v>0</v>
      </c>
      <c r="L129" s="72">
        <f t="shared" si="18"/>
        <v>28323.974191911999</v>
      </c>
      <c r="M129" s="26"/>
      <c r="N129" s="203">
        <v>0.93490804699999996</v>
      </c>
      <c r="O129" s="438"/>
      <c r="P129" s="423"/>
      <c r="Q129" s="426"/>
      <c r="R129" s="423"/>
      <c r="S129" s="423"/>
      <c r="T129" s="423"/>
      <c r="U129" s="427"/>
      <c r="V129" s="422"/>
      <c r="W129" s="433"/>
      <c r="X129" s="422"/>
      <c r="Y129" s="423"/>
      <c r="Z129" s="440"/>
      <c r="AA129" s="427"/>
    </row>
    <row r="130" spans="1:27" ht="18.95" customHeight="1">
      <c r="A130" s="44"/>
      <c r="B130" s="38"/>
      <c r="C130" s="416" t="s">
        <v>3328</v>
      </c>
      <c r="D130" s="417" t="s">
        <v>3265</v>
      </c>
      <c r="E130" s="25">
        <v>2</v>
      </c>
      <c r="F130" s="1188" t="s">
        <v>349</v>
      </c>
      <c r="G130" s="25">
        <v>30296</v>
      </c>
      <c r="H130" s="25">
        <f t="shared" ref="H130:H172" si="19">G130*N130</f>
        <v>28323.974191911999</v>
      </c>
      <c r="I130" s="25">
        <f t="shared" ref="I130:I172" si="20">SUM(H130*E130)</f>
        <v>56647.948383823998</v>
      </c>
      <c r="J130" s="30">
        <v>0</v>
      </c>
      <c r="K130" s="30">
        <v>0</v>
      </c>
      <c r="L130" s="72">
        <f t="shared" si="18"/>
        <v>56647.948383823998</v>
      </c>
      <c r="M130" s="26"/>
      <c r="N130" s="203">
        <v>0.93490804699999996</v>
      </c>
      <c r="O130" s="438"/>
      <c r="P130" s="423"/>
      <c r="Q130" s="426"/>
      <c r="R130" s="423"/>
      <c r="S130" s="423"/>
      <c r="T130" s="423"/>
      <c r="U130" s="427"/>
      <c r="V130" s="422"/>
      <c r="W130" s="433"/>
      <c r="X130" s="422"/>
      <c r="Y130" s="423"/>
      <c r="Z130" s="440"/>
      <c r="AA130" s="427"/>
    </row>
    <row r="131" spans="1:27" ht="18.95" customHeight="1">
      <c r="A131" s="413"/>
      <c r="B131" s="38"/>
      <c r="C131" s="416" t="s">
        <v>3329</v>
      </c>
      <c r="D131" s="417" t="s">
        <v>3265</v>
      </c>
      <c r="E131" s="25">
        <v>2</v>
      </c>
      <c r="F131" s="1188" t="s">
        <v>349</v>
      </c>
      <c r="G131" s="25">
        <v>30296</v>
      </c>
      <c r="H131" s="25">
        <f t="shared" si="19"/>
        <v>28323.974191911999</v>
      </c>
      <c r="I131" s="25">
        <f t="shared" si="20"/>
        <v>56647.948383823998</v>
      </c>
      <c r="J131" s="30">
        <v>0</v>
      </c>
      <c r="K131" s="30">
        <v>0</v>
      </c>
      <c r="L131" s="72">
        <f t="shared" si="18"/>
        <v>56647.948383823998</v>
      </c>
      <c r="M131" s="26"/>
      <c r="N131" s="203">
        <v>0.93490804699999996</v>
      </c>
      <c r="O131" s="438"/>
      <c r="P131" s="423"/>
      <c r="Q131" s="426"/>
      <c r="R131" s="423"/>
      <c r="S131" s="423"/>
      <c r="T131" s="423"/>
      <c r="U131" s="427"/>
      <c r="V131" s="422"/>
      <c r="W131" s="433"/>
      <c r="X131" s="422"/>
      <c r="Y131" s="423"/>
      <c r="Z131" s="440"/>
      <c r="AA131" s="427"/>
    </row>
    <row r="132" spans="1:27" ht="18.95" customHeight="1">
      <c r="A132" s="413"/>
      <c r="B132" s="38"/>
      <c r="C132" s="416" t="s">
        <v>3330</v>
      </c>
      <c r="D132" s="417" t="s">
        <v>3265</v>
      </c>
      <c r="E132" s="25">
        <v>2</v>
      </c>
      <c r="F132" s="1188" t="s">
        <v>349</v>
      </c>
      <c r="G132" s="25">
        <v>30296</v>
      </c>
      <c r="H132" s="25">
        <f t="shared" si="19"/>
        <v>28323.974191911999</v>
      </c>
      <c r="I132" s="25">
        <f t="shared" si="20"/>
        <v>56647.948383823998</v>
      </c>
      <c r="J132" s="30">
        <v>0</v>
      </c>
      <c r="K132" s="30">
        <v>0</v>
      </c>
      <c r="L132" s="72">
        <f t="shared" si="18"/>
        <v>56647.948383823998</v>
      </c>
      <c r="M132" s="26"/>
      <c r="N132" s="203">
        <v>0.93490804699999996</v>
      </c>
      <c r="O132" s="438"/>
      <c r="P132" s="423"/>
      <c r="Q132" s="426"/>
      <c r="R132" s="423"/>
      <c r="S132" s="423"/>
      <c r="T132" s="423"/>
      <c r="U132" s="427"/>
      <c r="V132" s="422"/>
      <c r="W132" s="433"/>
      <c r="X132" s="422"/>
      <c r="Y132" s="423"/>
      <c r="Z132" s="440"/>
      <c r="AA132" s="427"/>
    </row>
    <row r="133" spans="1:27" ht="18.95" customHeight="1">
      <c r="A133" s="413"/>
      <c r="B133" s="38"/>
      <c r="C133" s="416" t="s">
        <v>3331</v>
      </c>
      <c r="D133" s="417" t="s">
        <v>3250</v>
      </c>
      <c r="E133" s="25">
        <v>1</v>
      </c>
      <c r="F133" s="1188" t="s">
        <v>349</v>
      </c>
      <c r="G133" s="25">
        <v>23576</v>
      </c>
      <c r="H133" s="25">
        <f t="shared" si="19"/>
        <v>22041.392116071998</v>
      </c>
      <c r="I133" s="25">
        <f t="shared" si="20"/>
        <v>22041.392116071998</v>
      </c>
      <c r="J133" s="30">
        <v>0</v>
      </c>
      <c r="K133" s="30">
        <v>0</v>
      </c>
      <c r="L133" s="72">
        <f t="shared" si="18"/>
        <v>22041.392116071998</v>
      </c>
      <c r="M133" s="26"/>
      <c r="N133" s="203">
        <v>0.93490804699999996</v>
      </c>
      <c r="O133" s="438"/>
      <c r="P133" s="423"/>
      <c r="Q133" s="426"/>
      <c r="R133" s="423"/>
      <c r="S133" s="423"/>
      <c r="T133" s="423"/>
      <c r="U133" s="427"/>
      <c r="V133" s="422"/>
      <c r="W133" s="433"/>
      <c r="X133" s="422"/>
      <c r="Y133" s="423"/>
      <c r="Z133" s="440"/>
      <c r="AA133" s="427"/>
    </row>
    <row r="134" spans="1:27" ht="18.95" customHeight="1">
      <c r="A134" s="413"/>
      <c r="B134" s="38"/>
      <c r="C134" s="416" t="s">
        <v>3332</v>
      </c>
      <c r="D134" s="417" t="s">
        <v>3250</v>
      </c>
      <c r="E134" s="25">
        <v>1</v>
      </c>
      <c r="F134" s="1188" t="s">
        <v>349</v>
      </c>
      <c r="G134" s="25">
        <v>23576</v>
      </c>
      <c r="H134" s="25">
        <f t="shared" si="19"/>
        <v>22041.392116071998</v>
      </c>
      <c r="I134" s="25">
        <f t="shared" si="20"/>
        <v>22041.392116071998</v>
      </c>
      <c r="J134" s="30">
        <v>0</v>
      </c>
      <c r="K134" s="30">
        <v>0</v>
      </c>
      <c r="L134" s="72">
        <f t="shared" si="18"/>
        <v>22041.392116071998</v>
      </c>
      <c r="M134" s="26"/>
      <c r="N134" s="203">
        <v>0.93490804699999996</v>
      </c>
      <c r="O134" s="438"/>
      <c r="P134" s="423"/>
      <c r="Q134" s="426"/>
      <c r="R134" s="423"/>
      <c r="S134" s="423"/>
      <c r="T134" s="423"/>
      <c r="U134" s="427"/>
      <c r="V134" s="422"/>
      <c r="W134" s="433"/>
      <c r="X134" s="422"/>
      <c r="Y134" s="423"/>
      <c r="Z134" s="440"/>
      <c r="AA134" s="427"/>
    </row>
    <row r="135" spans="1:27" ht="18.95" customHeight="1">
      <c r="A135" s="413"/>
      <c r="B135" s="38"/>
      <c r="C135" s="416" t="s">
        <v>3621</v>
      </c>
      <c r="D135" s="417" t="s">
        <v>3317</v>
      </c>
      <c r="E135" s="25">
        <v>2</v>
      </c>
      <c r="F135" s="1188" t="s">
        <v>349</v>
      </c>
      <c r="G135" s="25">
        <v>34720</v>
      </c>
      <c r="H135" s="25">
        <f t="shared" si="19"/>
        <v>32460.007391839998</v>
      </c>
      <c r="I135" s="25">
        <f t="shared" si="20"/>
        <v>64920.014783679995</v>
      </c>
      <c r="J135" s="30">
        <v>0</v>
      </c>
      <c r="K135" s="30">
        <v>0</v>
      </c>
      <c r="L135" s="72">
        <f t="shared" si="18"/>
        <v>64920.014783679995</v>
      </c>
      <c r="M135" s="26"/>
      <c r="N135" s="203">
        <v>0.93490804699999996</v>
      </c>
      <c r="O135" s="438"/>
      <c r="P135" s="423"/>
      <c r="Q135" s="426"/>
      <c r="R135" s="423"/>
      <c r="S135" s="423"/>
      <c r="T135" s="423"/>
      <c r="U135" s="427"/>
      <c r="V135" s="422"/>
      <c r="W135" s="433"/>
      <c r="X135" s="422"/>
      <c r="Y135" s="423"/>
      <c r="Z135" s="440"/>
      <c r="AA135" s="427"/>
    </row>
    <row r="136" spans="1:27" ht="18.95" customHeight="1">
      <c r="A136" s="413"/>
      <c r="B136" s="38" t="s">
        <v>3334</v>
      </c>
      <c r="C136" s="416"/>
      <c r="D136" s="417"/>
      <c r="E136" s="25"/>
      <c r="F136" s="26"/>
      <c r="G136" s="25"/>
      <c r="H136" s="25"/>
      <c r="I136" s="25"/>
      <c r="J136" s="72"/>
      <c r="K136" s="72"/>
      <c r="L136" s="72"/>
      <c r="M136" s="26"/>
      <c r="N136" s="203">
        <v>0.93490804699999996</v>
      </c>
      <c r="O136" s="438"/>
      <c r="P136" s="423"/>
      <c r="Q136" s="426"/>
      <c r="R136" s="423"/>
      <c r="S136" s="423"/>
      <c r="T136" s="423"/>
      <c r="U136" s="427"/>
      <c r="V136" s="422"/>
      <c r="W136" s="433"/>
      <c r="X136" s="422"/>
      <c r="Y136" s="423"/>
      <c r="Z136" s="440"/>
      <c r="AA136" s="427"/>
    </row>
    <row r="137" spans="1:27" ht="18.95" customHeight="1">
      <c r="A137" s="44"/>
      <c r="B137" s="38"/>
      <c r="C137" s="416" t="s">
        <v>3622</v>
      </c>
      <c r="D137" s="437" t="s">
        <v>3336</v>
      </c>
      <c r="E137" s="25">
        <v>1</v>
      </c>
      <c r="F137" s="1188" t="s">
        <v>349</v>
      </c>
      <c r="G137" s="25">
        <v>981008</v>
      </c>
      <c r="H137" s="25">
        <f t="shared" si="19"/>
        <v>917152.27337137598</v>
      </c>
      <c r="I137" s="25">
        <f t="shared" si="20"/>
        <v>917152.27337137598</v>
      </c>
      <c r="J137" s="30">
        <v>0</v>
      </c>
      <c r="K137" s="30">
        <v>0</v>
      </c>
      <c r="L137" s="72">
        <f t="shared" ref="L137:L138" si="21">SUM(I137)</f>
        <v>917152.27337137598</v>
      </c>
      <c r="M137" s="26"/>
      <c r="N137" s="203">
        <v>0.93490804699999996</v>
      </c>
      <c r="O137" s="438"/>
      <c r="P137" s="423"/>
      <c r="Q137" s="426"/>
      <c r="R137" s="423"/>
      <c r="S137" s="423"/>
      <c r="T137" s="423"/>
      <c r="U137" s="427"/>
      <c r="V137" s="422"/>
      <c r="W137" s="433"/>
      <c r="X137" s="422"/>
      <c r="Y137" s="423"/>
      <c r="Z137" s="440"/>
      <c r="AA137" s="427"/>
    </row>
    <row r="138" spans="1:27" ht="18.95" customHeight="1">
      <c r="A138" s="44"/>
      <c r="B138" s="38"/>
      <c r="C138" s="416" t="s">
        <v>3623</v>
      </c>
      <c r="D138" s="417" t="s">
        <v>3338</v>
      </c>
      <c r="E138" s="25">
        <v>1</v>
      </c>
      <c r="F138" s="1188" t="s">
        <v>349</v>
      </c>
      <c r="G138" s="25">
        <v>981008</v>
      </c>
      <c r="H138" s="25">
        <f t="shared" si="19"/>
        <v>917152.27337137598</v>
      </c>
      <c r="I138" s="25">
        <f t="shared" si="20"/>
        <v>917152.27337137598</v>
      </c>
      <c r="J138" s="30">
        <v>0</v>
      </c>
      <c r="K138" s="30">
        <v>0</v>
      </c>
      <c r="L138" s="72">
        <f t="shared" si="21"/>
        <v>917152.27337137598</v>
      </c>
      <c r="M138" s="26"/>
      <c r="N138" s="203">
        <v>0.93490804699999996</v>
      </c>
      <c r="O138" s="438"/>
      <c r="P138" s="423"/>
      <c r="Q138" s="426"/>
      <c r="R138" s="423"/>
      <c r="S138" s="423"/>
      <c r="T138" s="423"/>
      <c r="U138" s="427"/>
      <c r="V138" s="422"/>
      <c r="W138" s="433"/>
      <c r="X138" s="422"/>
      <c r="Y138" s="423"/>
      <c r="Z138" s="440"/>
      <c r="AA138" s="427"/>
    </row>
    <row r="139" spans="1:27" ht="18.95" customHeight="1">
      <c r="A139" s="44"/>
      <c r="B139" s="352" t="s">
        <v>3339</v>
      </c>
      <c r="C139" s="416"/>
      <c r="D139" s="267"/>
      <c r="E139" s="25"/>
      <c r="F139" s="26"/>
      <c r="G139" s="72"/>
      <c r="H139" s="25"/>
      <c r="I139" s="25"/>
      <c r="J139" s="30"/>
      <c r="K139" s="30"/>
      <c r="L139" s="72"/>
      <c r="M139" s="26"/>
      <c r="N139" s="203">
        <v>0.93490804699999996</v>
      </c>
      <c r="O139" s="438"/>
      <c r="P139" s="423"/>
      <c r="Q139" s="426"/>
      <c r="R139" s="423"/>
      <c r="S139" s="423"/>
      <c r="T139" s="423"/>
      <c r="U139" s="427"/>
      <c r="V139" s="422"/>
      <c r="W139" s="433"/>
      <c r="X139" s="422"/>
      <c r="Y139" s="423"/>
      <c r="Z139" s="440"/>
      <c r="AA139" s="427"/>
    </row>
    <row r="140" spans="1:27" ht="18.95" customHeight="1">
      <c r="A140" s="44"/>
      <c r="B140" s="38"/>
      <c r="C140" s="416" t="s">
        <v>3624</v>
      </c>
      <c r="D140" s="437" t="s">
        <v>3341</v>
      </c>
      <c r="E140" s="25">
        <v>1</v>
      </c>
      <c r="F140" s="1188" t="s">
        <v>349</v>
      </c>
      <c r="G140" s="25">
        <v>734160</v>
      </c>
      <c r="H140" s="25">
        <f t="shared" si="19"/>
        <v>686372.09178551997</v>
      </c>
      <c r="I140" s="25">
        <f t="shared" si="20"/>
        <v>686372.09178551997</v>
      </c>
      <c r="J140" s="30">
        <v>0</v>
      </c>
      <c r="K140" s="30">
        <v>0</v>
      </c>
      <c r="L140" s="72">
        <f t="shared" ref="L140:L172" si="22">SUM(I140)</f>
        <v>686372.09178551997</v>
      </c>
      <c r="M140" s="26"/>
      <c r="N140" s="203">
        <v>0.93490804699999996</v>
      </c>
      <c r="O140" s="438"/>
      <c r="P140" s="423"/>
      <c r="Q140" s="426"/>
      <c r="R140" s="423"/>
      <c r="S140" s="423"/>
      <c r="T140" s="423"/>
      <c r="U140" s="427"/>
      <c r="V140" s="422"/>
      <c r="W140" s="433"/>
      <c r="X140" s="422"/>
      <c r="Y140" s="423"/>
      <c r="Z140" s="440"/>
      <c r="AA140" s="427"/>
    </row>
    <row r="141" spans="1:27" ht="18.95" customHeight="1">
      <c r="A141" s="44"/>
      <c r="B141" s="38"/>
      <c r="C141" s="416" t="s">
        <v>3625</v>
      </c>
      <c r="D141" s="417" t="s">
        <v>3343</v>
      </c>
      <c r="E141" s="25">
        <v>1</v>
      </c>
      <c r="F141" s="1188" t="s">
        <v>349</v>
      </c>
      <c r="G141" s="25">
        <v>280560</v>
      </c>
      <c r="H141" s="25">
        <f t="shared" si="19"/>
        <v>262297.80166632001</v>
      </c>
      <c r="I141" s="25">
        <f t="shared" si="20"/>
        <v>262297.80166632001</v>
      </c>
      <c r="J141" s="30">
        <v>0</v>
      </c>
      <c r="K141" s="30">
        <v>0</v>
      </c>
      <c r="L141" s="72">
        <f t="shared" si="22"/>
        <v>262297.80166632001</v>
      </c>
      <c r="M141" s="26"/>
      <c r="N141" s="203">
        <v>0.93490804699999996</v>
      </c>
      <c r="O141" s="438"/>
      <c r="P141" s="423"/>
      <c r="Q141" s="426"/>
      <c r="R141" s="423"/>
      <c r="S141" s="423"/>
      <c r="T141" s="423"/>
      <c r="U141" s="427"/>
      <c r="V141" s="422"/>
      <c r="W141" s="433"/>
      <c r="X141" s="422"/>
      <c r="Y141" s="423"/>
      <c r="Z141" s="440"/>
      <c r="AA141" s="427"/>
    </row>
    <row r="142" spans="1:27" ht="18.95" customHeight="1">
      <c r="A142" s="44"/>
      <c r="B142" s="38"/>
      <c r="C142" s="416" t="s">
        <v>3626</v>
      </c>
      <c r="D142" s="417" t="s">
        <v>3345</v>
      </c>
      <c r="E142" s="25">
        <v>1</v>
      </c>
      <c r="F142" s="1188" t="s">
        <v>349</v>
      </c>
      <c r="G142" s="25">
        <v>458640</v>
      </c>
      <c r="H142" s="25">
        <f t="shared" si="19"/>
        <v>428786.22667607997</v>
      </c>
      <c r="I142" s="25">
        <f t="shared" si="20"/>
        <v>428786.22667607997</v>
      </c>
      <c r="J142" s="30">
        <v>0</v>
      </c>
      <c r="K142" s="30">
        <v>0</v>
      </c>
      <c r="L142" s="72">
        <f t="shared" si="22"/>
        <v>428786.22667607997</v>
      </c>
      <c r="M142" s="26"/>
      <c r="N142" s="203">
        <v>0.93490804699999996</v>
      </c>
      <c r="O142" s="438"/>
      <c r="P142" s="423"/>
      <c r="Q142" s="426"/>
      <c r="R142" s="423"/>
      <c r="S142" s="423"/>
      <c r="T142" s="423"/>
      <c r="U142" s="427"/>
      <c r="V142" s="422"/>
      <c r="W142" s="433"/>
      <c r="X142" s="422"/>
      <c r="Y142" s="423"/>
      <c r="Z142" s="440"/>
      <c r="AA142" s="427"/>
    </row>
    <row r="143" spans="1:27" ht="18.95" customHeight="1">
      <c r="A143" s="44"/>
      <c r="B143" s="38"/>
      <c r="C143" s="416" t="s">
        <v>3627</v>
      </c>
      <c r="D143" s="417" t="s">
        <v>3347</v>
      </c>
      <c r="E143" s="25">
        <v>1</v>
      </c>
      <c r="F143" s="1188" t="s">
        <v>349</v>
      </c>
      <c r="G143" s="25">
        <v>645120</v>
      </c>
      <c r="H143" s="25">
        <f t="shared" si="19"/>
        <v>603127.87928063993</v>
      </c>
      <c r="I143" s="25">
        <f t="shared" si="20"/>
        <v>603127.87928063993</v>
      </c>
      <c r="J143" s="30">
        <v>0</v>
      </c>
      <c r="K143" s="30">
        <v>0</v>
      </c>
      <c r="L143" s="72">
        <f t="shared" si="22"/>
        <v>603127.87928063993</v>
      </c>
      <c r="M143" s="26"/>
      <c r="N143" s="203">
        <v>0.93490804699999996</v>
      </c>
      <c r="O143" s="438"/>
      <c r="P143" s="423"/>
      <c r="Q143" s="426"/>
      <c r="R143" s="423"/>
      <c r="S143" s="423"/>
      <c r="T143" s="423"/>
      <c r="U143" s="427"/>
      <c r="V143" s="422"/>
      <c r="W143" s="433"/>
      <c r="X143" s="422"/>
      <c r="Y143" s="423"/>
      <c r="Z143" s="440"/>
      <c r="AA143" s="427"/>
    </row>
    <row r="144" spans="1:27" ht="18.95" customHeight="1">
      <c r="A144" s="44"/>
      <c r="B144" s="38"/>
      <c r="C144" s="416" t="s">
        <v>3628</v>
      </c>
      <c r="D144" s="417" t="s">
        <v>3349</v>
      </c>
      <c r="E144" s="25">
        <v>1</v>
      </c>
      <c r="F144" s="1188" t="s">
        <v>349</v>
      </c>
      <c r="G144" s="25">
        <v>488320</v>
      </c>
      <c r="H144" s="25">
        <f t="shared" si="19"/>
        <v>456534.29751104</v>
      </c>
      <c r="I144" s="25">
        <f t="shared" si="20"/>
        <v>456534.29751104</v>
      </c>
      <c r="J144" s="30">
        <v>0</v>
      </c>
      <c r="K144" s="30">
        <v>0</v>
      </c>
      <c r="L144" s="72">
        <f t="shared" si="22"/>
        <v>456534.29751104</v>
      </c>
      <c r="M144" s="26"/>
      <c r="N144" s="203">
        <v>0.93490804699999996</v>
      </c>
      <c r="O144" s="438"/>
      <c r="P144" s="423"/>
      <c r="Q144" s="426"/>
      <c r="R144" s="423"/>
      <c r="S144" s="423"/>
      <c r="T144" s="423"/>
      <c r="U144" s="427"/>
      <c r="V144" s="422"/>
      <c r="W144" s="433"/>
      <c r="X144" s="422"/>
      <c r="Y144" s="423"/>
      <c r="Z144" s="440"/>
      <c r="AA144" s="427"/>
    </row>
    <row r="145" spans="1:27" ht="18.95" customHeight="1">
      <c r="A145" s="413"/>
      <c r="B145" s="38"/>
      <c r="C145" s="416" t="s">
        <v>3629</v>
      </c>
      <c r="D145" s="417" t="s">
        <v>3347</v>
      </c>
      <c r="E145" s="25">
        <v>1</v>
      </c>
      <c r="F145" s="1188" t="s">
        <v>349</v>
      </c>
      <c r="G145" s="25">
        <v>645120</v>
      </c>
      <c r="H145" s="25">
        <f t="shared" si="19"/>
        <v>603127.87928063993</v>
      </c>
      <c r="I145" s="25">
        <f t="shared" si="20"/>
        <v>603127.87928063993</v>
      </c>
      <c r="J145" s="30">
        <v>0</v>
      </c>
      <c r="K145" s="30">
        <v>0</v>
      </c>
      <c r="L145" s="72">
        <f t="shared" si="22"/>
        <v>603127.87928063993</v>
      </c>
      <c r="M145" s="26"/>
      <c r="N145" s="203">
        <v>0.93490804699999996</v>
      </c>
      <c r="O145" s="438"/>
      <c r="P145" s="423"/>
      <c r="Q145" s="426"/>
      <c r="R145" s="423"/>
      <c r="S145" s="423"/>
      <c r="T145" s="423"/>
      <c r="U145" s="427"/>
      <c r="V145" s="422"/>
      <c r="W145" s="433"/>
      <c r="X145" s="422"/>
      <c r="Y145" s="423"/>
      <c r="Z145" s="440"/>
      <c r="AA145" s="427"/>
    </row>
    <row r="146" spans="1:27" ht="18.95" customHeight="1">
      <c r="A146" s="413"/>
      <c r="B146" s="38"/>
      <c r="C146" s="416" t="s">
        <v>3630</v>
      </c>
      <c r="D146" s="417" t="s">
        <v>3341</v>
      </c>
      <c r="E146" s="25">
        <v>1</v>
      </c>
      <c r="F146" s="1188" t="s">
        <v>349</v>
      </c>
      <c r="G146" s="25">
        <v>734160</v>
      </c>
      <c r="H146" s="25">
        <f t="shared" si="19"/>
        <v>686372.09178551997</v>
      </c>
      <c r="I146" s="25">
        <f t="shared" si="20"/>
        <v>686372.09178551997</v>
      </c>
      <c r="J146" s="30">
        <v>0</v>
      </c>
      <c r="K146" s="30">
        <v>0</v>
      </c>
      <c r="L146" s="72">
        <f t="shared" si="22"/>
        <v>686372.09178551997</v>
      </c>
      <c r="M146" s="26"/>
      <c r="N146" s="203">
        <v>0.93490804699999996</v>
      </c>
      <c r="O146" s="438"/>
      <c r="P146" s="423"/>
      <c r="Q146" s="426"/>
      <c r="R146" s="423"/>
      <c r="S146" s="423"/>
      <c r="T146" s="423"/>
      <c r="U146" s="427"/>
      <c r="V146" s="422"/>
      <c r="W146" s="433"/>
      <c r="X146" s="422"/>
      <c r="Y146" s="423"/>
      <c r="Z146" s="440"/>
      <c r="AA146" s="427"/>
    </row>
    <row r="147" spans="1:27" ht="18.95" customHeight="1">
      <c r="A147" s="413"/>
      <c r="B147" s="38"/>
      <c r="C147" s="416" t="s">
        <v>3631</v>
      </c>
      <c r="D147" s="417" t="s">
        <v>3353</v>
      </c>
      <c r="E147" s="25">
        <v>1</v>
      </c>
      <c r="F147" s="1188" t="s">
        <v>349</v>
      </c>
      <c r="G147" s="25">
        <v>734160</v>
      </c>
      <c r="H147" s="25">
        <f t="shared" si="19"/>
        <v>686372.09178551997</v>
      </c>
      <c r="I147" s="25">
        <f t="shared" si="20"/>
        <v>686372.09178551997</v>
      </c>
      <c r="J147" s="30">
        <v>0</v>
      </c>
      <c r="K147" s="30">
        <v>0</v>
      </c>
      <c r="L147" s="72">
        <f t="shared" si="22"/>
        <v>686372.09178551997</v>
      </c>
      <c r="M147" s="26"/>
      <c r="N147" s="203">
        <v>0.93490804699999996</v>
      </c>
      <c r="O147" s="438"/>
      <c r="P147" s="423"/>
      <c r="Q147" s="426"/>
      <c r="R147" s="423"/>
      <c r="S147" s="423"/>
      <c r="T147" s="423"/>
      <c r="U147" s="427"/>
      <c r="V147" s="422"/>
      <c r="W147" s="433"/>
      <c r="X147" s="422"/>
      <c r="Y147" s="423"/>
      <c r="Z147" s="440"/>
      <c r="AA147" s="427"/>
    </row>
    <row r="148" spans="1:27" ht="18.95" customHeight="1">
      <c r="A148" s="44"/>
      <c r="B148" s="38"/>
      <c r="C148" s="416" t="s">
        <v>3632</v>
      </c>
      <c r="D148" s="417" t="s">
        <v>3347</v>
      </c>
      <c r="E148" s="25">
        <v>1</v>
      </c>
      <c r="F148" s="1188" t="s">
        <v>349</v>
      </c>
      <c r="G148" s="25">
        <v>645120</v>
      </c>
      <c r="H148" s="25">
        <f t="shared" si="19"/>
        <v>603127.87928063993</v>
      </c>
      <c r="I148" s="25">
        <f t="shared" si="20"/>
        <v>603127.87928063993</v>
      </c>
      <c r="J148" s="30">
        <v>0</v>
      </c>
      <c r="K148" s="30">
        <v>0</v>
      </c>
      <c r="L148" s="72">
        <f t="shared" si="22"/>
        <v>603127.87928063993</v>
      </c>
      <c r="M148" s="26"/>
      <c r="N148" s="203">
        <v>0.93490804699999996</v>
      </c>
      <c r="O148" s="438"/>
      <c r="P148" s="423"/>
      <c r="Q148" s="426"/>
      <c r="R148" s="423"/>
      <c r="S148" s="423"/>
      <c r="T148" s="423"/>
      <c r="U148" s="427"/>
      <c r="V148" s="422"/>
      <c r="W148" s="433"/>
      <c r="X148" s="422"/>
      <c r="Y148" s="423"/>
      <c r="Z148" s="440"/>
      <c r="AA148" s="427"/>
    </row>
    <row r="149" spans="1:27" ht="18.95" customHeight="1">
      <c r="A149" s="44"/>
      <c r="B149" s="38"/>
      <c r="C149" s="416" t="s">
        <v>3633</v>
      </c>
      <c r="D149" s="417" t="s">
        <v>3353</v>
      </c>
      <c r="E149" s="25">
        <v>1</v>
      </c>
      <c r="F149" s="1188" t="s">
        <v>349</v>
      </c>
      <c r="G149" s="25">
        <v>734160</v>
      </c>
      <c r="H149" s="25">
        <f t="shared" si="19"/>
        <v>686372.09178551997</v>
      </c>
      <c r="I149" s="25">
        <f t="shared" si="20"/>
        <v>686372.09178551997</v>
      </c>
      <c r="J149" s="30">
        <v>0</v>
      </c>
      <c r="K149" s="30">
        <v>0</v>
      </c>
      <c r="L149" s="72">
        <f t="shared" si="22"/>
        <v>686372.09178551997</v>
      </c>
      <c r="M149" s="26"/>
      <c r="N149" s="203">
        <v>0.93490804699999996</v>
      </c>
      <c r="O149" s="438"/>
      <c r="P149" s="423"/>
      <c r="Q149" s="426"/>
      <c r="R149" s="423"/>
      <c r="S149" s="423"/>
      <c r="T149" s="423"/>
      <c r="U149" s="427"/>
      <c r="V149" s="422"/>
      <c r="W149" s="433"/>
      <c r="X149" s="422"/>
      <c r="Y149" s="423"/>
      <c r="Z149" s="440"/>
      <c r="AA149" s="427"/>
    </row>
    <row r="150" spans="1:27" ht="18.95" customHeight="1">
      <c r="A150" s="44"/>
      <c r="B150" s="38"/>
      <c r="C150" s="416" t="s">
        <v>3634</v>
      </c>
      <c r="D150" s="417" t="s">
        <v>3353</v>
      </c>
      <c r="E150" s="25">
        <v>1</v>
      </c>
      <c r="F150" s="1188" t="s">
        <v>349</v>
      </c>
      <c r="G150" s="25">
        <v>734160</v>
      </c>
      <c r="H150" s="25">
        <f t="shared" si="19"/>
        <v>686372.09178551997</v>
      </c>
      <c r="I150" s="25">
        <f t="shared" si="20"/>
        <v>686372.09178551997</v>
      </c>
      <c r="J150" s="30">
        <v>0</v>
      </c>
      <c r="K150" s="30">
        <v>0</v>
      </c>
      <c r="L150" s="72">
        <f t="shared" si="22"/>
        <v>686372.09178551997</v>
      </c>
      <c r="M150" s="26"/>
      <c r="N150" s="203">
        <v>0.93490804699999996</v>
      </c>
      <c r="O150" s="438"/>
      <c r="P150" s="423"/>
      <c r="Q150" s="426"/>
      <c r="R150" s="423"/>
      <c r="S150" s="423"/>
      <c r="T150" s="423"/>
      <c r="U150" s="427"/>
      <c r="V150" s="422"/>
      <c r="W150" s="433"/>
      <c r="X150" s="422"/>
      <c r="Y150" s="423"/>
      <c r="Z150" s="440"/>
      <c r="AA150" s="427"/>
    </row>
    <row r="151" spans="1:27" ht="18.95" customHeight="1">
      <c r="A151" s="44"/>
      <c r="B151" s="38"/>
      <c r="C151" s="416" t="s">
        <v>3635</v>
      </c>
      <c r="D151" s="417" t="s">
        <v>3353</v>
      </c>
      <c r="E151" s="25">
        <v>1</v>
      </c>
      <c r="F151" s="1188" t="s">
        <v>349</v>
      </c>
      <c r="G151" s="25">
        <v>734160</v>
      </c>
      <c r="H151" s="25">
        <f t="shared" si="19"/>
        <v>686372.09178551997</v>
      </c>
      <c r="I151" s="25">
        <f t="shared" si="20"/>
        <v>686372.09178551997</v>
      </c>
      <c r="J151" s="30">
        <v>0</v>
      </c>
      <c r="K151" s="30">
        <v>0</v>
      </c>
      <c r="L151" s="72">
        <f t="shared" si="22"/>
        <v>686372.09178551997</v>
      </c>
      <c r="M151" s="26"/>
      <c r="N151" s="203">
        <v>0.93490804699999996</v>
      </c>
      <c r="O151" s="438"/>
      <c r="P151" s="423"/>
      <c r="Q151" s="426"/>
      <c r="R151" s="423"/>
      <c r="S151" s="423"/>
      <c r="T151" s="423"/>
      <c r="U151" s="427"/>
      <c r="V151" s="422"/>
      <c r="W151" s="433"/>
      <c r="X151" s="422"/>
      <c r="Y151" s="423"/>
      <c r="Z151" s="440"/>
      <c r="AA151" s="427"/>
    </row>
    <row r="152" spans="1:27" ht="18.95" customHeight="1">
      <c r="A152" s="44"/>
      <c r="B152" s="38"/>
      <c r="C152" s="416" t="s">
        <v>3636</v>
      </c>
      <c r="D152" s="417" t="s">
        <v>3353</v>
      </c>
      <c r="E152" s="25">
        <v>1</v>
      </c>
      <c r="F152" s="1188" t="s">
        <v>349</v>
      </c>
      <c r="G152" s="25">
        <v>734160</v>
      </c>
      <c r="H152" s="25">
        <f t="shared" si="19"/>
        <v>686372.09178551997</v>
      </c>
      <c r="I152" s="25">
        <f t="shared" si="20"/>
        <v>686372.09178551997</v>
      </c>
      <c r="J152" s="30">
        <v>0</v>
      </c>
      <c r="K152" s="30">
        <v>0</v>
      </c>
      <c r="L152" s="72">
        <f t="shared" si="22"/>
        <v>686372.09178551997</v>
      </c>
      <c r="M152" s="26"/>
      <c r="N152" s="203">
        <v>0.93490804699999996</v>
      </c>
      <c r="O152" s="438"/>
      <c r="P152" s="423"/>
      <c r="Q152" s="426"/>
      <c r="R152" s="423"/>
      <c r="S152" s="423"/>
      <c r="T152" s="423"/>
      <c r="U152" s="427"/>
      <c r="V152" s="422"/>
      <c r="W152" s="433"/>
      <c r="X152" s="422"/>
      <c r="Y152" s="423"/>
      <c r="Z152" s="440"/>
      <c r="AA152" s="427"/>
    </row>
    <row r="153" spans="1:27" ht="18.95" customHeight="1">
      <c r="A153" s="44"/>
      <c r="B153" s="38"/>
      <c r="C153" s="416" t="s">
        <v>3637</v>
      </c>
      <c r="D153" s="417" t="s">
        <v>3353</v>
      </c>
      <c r="E153" s="25">
        <v>1</v>
      </c>
      <c r="F153" s="1188" t="s">
        <v>349</v>
      </c>
      <c r="G153" s="25">
        <v>734160</v>
      </c>
      <c r="H153" s="25">
        <f t="shared" si="19"/>
        <v>686372.09178551997</v>
      </c>
      <c r="I153" s="25">
        <f t="shared" si="20"/>
        <v>686372.09178551997</v>
      </c>
      <c r="J153" s="30">
        <v>0</v>
      </c>
      <c r="K153" s="30">
        <v>0</v>
      </c>
      <c r="L153" s="72">
        <f t="shared" si="22"/>
        <v>686372.09178551997</v>
      </c>
      <c r="M153" s="26"/>
      <c r="N153" s="203">
        <v>0.93490804699999996</v>
      </c>
      <c r="O153" s="438"/>
      <c r="P153" s="423"/>
      <c r="Q153" s="426"/>
      <c r="R153" s="423"/>
      <c r="S153" s="423"/>
      <c r="T153" s="423"/>
      <c r="U153" s="427"/>
      <c r="V153" s="422"/>
      <c r="W153" s="433"/>
      <c r="X153" s="422"/>
      <c r="Y153" s="423"/>
      <c r="Z153" s="440"/>
      <c r="AA153" s="427"/>
    </row>
    <row r="154" spans="1:27" ht="18.95" customHeight="1">
      <c r="A154" s="44"/>
      <c r="B154" s="38"/>
      <c r="C154" s="416" t="s">
        <v>3638</v>
      </c>
      <c r="D154" s="417" t="s">
        <v>3361</v>
      </c>
      <c r="E154" s="25">
        <v>1</v>
      </c>
      <c r="F154" s="1188" t="s">
        <v>349</v>
      </c>
      <c r="G154" s="25">
        <v>488320</v>
      </c>
      <c r="H154" s="25">
        <f t="shared" si="19"/>
        <v>456534.29751104</v>
      </c>
      <c r="I154" s="25">
        <f t="shared" si="20"/>
        <v>456534.29751104</v>
      </c>
      <c r="J154" s="30">
        <v>0</v>
      </c>
      <c r="K154" s="30">
        <v>0</v>
      </c>
      <c r="L154" s="72">
        <f t="shared" si="22"/>
        <v>456534.29751104</v>
      </c>
      <c r="M154" s="26"/>
      <c r="N154" s="203">
        <v>0.93490804699999996</v>
      </c>
      <c r="O154" s="438"/>
      <c r="P154" s="423"/>
      <c r="Q154" s="426"/>
      <c r="R154" s="423"/>
      <c r="S154" s="423"/>
      <c r="T154" s="423"/>
      <c r="U154" s="427"/>
      <c r="V154" s="422"/>
      <c r="W154" s="433"/>
      <c r="X154" s="422"/>
      <c r="Y154" s="423"/>
      <c r="Z154" s="440"/>
      <c r="AA154" s="427"/>
    </row>
    <row r="155" spans="1:27" ht="18.95" customHeight="1">
      <c r="A155" s="44"/>
      <c r="B155" s="38"/>
      <c r="C155" s="416" t="s">
        <v>3639</v>
      </c>
      <c r="D155" s="417" t="s">
        <v>3353</v>
      </c>
      <c r="E155" s="25">
        <v>1</v>
      </c>
      <c r="F155" s="1188" t="s">
        <v>349</v>
      </c>
      <c r="G155" s="25">
        <v>734160</v>
      </c>
      <c r="H155" s="25">
        <f t="shared" si="19"/>
        <v>686372.09178551997</v>
      </c>
      <c r="I155" s="25">
        <f t="shared" si="20"/>
        <v>686372.09178551997</v>
      </c>
      <c r="J155" s="30">
        <v>0</v>
      </c>
      <c r="K155" s="30">
        <v>0</v>
      </c>
      <c r="L155" s="72">
        <f t="shared" si="22"/>
        <v>686372.09178551997</v>
      </c>
      <c r="M155" s="26"/>
      <c r="N155" s="203">
        <v>0.93490804699999996</v>
      </c>
      <c r="O155" s="438"/>
      <c r="P155" s="423"/>
      <c r="Q155" s="426"/>
      <c r="R155" s="423"/>
      <c r="S155" s="423"/>
      <c r="T155" s="423"/>
      <c r="U155" s="427"/>
      <c r="V155" s="422"/>
      <c r="W155" s="433"/>
      <c r="X155" s="422"/>
      <c r="Y155" s="423"/>
      <c r="Z155" s="440"/>
      <c r="AA155" s="427"/>
    </row>
    <row r="156" spans="1:27" ht="18.95" customHeight="1">
      <c r="A156" s="44"/>
      <c r="B156" s="38"/>
      <c r="C156" s="416" t="s">
        <v>3640</v>
      </c>
      <c r="D156" s="417" t="s">
        <v>3353</v>
      </c>
      <c r="E156" s="25">
        <v>1</v>
      </c>
      <c r="F156" s="1188" t="s">
        <v>349</v>
      </c>
      <c r="G156" s="25">
        <v>734160</v>
      </c>
      <c r="H156" s="25">
        <f t="shared" si="19"/>
        <v>686372.09178551997</v>
      </c>
      <c r="I156" s="25">
        <f t="shared" si="20"/>
        <v>686372.09178551997</v>
      </c>
      <c r="J156" s="30">
        <v>0</v>
      </c>
      <c r="K156" s="30">
        <v>0</v>
      </c>
      <c r="L156" s="72">
        <f t="shared" si="22"/>
        <v>686372.09178551997</v>
      </c>
      <c r="M156" s="26"/>
      <c r="N156" s="203">
        <v>0.93490804699999996</v>
      </c>
      <c r="O156" s="438"/>
      <c r="P156" s="423"/>
      <c r="Q156" s="426"/>
      <c r="R156" s="423"/>
      <c r="S156" s="423"/>
      <c r="T156" s="423"/>
      <c r="U156" s="427"/>
      <c r="V156" s="422"/>
      <c r="W156" s="433"/>
      <c r="X156" s="422"/>
      <c r="Y156" s="423"/>
      <c r="Z156" s="440"/>
      <c r="AA156" s="427"/>
    </row>
    <row r="157" spans="1:27" ht="18.95" customHeight="1">
      <c r="A157" s="44"/>
      <c r="B157" s="38"/>
      <c r="C157" s="416" t="s">
        <v>3641</v>
      </c>
      <c r="D157" s="417" t="s">
        <v>3365</v>
      </c>
      <c r="E157" s="25">
        <v>1</v>
      </c>
      <c r="F157" s="1188" t="s">
        <v>349</v>
      </c>
      <c r="G157" s="25">
        <v>243600</v>
      </c>
      <c r="H157" s="25">
        <f t="shared" si="19"/>
        <v>227743.60024919998</v>
      </c>
      <c r="I157" s="25">
        <f t="shared" si="20"/>
        <v>227743.60024919998</v>
      </c>
      <c r="J157" s="30">
        <v>0</v>
      </c>
      <c r="K157" s="30">
        <v>0</v>
      </c>
      <c r="L157" s="72">
        <f t="shared" si="22"/>
        <v>227743.60024919998</v>
      </c>
      <c r="M157" s="26"/>
      <c r="N157" s="203">
        <v>0.93490804699999996</v>
      </c>
      <c r="O157" s="438"/>
      <c r="P157" s="423"/>
      <c r="Q157" s="426"/>
      <c r="R157" s="423"/>
      <c r="S157" s="423"/>
      <c r="T157" s="423"/>
      <c r="U157" s="427"/>
      <c r="V157" s="422"/>
      <c r="W157" s="433"/>
      <c r="X157" s="422"/>
      <c r="Y157" s="423"/>
      <c r="Z157" s="440"/>
      <c r="AA157" s="427"/>
    </row>
    <row r="158" spans="1:27" ht="18.95" customHeight="1">
      <c r="A158" s="44"/>
      <c r="B158" s="38"/>
      <c r="C158" s="416" t="s">
        <v>3642</v>
      </c>
      <c r="D158" s="417" t="s">
        <v>3367</v>
      </c>
      <c r="E158" s="25">
        <v>1</v>
      </c>
      <c r="F158" s="1188" t="s">
        <v>349</v>
      </c>
      <c r="G158" s="25">
        <v>365120</v>
      </c>
      <c r="H158" s="25">
        <f t="shared" si="19"/>
        <v>341353.62612063996</v>
      </c>
      <c r="I158" s="25">
        <f t="shared" si="20"/>
        <v>341353.62612063996</v>
      </c>
      <c r="J158" s="30">
        <v>0</v>
      </c>
      <c r="K158" s="30">
        <v>0</v>
      </c>
      <c r="L158" s="72">
        <f t="shared" si="22"/>
        <v>341353.62612063996</v>
      </c>
      <c r="M158" s="26"/>
      <c r="N158" s="203">
        <v>0.93490804699999996</v>
      </c>
      <c r="O158" s="438"/>
      <c r="P158" s="423"/>
      <c r="Q158" s="426"/>
      <c r="R158" s="423"/>
      <c r="S158" s="423"/>
      <c r="T158" s="423"/>
      <c r="U158" s="427"/>
      <c r="V158" s="422"/>
      <c r="W158" s="433"/>
      <c r="X158" s="422"/>
      <c r="Y158" s="423"/>
      <c r="Z158" s="440"/>
      <c r="AA158" s="427"/>
    </row>
    <row r="159" spans="1:27" ht="18.95" customHeight="1">
      <c r="A159" s="44"/>
      <c r="B159" s="38"/>
      <c r="C159" s="416" t="s">
        <v>3643</v>
      </c>
      <c r="D159" s="417" t="s">
        <v>3369</v>
      </c>
      <c r="E159" s="25">
        <v>1</v>
      </c>
      <c r="F159" s="1188" t="s">
        <v>349</v>
      </c>
      <c r="G159" s="25">
        <v>488320</v>
      </c>
      <c r="H159" s="25">
        <f t="shared" si="19"/>
        <v>456534.29751104</v>
      </c>
      <c r="I159" s="25">
        <f t="shared" si="20"/>
        <v>456534.29751104</v>
      </c>
      <c r="J159" s="30">
        <v>0</v>
      </c>
      <c r="K159" s="30">
        <v>0</v>
      </c>
      <c r="L159" s="72">
        <f t="shared" si="22"/>
        <v>456534.29751104</v>
      </c>
      <c r="M159" s="26"/>
      <c r="N159" s="203">
        <v>0.93490804699999996</v>
      </c>
      <c r="O159" s="438"/>
      <c r="P159" s="423"/>
      <c r="Q159" s="426"/>
      <c r="R159" s="423"/>
      <c r="S159" s="423"/>
      <c r="T159" s="423"/>
      <c r="U159" s="427"/>
      <c r="V159" s="422"/>
      <c r="W159" s="433"/>
      <c r="X159" s="422"/>
      <c r="Y159" s="423"/>
      <c r="Z159" s="440"/>
      <c r="AA159" s="427"/>
    </row>
    <row r="160" spans="1:27" ht="18.95" customHeight="1">
      <c r="A160" s="413"/>
      <c r="B160" s="38"/>
      <c r="C160" s="416" t="s">
        <v>3644</v>
      </c>
      <c r="D160" s="417" t="s">
        <v>3369</v>
      </c>
      <c r="E160" s="25">
        <v>1</v>
      </c>
      <c r="F160" s="1188" t="s">
        <v>349</v>
      </c>
      <c r="G160" s="25">
        <v>734160</v>
      </c>
      <c r="H160" s="25">
        <f t="shared" si="19"/>
        <v>686372.09178551997</v>
      </c>
      <c r="I160" s="25">
        <f t="shared" si="20"/>
        <v>686372.09178551997</v>
      </c>
      <c r="J160" s="30">
        <v>0</v>
      </c>
      <c r="K160" s="30">
        <v>0</v>
      </c>
      <c r="L160" s="72">
        <f t="shared" si="22"/>
        <v>686372.09178551997</v>
      </c>
      <c r="M160" s="26"/>
      <c r="N160" s="203">
        <v>0.93490804699999996</v>
      </c>
      <c r="O160" s="438"/>
      <c r="P160" s="423"/>
      <c r="Q160" s="426"/>
      <c r="R160" s="423"/>
      <c r="S160" s="423"/>
      <c r="T160" s="423"/>
      <c r="U160" s="427"/>
      <c r="V160" s="422"/>
      <c r="W160" s="433"/>
      <c r="X160" s="422"/>
      <c r="Y160" s="423"/>
      <c r="Z160" s="440"/>
      <c r="AA160" s="427"/>
    </row>
    <row r="161" spans="1:27" ht="18.95" customHeight="1">
      <c r="A161" s="413"/>
      <c r="B161" s="38"/>
      <c r="C161" s="416" t="s">
        <v>3645</v>
      </c>
      <c r="D161" s="417" t="s">
        <v>3372</v>
      </c>
      <c r="E161" s="25">
        <v>1</v>
      </c>
      <c r="F161" s="1188" t="s">
        <v>349</v>
      </c>
      <c r="G161" s="25">
        <v>280560</v>
      </c>
      <c r="H161" s="25">
        <f t="shared" si="19"/>
        <v>262297.80166632001</v>
      </c>
      <c r="I161" s="25">
        <f t="shared" si="20"/>
        <v>262297.80166632001</v>
      </c>
      <c r="J161" s="30">
        <v>0</v>
      </c>
      <c r="K161" s="30">
        <v>0</v>
      </c>
      <c r="L161" s="72">
        <f t="shared" si="22"/>
        <v>262297.80166632001</v>
      </c>
      <c r="M161" s="26"/>
      <c r="N161" s="203">
        <v>0.93490804699999996</v>
      </c>
      <c r="O161" s="438"/>
      <c r="P161" s="423"/>
      <c r="Q161" s="426"/>
      <c r="R161" s="423"/>
      <c r="S161" s="423"/>
      <c r="T161" s="423"/>
      <c r="U161" s="427"/>
      <c r="V161" s="422"/>
      <c r="W161" s="433"/>
      <c r="X161" s="422"/>
      <c r="Y161" s="423"/>
      <c r="Z161" s="440"/>
      <c r="AA161" s="427"/>
    </row>
    <row r="162" spans="1:27" ht="18.95" customHeight="1">
      <c r="A162" s="28"/>
      <c r="B162" s="38"/>
      <c r="C162" s="416" t="s">
        <v>3646</v>
      </c>
      <c r="D162" s="417" t="s">
        <v>3341</v>
      </c>
      <c r="E162" s="25">
        <v>1</v>
      </c>
      <c r="F162" s="1188" t="s">
        <v>349</v>
      </c>
      <c r="G162" s="25">
        <v>734160</v>
      </c>
      <c r="H162" s="25">
        <f t="shared" si="19"/>
        <v>686372.09178551997</v>
      </c>
      <c r="I162" s="25">
        <f t="shared" si="20"/>
        <v>686372.09178551997</v>
      </c>
      <c r="J162" s="30">
        <v>0</v>
      </c>
      <c r="K162" s="30">
        <v>0</v>
      </c>
      <c r="L162" s="72">
        <f t="shared" si="22"/>
        <v>686372.09178551997</v>
      </c>
      <c r="M162" s="26"/>
      <c r="N162" s="203">
        <v>0.93490804699999996</v>
      </c>
      <c r="O162" s="438"/>
      <c r="P162" s="423"/>
      <c r="Q162" s="426"/>
      <c r="R162" s="423"/>
      <c r="S162" s="423"/>
      <c r="T162" s="423"/>
      <c r="U162" s="427"/>
      <c r="V162" s="422"/>
      <c r="W162" s="433"/>
      <c r="X162" s="422"/>
      <c r="Y162" s="423"/>
      <c r="Z162" s="440"/>
      <c r="AA162" s="427"/>
    </row>
    <row r="163" spans="1:27" ht="18.95" customHeight="1">
      <c r="A163" s="413"/>
      <c r="B163" s="38"/>
      <c r="C163" s="416" t="s">
        <v>3647</v>
      </c>
      <c r="D163" s="417" t="s">
        <v>3341</v>
      </c>
      <c r="E163" s="25">
        <v>1</v>
      </c>
      <c r="F163" s="1188" t="s">
        <v>349</v>
      </c>
      <c r="G163" s="25">
        <v>734160</v>
      </c>
      <c r="H163" s="25">
        <f t="shared" si="19"/>
        <v>686372.09178551997</v>
      </c>
      <c r="I163" s="25">
        <f t="shared" si="20"/>
        <v>686372.09178551997</v>
      </c>
      <c r="J163" s="30">
        <v>0</v>
      </c>
      <c r="K163" s="30">
        <v>0</v>
      </c>
      <c r="L163" s="72">
        <f t="shared" si="22"/>
        <v>686372.09178551997</v>
      </c>
      <c r="M163" s="26"/>
      <c r="N163" s="203">
        <v>0.93490804699999996</v>
      </c>
      <c r="O163" s="438"/>
      <c r="P163" s="423"/>
      <c r="Q163" s="426"/>
      <c r="R163" s="423"/>
      <c r="S163" s="423"/>
      <c r="T163" s="423"/>
      <c r="U163" s="427"/>
      <c r="V163" s="422"/>
      <c r="W163" s="433"/>
      <c r="X163" s="422"/>
      <c r="Y163" s="423"/>
      <c r="Z163" s="440"/>
      <c r="AA163" s="427"/>
    </row>
    <row r="164" spans="1:27" ht="18.95" customHeight="1">
      <c r="A164" s="28"/>
      <c r="B164" s="38"/>
      <c r="C164" s="416" t="s">
        <v>3648</v>
      </c>
      <c r="D164" s="417" t="s">
        <v>3341</v>
      </c>
      <c r="E164" s="25">
        <v>1</v>
      </c>
      <c r="F164" s="1188" t="s">
        <v>349</v>
      </c>
      <c r="G164" s="25">
        <v>734160</v>
      </c>
      <c r="H164" s="25">
        <f t="shared" si="19"/>
        <v>686372.09178551997</v>
      </c>
      <c r="I164" s="25">
        <f t="shared" si="20"/>
        <v>686372.09178551997</v>
      </c>
      <c r="J164" s="30">
        <v>0</v>
      </c>
      <c r="K164" s="30">
        <v>0</v>
      </c>
      <c r="L164" s="72">
        <f t="shared" si="22"/>
        <v>686372.09178551997</v>
      </c>
      <c r="M164" s="26"/>
      <c r="N164" s="203">
        <v>0.93490804699999996</v>
      </c>
      <c r="O164" s="438"/>
      <c r="P164" s="423"/>
      <c r="Q164" s="426"/>
      <c r="R164" s="423"/>
      <c r="S164" s="423"/>
      <c r="T164" s="423"/>
      <c r="U164" s="427"/>
      <c r="V164" s="422"/>
      <c r="W164" s="433"/>
      <c r="X164" s="422"/>
      <c r="Y164" s="423"/>
      <c r="Z164" s="440"/>
      <c r="AA164" s="427"/>
    </row>
    <row r="165" spans="1:27" ht="18.95" customHeight="1">
      <c r="A165" s="44"/>
      <c r="B165" s="38"/>
      <c r="C165" s="416" t="s">
        <v>3649</v>
      </c>
      <c r="D165" s="417" t="s">
        <v>3341</v>
      </c>
      <c r="E165" s="25">
        <v>1</v>
      </c>
      <c r="F165" s="1188" t="s">
        <v>349</v>
      </c>
      <c r="G165" s="25">
        <v>734160</v>
      </c>
      <c r="H165" s="25">
        <f t="shared" si="19"/>
        <v>686372.09178551997</v>
      </c>
      <c r="I165" s="25">
        <f t="shared" si="20"/>
        <v>686372.09178551997</v>
      </c>
      <c r="J165" s="30">
        <v>0</v>
      </c>
      <c r="K165" s="30">
        <v>0</v>
      </c>
      <c r="L165" s="72">
        <f t="shared" si="22"/>
        <v>686372.09178551997</v>
      </c>
      <c r="M165" s="26"/>
      <c r="N165" s="203">
        <v>0.93490804699999996</v>
      </c>
      <c r="O165" s="438"/>
      <c r="P165" s="423"/>
      <c r="Q165" s="426"/>
      <c r="R165" s="423"/>
      <c r="S165" s="423"/>
      <c r="T165" s="423"/>
      <c r="U165" s="427"/>
      <c r="V165" s="422"/>
      <c r="W165" s="433"/>
      <c r="X165" s="422"/>
      <c r="Y165" s="423"/>
      <c r="Z165" s="440"/>
      <c r="AA165" s="427"/>
    </row>
    <row r="166" spans="1:27" ht="18.95" customHeight="1">
      <c r="A166" s="44"/>
      <c r="B166" s="38"/>
      <c r="C166" s="416" t="s">
        <v>3650</v>
      </c>
      <c r="D166" s="417" t="s">
        <v>3341</v>
      </c>
      <c r="E166" s="25">
        <v>1</v>
      </c>
      <c r="F166" s="1188" t="s">
        <v>349</v>
      </c>
      <c r="G166" s="25">
        <v>734160</v>
      </c>
      <c r="H166" s="25">
        <f t="shared" si="19"/>
        <v>686372.09178551997</v>
      </c>
      <c r="I166" s="25">
        <f t="shared" si="20"/>
        <v>686372.09178551997</v>
      </c>
      <c r="J166" s="30">
        <v>0</v>
      </c>
      <c r="K166" s="30">
        <v>0</v>
      </c>
      <c r="L166" s="72">
        <f t="shared" si="22"/>
        <v>686372.09178551997</v>
      </c>
      <c r="M166" s="26"/>
      <c r="N166" s="203">
        <v>0.93490804699999996</v>
      </c>
      <c r="O166" s="438"/>
      <c r="P166" s="423"/>
      <c r="Q166" s="426"/>
      <c r="R166" s="423"/>
      <c r="S166" s="423"/>
      <c r="T166" s="423"/>
      <c r="U166" s="427"/>
      <c r="V166" s="422"/>
      <c r="W166" s="433"/>
      <c r="X166" s="422"/>
      <c r="Y166" s="423"/>
      <c r="Z166" s="440"/>
      <c r="AA166" s="427"/>
    </row>
    <row r="167" spans="1:27" ht="18.95" customHeight="1">
      <c r="A167" s="44"/>
      <c r="B167" s="38"/>
      <c r="C167" s="416" t="s">
        <v>3651</v>
      </c>
      <c r="D167" s="417" t="s">
        <v>3341</v>
      </c>
      <c r="E167" s="25">
        <v>1</v>
      </c>
      <c r="F167" s="1188" t="s">
        <v>349</v>
      </c>
      <c r="G167" s="25">
        <v>734160</v>
      </c>
      <c r="H167" s="25">
        <f t="shared" si="19"/>
        <v>686372.09178551997</v>
      </c>
      <c r="I167" s="25">
        <f t="shared" si="20"/>
        <v>686372.09178551997</v>
      </c>
      <c r="J167" s="30">
        <v>0</v>
      </c>
      <c r="K167" s="30">
        <v>0</v>
      </c>
      <c r="L167" s="72">
        <f t="shared" si="22"/>
        <v>686372.09178551997</v>
      </c>
      <c r="M167" s="26"/>
      <c r="N167" s="203">
        <v>0.93490804699999996</v>
      </c>
      <c r="O167" s="438"/>
      <c r="P167" s="423"/>
      <c r="Q167" s="426"/>
      <c r="R167" s="423"/>
      <c r="S167" s="423"/>
      <c r="T167" s="423"/>
      <c r="U167" s="427"/>
      <c r="V167" s="422"/>
      <c r="W167" s="433"/>
      <c r="X167" s="422"/>
      <c r="Y167" s="423"/>
      <c r="Z167" s="440"/>
      <c r="AA167" s="427"/>
    </row>
    <row r="168" spans="1:27" ht="18.95" customHeight="1">
      <c r="A168" s="44"/>
      <c r="B168" s="38"/>
      <c r="C168" s="416" t="s">
        <v>3652</v>
      </c>
      <c r="D168" s="417" t="s">
        <v>3341</v>
      </c>
      <c r="E168" s="25">
        <v>1</v>
      </c>
      <c r="F168" s="1188" t="s">
        <v>349</v>
      </c>
      <c r="G168" s="25">
        <v>734160</v>
      </c>
      <c r="H168" s="25">
        <f t="shared" si="19"/>
        <v>686372.09178551997</v>
      </c>
      <c r="I168" s="25">
        <f t="shared" si="20"/>
        <v>686372.09178551997</v>
      </c>
      <c r="J168" s="30">
        <v>0</v>
      </c>
      <c r="K168" s="30">
        <v>0</v>
      </c>
      <c r="L168" s="72">
        <f t="shared" si="22"/>
        <v>686372.09178551997</v>
      </c>
      <c r="M168" s="26"/>
      <c r="N168" s="203">
        <v>0.93490804699999996</v>
      </c>
      <c r="O168" s="438"/>
      <c r="P168" s="423"/>
      <c r="Q168" s="426"/>
      <c r="R168" s="423"/>
      <c r="S168" s="423"/>
      <c r="T168" s="423"/>
      <c r="U168" s="427"/>
      <c r="V168" s="422"/>
      <c r="W168" s="433"/>
      <c r="X168" s="422"/>
      <c r="Y168" s="423"/>
      <c r="Z168" s="440"/>
      <c r="AA168" s="427"/>
    </row>
    <row r="169" spans="1:27" ht="18.95" customHeight="1">
      <c r="A169" s="44"/>
      <c r="B169" s="38"/>
      <c r="C169" s="416" t="s">
        <v>3653</v>
      </c>
      <c r="D169" s="417" t="s">
        <v>3381</v>
      </c>
      <c r="E169" s="25">
        <v>1</v>
      </c>
      <c r="F169" s="1188" t="s">
        <v>349</v>
      </c>
      <c r="G169" s="25">
        <v>458640</v>
      </c>
      <c r="H169" s="25">
        <f t="shared" si="19"/>
        <v>428786.22667607997</v>
      </c>
      <c r="I169" s="25">
        <f t="shared" si="20"/>
        <v>428786.22667607997</v>
      </c>
      <c r="J169" s="30">
        <v>0</v>
      </c>
      <c r="K169" s="30">
        <v>0</v>
      </c>
      <c r="L169" s="72">
        <f t="shared" si="22"/>
        <v>428786.22667607997</v>
      </c>
      <c r="M169" s="26"/>
      <c r="N169" s="203">
        <v>0.93490804699999996</v>
      </c>
      <c r="O169" s="438"/>
      <c r="P169" s="423"/>
      <c r="Q169" s="426"/>
      <c r="R169" s="423"/>
      <c r="S169" s="423"/>
      <c r="T169" s="423"/>
      <c r="U169" s="427"/>
      <c r="V169" s="422"/>
      <c r="W169" s="433"/>
      <c r="X169" s="422"/>
      <c r="Y169" s="423"/>
      <c r="Z169" s="440"/>
      <c r="AA169" s="427"/>
    </row>
    <row r="170" spans="1:27" ht="18.95" customHeight="1">
      <c r="A170" s="44"/>
      <c r="B170" s="38"/>
      <c r="C170" s="416" t="s">
        <v>3654</v>
      </c>
      <c r="D170" s="417" t="s">
        <v>3367</v>
      </c>
      <c r="E170" s="25">
        <v>1</v>
      </c>
      <c r="F170" s="1188" t="s">
        <v>349</v>
      </c>
      <c r="G170" s="25">
        <v>365120</v>
      </c>
      <c r="H170" s="25">
        <f t="shared" si="19"/>
        <v>341353.62612063996</v>
      </c>
      <c r="I170" s="25">
        <f t="shared" si="20"/>
        <v>341353.62612063996</v>
      </c>
      <c r="J170" s="30">
        <v>0</v>
      </c>
      <c r="K170" s="30">
        <v>0</v>
      </c>
      <c r="L170" s="72">
        <f t="shared" si="22"/>
        <v>341353.62612063996</v>
      </c>
      <c r="M170" s="26"/>
      <c r="N170" s="203">
        <v>0.93490804699999996</v>
      </c>
      <c r="O170" s="438"/>
      <c r="P170" s="423"/>
      <c r="Q170" s="426"/>
      <c r="R170" s="423"/>
      <c r="S170" s="423"/>
      <c r="T170" s="423"/>
      <c r="U170" s="427"/>
      <c r="V170" s="422"/>
      <c r="W170" s="433"/>
      <c r="X170" s="422"/>
      <c r="Y170" s="423"/>
      <c r="Z170" s="440"/>
      <c r="AA170" s="427"/>
    </row>
    <row r="171" spans="1:27" ht="18.95" customHeight="1">
      <c r="A171" s="44"/>
      <c r="B171" s="38"/>
      <c r="C171" s="416" t="s">
        <v>3383</v>
      </c>
      <c r="D171" s="417" t="s">
        <v>3353</v>
      </c>
      <c r="E171" s="25">
        <v>2</v>
      </c>
      <c r="F171" s="1188" t="s">
        <v>349</v>
      </c>
      <c r="G171" s="25">
        <v>734160</v>
      </c>
      <c r="H171" s="25">
        <f t="shared" si="19"/>
        <v>686372.09178551997</v>
      </c>
      <c r="I171" s="25">
        <f t="shared" si="20"/>
        <v>1372744.1835710399</v>
      </c>
      <c r="J171" s="30">
        <v>0</v>
      </c>
      <c r="K171" s="30">
        <v>0</v>
      </c>
      <c r="L171" s="72">
        <f t="shared" si="22"/>
        <v>1372744.1835710399</v>
      </c>
      <c r="M171" s="26"/>
      <c r="N171" s="203">
        <v>0.93490804699999996</v>
      </c>
      <c r="O171" s="438"/>
      <c r="P171" s="423"/>
      <c r="Q171" s="426"/>
      <c r="R171" s="423"/>
      <c r="S171" s="423"/>
      <c r="T171" s="423"/>
      <c r="U171" s="427"/>
      <c r="V171" s="422"/>
      <c r="W171" s="433"/>
      <c r="X171" s="422"/>
      <c r="Y171" s="423"/>
      <c r="Z171" s="440"/>
      <c r="AA171" s="427"/>
    </row>
    <row r="172" spans="1:27" ht="18.95" customHeight="1">
      <c r="A172" s="70"/>
      <c r="B172" s="38"/>
      <c r="C172" s="416" t="s">
        <v>3384</v>
      </c>
      <c r="D172" s="417" t="s">
        <v>3353</v>
      </c>
      <c r="E172" s="25">
        <v>2</v>
      </c>
      <c r="F172" s="1188" t="s">
        <v>349</v>
      </c>
      <c r="G172" s="25">
        <v>734160</v>
      </c>
      <c r="H172" s="25">
        <f t="shared" si="19"/>
        <v>686372.09178551997</v>
      </c>
      <c r="I172" s="25">
        <f t="shared" si="20"/>
        <v>1372744.1835710399</v>
      </c>
      <c r="J172" s="30">
        <v>0</v>
      </c>
      <c r="K172" s="30">
        <v>0</v>
      </c>
      <c r="L172" s="72">
        <f t="shared" si="22"/>
        <v>1372744.1835710399</v>
      </c>
      <c r="M172" s="26"/>
      <c r="N172" s="203">
        <v>0.93490804699999996</v>
      </c>
      <c r="O172" s="438"/>
      <c r="P172" s="423"/>
      <c r="Q172" s="426"/>
      <c r="R172" s="423"/>
      <c r="S172" s="423"/>
      <c r="T172" s="423"/>
      <c r="U172" s="427"/>
      <c r="V172" s="422"/>
      <c r="W172" s="433"/>
      <c r="X172" s="422"/>
      <c r="Y172" s="423"/>
      <c r="Z172" s="440"/>
      <c r="AA172" s="427"/>
    </row>
    <row r="173" spans="1:27" ht="18.95" customHeight="1">
      <c r="A173" s="70"/>
      <c r="B173" s="31"/>
      <c r="C173" s="32"/>
      <c r="D173" s="33"/>
      <c r="E173" s="34"/>
      <c r="F173" s="35"/>
      <c r="G173" s="34"/>
      <c r="H173" s="34"/>
      <c r="I173" s="34"/>
      <c r="J173" s="102"/>
      <c r="K173" s="102"/>
      <c r="L173" s="34"/>
      <c r="M173" s="26"/>
      <c r="P173" s="423"/>
      <c r="Q173" s="433"/>
      <c r="R173" s="422"/>
      <c r="S173" s="422"/>
      <c r="T173" s="422"/>
      <c r="U173" s="422"/>
      <c r="V173" s="422"/>
      <c r="W173" s="433"/>
      <c r="X173" s="422"/>
      <c r="Y173" s="422"/>
      <c r="Z173" s="422"/>
      <c r="AA173" s="422"/>
    </row>
    <row r="174" spans="1:27" ht="18.95" customHeight="1">
      <c r="A174" s="441"/>
      <c r="B174" s="1383" t="s">
        <v>3655</v>
      </c>
      <c r="C174" s="1384"/>
      <c r="D174" s="1385"/>
      <c r="E174" s="143"/>
      <c r="F174" s="130"/>
      <c r="G174" s="143"/>
      <c r="H174" s="143"/>
      <c r="I174" s="143"/>
      <c r="J174" s="392"/>
      <c r="K174" s="107"/>
      <c r="L174" s="392">
        <f>SUM(L66:L172)</f>
        <v>32741467.068837643</v>
      </c>
      <c r="M174" s="55"/>
      <c r="P174" s="423"/>
      <c r="Q174" s="433"/>
      <c r="R174" s="422"/>
      <c r="S174" s="422"/>
      <c r="T174" s="422"/>
      <c r="U174" s="422"/>
      <c r="V174" s="422"/>
      <c r="W174" s="433"/>
      <c r="X174" s="422"/>
      <c r="Y174" s="422"/>
      <c r="Z174" s="422"/>
      <c r="AA174" s="422"/>
    </row>
  </sheetData>
  <mergeCells count="32">
    <mergeCell ref="AA6:AA8"/>
    <mergeCell ref="U6:U8"/>
    <mergeCell ref="W7:W8"/>
    <mergeCell ref="X7:X8"/>
    <mergeCell ref="Y6:Y8"/>
    <mergeCell ref="Z6:Z8"/>
    <mergeCell ref="Q7:Q8"/>
    <mergeCell ref="R7:R8"/>
    <mergeCell ref="S6:S8"/>
    <mergeCell ref="T6:T8"/>
    <mergeCell ref="Q5:U5"/>
    <mergeCell ref="B15:D15"/>
    <mergeCell ref="B45:D45"/>
    <mergeCell ref="B53:D53"/>
    <mergeCell ref="B61:D61"/>
    <mergeCell ref="B174:D174"/>
    <mergeCell ref="W5:AA5"/>
    <mergeCell ref="Q6:R6"/>
    <mergeCell ref="W6:X6"/>
    <mergeCell ref="A1:C1"/>
    <mergeCell ref="D1:I1"/>
    <mergeCell ref="K1:L1"/>
    <mergeCell ref="A2:C2"/>
    <mergeCell ref="A3:C3"/>
    <mergeCell ref="A5:A6"/>
    <mergeCell ref="E5:E6"/>
    <mergeCell ref="F5:F6"/>
    <mergeCell ref="M5:M6"/>
    <mergeCell ref="P5:P8"/>
    <mergeCell ref="B5:D6"/>
    <mergeCell ref="G5:I5"/>
    <mergeCell ref="J5:K5"/>
  </mergeCells>
  <printOptions horizontalCentered="1"/>
  <pageMargins left="0.39370078740157499" right="0.39370078740157499" top="1.1811023622047201" bottom="0" header="0.78740157480314998" footer="0"/>
  <pageSetup paperSize="9" scale="81" fitToHeight="1000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New,Regular"&amp;14แบบปร.4(ข) แผ่นที่ &amp;P/44</oddHeader>
  </headerFooter>
  <rowBreaks count="3" manualBreakCount="3">
    <brk id="30" max="11" man="1"/>
    <brk id="62" max="11" man="1"/>
    <brk id="124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O354"/>
  <sheetViews>
    <sheetView view="pageBreakPreview" topLeftCell="A25" zoomScaleNormal="70" workbookViewId="0">
      <selection activeCell="D27" sqref="D27"/>
    </sheetView>
  </sheetViews>
  <sheetFormatPr defaultColWidth="8.1796875" defaultRowHeight="18.95" customHeight="1"/>
  <cols>
    <col min="1" max="1" width="6.7265625" style="375" customWidth="1"/>
    <col min="2" max="2" width="11.453125" style="204" customWidth="1"/>
    <col min="3" max="3" width="29.453125" style="205" customWidth="1"/>
    <col min="4" max="4" width="27.1796875" style="203" customWidth="1"/>
    <col min="5" max="5" width="11.453125" style="157" customWidth="1"/>
    <col min="6" max="6" width="9.54296875" style="154" customWidth="1"/>
    <col min="7" max="7" width="15.7265625" style="157" hidden="1" customWidth="1"/>
    <col min="8" max="8" width="14.81640625" style="157" customWidth="1"/>
    <col min="9" max="11" width="15.7265625" style="157" customWidth="1"/>
    <col min="12" max="12" width="15.7265625" style="327" customWidth="1"/>
    <col min="13" max="13" width="18" style="157" customWidth="1"/>
    <col min="14" max="14" width="16.453125" style="203" customWidth="1"/>
    <col min="15" max="15" width="14.81640625" style="203" customWidth="1"/>
    <col min="16" max="16384" width="8.1796875" style="203"/>
  </cols>
  <sheetData>
    <row r="1" spans="1:15" s="1" customFormat="1" ht="18.95" customHeight="1">
      <c r="A1" s="1229" t="s">
        <v>181</v>
      </c>
      <c r="B1" s="1229"/>
      <c r="C1" s="1229"/>
      <c r="D1" s="1367" t="str">
        <f>+'แบบ ปร.5(ข)'!C4</f>
        <v>โครงการจัดตั้งศูนย์การเรียนรู้แห่งชาติ OKMD : OKMD National Knowledge Center (Ratchadamnoen Center 1 และ 2)</v>
      </c>
      <c r="E1" s="1367"/>
      <c r="F1" s="1367"/>
      <c r="G1" s="1367"/>
      <c r="H1" s="1367"/>
      <c r="I1" s="1367"/>
      <c r="J1" s="95" t="s">
        <v>182</v>
      </c>
      <c r="K1" s="1230" t="s">
        <v>3656</v>
      </c>
      <c r="L1" s="1230"/>
      <c r="M1" s="304"/>
    </row>
    <row r="2" spans="1:15" s="1" customFormat="1" ht="18.95" customHeight="1">
      <c r="A2" s="1231" t="s">
        <v>125</v>
      </c>
      <c r="B2" s="1231"/>
      <c r="C2" s="1231"/>
      <c r="D2" s="7" t="str">
        <f>+'แบบ ปร.5(ข)'!C5</f>
        <v>แขวงตลาดยอด เขตพระนคร กรุงเทพมหานคร</v>
      </c>
      <c r="E2" s="8"/>
      <c r="F2" s="8"/>
      <c r="G2" s="8"/>
      <c r="H2" s="8"/>
      <c r="I2" s="8"/>
      <c r="J2" s="96" t="s">
        <v>184</v>
      </c>
      <c r="K2" s="97" t="str">
        <f>+'แบบ ปร.5(ข)'!C10</f>
        <v xml:space="preserve">  16 กรกฎาคม 2568</v>
      </c>
      <c r="L2" s="98"/>
      <c r="M2" s="8"/>
    </row>
    <row r="3" spans="1:15" s="1" customFormat="1" ht="18.95" customHeight="1">
      <c r="A3" s="1231" t="s">
        <v>185</v>
      </c>
      <c r="B3" s="1231"/>
      <c r="C3" s="1231"/>
      <c r="D3" s="9" t="str">
        <f>+'แบบ ปร.5(ข)'!C9</f>
        <v>คณะกรรมการกำหนดราคากลาง</v>
      </c>
      <c r="E3" s="8"/>
      <c r="F3" s="8"/>
      <c r="G3" s="8"/>
      <c r="H3" s="8"/>
      <c r="I3" s="96"/>
      <c r="J3" s="96"/>
      <c r="K3" s="97"/>
      <c r="L3" s="127"/>
      <c r="M3" s="8"/>
    </row>
    <row r="4" spans="1:15" s="1" customFormat="1" ht="18.95" customHeight="1">
      <c r="A4" s="376"/>
      <c r="B4" s="206"/>
      <c r="C4" s="2"/>
      <c r="E4" s="3"/>
      <c r="F4" s="169"/>
      <c r="G4" s="3"/>
      <c r="H4" s="3"/>
      <c r="I4" s="3"/>
      <c r="J4" s="3"/>
      <c r="K4" s="3"/>
      <c r="L4" s="4"/>
      <c r="M4" s="3"/>
    </row>
    <row r="5" spans="1:15" ht="18.95" customHeight="1">
      <c r="A5" s="1389" t="s">
        <v>186</v>
      </c>
      <c r="B5" s="1235" t="s">
        <v>138</v>
      </c>
      <c r="C5" s="1287"/>
      <c r="D5" s="1288"/>
      <c r="E5" s="1237" t="s">
        <v>187</v>
      </c>
      <c r="F5" s="1237" t="s">
        <v>188</v>
      </c>
      <c r="G5" s="1369" t="s">
        <v>189</v>
      </c>
      <c r="H5" s="1369"/>
      <c r="I5" s="1369"/>
      <c r="J5" s="1369" t="s">
        <v>190</v>
      </c>
      <c r="K5" s="1369"/>
      <c r="L5" s="99" t="s">
        <v>191</v>
      </c>
      <c r="M5" s="1237" t="s">
        <v>140</v>
      </c>
    </row>
    <row r="6" spans="1:15" ht="18.95" customHeight="1">
      <c r="A6" s="1390"/>
      <c r="B6" s="1236"/>
      <c r="C6" s="1289"/>
      <c r="D6" s="1290"/>
      <c r="E6" s="1238"/>
      <c r="F6" s="1238"/>
      <c r="G6" s="12" t="s">
        <v>192</v>
      </c>
      <c r="H6" s="12" t="s">
        <v>192</v>
      </c>
      <c r="I6" s="12" t="s">
        <v>193</v>
      </c>
      <c r="J6" s="12" t="s">
        <v>192</v>
      </c>
      <c r="K6" s="12" t="s">
        <v>193</v>
      </c>
      <c r="L6" s="13" t="s">
        <v>194</v>
      </c>
      <c r="M6" s="1238"/>
    </row>
    <row r="7" spans="1:15" ht="18.95" customHeight="1">
      <c r="A7" s="14"/>
      <c r="B7" s="216" t="s">
        <v>3657</v>
      </c>
      <c r="C7" s="15"/>
      <c r="D7" s="17"/>
      <c r="E7" s="18"/>
      <c r="F7" s="19"/>
      <c r="G7" s="18"/>
      <c r="H7" s="18"/>
      <c r="I7" s="18"/>
      <c r="J7" s="20"/>
      <c r="K7" s="218"/>
      <c r="L7" s="19"/>
      <c r="M7" s="19"/>
    </row>
    <row r="8" spans="1:15" ht="18.95" customHeight="1">
      <c r="A8" s="207"/>
      <c r="B8" s="22" t="s">
        <v>162</v>
      </c>
      <c r="C8" s="208"/>
      <c r="D8" s="24"/>
      <c r="E8" s="25"/>
      <c r="F8" s="26"/>
      <c r="G8" s="25"/>
      <c r="H8" s="25"/>
      <c r="I8" s="25"/>
      <c r="J8" s="30"/>
      <c r="K8" s="30"/>
      <c r="L8" s="72"/>
      <c r="M8" s="26"/>
    </row>
    <row r="9" spans="1:15" ht="18.95" customHeight="1">
      <c r="A9" s="207"/>
      <c r="B9" s="22"/>
      <c r="C9" s="208"/>
      <c r="D9" s="24"/>
      <c r="E9" s="25"/>
      <c r="F9" s="26"/>
      <c r="G9" s="25"/>
      <c r="H9" s="25"/>
      <c r="I9" s="25"/>
      <c r="J9" s="30"/>
      <c r="K9" s="30"/>
      <c r="L9" s="72"/>
      <c r="M9" s="26"/>
    </row>
    <row r="10" spans="1:15" ht="18.95" customHeight="1">
      <c r="A10" s="28">
        <v>1</v>
      </c>
      <c r="B10" s="27" t="str">
        <f>B31</f>
        <v>งานครุภัณฑ์เฟอร์นิเจอร์</v>
      </c>
      <c r="C10" s="29"/>
      <c r="D10" s="301"/>
      <c r="E10" s="25">
        <f>E195</f>
        <v>1573</v>
      </c>
      <c r="F10" s="30" t="str">
        <f>F195</f>
        <v>ชุด</v>
      </c>
      <c r="G10" s="25"/>
      <c r="H10" s="25"/>
      <c r="I10" s="25">
        <f>I195</f>
        <v>24480132.478453141</v>
      </c>
      <c r="J10" s="25"/>
      <c r="K10" s="25"/>
      <c r="L10" s="25">
        <f>L195</f>
        <v>24480132.478453141</v>
      </c>
      <c r="M10" s="26"/>
      <c r="N10" s="154">
        <f>O10*0.934908047</f>
        <v>24480132.478453144</v>
      </c>
      <c r="O10" s="157">
        <v>26184535</v>
      </c>
    </row>
    <row r="11" spans="1:15" ht="18.95" customHeight="1">
      <c r="A11" s="28">
        <v>2</v>
      </c>
      <c r="B11" s="27" t="str">
        <f>B199</f>
        <v>งานครุภัณฑ์โคมไฟ</v>
      </c>
      <c r="C11" s="29"/>
      <c r="D11" s="301"/>
      <c r="E11" s="25">
        <f>E205</f>
        <v>35</v>
      </c>
      <c r="F11" s="30" t="str">
        <f>F205</f>
        <v>ชุด</v>
      </c>
      <c r="G11" s="25"/>
      <c r="H11" s="25"/>
      <c r="I11" s="25">
        <f>I205</f>
        <v>216010.50425935001</v>
      </c>
      <c r="J11" s="25"/>
      <c r="K11" s="25"/>
      <c r="L11" s="25">
        <f>L205</f>
        <v>216010.50425935001</v>
      </c>
      <c r="M11" s="26"/>
      <c r="N11" s="154">
        <f t="shared" ref="N11:N12" si="0">O11*0.934908047</f>
        <v>216010.50425934998</v>
      </c>
      <c r="O11" s="157">
        <v>231050</v>
      </c>
    </row>
    <row r="12" spans="1:15" ht="18.95" customHeight="1">
      <c r="A12" s="28">
        <v>3</v>
      </c>
      <c r="B12" s="27" t="str">
        <f>B207</f>
        <v>งานครุภัณฑ์พรม</v>
      </c>
      <c r="C12" s="29"/>
      <c r="D12" s="301"/>
      <c r="E12" s="25">
        <f>E209</f>
        <v>2</v>
      </c>
      <c r="F12" s="30" t="str">
        <f>F209</f>
        <v>ผืน</v>
      </c>
      <c r="G12" s="25"/>
      <c r="H12" s="25"/>
      <c r="I12" s="25">
        <f>I209</f>
        <v>203809.95424599998</v>
      </c>
      <c r="J12" s="25"/>
      <c r="K12" s="25"/>
      <c r="L12" s="25">
        <f>L209</f>
        <v>203809.95424599998</v>
      </c>
      <c r="M12" s="26"/>
      <c r="N12" s="154">
        <f t="shared" si="0"/>
        <v>203809.95424599998</v>
      </c>
      <c r="O12" s="157">
        <v>218000</v>
      </c>
    </row>
    <row r="13" spans="1:15" ht="18.95" customHeight="1">
      <c r="A13" s="28"/>
      <c r="B13" s="27"/>
      <c r="C13" s="29"/>
      <c r="D13" s="301"/>
      <c r="E13" s="25"/>
      <c r="F13" s="26"/>
      <c r="G13" s="30"/>
      <c r="H13" s="30"/>
      <c r="I13" s="30"/>
      <c r="J13" s="30"/>
      <c r="K13" s="72"/>
      <c r="L13" s="30"/>
      <c r="M13" s="26"/>
      <c r="N13" s="154" t="s">
        <v>151</v>
      </c>
      <c r="O13" s="157"/>
    </row>
    <row r="14" spans="1:15" s="1" customFormat="1" ht="18.95" customHeight="1">
      <c r="A14" s="339"/>
      <c r="B14" s="1272" t="s">
        <v>3658</v>
      </c>
      <c r="C14" s="1273"/>
      <c r="D14" s="1274"/>
      <c r="E14" s="34">
        <f>SUM(E10:E12)</f>
        <v>1610</v>
      </c>
      <c r="F14" s="102" t="str">
        <f>F202</f>
        <v>ชุด</v>
      </c>
      <c r="G14" s="34"/>
      <c r="H14" s="34"/>
      <c r="I14" s="34">
        <f>SUM(I10:I12)</f>
        <v>24899952.936958492</v>
      </c>
      <c r="J14" s="34"/>
      <c r="K14" s="34"/>
      <c r="L14" s="34">
        <f>SUM(L10:L12)</f>
        <v>24899952.936958492</v>
      </c>
      <c r="M14" s="35"/>
      <c r="N14" s="154">
        <f>SUM(N10:N13)</f>
        <v>24899952.936958496</v>
      </c>
      <c r="O14" s="3">
        <f>SUM(O10:O13)</f>
        <v>26633585</v>
      </c>
    </row>
    <row r="15" spans="1:15" s="1" customFormat="1" ht="18.95" customHeight="1">
      <c r="A15" s="339"/>
      <c r="B15" s="31"/>
      <c r="C15" s="32"/>
      <c r="D15" s="33"/>
      <c r="E15" s="34"/>
      <c r="F15" s="102"/>
      <c r="G15" s="34"/>
      <c r="H15" s="34"/>
      <c r="I15" s="34"/>
      <c r="J15" s="34"/>
      <c r="K15" s="34"/>
      <c r="L15" s="34"/>
      <c r="M15" s="35"/>
      <c r="N15" s="311"/>
    </row>
    <row r="16" spans="1:15" s="1" customFormat="1" ht="18.95" customHeight="1">
      <c r="A16" s="339"/>
      <c r="B16" s="31"/>
      <c r="C16" s="32"/>
      <c r="D16" s="33"/>
      <c r="E16" s="34"/>
      <c r="F16" s="102"/>
      <c r="G16" s="34"/>
      <c r="H16" s="34"/>
      <c r="I16" s="34"/>
      <c r="J16" s="34"/>
      <c r="K16" s="34"/>
      <c r="L16" s="34"/>
      <c r="M16" s="35"/>
      <c r="N16" s="311"/>
    </row>
    <row r="17" spans="1:14" s="1" customFormat="1" ht="18.95" customHeight="1">
      <c r="A17" s="339"/>
      <c r="B17" s="31"/>
      <c r="C17" s="32"/>
      <c r="D17" s="33"/>
      <c r="E17" s="34"/>
      <c r="F17" s="102"/>
      <c r="G17" s="34"/>
      <c r="H17" s="34"/>
      <c r="I17" s="34"/>
      <c r="J17" s="34"/>
      <c r="K17" s="34"/>
      <c r="L17" s="34"/>
      <c r="M17" s="35"/>
      <c r="N17" s="311"/>
    </row>
    <row r="18" spans="1:14" s="1" customFormat="1" ht="18.95" customHeight="1">
      <c r="A18" s="339"/>
      <c r="B18" s="31"/>
      <c r="C18" s="32"/>
      <c r="D18" s="33"/>
      <c r="E18" s="34"/>
      <c r="F18" s="102"/>
      <c r="G18" s="34"/>
      <c r="H18" s="34"/>
      <c r="I18" s="34"/>
      <c r="J18" s="34"/>
      <c r="K18" s="34"/>
      <c r="L18" s="34"/>
      <c r="M18" s="35"/>
      <c r="N18" s="311"/>
    </row>
    <row r="19" spans="1:14" s="1" customFormat="1" ht="18.95" customHeight="1">
      <c r="A19" s="339"/>
      <c r="B19" s="31"/>
      <c r="C19" s="32"/>
      <c r="D19" s="33"/>
      <c r="E19" s="34"/>
      <c r="F19" s="102"/>
      <c r="G19" s="34"/>
      <c r="H19" s="34"/>
      <c r="I19" s="34"/>
      <c r="J19" s="34"/>
      <c r="K19" s="34"/>
      <c r="L19" s="34"/>
      <c r="M19" s="35"/>
      <c r="N19" s="311"/>
    </row>
    <row r="20" spans="1:14" s="1" customFormat="1" ht="18.95" customHeight="1">
      <c r="A20" s="339"/>
      <c r="B20" s="31"/>
      <c r="C20" s="32"/>
      <c r="D20" s="33"/>
      <c r="E20" s="34"/>
      <c r="F20" s="102"/>
      <c r="G20" s="34"/>
      <c r="H20" s="34"/>
      <c r="I20" s="34"/>
      <c r="J20" s="34"/>
      <c r="K20" s="34"/>
      <c r="L20" s="34"/>
      <c r="M20" s="35"/>
      <c r="N20" s="311"/>
    </row>
    <row r="21" spans="1:14" ht="18.95" customHeight="1">
      <c r="A21" s="28"/>
      <c r="B21" s="229"/>
      <c r="C21" s="208"/>
      <c r="D21" s="24"/>
      <c r="E21" s="25"/>
      <c r="F21" s="26"/>
      <c r="G21" s="25"/>
      <c r="H21" s="25"/>
      <c r="I21" s="25"/>
      <c r="J21" s="25"/>
      <c r="K21" s="30"/>
      <c r="L21" s="25"/>
      <c r="M21" s="26"/>
    </row>
    <row r="22" spans="1:14" ht="18.95" customHeight="1">
      <c r="A22" s="377"/>
      <c r="B22" s="227"/>
      <c r="C22" s="226"/>
      <c r="D22" s="49"/>
      <c r="E22" s="25"/>
      <c r="F22" s="26"/>
      <c r="G22" s="25"/>
      <c r="H22" s="25"/>
      <c r="I22" s="25"/>
      <c r="J22" s="25"/>
      <c r="K22" s="30"/>
      <c r="L22" s="25"/>
      <c r="M22" s="26"/>
    </row>
    <row r="23" spans="1:14" ht="18.95" customHeight="1">
      <c r="A23" s="377"/>
      <c r="B23" s="227"/>
      <c r="C23" s="226"/>
      <c r="D23" s="49"/>
      <c r="E23" s="25"/>
      <c r="F23" s="26"/>
      <c r="G23" s="25"/>
      <c r="H23" s="25"/>
      <c r="I23" s="25"/>
      <c r="J23" s="25"/>
      <c r="K23" s="30"/>
      <c r="L23" s="25"/>
      <c r="M23" s="26"/>
    </row>
    <row r="24" spans="1:14" ht="18.95" customHeight="1">
      <c r="A24" s="377"/>
      <c r="B24" s="227"/>
      <c r="C24" s="226"/>
      <c r="D24" s="49"/>
      <c r="E24" s="25"/>
      <c r="F24" s="26"/>
      <c r="G24" s="25"/>
      <c r="H24" s="25"/>
      <c r="I24" s="25"/>
      <c r="J24" s="25"/>
      <c r="K24" s="30"/>
      <c r="L24" s="25"/>
      <c r="M24" s="26"/>
    </row>
    <row r="25" spans="1:14" ht="18.95" customHeight="1">
      <c r="A25" s="377"/>
      <c r="B25" s="227"/>
      <c r="C25" s="226"/>
      <c r="D25" s="49"/>
      <c r="E25" s="25"/>
      <c r="F25" s="26"/>
      <c r="G25" s="25"/>
      <c r="H25" s="25"/>
      <c r="I25" s="25"/>
      <c r="J25" s="25"/>
      <c r="K25" s="30"/>
      <c r="L25" s="25"/>
      <c r="M25" s="26"/>
    </row>
    <row r="26" spans="1:14" ht="18.95" customHeight="1">
      <c r="A26" s="377"/>
      <c r="B26" s="227"/>
      <c r="C26" s="226"/>
      <c r="D26" s="49"/>
      <c r="E26" s="25"/>
      <c r="F26" s="26"/>
      <c r="G26" s="25"/>
      <c r="H26" s="25"/>
      <c r="I26" s="25"/>
      <c r="J26" s="25"/>
      <c r="K26" s="30"/>
      <c r="L26" s="25"/>
      <c r="M26" s="26"/>
    </row>
    <row r="27" spans="1:14" ht="18.95" customHeight="1">
      <c r="A27" s="377"/>
      <c r="B27" s="227"/>
      <c r="C27" s="226"/>
      <c r="D27" s="49"/>
      <c r="E27" s="25"/>
      <c r="F27" s="26"/>
      <c r="G27" s="25"/>
      <c r="H27" s="25"/>
      <c r="I27" s="25"/>
      <c r="J27" s="25"/>
      <c r="K27" s="30"/>
      <c r="L27" s="25"/>
      <c r="M27" s="26"/>
    </row>
    <row r="28" spans="1:14" ht="18.95" customHeight="1">
      <c r="A28" s="377"/>
      <c r="B28" s="227"/>
      <c r="C28" s="226"/>
      <c r="D28" s="49"/>
      <c r="E28" s="25"/>
      <c r="F28" s="26"/>
      <c r="G28" s="25"/>
      <c r="H28" s="25"/>
      <c r="I28" s="25"/>
      <c r="J28" s="25"/>
      <c r="K28" s="30"/>
      <c r="L28" s="25"/>
      <c r="M28" s="26"/>
    </row>
    <row r="29" spans="1:14" ht="18.95" customHeight="1">
      <c r="A29" s="377"/>
      <c r="B29" s="1275"/>
      <c r="C29" s="1276"/>
      <c r="D29" s="1277"/>
      <c r="E29" s="25"/>
      <c r="F29" s="26"/>
      <c r="G29" s="25"/>
      <c r="H29" s="25"/>
      <c r="I29" s="25"/>
      <c r="J29" s="25"/>
      <c r="K29" s="30"/>
      <c r="L29" s="25"/>
      <c r="M29" s="26"/>
    </row>
    <row r="30" spans="1:14" ht="18.95" customHeight="1">
      <c r="A30" s="378"/>
      <c r="B30" s="270"/>
      <c r="C30" s="271"/>
      <c r="D30" s="236"/>
      <c r="E30" s="54"/>
      <c r="F30" s="55"/>
      <c r="G30" s="54"/>
      <c r="H30" s="54"/>
      <c r="I30" s="54"/>
      <c r="J30" s="54"/>
      <c r="K30" s="146"/>
      <c r="L30" s="54"/>
      <c r="M30" s="55"/>
    </row>
    <row r="31" spans="1:14" s="1" customFormat="1" ht="18.95" customHeight="1">
      <c r="A31" s="215">
        <v>1</v>
      </c>
      <c r="B31" s="216" t="s">
        <v>3659</v>
      </c>
      <c r="C31" s="15"/>
      <c r="D31" s="354"/>
      <c r="E31" s="218"/>
      <c r="F31" s="219"/>
      <c r="G31" s="218"/>
      <c r="H31" s="218"/>
      <c r="I31" s="218"/>
      <c r="J31" s="246"/>
      <c r="K31" s="218"/>
      <c r="L31" s="246"/>
      <c r="M31" s="219"/>
    </row>
    <row r="32" spans="1:14" ht="18.95" customHeight="1">
      <c r="A32" s="28">
        <v>1</v>
      </c>
      <c r="B32" s="27" t="s">
        <v>3660</v>
      </c>
      <c r="C32" s="29" t="s">
        <v>3661</v>
      </c>
      <c r="D32" s="267"/>
      <c r="E32" s="25">
        <v>4</v>
      </c>
      <c r="F32" s="26" t="s">
        <v>349</v>
      </c>
      <c r="G32" s="25">
        <v>8521</v>
      </c>
      <c r="H32" s="25">
        <f>G32*N32</f>
        <v>7966.3514684869997</v>
      </c>
      <c r="I32" s="25">
        <f>H32*E32</f>
        <v>31865.405873947999</v>
      </c>
      <c r="J32" s="30">
        <v>0</v>
      </c>
      <c r="K32" s="30">
        <f t="shared" ref="K32:K57" si="1">J32*E32</f>
        <v>0</v>
      </c>
      <c r="L32" s="25">
        <f t="shared" ref="L32:L57" si="2">I32+K32</f>
        <v>31865.405873947999</v>
      </c>
      <c r="M32" s="26"/>
      <c r="N32" s="203">
        <v>0.93490804699999996</v>
      </c>
    </row>
    <row r="33" spans="1:14" ht="18.95" customHeight="1">
      <c r="A33" s="28">
        <f t="shared" ref="A33:A57" si="3">A32+1</f>
        <v>2</v>
      </c>
      <c r="B33" s="27" t="s">
        <v>3662</v>
      </c>
      <c r="C33" s="29" t="s">
        <v>3663</v>
      </c>
      <c r="D33" s="267"/>
      <c r="E33" s="25">
        <v>2</v>
      </c>
      <c r="F33" s="26" t="s">
        <v>349</v>
      </c>
      <c r="G33" s="25">
        <v>12806</v>
      </c>
      <c r="H33" s="25">
        <f t="shared" ref="H33:H96" si="4">G33*N33</f>
        <v>11972.432449881999</v>
      </c>
      <c r="I33" s="25">
        <f t="shared" ref="I33:I57" si="5">H33*E33</f>
        <v>23944.864899763998</v>
      </c>
      <c r="J33" s="30">
        <v>0</v>
      </c>
      <c r="K33" s="30">
        <f t="shared" si="1"/>
        <v>0</v>
      </c>
      <c r="L33" s="25">
        <f t="shared" si="2"/>
        <v>23944.864899763998</v>
      </c>
      <c r="M33" s="26"/>
      <c r="N33" s="203">
        <v>0.93490804699999996</v>
      </c>
    </row>
    <row r="34" spans="1:14" ht="18.95" customHeight="1">
      <c r="A34" s="28">
        <f t="shared" si="3"/>
        <v>3</v>
      </c>
      <c r="B34" s="27" t="s">
        <v>3664</v>
      </c>
      <c r="C34" s="29" t="s">
        <v>3665</v>
      </c>
      <c r="D34" s="267"/>
      <c r="E34" s="25">
        <v>20</v>
      </c>
      <c r="F34" s="26" t="s">
        <v>349</v>
      </c>
      <c r="G34" s="25">
        <f>2200*0.6</f>
        <v>1320</v>
      </c>
      <c r="H34" s="25">
        <f t="shared" si="4"/>
        <v>1234.07862204</v>
      </c>
      <c r="I34" s="25">
        <f t="shared" si="5"/>
        <v>24681.572440800002</v>
      </c>
      <c r="J34" s="30">
        <v>0</v>
      </c>
      <c r="K34" s="30">
        <f t="shared" si="1"/>
        <v>0</v>
      </c>
      <c r="L34" s="25">
        <f t="shared" si="2"/>
        <v>24681.572440800002</v>
      </c>
      <c r="M34" s="26"/>
      <c r="N34" s="203">
        <v>0.93490804699999996</v>
      </c>
    </row>
    <row r="35" spans="1:14" ht="18.95" customHeight="1">
      <c r="A35" s="28">
        <f t="shared" si="3"/>
        <v>4</v>
      </c>
      <c r="B35" s="27" t="s">
        <v>3666</v>
      </c>
      <c r="C35" s="29" t="s">
        <v>3661</v>
      </c>
      <c r="D35" s="267"/>
      <c r="E35" s="25">
        <v>3</v>
      </c>
      <c r="F35" s="26" t="s">
        <v>349</v>
      </c>
      <c r="G35" s="25">
        <v>8521</v>
      </c>
      <c r="H35" s="25">
        <f t="shared" si="4"/>
        <v>7966.3514684869997</v>
      </c>
      <c r="I35" s="25">
        <f t="shared" si="5"/>
        <v>23899.054405461</v>
      </c>
      <c r="J35" s="30">
        <v>0</v>
      </c>
      <c r="K35" s="30">
        <f t="shared" si="1"/>
        <v>0</v>
      </c>
      <c r="L35" s="25">
        <f t="shared" si="2"/>
        <v>23899.054405461</v>
      </c>
      <c r="M35" s="26"/>
      <c r="N35" s="203">
        <v>0.93490804699999996</v>
      </c>
    </row>
    <row r="36" spans="1:14" ht="18.95" customHeight="1">
      <c r="A36" s="28">
        <f t="shared" si="3"/>
        <v>5</v>
      </c>
      <c r="B36" s="27" t="s">
        <v>3667</v>
      </c>
      <c r="C36" s="29" t="s">
        <v>3668</v>
      </c>
      <c r="D36" s="267"/>
      <c r="E36" s="25">
        <v>40</v>
      </c>
      <c r="F36" s="26" t="s">
        <v>349</v>
      </c>
      <c r="G36" s="25">
        <v>2489</v>
      </c>
      <c r="H36" s="25">
        <f t="shared" si="4"/>
        <v>2326.9861289830001</v>
      </c>
      <c r="I36" s="25">
        <f t="shared" si="5"/>
        <v>93079.445159320006</v>
      </c>
      <c r="J36" s="30">
        <v>0</v>
      </c>
      <c r="K36" s="30">
        <f t="shared" si="1"/>
        <v>0</v>
      </c>
      <c r="L36" s="25">
        <f t="shared" si="2"/>
        <v>93079.445159320006</v>
      </c>
      <c r="M36" s="26"/>
      <c r="N36" s="203">
        <v>0.93490804699999996</v>
      </c>
    </row>
    <row r="37" spans="1:14" ht="18.95" customHeight="1">
      <c r="A37" s="28">
        <f t="shared" si="3"/>
        <v>6</v>
      </c>
      <c r="B37" s="27" t="s">
        <v>3669</v>
      </c>
      <c r="C37" s="29" t="s">
        <v>3670</v>
      </c>
      <c r="D37" s="267"/>
      <c r="E37" s="25">
        <v>2</v>
      </c>
      <c r="F37" s="26" t="s">
        <v>349</v>
      </c>
      <c r="G37" s="25">
        <v>13623</v>
      </c>
      <c r="H37" s="25">
        <f t="shared" si="4"/>
        <v>12736.252324281</v>
      </c>
      <c r="I37" s="25">
        <f t="shared" si="5"/>
        <v>25472.504648562001</v>
      </c>
      <c r="J37" s="30">
        <v>0</v>
      </c>
      <c r="K37" s="30">
        <f t="shared" si="1"/>
        <v>0</v>
      </c>
      <c r="L37" s="25">
        <f t="shared" si="2"/>
        <v>25472.504648562001</v>
      </c>
      <c r="M37" s="26"/>
      <c r="N37" s="203">
        <v>0.93490804699999996</v>
      </c>
    </row>
    <row r="38" spans="1:14" ht="18.95" customHeight="1">
      <c r="A38" s="28">
        <f t="shared" si="3"/>
        <v>7</v>
      </c>
      <c r="B38" s="27" t="s">
        <v>3671</v>
      </c>
      <c r="C38" s="29" t="s">
        <v>3672</v>
      </c>
      <c r="D38" s="267"/>
      <c r="E38" s="25">
        <v>12</v>
      </c>
      <c r="F38" s="26" t="s">
        <v>349</v>
      </c>
      <c r="G38" s="25">
        <f>3900*0.6</f>
        <v>2340</v>
      </c>
      <c r="H38" s="25">
        <f t="shared" si="4"/>
        <v>2187.6848299799999</v>
      </c>
      <c r="I38" s="25">
        <f t="shared" si="5"/>
        <v>26252.217959759997</v>
      </c>
      <c r="J38" s="30">
        <v>0</v>
      </c>
      <c r="K38" s="30">
        <f t="shared" si="1"/>
        <v>0</v>
      </c>
      <c r="L38" s="25">
        <f t="shared" si="2"/>
        <v>26252.217959759997</v>
      </c>
      <c r="M38" s="26"/>
      <c r="N38" s="203">
        <v>0.93490804699999996</v>
      </c>
    </row>
    <row r="39" spans="1:14" ht="18.95" customHeight="1">
      <c r="A39" s="28">
        <f t="shared" si="3"/>
        <v>8</v>
      </c>
      <c r="B39" s="27" t="s">
        <v>3673</v>
      </c>
      <c r="C39" s="29" t="s">
        <v>3674</v>
      </c>
      <c r="D39" s="267"/>
      <c r="E39" s="25">
        <v>8</v>
      </c>
      <c r="F39" s="26" t="s">
        <v>349</v>
      </c>
      <c r="G39" s="25">
        <v>19171</v>
      </c>
      <c r="H39" s="25">
        <f t="shared" si="4"/>
        <v>17923.122169037</v>
      </c>
      <c r="I39" s="25">
        <f t="shared" si="5"/>
        <v>143384.977352296</v>
      </c>
      <c r="J39" s="30">
        <v>0</v>
      </c>
      <c r="K39" s="30">
        <f t="shared" si="1"/>
        <v>0</v>
      </c>
      <c r="L39" s="25">
        <f t="shared" si="2"/>
        <v>143384.977352296</v>
      </c>
      <c r="M39" s="26"/>
      <c r="N39" s="203">
        <v>0.93490804699999996</v>
      </c>
    </row>
    <row r="40" spans="1:14" ht="18.95" customHeight="1">
      <c r="A40" s="28">
        <f t="shared" si="3"/>
        <v>9</v>
      </c>
      <c r="B40" s="27" t="s">
        <v>3675</v>
      </c>
      <c r="C40" s="29" t="s">
        <v>3676</v>
      </c>
      <c r="D40" s="267"/>
      <c r="E40" s="25">
        <v>49</v>
      </c>
      <c r="F40" s="26" t="s">
        <v>349</v>
      </c>
      <c r="G40" s="25">
        <v>6973</v>
      </c>
      <c r="H40" s="25">
        <f t="shared" si="4"/>
        <v>6519.1138117310002</v>
      </c>
      <c r="I40" s="25">
        <f t="shared" si="5"/>
        <v>319436.576774819</v>
      </c>
      <c r="J40" s="30">
        <v>0</v>
      </c>
      <c r="K40" s="30">
        <f t="shared" si="1"/>
        <v>0</v>
      </c>
      <c r="L40" s="25">
        <f t="shared" si="2"/>
        <v>319436.576774819</v>
      </c>
      <c r="M40" s="26"/>
      <c r="N40" s="203">
        <v>0.93490804699999996</v>
      </c>
    </row>
    <row r="41" spans="1:14" ht="18.95" customHeight="1">
      <c r="A41" s="28">
        <f t="shared" si="3"/>
        <v>10</v>
      </c>
      <c r="B41" s="27" t="s">
        <v>3677</v>
      </c>
      <c r="C41" s="29" t="s">
        <v>3678</v>
      </c>
      <c r="D41" s="267"/>
      <c r="E41" s="25">
        <v>36</v>
      </c>
      <c r="F41" s="26" t="s">
        <v>349</v>
      </c>
      <c r="G41" s="25">
        <v>8700</v>
      </c>
      <c r="H41" s="25">
        <f t="shared" si="4"/>
        <v>8133.7000088999994</v>
      </c>
      <c r="I41" s="25">
        <f t="shared" si="5"/>
        <v>292813.20032039995</v>
      </c>
      <c r="J41" s="30">
        <v>0</v>
      </c>
      <c r="K41" s="30">
        <f t="shared" si="1"/>
        <v>0</v>
      </c>
      <c r="L41" s="25">
        <f t="shared" si="2"/>
        <v>292813.20032039995</v>
      </c>
      <c r="M41" s="26"/>
      <c r="N41" s="203">
        <v>0.93490804699999996</v>
      </c>
    </row>
    <row r="42" spans="1:14" ht="18.95" customHeight="1">
      <c r="A42" s="28">
        <f t="shared" si="3"/>
        <v>11</v>
      </c>
      <c r="B42" s="27" t="s">
        <v>3679</v>
      </c>
      <c r="C42" s="29" t="s">
        <v>3680</v>
      </c>
      <c r="D42" s="267"/>
      <c r="E42" s="25">
        <v>1</v>
      </c>
      <c r="F42" s="26" t="s">
        <v>349</v>
      </c>
      <c r="G42" s="25">
        <v>34000</v>
      </c>
      <c r="H42" s="25">
        <f t="shared" si="4"/>
        <v>31786.873597999998</v>
      </c>
      <c r="I42" s="25">
        <f t="shared" si="5"/>
        <v>31786.873597999998</v>
      </c>
      <c r="J42" s="30">
        <v>0</v>
      </c>
      <c r="K42" s="30">
        <f t="shared" si="1"/>
        <v>0</v>
      </c>
      <c r="L42" s="25">
        <f t="shared" si="2"/>
        <v>31786.873597999998</v>
      </c>
      <c r="M42" s="26"/>
      <c r="N42" s="203">
        <v>0.93490804699999996</v>
      </c>
    </row>
    <row r="43" spans="1:14" ht="18.95" customHeight="1">
      <c r="A43" s="28">
        <f t="shared" si="3"/>
        <v>12</v>
      </c>
      <c r="B43" s="27" t="s">
        <v>3681</v>
      </c>
      <c r="C43" s="29" t="s">
        <v>3682</v>
      </c>
      <c r="D43" s="267"/>
      <c r="E43" s="25">
        <v>10</v>
      </c>
      <c r="F43" s="26" t="s">
        <v>349</v>
      </c>
      <c r="G43" s="25">
        <v>14421</v>
      </c>
      <c r="H43" s="25">
        <f t="shared" si="4"/>
        <v>13482.308945786999</v>
      </c>
      <c r="I43" s="25">
        <f t="shared" si="5"/>
        <v>134823.08945787</v>
      </c>
      <c r="J43" s="30">
        <v>0</v>
      </c>
      <c r="K43" s="30">
        <f t="shared" si="1"/>
        <v>0</v>
      </c>
      <c r="L43" s="25">
        <f t="shared" si="2"/>
        <v>134823.08945787</v>
      </c>
      <c r="M43" s="26"/>
      <c r="N43" s="203">
        <v>0.93490804699999996</v>
      </c>
    </row>
    <row r="44" spans="1:14" ht="18.95" customHeight="1">
      <c r="A44" s="28">
        <f t="shared" si="3"/>
        <v>13</v>
      </c>
      <c r="B44" s="27" t="s">
        <v>3683</v>
      </c>
      <c r="C44" s="29" t="s">
        <v>3661</v>
      </c>
      <c r="D44" s="267"/>
      <c r="E44" s="25">
        <v>4</v>
      </c>
      <c r="F44" s="26" t="s">
        <v>349</v>
      </c>
      <c r="G44" s="25">
        <v>8521</v>
      </c>
      <c r="H44" s="25">
        <f t="shared" si="4"/>
        <v>7966.3514684869997</v>
      </c>
      <c r="I44" s="25">
        <f t="shared" si="5"/>
        <v>31865.405873947999</v>
      </c>
      <c r="J44" s="30">
        <v>0</v>
      </c>
      <c r="K44" s="30">
        <f t="shared" si="1"/>
        <v>0</v>
      </c>
      <c r="L44" s="25">
        <f t="shared" si="2"/>
        <v>31865.405873947999</v>
      </c>
      <c r="M44" s="26"/>
      <c r="N44" s="203">
        <v>0.93490804699999996</v>
      </c>
    </row>
    <row r="45" spans="1:14" ht="18.95" customHeight="1">
      <c r="A45" s="28">
        <f t="shared" si="3"/>
        <v>14</v>
      </c>
      <c r="B45" s="27" t="s">
        <v>3684</v>
      </c>
      <c r="C45" s="29" t="s">
        <v>3668</v>
      </c>
      <c r="D45" s="267"/>
      <c r="E45" s="25">
        <v>12</v>
      </c>
      <c r="F45" s="26" t="s">
        <v>349</v>
      </c>
      <c r="G45" s="25">
        <v>3800</v>
      </c>
      <c r="H45" s="25">
        <f t="shared" si="4"/>
        <v>3552.6505785999998</v>
      </c>
      <c r="I45" s="25">
        <f t="shared" si="5"/>
        <v>42631.806943199997</v>
      </c>
      <c r="J45" s="30">
        <v>0</v>
      </c>
      <c r="K45" s="30">
        <f t="shared" si="1"/>
        <v>0</v>
      </c>
      <c r="L45" s="25">
        <f t="shared" si="2"/>
        <v>42631.806943199997</v>
      </c>
      <c r="M45" s="26"/>
      <c r="N45" s="203">
        <v>0.93490804699999996</v>
      </c>
    </row>
    <row r="46" spans="1:14" ht="18.95" customHeight="1">
      <c r="A46" s="28">
        <f t="shared" si="3"/>
        <v>15</v>
      </c>
      <c r="B46" s="27" t="s">
        <v>3685</v>
      </c>
      <c r="C46" s="29" t="s">
        <v>3686</v>
      </c>
      <c r="D46" s="267" t="s">
        <v>3687</v>
      </c>
      <c r="E46" s="25">
        <v>4</v>
      </c>
      <c r="F46" s="26" t="s">
        <v>349</v>
      </c>
      <c r="G46" s="25">
        <f>49900+20900+18*(2290+300)</f>
        <v>117420</v>
      </c>
      <c r="H46" s="25">
        <f t="shared" si="4"/>
        <v>109776.90287874</v>
      </c>
      <c r="I46" s="25">
        <f t="shared" si="5"/>
        <v>439107.61151496001</v>
      </c>
      <c r="J46" s="30">
        <v>0</v>
      </c>
      <c r="K46" s="30">
        <f t="shared" si="1"/>
        <v>0</v>
      </c>
      <c r="L46" s="25">
        <f t="shared" si="2"/>
        <v>439107.61151496001</v>
      </c>
      <c r="M46" s="26"/>
      <c r="N46" s="203">
        <v>0.93490804699999996</v>
      </c>
    </row>
    <row r="47" spans="1:14" ht="18.95" customHeight="1">
      <c r="A47" s="28">
        <f t="shared" si="3"/>
        <v>16</v>
      </c>
      <c r="B47" s="27" t="s">
        <v>3688</v>
      </c>
      <c r="C47" s="29" t="s">
        <v>3686</v>
      </c>
      <c r="D47" s="267" t="s">
        <v>3689</v>
      </c>
      <c r="E47" s="25">
        <v>1</v>
      </c>
      <c r="F47" s="26" t="s">
        <v>349</v>
      </c>
      <c r="G47" s="25">
        <f>75900+54960+7200+25900</f>
        <v>163960</v>
      </c>
      <c r="H47" s="25">
        <f t="shared" si="4"/>
        <v>153287.52338611998</v>
      </c>
      <c r="I47" s="25">
        <f t="shared" si="5"/>
        <v>153287.52338611998</v>
      </c>
      <c r="J47" s="30">
        <v>0</v>
      </c>
      <c r="K47" s="30">
        <f t="shared" si="1"/>
        <v>0</v>
      </c>
      <c r="L47" s="25">
        <f t="shared" si="2"/>
        <v>153287.52338611998</v>
      </c>
      <c r="M47" s="26"/>
      <c r="N47" s="203">
        <v>0.93490804699999996</v>
      </c>
    </row>
    <row r="48" spans="1:14" ht="18.95" customHeight="1">
      <c r="A48" s="28">
        <f t="shared" si="3"/>
        <v>17</v>
      </c>
      <c r="B48" s="27" t="s">
        <v>3690</v>
      </c>
      <c r="C48" s="29" t="s">
        <v>3691</v>
      </c>
      <c r="D48" s="267" t="s">
        <v>3692</v>
      </c>
      <c r="E48" s="25">
        <v>11</v>
      </c>
      <c r="F48" s="26" t="s">
        <v>349</v>
      </c>
      <c r="G48" s="25">
        <v>13100</v>
      </c>
      <c r="H48" s="25">
        <f t="shared" si="4"/>
        <v>12247.2954157</v>
      </c>
      <c r="I48" s="25">
        <f t="shared" si="5"/>
        <v>134720.24957270001</v>
      </c>
      <c r="J48" s="30">
        <v>0</v>
      </c>
      <c r="K48" s="30">
        <f t="shared" si="1"/>
        <v>0</v>
      </c>
      <c r="L48" s="25">
        <f t="shared" si="2"/>
        <v>134720.24957270001</v>
      </c>
      <c r="M48" s="26"/>
      <c r="N48" s="203">
        <v>0.93490804699999996</v>
      </c>
    </row>
    <row r="49" spans="1:14" ht="18.95" customHeight="1">
      <c r="A49" s="28">
        <f t="shared" si="3"/>
        <v>18</v>
      </c>
      <c r="B49" s="27" t="s">
        <v>3693</v>
      </c>
      <c r="C49" s="29" t="s">
        <v>3691</v>
      </c>
      <c r="D49" s="267" t="s">
        <v>3694</v>
      </c>
      <c r="E49" s="25">
        <v>1</v>
      </c>
      <c r="F49" s="26" t="s">
        <v>349</v>
      </c>
      <c r="G49" s="25">
        <v>24833</v>
      </c>
      <c r="H49" s="25">
        <f t="shared" si="4"/>
        <v>23216.571531150999</v>
      </c>
      <c r="I49" s="25">
        <f t="shared" si="5"/>
        <v>23216.571531150999</v>
      </c>
      <c r="J49" s="30">
        <v>0</v>
      </c>
      <c r="K49" s="30">
        <f t="shared" si="1"/>
        <v>0</v>
      </c>
      <c r="L49" s="25">
        <f t="shared" si="2"/>
        <v>23216.571531150999</v>
      </c>
      <c r="M49" s="26"/>
      <c r="N49" s="203">
        <v>0.93490804699999996</v>
      </c>
    </row>
    <row r="50" spans="1:14" ht="18.95" customHeight="1">
      <c r="A50" s="28">
        <f t="shared" si="3"/>
        <v>19</v>
      </c>
      <c r="B50" s="27" t="s">
        <v>3695</v>
      </c>
      <c r="C50" s="29" t="s">
        <v>3696</v>
      </c>
      <c r="D50" s="267" t="s">
        <v>3692</v>
      </c>
      <c r="E50" s="25">
        <v>3</v>
      </c>
      <c r="F50" s="26" t="s">
        <v>349</v>
      </c>
      <c r="G50" s="25">
        <v>12179</v>
      </c>
      <c r="H50" s="25">
        <f t="shared" si="4"/>
        <v>11386.245104412999</v>
      </c>
      <c r="I50" s="25">
        <f t="shared" si="5"/>
        <v>34158.735313238998</v>
      </c>
      <c r="J50" s="30">
        <v>0</v>
      </c>
      <c r="K50" s="30">
        <f t="shared" si="1"/>
        <v>0</v>
      </c>
      <c r="L50" s="25">
        <f t="shared" si="2"/>
        <v>34158.735313238998</v>
      </c>
      <c r="M50" s="26"/>
      <c r="N50" s="203">
        <v>0.93490804699999996</v>
      </c>
    </row>
    <row r="51" spans="1:14" ht="18.95" customHeight="1">
      <c r="A51" s="28">
        <f t="shared" si="3"/>
        <v>20</v>
      </c>
      <c r="B51" s="27" t="s">
        <v>3697</v>
      </c>
      <c r="C51" s="29" t="s">
        <v>3698</v>
      </c>
      <c r="D51" s="267" t="s">
        <v>3692</v>
      </c>
      <c r="E51" s="25">
        <v>3</v>
      </c>
      <c r="F51" s="26" t="s">
        <v>349</v>
      </c>
      <c r="G51" s="25">
        <v>8018</v>
      </c>
      <c r="H51" s="25">
        <f t="shared" si="4"/>
        <v>7496.0927208459998</v>
      </c>
      <c r="I51" s="25">
        <f t="shared" si="5"/>
        <v>22488.278162538001</v>
      </c>
      <c r="J51" s="30">
        <v>0</v>
      </c>
      <c r="K51" s="30">
        <f t="shared" si="1"/>
        <v>0</v>
      </c>
      <c r="L51" s="25">
        <f t="shared" si="2"/>
        <v>22488.278162538001</v>
      </c>
      <c r="M51" s="26"/>
      <c r="N51" s="203">
        <v>0.93490804699999996</v>
      </c>
    </row>
    <row r="52" spans="1:14" ht="18.95" customHeight="1">
      <c r="A52" s="28">
        <f t="shared" si="3"/>
        <v>21</v>
      </c>
      <c r="B52" s="27" t="s">
        <v>3699</v>
      </c>
      <c r="C52" s="29" t="s">
        <v>3700</v>
      </c>
      <c r="D52" s="267" t="s">
        <v>3701</v>
      </c>
      <c r="E52" s="25">
        <v>8</v>
      </c>
      <c r="F52" s="26" t="s">
        <v>349</v>
      </c>
      <c r="G52" s="25">
        <v>7619</v>
      </c>
      <c r="H52" s="25">
        <f t="shared" si="4"/>
        <v>7123.0644100929994</v>
      </c>
      <c r="I52" s="25">
        <f t="shared" si="5"/>
        <v>56984.515280743995</v>
      </c>
      <c r="J52" s="30">
        <v>0</v>
      </c>
      <c r="K52" s="30">
        <f t="shared" si="1"/>
        <v>0</v>
      </c>
      <c r="L52" s="25">
        <f t="shared" si="2"/>
        <v>56984.515280743995</v>
      </c>
      <c r="M52" s="26"/>
      <c r="N52" s="203">
        <v>0.93490804699999996</v>
      </c>
    </row>
    <row r="53" spans="1:14" ht="18.95" customHeight="1">
      <c r="A53" s="28">
        <f t="shared" si="3"/>
        <v>22</v>
      </c>
      <c r="B53" s="27" t="s">
        <v>3702</v>
      </c>
      <c r="C53" s="29" t="s">
        <v>3703</v>
      </c>
      <c r="D53" s="267" t="s">
        <v>3704</v>
      </c>
      <c r="E53" s="25">
        <v>5</v>
      </c>
      <c r="F53" s="26" t="s">
        <v>349</v>
      </c>
      <c r="G53" s="25">
        <f>12900*0.6</f>
        <v>7740</v>
      </c>
      <c r="H53" s="25">
        <f t="shared" si="4"/>
        <v>7236.1882837799994</v>
      </c>
      <c r="I53" s="25">
        <f t="shared" si="5"/>
        <v>36180.941418899994</v>
      </c>
      <c r="J53" s="30">
        <v>0</v>
      </c>
      <c r="K53" s="30">
        <f t="shared" si="1"/>
        <v>0</v>
      </c>
      <c r="L53" s="25">
        <f t="shared" si="2"/>
        <v>36180.941418899994</v>
      </c>
      <c r="M53" s="26"/>
      <c r="N53" s="203">
        <v>0.93490804699999996</v>
      </c>
    </row>
    <row r="54" spans="1:14" ht="18.95" customHeight="1">
      <c r="A54" s="28">
        <f t="shared" si="3"/>
        <v>23</v>
      </c>
      <c r="B54" s="27" t="s">
        <v>3705</v>
      </c>
      <c r="C54" s="29" t="s">
        <v>3706</v>
      </c>
      <c r="D54" s="267"/>
      <c r="E54" s="25">
        <v>3</v>
      </c>
      <c r="F54" s="26" t="s">
        <v>349</v>
      </c>
      <c r="G54" s="25">
        <f>28900*0.6</f>
        <v>17340</v>
      </c>
      <c r="H54" s="25">
        <f t="shared" si="4"/>
        <v>16211.30553498</v>
      </c>
      <c r="I54" s="25">
        <f t="shared" si="5"/>
        <v>48633.916604940001</v>
      </c>
      <c r="J54" s="30">
        <v>0</v>
      </c>
      <c r="K54" s="30">
        <f t="shared" si="1"/>
        <v>0</v>
      </c>
      <c r="L54" s="25">
        <f t="shared" si="2"/>
        <v>48633.916604940001</v>
      </c>
      <c r="M54" s="26"/>
      <c r="N54" s="203">
        <v>0.93490804699999996</v>
      </c>
    </row>
    <row r="55" spans="1:14" ht="18.95" customHeight="1">
      <c r="A55" s="28">
        <f t="shared" si="3"/>
        <v>24</v>
      </c>
      <c r="B55" s="27" t="s">
        <v>3707</v>
      </c>
      <c r="C55" s="29" t="s">
        <v>3708</v>
      </c>
      <c r="D55" s="267"/>
      <c r="E55" s="25">
        <v>2</v>
      </c>
      <c r="F55" s="26" t="s">
        <v>349</v>
      </c>
      <c r="G55" s="25">
        <f>16900*0.6</f>
        <v>10140</v>
      </c>
      <c r="H55" s="25">
        <f t="shared" si="4"/>
        <v>9479.9675965799997</v>
      </c>
      <c r="I55" s="25">
        <f t="shared" si="5"/>
        <v>18959.935193159999</v>
      </c>
      <c r="J55" s="30">
        <v>0</v>
      </c>
      <c r="K55" s="30">
        <f t="shared" si="1"/>
        <v>0</v>
      </c>
      <c r="L55" s="25">
        <f t="shared" si="2"/>
        <v>18959.935193159999</v>
      </c>
      <c r="M55" s="26"/>
      <c r="N55" s="203">
        <v>0.93490804699999996</v>
      </c>
    </row>
    <row r="56" spans="1:14" ht="18.95" customHeight="1">
      <c r="A56" s="28">
        <f t="shared" si="3"/>
        <v>25</v>
      </c>
      <c r="B56" s="27" t="s">
        <v>3709</v>
      </c>
      <c r="C56" s="29" t="s">
        <v>3710</v>
      </c>
      <c r="D56" s="267" t="s">
        <v>3711</v>
      </c>
      <c r="E56" s="25">
        <v>4</v>
      </c>
      <c r="F56" s="26" t="s">
        <v>349</v>
      </c>
      <c r="G56" s="25">
        <v>14573</v>
      </c>
      <c r="H56" s="25">
        <f t="shared" si="4"/>
        <v>13624.414968931</v>
      </c>
      <c r="I56" s="25">
        <f t="shared" si="5"/>
        <v>54497.659875723999</v>
      </c>
      <c r="J56" s="30">
        <v>0</v>
      </c>
      <c r="K56" s="30">
        <f t="shared" si="1"/>
        <v>0</v>
      </c>
      <c r="L56" s="25">
        <f t="shared" si="2"/>
        <v>54497.659875723999</v>
      </c>
      <c r="M56" s="26"/>
      <c r="N56" s="203">
        <v>0.93490804699999996</v>
      </c>
    </row>
    <row r="57" spans="1:14" ht="18.95" customHeight="1">
      <c r="A57" s="28">
        <f t="shared" si="3"/>
        <v>26</v>
      </c>
      <c r="B57" s="27" t="s">
        <v>3712</v>
      </c>
      <c r="C57" s="29" t="s">
        <v>3710</v>
      </c>
      <c r="D57" s="267" t="s">
        <v>3713</v>
      </c>
      <c r="E57" s="25">
        <v>1</v>
      </c>
      <c r="F57" s="26" t="s">
        <v>349</v>
      </c>
      <c r="G57" s="25">
        <v>39235</v>
      </c>
      <c r="H57" s="25">
        <f t="shared" si="4"/>
        <v>36681.117224044996</v>
      </c>
      <c r="I57" s="25">
        <f t="shared" si="5"/>
        <v>36681.117224044996</v>
      </c>
      <c r="J57" s="30">
        <v>0</v>
      </c>
      <c r="K57" s="30">
        <f t="shared" si="1"/>
        <v>0</v>
      </c>
      <c r="L57" s="25">
        <f t="shared" si="2"/>
        <v>36681.117224044996</v>
      </c>
      <c r="M57" s="26"/>
      <c r="N57" s="203">
        <v>0.93490804699999996</v>
      </c>
    </row>
    <row r="58" spans="1:14" ht="18.95" customHeight="1">
      <c r="A58" s="233"/>
      <c r="B58" s="321"/>
      <c r="C58" s="322"/>
      <c r="D58" s="323"/>
      <c r="E58" s="54"/>
      <c r="F58" s="55"/>
      <c r="G58" s="54"/>
      <c r="H58" s="25"/>
      <c r="I58" s="54"/>
      <c r="J58" s="146"/>
      <c r="K58" s="146"/>
      <c r="L58" s="54"/>
      <c r="M58" s="55"/>
      <c r="N58" s="203">
        <v>0.93490804699999996</v>
      </c>
    </row>
    <row r="59" spans="1:14" ht="18.95" customHeight="1">
      <c r="A59" s="237">
        <f>A57+1</f>
        <v>27</v>
      </c>
      <c r="B59" s="359" t="s">
        <v>3714</v>
      </c>
      <c r="C59" s="16" t="s">
        <v>3715</v>
      </c>
      <c r="D59" s="379" t="s">
        <v>3716</v>
      </c>
      <c r="E59" s="18">
        <v>12</v>
      </c>
      <c r="F59" s="19" t="s">
        <v>349</v>
      </c>
      <c r="G59" s="18">
        <v>11523</v>
      </c>
      <c r="H59" s="25">
        <f t="shared" si="4"/>
        <v>10772.945425581</v>
      </c>
      <c r="I59" s="25">
        <f>H59*E59</f>
        <v>129275.345106972</v>
      </c>
      <c r="J59" s="20">
        <v>0</v>
      </c>
      <c r="K59" s="20">
        <f t="shared" ref="K59:K86" si="6">J59*E59</f>
        <v>0</v>
      </c>
      <c r="L59" s="18">
        <f t="shared" ref="L59:L86" si="7">I59+K59</f>
        <v>129275.345106972</v>
      </c>
      <c r="M59" s="26"/>
      <c r="N59" s="203">
        <v>0.93490804699999996</v>
      </c>
    </row>
    <row r="60" spans="1:14" ht="18.95" customHeight="1">
      <c r="A60" s="28">
        <f t="shared" ref="A60:A86" si="8">A59+1</f>
        <v>28</v>
      </c>
      <c r="B60" s="27" t="s">
        <v>3717</v>
      </c>
      <c r="C60" s="29" t="s">
        <v>3718</v>
      </c>
      <c r="D60" s="267" t="s">
        <v>3719</v>
      </c>
      <c r="E60" s="25">
        <v>6</v>
      </c>
      <c r="F60" s="26" t="s">
        <v>349</v>
      </c>
      <c r="G60" s="25">
        <v>19120</v>
      </c>
      <c r="H60" s="25">
        <f t="shared" si="4"/>
        <v>17875.441858639999</v>
      </c>
      <c r="I60" s="25">
        <f t="shared" ref="I60:I86" si="9">H60*E60</f>
        <v>107252.65115183999</v>
      </c>
      <c r="J60" s="30">
        <v>0</v>
      </c>
      <c r="K60" s="30">
        <f t="shared" si="6"/>
        <v>0</v>
      </c>
      <c r="L60" s="25">
        <f t="shared" si="7"/>
        <v>107252.65115183999</v>
      </c>
      <c r="M60" s="26"/>
      <c r="N60" s="203">
        <v>0.93490804699999996</v>
      </c>
    </row>
    <row r="61" spans="1:14" ht="18.95" customHeight="1">
      <c r="A61" s="28">
        <f t="shared" si="8"/>
        <v>29</v>
      </c>
      <c r="B61" s="27" t="s">
        <v>3720</v>
      </c>
      <c r="C61" s="29" t="s">
        <v>3721</v>
      </c>
      <c r="D61" s="267" t="s">
        <v>3722</v>
      </c>
      <c r="E61" s="25">
        <v>2</v>
      </c>
      <c r="F61" s="26" t="s">
        <v>349</v>
      </c>
      <c r="G61" s="25">
        <v>13794</v>
      </c>
      <c r="H61" s="25">
        <f t="shared" si="4"/>
        <v>12896.121600318</v>
      </c>
      <c r="I61" s="25">
        <f t="shared" si="9"/>
        <v>25792.243200636</v>
      </c>
      <c r="J61" s="30">
        <v>0</v>
      </c>
      <c r="K61" s="30">
        <f t="shared" si="6"/>
        <v>0</v>
      </c>
      <c r="L61" s="25">
        <f t="shared" si="7"/>
        <v>25792.243200636</v>
      </c>
      <c r="M61" s="26"/>
      <c r="N61" s="203">
        <v>0.93490804699999996</v>
      </c>
    </row>
    <row r="62" spans="1:14" ht="18.95" customHeight="1">
      <c r="A62" s="28">
        <f t="shared" si="8"/>
        <v>30</v>
      </c>
      <c r="B62" s="27" t="s">
        <v>3723</v>
      </c>
      <c r="C62" s="29" t="s">
        <v>3721</v>
      </c>
      <c r="D62" s="267" t="s">
        <v>3724</v>
      </c>
      <c r="E62" s="25">
        <v>2</v>
      </c>
      <c r="F62" s="26" t="s">
        <v>349</v>
      </c>
      <c r="G62" s="25">
        <v>13328</v>
      </c>
      <c r="H62" s="25">
        <f t="shared" si="4"/>
        <v>12460.454450416</v>
      </c>
      <c r="I62" s="25">
        <f t="shared" si="9"/>
        <v>24920.908900832001</v>
      </c>
      <c r="J62" s="30">
        <v>0</v>
      </c>
      <c r="K62" s="30">
        <f t="shared" si="6"/>
        <v>0</v>
      </c>
      <c r="L62" s="25">
        <f t="shared" si="7"/>
        <v>24920.908900832001</v>
      </c>
      <c r="M62" s="26"/>
      <c r="N62" s="203">
        <v>0.93490804699999996</v>
      </c>
    </row>
    <row r="63" spans="1:14" ht="18.95" customHeight="1">
      <c r="A63" s="28">
        <f t="shared" si="8"/>
        <v>31</v>
      </c>
      <c r="B63" s="27" t="s">
        <v>3725</v>
      </c>
      <c r="C63" s="29" t="s">
        <v>3721</v>
      </c>
      <c r="D63" s="267" t="s">
        <v>3722</v>
      </c>
      <c r="E63" s="25">
        <v>4</v>
      </c>
      <c r="F63" s="26" t="s">
        <v>349</v>
      </c>
      <c r="G63" s="25">
        <v>13794</v>
      </c>
      <c r="H63" s="25">
        <f t="shared" si="4"/>
        <v>12896.121600318</v>
      </c>
      <c r="I63" s="25">
        <f t="shared" si="9"/>
        <v>51584.486401271999</v>
      </c>
      <c r="J63" s="30">
        <v>0</v>
      </c>
      <c r="K63" s="30">
        <f t="shared" si="6"/>
        <v>0</v>
      </c>
      <c r="L63" s="25">
        <f t="shared" si="7"/>
        <v>51584.486401271999</v>
      </c>
      <c r="M63" s="26"/>
      <c r="N63" s="203">
        <v>0.93490804699999996</v>
      </c>
    </row>
    <row r="64" spans="1:14" ht="18.95" customHeight="1">
      <c r="A64" s="28">
        <f t="shared" si="8"/>
        <v>32</v>
      </c>
      <c r="B64" s="27" t="s">
        <v>3726</v>
      </c>
      <c r="C64" s="29" t="s">
        <v>3727</v>
      </c>
      <c r="D64" s="267" t="s">
        <v>3728</v>
      </c>
      <c r="E64" s="25">
        <v>1</v>
      </c>
      <c r="F64" s="26" t="s">
        <v>349</v>
      </c>
      <c r="G64" s="25">
        <f>5000*0.6</f>
        <v>3000</v>
      </c>
      <c r="H64" s="25">
        <f t="shared" si="4"/>
        <v>2804.7241409999997</v>
      </c>
      <c r="I64" s="25">
        <f t="shared" si="9"/>
        <v>2804.7241409999997</v>
      </c>
      <c r="J64" s="30">
        <v>0</v>
      </c>
      <c r="K64" s="30">
        <f t="shared" si="6"/>
        <v>0</v>
      </c>
      <c r="L64" s="25">
        <f t="shared" si="7"/>
        <v>2804.7241409999997</v>
      </c>
      <c r="M64" s="26"/>
      <c r="N64" s="203">
        <v>0.93490804699999996</v>
      </c>
    </row>
    <row r="65" spans="1:14" ht="18.95" customHeight="1">
      <c r="A65" s="28">
        <f t="shared" si="8"/>
        <v>33</v>
      </c>
      <c r="B65" s="27" t="s">
        <v>3729</v>
      </c>
      <c r="C65" s="29" t="s">
        <v>3710</v>
      </c>
      <c r="D65" s="267" t="s">
        <v>3730</v>
      </c>
      <c r="E65" s="25">
        <v>4</v>
      </c>
      <c r="F65" s="26" t="s">
        <v>349</v>
      </c>
      <c r="G65" s="25">
        <v>5776</v>
      </c>
      <c r="H65" s="25">
        <f t="shared" si="4"/>
        <v>5400.028879472</v>
      </c>
      <c r="I65" s="25">
        <f t="shared" si="9"/>
        <v>21600.115517888</v>
      </c>
      <c r="J65" s="30">
        <v>0</v>
      </c>
      <c r="K65" s="30">
        <f t="shared" si="6"/>
        <v>0</v>
      </c>
      <c r="L65" s="25">
        <f t="shared" si="7"/>
        <v>21600.115517888</v>
      </c>
      <c r="M65" s="26"/>
      <c r="N65" s="203">
        <v>0.93490804699999996</v>
      </c>
    </row>
    <row r="66" spans="1:14" ht="18.95" customHeight="1">
      <c r="A66" s="28">
        <f t="shared" si="8"/>
        <v>34</v>
      </c>
      <c r="B66" s="27" t="s">
        <v>3731</v>
      </c>
      <c r="C66" s="29" t="s">
        <v>3715</v>
      </c>
      <c r="D66" s="267" t="s">
        <v>3732</v>
      </c>
      <c r="E66" s="25">
        <v>3</v>
      </c>
      <c r="F66" s="26" t="s">
        <v>349</v>
      </c>
      <c r="G66" s="25">
        <v>18145</v>
      </c>
      <c r="H66" s="25">
        <f t="shared" si="4"/>
        <v>16963.906512815</v>
      </c>
      <c r="I66" s="25">
        <f t="shared" si="9"/>
        <v>50891.719538445002</v>
      </c>
      <c r="J66" s="30">
        <v>0</v>
      </c>
      <c r="K66" s="30">
        <f t="shared" si="6"/>
        <v>0</v>
      </c>
      <c r="L66" s="25">
        <f t="shared" si="7"/>
        <v>50891.719538445002</v>
      </c>
      <c r="M66" s="26"/>
      <c r="N66" s="203">
        <v>0.93490804699999996</v>
      </c>
    </row>
    <row r="67" spans="1:14" ht="18.95" customHeight="1">
      <c r="A67" s="28">
        <f t="shared" si="8"/>
        <v>35</v>
      </c>
      <c r="B67" s="27" t="s">
        <v>3733</v>
      </c>
      <c r="C67" s="29" t="s">
        <v>3670</v>
      </c>
      <c r="D67" s="267"/>
      <c r="E67" s="25">
        <v>6</v>
      </c>
      <c r="F67" s="26" t="s">
        <v>349</v>
      </c>
      <c r="G67" s="25">
        <v>13623</v>
      </c>
      <c r="H67" s="25">
        <f t="shared" si="4"/>
        <v>12736.252324281</v>
      </c>
      <c r="I67" s="25">
        <f t="shared" si="9"/>
        <v>76417.513945686005</v>
      </c>
      <c r="J67" s="30">
        <v>0</v>
      </c>
      <c r="K67" s="30">
        <f t="shared" si="6"/>
        <v>0</v>
      </c>
      <c r="L67" s="25">
        <f t="shared" si="7"/>
        <v>76417.513945686005</v>
      </c>
      <c r="M67" s="26"/>
      <c r="N67" s="203">
        <v>0.93490804699999996</v>
      </c>
    </row>
    <row r="68" spans="1:14" ht="18.95" customHeight="1">
      <c r="A68" s="28">
        <f t="shared" si="8"/>
        <v>36</v>
      </c>
      <c r="B68" s="27" t="s">
        <v>3734</v>
      </c>
      <c r="C68" s="29" t="s">
        <v>3735</v>
      </c>
      <c r="D68" s="267"/>
      <c r="E68" s="25">
        <v>36</v>
      </c>
      <c r="F68" s="26" t="s">
        <v>349</v>
      </c>
      <c r="G68" s="25">
        <f>8100*0.6</f>
        <v>4860</v>
      </c>
      <c r="H68" s="25">
        <f t="shared" si="4"/>
        <v>4543.6531084199996</v>
      </c>
      <c r="I68" s="25">
        <f t="shared" si="9"/>
        <v>163571.51190311997</v>
      </c>
      <c r="J68" s="30">
        <v>0</v>
      </c>
      <c r="K68" s="30">
        <f t="shared" si="6"/>
        <v>0</v>
      </c>
      <c r="L68" s="25">
        <f t="shared" si="7"/>
        <v>163571.51190311997</v>
      </c>
      <c r="M68" s="26"/>
      <c r="N68" s="203">
        <v>0.93490804699999996</v>
      </c>
    </row>
    <row r="69" spans="1:14" ht="18.95" customHeight="1">
      <c r="A69" s="28">
        <f t="shared" si="8"/>
        <v>37</v>
      </c>
      <c r="B69" s="27" t="s">
        <v>3736</v>
      </c>
      <c r="C69" s="29" t="s">
        <v>3737</v>
      </c>
      <c r="D69" s="267"/>
      <c r="E69" s="25">
        <v>6</v>
      </c>
      <c r="F69" s="26" t="s">
        <v>349</v>
      </c>
      <c r="G69" s="25">
        <v>12240</v>
      </c>
      <c r="H69" s="25">
        <f t="shared" si="4"/>
        <v>11443.27449528</v>
      </c>
      <c r="I69" s="25">
        <f t="shared" si="9"/>
        <v>68659.646971680006</v>
      </c>
      <c r="J69" s="30">
        <v>0</v>
      </c>
      <c r="K69" s="30">
        <f t="shared" si="6"/>
        <v>0</v>
      </c>
      <c r="L69" s="25">
        <f t="shared" si="7"/>
        <v>68659.646971680006</v>
      </c>
      <c r="M69" s="26"/>
      <c r="N69" s="203">
        <v>0.93490804699999996</v>
      </c>
    </row>
    <row r="70" spans="1:14" ht="18.95" customHeight="1">
      <c r="A70" s="28">
        <f t="shared" si="8"/>
        <v>38</v>
      </c>
      <c r="B70" s="27" t="s">
        <v>3738</v>
      </c>
      <c r="C70" s="29" t="s">
        <v>3739</v>
      </c>
      <c r="D70" s="267"/>
      <c r="E70" s="25">
        <v>6</v>
      </c>
      <c r="F70" s="26" t="s">
        <v>349</v>
      </c>
      <c r="G70" s="25">
        <v>13515</v>
      </c>
      <c r="H70" s="25">
        <f t="shared" si="4"/>
        <v>12635.282255205</v>
      </c>
      <c r="I70" s="25">
        <f t="shared" si="9"/>
        <v>75811.693531230005</v>
      </c>
      <c r="J70" s="30">
        <v>0</v>
      </c>
      <c r="K70" s="30">
        <f t="shared" si="6"/>
        <v>0</v>
      </c>
      <c r="L70" s="25">
        <f t="shared" si="7"/>
        <v>75811.693531230005</v>
      </c>
      <c r="M70" s="26"/>
      <c r="N70" s="203">
        <v>0.93490804699999996</v>
      </c>
    </row>
    <row r="71" spans="1:14" ht="18.95" customHeight="1">
      <c r="A71" s="28">
        <f t="shared" si="8"/>
        <v>39</v>
      </c>
      <c r="B71" s="27" t="s">
        <v>3740</v>
      </c>
      <c r="C71" s="29" t="s">
        <v>3741</v>
      </c>
      <c r="D71" s="267"/>
      <c r="E71" s="25">
        <v>3</v>
      </c>
      <c r="F71" s="26" t="s">
        <v>349</v>
      </c>
      <c r="G71" s="25">
        <f>9800*0.6</f>
        <v>5880</v>
      </c>
      <c r="H71" s="25">
        <f t="shared" si="4"/>
        <v>5497.2593163599995</v>
      </c>
      <c r="I71" s="25">
        <f t="shared" si="9"/>
        <v>16491.777949079999</v>
      </c>
      <c r="J71" s="30">
        <v>0</v>
      </c>
      <c r="K71" s="30">
        <f t="shared" si="6"/>
        <v>0</v>
      </c>
      <c r="L71" s="25">
        <f t="shared" si="7"/>
        <v>16491.777949079999</v>
      </c>
      <c r="M71" s="26"/>
      <c r="N71" s="203">
        <v>0.93490804699999996</v>
      </c>
    </row>
    <row r="72" spans="1:14" ht="18.95" customHeight="1">
      <c r="A72" s="28">
        <f t="shared" si="8"/>
        <v>40</v>
      </c>
      <c r="B72" s="27" t="s">
        <v>3742</v>
      </c>
      <c r="C72" s="29" t="s">
        <v>3743</v>
      </c>
      <c r="D72" s="267"/>
      <c r="E72" s="25">
        <v>4</v>
      </c>
      <c r="F72" s="26" t="s">
        <v>349</v>
      </c>
      <c r="G72" s="25">
        <f>19700*0.6</f>
        <v>11820</v>
      </c>
      <c r="H72" s="25">
        <f t="shared" si="4"/>
        <v>11050.61311554</v>
      </c>
      <c r="I72" s="25">
        <f t="shared" si="9"/>
        <v>44202.452462159999</v>
      </c>
      <c r="J72" s="30">
        <v>0</v>
      </c>
      <c r="K72" s="30">
        <f t="shared" si="6"/>
        <v>0</v>
      </c>
      <c r="L72" s="25">
        <f t="shared" si="7"/>
        <v>44202.452462159999</v>
      </c>
      <c r="M72" s="26"/>
      <c r="N72" s="203">
        <v>0.93490804699999996</v>
      </c>
    </row>
    <row r="73" spans="1:14" ht="18.95" customHeight="1">
      <c r="A73" s="28">
        <f t="shared" si="8"/>
        <v>41</v>
      </c>
      <c r="B73" s="27" t="s">
        <v>3744</v>
      </c>
      <c r="C73" s="29" t="s">
        <v>3745</v>
      </c>
      <c r="D73" s="267"/>
      <c r="E73" s="25">
        <v>13</v>
      </c>
      <c r="F73" s="26" t="s">
        <v>349</v>
      </c>
      <c r="G73" s="25">
        <f>17655*0.6</f>
        <v>10593</v>
      </c>
      <c r="H73" s="25">
        <f t="shared" si="4"/>
        <v>9903.4809418709992</v>
      </c>
      <c r="I73" s="25">
        <f t="shared" si="9"/>
        <v>128745.252244323</v>
      </c>
      <c r="J73" s="30">
        <v>0</v>
      </c>
      <c r="K73" s="30">
        <f t="shared" si="6"/>
        <v>0</v>
      </c>
      <c r="L73" s="25">
        <f t="shared" si="7"/>
        <v>128745.252244323</v>
      </c>
      <c r="M73" s="26"/>
      <c r="N73" s="203">
        <v>0.93490804699999996</v>
      </c>
    </row>
    <row r="74" spans="1:14" ht="18.95" customHeight="1">
      <c r="A74" s="28">
        <f t="shared" si="8"/>
        <v>42</v>
      </c>
      <c r="B74" s="27" t="s">
        <v>3746</v>
      </c>
      <c r="C74" s="29" t="s">
        <v>3678</v>
      </c>
      <c r="D74" s="267"/>
      <c r="E74" s="25">
        <v>1</v>
      </c>
      <c r="F74" s="26" t="s">
        <v>349</v>
      </c>
      <c r="G74" s="25">
        <v>9620</v>
      </c>
      <c r="H74" s="25">
        <f t="shared" si="4"/>
        <v>8993.8154121400003</v>
      </c>
      <c r="I74" s="25">
        <f t="shared" si="9"/>
        <v>8993.8154121400003</v>
      </c>
      <c r="J74" s="30">
        <v>0</v>
      </c>
      <c r="K74" s="30">
        <f t="shared" si="6"/>
        <v>0</v>
      </c>
      <c r="L74" s="25">
        <f t="shared" si="7"/>
        <v>8993.8154121400003</v>
      </c>
      <c r="M74" s="26"/>
      <c r="N74" s="203">
        <v>0.93490804699999996</v>
      </c>
    </row>
    <row r="75" spans="1:14" ht="18.95" customHeight="1">
      <c r="A75" s="28">
        <f t="shared" si="8"/>
        <v>43</v>
      </c>
      <c r="B75" s="27" t="s">
        <v>3747</v>
      </c>
      <c r="C75" s="29" t="s">
        <v>3670</v>
      </c>
      <c r="D75" s="267"/>
      <c r="E75" s="25">
        <v>2</v>
      </c>
      <c r="F75" s="26" t="s">
        <v>349</v>
      </c>
      <c r="G75" s="25">
        <v>13623</v>
      </c>
      <c r="H75" s="25">
        <f t="shared" si="4"/>
        <v>12736.252324281</v>
      </c>
      <c r="I75" s="25">
        <f t="shared" si="9"/>
        <v>25472.504648562001</v>
      </c>
      <c r="J75" s="30">
        <v>0</v>
      </c>
      <c r="K75" s="30">
        <f t="shared" si="6"/>
        <v>0</v>
      </c>
      <c r="L75" s="25">
        <f t="shared" si="7"/>
        <v>25472.504648562001</v>
      </c>
      <c r="M75" s="26"/>
      <c r="N75" s="203">
        <v>0.93490804699999996</v>
      </c>
    </row>
    <row r="76" spans="1:14" ht="18.95" customHeight="1">
      <c r="A76" s="28">
        <f t="shared" si="8"/>
        <v>44</v>
      </c>
      <c r="B76" s="27" t="s">
        <v>3748</v>
      </c>
      <c r="C76" s="29" t="s">
        <v>3661</v>
      </c>
      <c r="D76" s="267"/>
      <c r="E76" s="25">
        <v>2</v>
      </c>
      <c r="F76" s="26" t="s">
        <v>349</v>
      </c>
      <c r="G76" s="25">
        <v>8521</v>
      </c>
      <c r="H76" s="25">
        <f t="shared" si="4"/>
        <v>7966.3514684869997</v>
      </c>
      <c r="I76" s="25">
        <f t="shared" si="9"/>
        <v>15932.702936973999</v>
      </c>
      <c r="J76" s="30">
        <v>0</v>
      </c>
      <c r="K76" s="30">
        <f t="shared" si="6"/>
        <v>0</v>
      </c>
      <c r="L76" s="25">
        <f t="shared" si="7"/>
        <v>15932.702936973999</v>
      </c>
      <c r="M76" s="26"/>
      <c r="N76" s="203">
        <v>0.93490804699999996</v>
      </c>
    </row>
    <row r="77" spans="1:14" ht="18.95" customHeight="1">
      <c r="A77" s="28">
        <f t="shared" si="8"/>
        <v>45</v>
      </c>
      <c r="B77" s="27" t="s">
        <v>3749</v>
      </c>
      <c r="C77" s="29" t="s">
        <v>3750</v>
      </c>
      <c r="D77" s="267"/>
      <c r="E77" s="25">
        <v>244</v>
      </c>
      <c r="F77" s="26" t="s">
        <v>349</v>
      </c>
      <c r="G77" s="25">
        <v>16500</v>
      </c>
      <c r="H77" s="25">
        <f t="shared" si="4"/>
        <v>15425.982775499999</v>
      </c>
      <c r="I77" s="25">
        <f t="shared" si="9"/>
        <v>3763939.7972219996</v>
      </c>
      <c r="J77" s="30">
        <v>0</v>
      </c>
      <c r="K77" s="30">
        <f t="shared" si="6"/>
        <v>0</v>
      </c>
      <c r="L77" s="25">
        <f t="shared" si="7"/>
        <v>3763939.7972219996</v>
      </c>
      <c r="M77" s="26"/>
      <c r="N77" s="203">
        <v>0.93490804699999996</v>
      </c>
    </row>
    <row r="78" spans="1:14" ht="18.95" customHeight="1">
      <c r="A78" s="28">
        <f t="shared" si="8"/>
        <v>46</v>
      </c>
      <c r="B78" s="27" t="s">
        <v>3751</v>
      </c>
      <c r="C78" s="29" t="s">
        <v>3752</v>
      </c>
      <c r="D78" s="267"/>
      <c r="E78" s="25">
        <v>73</v>
      </c>
      <c r="F78" s="26" t="s">
        <v>349</v>
      </c>
      <c r="G78" s="72">
        <v>2500</v>
      </c>
      <c r="H78" s="25">
        <f t="shared" si="4"/>
        <v>2337.2701174999997</v>
      </c>
      <c r="I78" s="25">
        <f t="shared" si="9"/>
        <v>170620.71857749997</v>
      </c>
      <c r="J78" s="30">
        <v>0</v>
      </c>
      <c r="K78" s="30">
        <f t="shared" si="6"/>
        <v>0</v>
      </c>
      <c r="L78" s="25">
        <f t="shared" si="7"/>
        <v>170620.71857749997</v>
      </c>
      <c r="M78" s="26"/>
      <c r="N78" s="203">
        <v>0.93490804699999996</v>
      </c>
    </row>
    <row r="79" spans="1:14" ht="18.95" customHeight="1">
      <c r="A79" s="28">
        <f t="shared" si="8"/>
        <v>47</v>
      </c>
      <c r="B79" s="27" t="s">
        <v>3753</v>
      </c>
      <c r="C79" s="29" t="s">
        <v>3754</v>
      </c>
      <c r="D79" s="267" t="s">
        <v>3755</v>
      </c>
      <c r="E79" s="25">
        <v>5</v>
      </c>
      <c r="F79" s="26" t="s">
        <v>349</v>
      </c>
      <c r="G79" s="25">
        <f>4200*0.6</f>
        <v>2520</v>
      </c>
      <c r="H79" s="25">
        <f t="shared" si="4"/>
        <v>2355.9682784399997</v>
      </c>
      <c r="I79" s="25">
        <f t="shared" si="9"/>
        <v>11779.841392199998</v>
      </c>
      <c r="J79" s="30">
        <v>0</v>
      </c>
      <c r="K79" s="30">
        <f t="shared" si="6"/>
        <v>0</v>
      </c>
      <c r="L79" s="25">
        <f t="shared" si="7"/>
        <v>11779.841392199998</v>
      </c>
      <c r="M79" s="26"/>
      <c r="N79" s="203">
        <v>0.93490804699999996</v>
      </c>
    </row>
    <row r="80" spans="1:14" ht="18.95" customHeight="1">
      <c r="A80" s="28">
        <f t="shared" si="8"/>
        <v>48</v>
      </c>
      <c r="B80" s="27" t="s">
        <v>3756</v>
      </c>
      <c r="C80" s="29" t="s">
        <v>3754</v>
      </c>
      <c r="D80" s="267" t="s">
        <v>3757</v>
      </c>
      <c r="E80" s="25">
        <v>5</v>
      </c>
      <c r="F80" s="26" t="s">
        <v>349</v>
      </c>
      <c r="G80" s="25">
        <f>7200*0.6</f>
        <v>4320</v>
      </c>
      <c r="H80" s="25">
        <f t="shared" si="4"/>
        <v>4038.8027630399997</v>
      </c>
      <c r="I80" s="25">
        <f t="shared" si="9"/>
        <v>20194.0138152</v>
      </c>
      <c r="J80" s="30">
        <v>0</v>
      </c>
      <c r="K80" s="30">
        <f t="shared" si="6"/>
        <v>0</v>
      </c>
      <c r="L80" s="25">
        <f t="shared" si="7"/>
        <v>20194.0138152</v>
      </c>
      <c r="M80" s="26"/>
      <c r="N80" s="203">
        <v>0.93490804699999996</v>
      </c>
    </row>
    <row r="81" spans="1:14" ht="18.95" customHeight="1">
      <c r="A81" s="28">
        <f t="shared" si="8"/>
        <v>49</v>
      </c>
      <c r="B81" s="27" t="s">
        <v>3758</v>
      </c>
      <c r="C81" s="29" t="s">
        <v>3686</v>
      </c>
      <c r="D81" s="267"/>
      <c r="E81" s="25">
        <v>1</v>
      </c>
      <c r="F81" s="26" t="s">
        <v>349</v>
      </c>
      <c r="G81" s="25">
        <f>177000+110000+145000+558600+257400+190000+36000</f>
        <v>1474000</v>
      </c>
      <c r="H81" s="25">
        <f t="shared" si="4"/>
        <v>1378054.4612779999</v>
      </c>
      <c r="I81" s="25">
        <f t="shared" si="9"/>
        <v>1378054.4612779999</v>
      </c>
      <c r="J81" s="30">
        <v>0</v>
      </c>
      <c r="K81" s="30">
        <f t="shared" si="6"/>
        <v>0</v>
      </c>
      <c r="L81" s="25">
        <f t="shared" si="7"/>
        <v>1378054.4612779999</v>
      </c>
      <c r="M81" s="26"/>
      <c r="N81" s="203">
        <v>0.93490804699999996</v>
      </c>
    </row>
    <row r="82" spans="1:14" ht="18.95" customHeight="1">
      <c r="A82" s="28">
        <f t="shared" si="8"/>
        <v>50</v>
      </c>
      <c r="B82" s="27" t="s">
        <v>3759</v>
      </c>
      <c r="C82" s="29" t="s">
        <v>3760</v>
      </c>
      <c r="D82" s="267" t="s">
        <v>3761</v>
      </c>
      <c r="E82" s="25">
        <v>4</v>
      </c>
      <c r="F82" s="26" t="s">
        <v>349</v>
      </c>
      <c r="G82" s="25">
        <v>31992</v>
      </c>
      <c r="H82" s="25">
        <f t="shared" si="4"/>
        <v>29909.578239623999</v>
      </c>
      <c r="I82" s="25">
        <f t="shared" si="9"/>
        <v>119638.312958496</v>
      </c>
      <c r="J82" s="30">
        <v>0</v>
      </c>
      <c r="K82" s="30">
        <f t="shared" si="6"/>
        <v>0</v>
      </c>
      <c r="L82" s="25">
        <f t="shared" si="7"/>
        <v>119638.312958496</v>
      </c>
      <c r="M82" s="26"/>
      <c r="N82" s="203">
        <v>0.93490804699999996</v>
      </c>
    </row>
    <row r="83" spans="1:14" ht="18.95" customHeight="1">
      <c r="A83" s="28">
        <f t="shared" si="8"/>
        <v>51</v>
      </c>
      <c r="B83" s="27" t="s">
        <v>3762</v>
      </c>
      <c r="C83" s="29" t="s">
        <v>3760</v>
      </c>
      <c r="D83" s="267" t="s">
        <v>3763</v>
      </c>
      <c r="E83" s="25">
        <v>4</v>
      </c>
      <c r="F83" s="26" t="s">
        <v>349</v>
      </c>
      <c r="G83" s="25">
        <v>13592</v>
      </c>
      <c r="H83" s="25">
        <f t="shared" si="4"/>
        <v>12707.270174824</v>
      </c>
      <c r="I83" s="25">
        <f t="shared" si="9"/>
        <v>50829.080699295999</v>
      </c>
      <c r="J83" s="30">
        <v>0</v>
      </c>
      <c r="K83" s="30">
        <f t="shared" si="6"/>
        <v>0</v>
      </c>
      <c r="L83" s="25">
        <f t="shared" si="7"/>
        <v>50829.080699295999</v>
      </c>
      <c r="M83" s="26"/>
      <c r="N83" s="203">
        <v>0.93490804699999996</v>
      </c>
    </row>
    <row r="84" spans="1:14" ht="18.95" customHeight="1">
      <c r="A84" s="28">
        <f t="shared" si="8"/>
        <v>52</v>
      </c>
      <c r="B84" s="27" t="s">
        <v>3764</v>
      </c>
      <c r="C84" s="29" t="s">
        <v>3760</v>
      </c>
      <c r="D84" s="267" t="s">
        <v>3765</v>
      </c>
      <c r="E84" s="25">
        <v>3</v>
      </c>
      <c r="F84" s="26" t="s">
        <v>349</v>
      </c>
      <c r="G84" s="25">
        <v>9592</v>
      </c>
      <c r="H84" s="25">
        <f t="shared" si="4"/>
        <v>8967.6379868240001</v>
      </c>
      <c r="I84" s="25">
        <f t="shared" si="9"/>
        <v>26902.913960472</v>
      </c>
      <c r="J84" s="30">
        <v>0</v>
      </c>
      <c r="K84" s="30">
        <f t="shared" si="6"/>
        <v>0</v>
      </c>
      <c r="L84" s="25">
        <f t="shared" si="7"/>
        <v>26902.913960472</v>
      </c>
      <c r="M84" s="26"/>
      <c r="N84" s="203">
        <v>0.93490804699999996</v>
      </c>
    </row>
    <row r="85" spans="1:14" ht="18.95" customHeight="1">
      <c r="A85" s="28">
        <f t="shared" si="8"/>
        <v>53</v>
      </c>
      <c r="B85" s="27" t="s">
        <v>3766</v>
      </c>
      <c r="C85" s="29" t="s">
        <v>3760</v>
      </c>
      <c r="D85" s="267" t="s">
        <v>3767</v>
      </c>
      <c r="E85" s="25">
        <v>2</v>
      </c>
      <c r="F85" s="26" t="s">
        <v>349</v>
      </c>
      <c r="G85" s="25">
        <v>6392</v>
      </c>
      <c r="H85" s="25">
        <f t="shared" si="4"/>
        <v>5975.9322364239997</v>
      </c>
      <c r="I85" s="25">
        <f t="shared" si="9"/>
        <v>11951.864472847999</v>
      </c>
      <c r="J85" s="30">
        <v>0</v>
      </c>
      <c r="K85" s="30">
        <f t="shared" si="6"/>
        <v>0</v>
      </c>
      <c r="L85" s="25">
        <f t="shared" si="7"/>
        <v>11951.864472847999</v>
      </c>
      <c r="M85" s="26"/>
      <c r="N85" s="203">
        <v>0.93490804699999996</v>
      </c>
    </row>
    <row r="86" spans="1:14" ht="18.95" customHeight="1">
      <c r="A86" s="233">
        <f t="shared" si="8"/>
        <v>54</v>
      </c>
      <c r="B86" s="321" t="s">
        <v>3768</v>
      </c>
      <c r="C86" s="322" t="s">
        <v>3769</v>
      </c>
      <c r="D86" s="323"/>
      <c r="E86" s="54">
        <v>1</v>
      </c>
      <c r="F86" s="55" t="s">
        <v>349</v>
      </c>
      <c r="G86" s="54">
        <v>120000</v>
      </c>
      <c r="H86" s="25">
        <f t="shared" si="4"/>
        <v>112188.96563999999</v>
      </c>
      <c r="I86" s="25">
        <f t="shared" si="9"/>
        <v>112188.96563999999</v>
      </c>
      <c r="J86" s="146">
        <v>0</v>
      </c>
      <c r="K86" s="146">
        <f t="shared" si="6"/>
        <v>0</v>
      </c>
      <c r="L86" s="54">
        <f t="shared" si="7"/>
        <v>112188.96563999999</v>
      </c>
      <c r="M86" s="26"/>
      <c r="N86" s="203">
        <v>0.93490804699999996</v>
      </c>
    </row>
    <row r="87" spans="1:14" ht="18.95" customHeight="1">
      <c r="A87" s="237"/>
      <c r="B87" s="359"/>
      <c r="C87" s="16"/>
      <c r="D87" s="379"/>
      <c r="E87" s="18"/>
      <c r="F87" s="19"/>
      <c r="G87" s="18"/>
      <c r="H87" s="25"/>
      <c r="I87" s="18"/>
      <c r="J87" s="20"/>
      <c r="K87" s="20"/>
      <c r="L87" s="18"/>
      <c r="M87" s="19"/>
      <c r="N87" s="203">
        <v>0.93490804699999996</v>
      </c>
    </row>
    <row r="88" spans="1:14" ht="18.95" customHeight="1">
      <c r="A88" s="28">
        <f>A86+1</f>
        <v>55</v>
      </c>
      <c r="B88" s="27" t="s">
        <v>3770</v>
      </c>
      <c r="C88" s="29" t="s">
        <v>3771</v>
      </c>
      <c r="D88" s="267" t="s">
        <v>3772</v>
      </c>
      <c r="E88" s="25">
        <v>25</v>
      </c>
      <c r="F88" s="26" t="s">
        <v>349</v>
      </c>
      <c r="G88" s="25">
        <v>5700</v>
      </c>
      <c r="H88" s="25">
        <f t="shared" si="4"/>
        <v>5328.9758678999997</v>
      </c>
      <c r="I88" s="25">
        <f>H88*E88</f>
        <v>133224.39669749999</v>
      </c>
      <c r="J88" s="30">
        <v>0</v>
      </c>
      <c r="K88" s="30">
        <f t="shared" ref="K88:K114" si="10">J88*E88</f>
        <v>0</v>
      </c>
      <c r="L88" s="25">
        <f t="shared" ref="L88:L114" si="11">I88+K88</f>
        <v>133224.39669749999</v>
      </c>
      <c r="M88" s="26"/>
      <c r="N88" s="203">
        <v>0.93490804699999996</v>
      </c>
    </row>
    <row r="89" spans="1:14" ht="18.95" customHeight="1">
      <c r="A89" s="28">
        <f t="shared" ref="A89:A114" si="12">A88+1</f>
        <v>56</v>
      </c>
      <c r="B89" s="27" t="s">
        <v>3773</v>
      </c>
      <c r="C89" s="29" t="s">
        <v>3774</v>
      </c>
      <c r="D89" s="267"/>
      <c r="E89" s="25">
        <v>17</v>
      </c>
      <c r="F89" s="26" t="s">
        <v>349</v>
      </c>
      <c r="G89" s="25">
        <v>3992</v>
      </c>
      <c r="H89" s="25">
        <f t="shared" si="4"/>
        <v>3732.1529236239999</v>
      </c>
      <c r="I89" s="25">
        <f t="shared" ref="I89:I114" si="13">H89*E89</f>
        <v>63446.599701608</v>
      </c>
      <c r="J89" s="30">
        <v>0</v>
      </c>
      <c r="K89" s="30">
        <f t="shared" si="10"/>
        <v>0</v>
      </c>
      <c r="L89" s="25">
        <f t="shared" si="11"/>
        <v>63446.599701608</v>
      </c>
      <c r="M89" s="26"/>
      <c r="N89" s="203">
        <v>0.93490804699999996</v>
      </c>
    </row>
    <row r="90" spans="1:14" ht="18.95" customHeight="1">
      <c r="A90" s="28">
        <f t="shared" si="12"/>
        <v>57</v>
      </c>
      <c r="B90" s="27" t="s">
        <v>3775</v>
      </c>
      <c r="C90" s="29" t="s">
        <v>3776</v>
      </c>
      <c r="D90" s="267" t="s">
        <v>3777</v>
      </c>
      <c r="E90" s="25">
        <v>6</v>
      </c>
      <c r="F90" s="26" t="s">
        <v>349</v>
      </c>
      <c r="G90" s="25">
        <f>59000*0.6</f>
        <v>35400</v>
      </c>
      <c r="H90" s="25">
        <f t="shared" si="4"/>
        <v>33095.744863799999</v>
      </c>
      <c r="I90" s="25">
        <f t="shared" si="13"/>
        <v>198574.46918279998</v>
      </c>
      <c r="J90" s="30">
        <v>0</v>
      </c>
      <c r="K90" s="30">
        <f t="shared" si="10"/>
        <v>0</v>
      </c>
      <c r="L90" s="25">
        <f t="shared" si="11"/>
        <v>198574.46918279998</v>
      </c>
      <c r="M90" s="26"/>
      <c r="N90" s="203">
        <v>0.93490804699999996</v>
      </c>
    </row>
    <row r="91" spans="1:14" ht="18.95" customHeight="1">
      <c r="A91" s="28">
        <f t="shared" si="12"/>
        <v>58</v>
      </c>
      <c r="B91" s="27" t="s">
        <v>3778</v>
      </c>
      <c r="C91" s="29" t="s">
        <v>3779</v>
      </c>
      <c r="D91" s="267" t="s">
        <v>3780</v>
      </c>
      <c r="E91" s="25">
        <v>4</v>
      </c>
      <c r="F91" s="26" t="s">
        <v>349</v>
      </c>
      <c r="G91" s="25">
        <f>14500*0.85</f>
        <v>12325</v>
      </c>
      <c r="H91" s="25">
        <f t="shared" si="4"/>
        <v>11522.741679274999</v>
      </c>
      <c r="I91" s="25">
        <f t="shared" si="13"/>
        <v>46090.966717099996</v>
      </c>
      <c r="J91" s="30">
        <v>0</v>
      </c>
      <c r="K91" s="30">
        <f t="shared" si="10"/>
        <v>0</v>
      </c>
      <c r="L91" s="25">
        <f t="shared" si="11"/>
        <v>46090.966717099996</v>
      </c>
      <c r="M91" s="26"/>
      <c r="N91" s="203">
        <v>0.93490804699999996</v>
      </c>
    </row>
    <row r="92" spans="1:14" ht="18.95" customHeight="1">
      <c r="A92" s="28">
        <f t="shared" si="12"/>
        <v>59</v>
      </c>
      <c r="B92" s="27" t="s">
        <v>3781</v>
      </c>
      <c r="C92" s="29" t="s">
        <v>3782</v>
      </c>
      <c r="D92" s="267"/>
      <c r="E92" s="25">
        <v>2</v>
      </c>
      <c r="F92" s="26" t="s">
        <v>349</v>
      </c>
      <c r="G92" s="25">
        <f>13200*0.6</f>
        <v>7920</v>
      </c>
      <c r="H92" s="25">
        <f t="shared" si="4"/>
        <v>7404.4717322400002</v>
      </c>
      <c r="I92" s="25">
        <f t="shared" si="13"/>
        <v>14808.94346448</v>
      </c>
      <c r="J92" s="30">
        <v>0</v>
      </c>
      <c r="K92" s="30">
        <f t="shared" si="10"/>
        <v>0</v>
      </c>
      <c r="L92" s="25">
        <f t="shared" si="11"/>
        <v>14808.94346448</v>
      </c>
      <c r="M92" s="26"/>
      <c r="N92" s="203">
        <v>0.93490804699999996</v>
      </c>
    </row>
    <row r="93" spans="1:14" ht="18.95" customHeight="1">
      <c r="A93" s="28">
        <f t="shared" si="12"/>
        <v>60</v>
      </c>
      <c r="B93" s="27" t="s">
        <v>3783</v>
      </c>
      <c r="C93" s="29" t="s">
        <v>3784</v>
      </c>
      <c r="D93" s="267" t="s">
        <v>3785</v>
      </c>
      <c r="E93" s="25">
        <v>3</v>
      </c>
      <c r="F93" s="26" t="s">
        <v>349</v>
      </c>
      <c r="G93" s="25">
        <v>111000</v>
      </c>
      <c r="H93" s="25">
        <f t="shared" si="4"/>
        <v>103774.793217</v>
      </c>
      <c r="I93" s="25">
        <f t="shared" si="13"/>
        <v>311324.37965100002</v>
      </c>
      <c r="J93" s="30">
        <v>0</v>
      </c>
      <c r="K93" s="30">
        <f t="shared" si="10"/>
        <v>0</v>
      </c>
      <c r="L93" s="25">
        <f t="shared" si="11"/>
        <v>311324.37965100002</v>
      </c>
      <c r="M93" s="26"/>
      <c r="N93" s="203">
        <v>0.93490804699999996</v>
      </c>
    </row>
    <row r="94" spans="1:14" ht="18.95" customHeight="1">
      <c r="A94" s="28">
        <f t="shared" si="12"/>
        <v>61</v>
      </c>
      <c r="B94" s="27" t="s">
        <v>3786</v>
      </c>
      <c r="C94" s="29" t="s">
        <v>3787</v>
      </c>
      <c r="D94" s="267" t="s">
        <v>3788</v>
      </c>
      <c r="E94" s="25">
        <v>3</v>
      </c>
      <c r="F94" s="26" t="s">
        <v>349</v>
      </c>
      <c r="G94" s="25">
        <v>24000</v>
      </c>
      <c r="H94" s="25">
        <f t="shared" si="4"/>
        <v>22437.793127999998</v>
      </c>
      <c r="I94" s="25">
        <f t="shared" si="13"/>
        <v>67313.379384</v>
      </c>
      <c r="J94" s="30">
        <v>0</v>
      </c>
      <c r="K94" s="30">
        <f t="shared" si="10"/>
        <v>0</v>
      </c>
      <c r="L94" s="25">
        <f t="shared" si="11"/>
        <v>67313.379384</v>
      </c>
      <c r="M94" s="26"/>
      <c r="N94" s="203">
        <v>0.93490804699999996</v>
      </c>
    </row>
    <row r="95" spans="1:14" ht="18.95" customHeight="1">
      <c r="A95" s="28">
        <f t="shared" si="12"/>
        <v>62</v>
      </c>
      <c r="B95" s="27" t="s">
        <v>3789</v>
      </c>
      <c r="C95" s="29" t="s">
        <v>3787</v>
      </c>
      <c r="D95" s="267" t="s">
        <v>3790</v>
      </c>
      <c r="E95" s="25">
        <v>3</v>
      </c>
      <c r="F95" s="26" t="s">
        <v>349</v>
      </c>
      <c r="G95" s="25">
        <v>31300</v>
      </c>
      <c r="H95" s="25">
        <f t="shared" si="4"/>
        <v>29262.6218711</v>
      </c>
      <c r="I95" s="25">
        <f t="shared" si="13"/>
        <v>87787.865613300004</v>
      </c>
      <c r="J95" s="30">
        <v>0</v>
      </c>
      <c r="K95" s="30">
        <f t="shared" si="10"/>
        <v>0</v>
      </c>
      <c r="L95" s="25">
        <f t="shared" si="11"/>
        <v>87787.865613300004</v>
      </c>
      <c r="M95" s="26"/>
      <c r="N95" s="203">
        <v>0.93490804699999996</v>
      </c>
    </row>
    <row r="96" spans="1:14" ht="18.95" customHeight="1">
      <c r="A96" s="28">
        <f t="shared" si="12"/>
        <v>63</v>
      </c>
      <c r="B96" s="27" t="s">
        <v>3791</v>
      </c>
      <c r="C96" s="29" t="s">
        <v>3787</v>
      </c>
      <c r="D96" s="267" t="s">
        <v>3792</v>
      </c>
      <c r="E96" s="25">
        <v>3</v>
      </c>
      <c r="F96" s="26" t="s">
        <v>349</v>
      </c>
      <c r="G96" s="25">
        <v>37800</v>
      </c>
      <c r="H96" s="25">
        <f t="shared" si="4"/>
        <v>35339.524176599996</v>
      </c>
      <c r="I96" s="25">
        <f t="shared" si="13"/>
        <v>106018.57252979999</v>
      </c>
      <c r="J96" s="30">
        <v>0</v>
      </c>
      <c r="K96" s="30">
        <f t="shared" si="10"/>
        <v>0</v>
      </c>
      <c r="L96" s="25">
        <f t="shared" si="11"/>
        <v>106018.57252979999</v>
      </c>
      <c r="M96" s="26"/>
      <c r="N96" s="203">
        <v>0.93490804699999996</v>
      </c>
    </row>
    <row r="97" spans="1:14" ht="18.95" customHeight="1">
      <c r="A97" s="28">
        <f t="shared" si="12"/>
        <v>64</v>
      </c>
      <c r="B97" s="27" t="s">
        <v>3793</v>
      </c>
      <c r="C97" s="29" t="s">
        <v>3794</v>
      </c>
      <c r="D97" s="267" t="s">
        <v>3777</v>
      </c>
      <c r="E97" s="25">
        <v>2</v>
      </c>
      <c r="F97" s="26" t="s">
        <v>349</v>
      </c>
      <c r="G97" s="25">
        <f>77200*0.6</f>
        <v>46320</v>
      </c>
      <c r="H97" s="25">
        <f t="shared" ref="H97:H160" si="14">G97*N97</f>
        <v>43304.94073704</v>
      </c>
      <c r="I97" s="25">
        <f t="shared" si="13"/>
        <v>86609.881474080001</v>
      </c>
      <c r="J97" s="30">
        <v>0</v>
      </c>
      <c r="K97" s="30">
        <f t="shared" si="10"/>
        <v>0</v>
      </c>
      <c r="L97" s="25">
        <f t="shared" si="11"/>
        <v>86609.881474080001</v>
      </c>
      <c r="M97" s="26"/>
      <c r="N97" s="203">
        <v>0.93490804699999996</v>
      </c>
    </row>
    <row r="98" spans="1:14" ht="18.95" customHeight="1">
      <c r="A98" s="28">
        <f t="shared" si="12"/>
        <v>65</v>
      </c>
      <c r="B98" s="27" t="s">
        <v>3795</v>
      </c>
      <c r="C98" s="29" t="s">
        <v>3796</v>
      </c>
      <c r="D98" s="267" t="s">
        <v>3797</v>
      </c>
      <c r="E98" s="25">
        <v>1</v>
      </c>
      <c r="F98" s="26" t="s">
        <v>349</v>
      </c>
      <c r="G98" s="25">
        <v>15170</v>
      </c>
      <c r="H98" s="25">
        <f t="shared" si="14"/>
        <v>14182.555072989999</v>
      </c>
      <c r="I98" s="25">
        <f t="shared" si="13"/>
        <v>14182.555072989999</v>
      </c>
      <c r="J98" s="30">
        <v>0</v>
      </c>
      <c r="K98" s="30">
        <f t="shared" si="10"/>
        <v>0</v>
      </c>
      <c r="L98" s="25">
        <f t="shared" si="11"/>
        <v>14182.555072989999</v>
      </c>
      <c r="M98" s="26"/>
      <c r="N98" s="203">
        <v>0.93490804699999996</v>
      </c>
    </row>
    <row r="99" spans="1:14" ht="18.95" customHeight="1">
      <c r="A99" s="28">
        <f t="shared" si="12"/>
        <v>66</v>
      </c>
      <c r="B99" s="27" t="s">
        <v>3798</v>
      </c>
      <c r="C99" s="29" t="s">
        <v>3799</v>
      </c>
      <c r="D99" s="267" t="s">
        <v>3800</v>
      </c>
      <c r="E99" s="25">
        <v>2</v>
      </c>
      <c r="F99" s="26" t="s">
        <v>349</v>
      </c>
      <c r="G99" s="25">
        <v>37335</v>
      </c>
      <c r="H99" s="25">
        <f t="shared" si="14"/>
        <v>34904.791934745001</v>
      </c>
      <c r="I99" s="25">
        <f t="shared" si="13"/>
        <v>69809.583869490001</v>
      </c>
      <c r="J99" s="30">
        <v>0</v>
      </c>
      <c r="K99" s="30">
        <f t="shared" si="10"/>
        <v>0</v>
      </c>
      <c r="L99" s="25">
        <f t="shared" si="11"/>
        <v>69809.583869490001</v>
      </c>
      <c r="M99" s="26"/>
      <c r="N99" s="203">
        <v>0.93490804699999996</v>
      </c>
    </row>
    <row r="100" spans="1:14" ht="18.95" customHeight="1">
      <c r="A100" s="28">
        <f t="shared" si="12"/>
        <v>67</v>
      </c>
      <c r="B100" s="27" t="s">
        <v>3801</v>
      </c>
      <c r="C100" s="29" t="s">
        <v>3802</v>
      </c>
      <c r="D100" s="267" t="s">
        <v>3803</v>
      </c>
      <c r="E100" s="25">
        <v>2</v>
      </c>
      <c r="F100" s="26" t="s">
        <v>349</v>
      </c>
      <c r="G100" s="25">
        <v>24197</v>
      </c>
      <c r="H100" s="25">
        <f t="shared" si="14"/>
        <v>22621.970013259001</v>
      </c>
      <c r="I100" s="25">
        <f t="shared" si="13"/>
        <v>45243.940026518001</v>
      </c>
      <c r="J100" s="30">
        <v>0</v>
      </c>
      <c r="K100" s="30">
        <f t="shared" si="10"/>
        <v>0</v>
      </c>
      <c r="L100" s="25">
        <f t="shared" si="11"/>
        <v>45243.940026518001</v>
      </c>
      <c r="M100" s="26"/>
      <c r="N100" s="203">
        <v>0.93490804699999996</v>
      </c>
    </row>
    <row r="101" spans="1:14" ht="18.95" customHeight="1">
      <c r="A101" s="28">
        <f t="shared" si="12"/>
        <v>68</v>
      </c>
      <c r="B101" s="27" t="s">
        <v>3804</v>
      </c>
      <c r="C101" s="29" t="s">
        <v>3663</v>
      </c>
      <c r="D101" s="267"/>
      <c r="E101" s="25">
        <v>3</v>
      </c>
      <c r="F101" s="26" t="s">
        <v>349</v>
      </c>
      <c r="G101" s="25">
        <v>12806</v>
      </c>
      <c r="H101" s="25">
        <f t="shared" si="14"/>
        <v>11972.432449881999</v>
      </c>
      <c r="I101" s="25">
        <f t="shared" si="13"/>
        <v>35917.297349645996</v>
      </c>
      <c r="J101" s="30">
        <v>0</v>
      </c>
      <c r="K101" s="30">
        <f t="shared" si="10"/>
        <v>0</v>
      </c>
      <c r="L101" s="25">
        <f t="shared" si="11"/>
        <v>35917.297349645996</v>
      </c>
      <c r="M101" s="26"/>
      <c r="N101" s="203">
        <v>0.93490804699999996</v>
      </c>
    </row>
    <row r="102" spans="1:14" ht="18.95" customHeight="1">
      <c r="A102" s="28">
        <f t="shared" si="12"/>
        <v>69</v>
      </c>
      <c r="B102" s="27" t="s">
        <v>3805</v>
      </c>
      <c r="C102" s="29" t="s">
        <v>3806</v>
      </c>
      <c r="D102" s="267"/>
      <c r="E102" s="25">
        <v>10</v>
      </c>
      <c r="F102" s="26" t="s">
        <v>349</v>
      </c>
      <c r="G102" s="25">
        <f>9300*0.6</f>
        <v>5580</v>
      </c>
      <c r="H102" s="25">
        <f t="shared" si="14"/>
        <v>5216.7869022599998</v>
      </c>
      <c r="I102" s="25">
        <f t="shared" si="13"/>
        <v>52167.869022599996</v>
      </c>
      <c r="J102" s="30">
        <v>0</v>
      </c>
      <c r="K102" s="30">
        <f t="shared" si="10"/>
        <v>0</v>
      </c>
      <c r="L102" s="25">
        <f t="shared" si="11"/>
        <v>52167.869022599996</v>
      </c>
      <c r="M102" s="26"/>
      <c r="N102" s="203">
        <v>0.93490804699999996</v>
      </c>
    </row>
    <row r="103" spans="1:14" ht="18.95" customHeight="1">
      <c r="A103" s="28">
        <f t="shared" si="12"/>
        <v>70</v>
      </c>
      <c r="B103" s="27" t="s">
        <v>3807</v>
      </c>
      <c r="C103" s="29" t="s">
        <v>3808</v>
      </c>
      <c r="D103" s="267"/>
      <c r="E103" s="25">
        <v>10</v>
      </c>
      <c r="F103" s="26" t="s">
        <v>349</v>
      </c>
      <c r="G103" s="25">
        <f>7200*0.6</f>
        <v>4320</v>
      </c>
      <c r="H103" s="25">
        <f t="shared" si="14"/>
        <v>4038.8027630399997</v>
      </c>
      <c r="I103" s="25">
        <f t="shared" si="13"/>
        <v>40388.0276304</v>
      </c>
      <c r="J103" s="30">
        <v>0</v>
      </c>
      <c r="K103" s="30">
        <f t="shared" si="10"/>
        <v>0</v>
      </c>
      <c r="L103" s="25">
        <f t="shared" si="11"/>
        <v>40388.0276304</v>
      </c>
      <c r="M103" s="26"/>
      <c r="N103" s="203">
        <v>0.93490804699999996</v>
      </c>
    </row>
    <row r="104" spans="1:14" ht="18.95" customHeight="1">
      <c r="A104" s="28">
        <f t="shared" si="12"/>
        <v>71</v>
      </c>
      <c r="B104" s="27" t="s">
        <v>3809</v>
      </c>
      <c r="C104" s="29" t="s">
        <v>3810</v>
      </c>
      <c r="D104" s="267"/>
      <c r="E104" s="25">
        <v>24</v>
      </c>
      <c r="F104" s="26" t="s">
        <v>349</v>
      </c>
      <c r="G104" s="25">
        <f>20800*0.6</f>
        <v>12480</v>
      </c>
      <c r="H104" s="25">
        <f t="shared" si="14"/>
        <v>11667.65242656</v>
      </c>
      <c r="I104" s="25">
        <f t="shared" si="13"/>
        <v>280023.65823743999</v>
      </c>
      <c r="J104" s="30">
        <v>0</v>
      </c>
      <c r="K104" s="30">
        <f t="shared" si="10"/>
        <v>0</v>
      </c>
      <c r="L104" s="25">
        <f t="shared" si="11"/>
        <v>280023.65823743999</v>
      </c>
      <c r="M104" s="26"/>
      <c r="N104" s="203">
        <v>0.93490804699999996</v>
      </c>
    </row>
    <row r="105" spans="1:14" ht="18.95" customHeight="1">
      <c r="A105" s="28">
        <f t="shared" si="12"/>
        <v>72</v>
      </c>
      <c r="B105" s="27" t="s">
        <v>3811</v>
      </c>
      <c r="C105" s="29" t="s">
        <v>3812</v>
      </c>
      <c r="D105" s="267"/>
      <c r="E105" s="25">
        <v>12</v>
      </c>
      <c r="F105" s="26" t="s">
        <v>349</v>
      </c>
      <c r="G105" s="25">
        <f>8200*0.6</f>
        <v>4920</v>
      </c>
      <c r="H105" s="25">
        <f t="shared" si="14"/>
        <v>4599.7475912399996</v>
      </c>
      <c r="I105" s="25">
        <f t="shared" si="13"/>
        <v>55196.971094879991</v>
      </c>
      <c r="J105" s="30">
        <v>0</v>
      </c>
      <c r="K105" s="30">
        <f t="shared" si="10"/>
        <v>0</v>
      </c>
      <c r="L105" s="25">
        <f t="shared" si="11"/>
        <v>55196.971094879991</v>
      </c>
      <c r="M105" s="26"/>
      <c r="N105" s="203">
        <v>0.93490804699999996</v>
      </c>
    </row>
    <row r="106" spans="1:14" ht="18.95" customHeight="1">
      <c r="A106" s="28">
        <f t="shared" si="12"/>
        <v>73</v>
      </c>
      <c r="B106" s="27" t="s">
        <v>3813</v>
      </c>
      <c r="C106" s="29" t="s">
        <v>3678</v>
      </c>
      <c r="D106" s="267"/>
      <c r="E106" s="25">
        <v>60</v>
      </c>
      <c r="F106" s="26" t="s">
        <v>349</v>
      </c>
      <c r="G106" s="25">
        <v>9620</v>
      </c>
      <c r="H106" s="25">
        <f t="shared" si="14"/>
        <v>8993.8154121400003</v>
      </c>
      <c r="I106" s="25">
        <f t="shared" si="13"/>
        <v>539628.92472840007</v>
      </c>
      <c r="J106" s="30">
        <v>0</v>
      </c>
      <c r="K106" s="30">
        <f t="shared" si="10"/>
        <v>0</v>
      </c>
      <c r="L106" s="25">
        <f t="shared" si="11"/>
        <v>539628.92472840007</v>
      </c>
      <c r="M106" s="26"/>
      <c r="N106" s="203">
        <v>0.93490804699999996</v>
      </c>
    </row>
    <row r="107" spans="1:14" ht="18.95" customHeight="1">
      <c r="A107" s="28">
        <f t="shared" si="12"/>
        <v>74</v>
      </c>
      <c r="B107" s="27" t="s">
        <v>3814</v>
      </c>
      <c r="C107" s="29" t="s">
        <v>3815</v>
      </c>
      <c r="D107" s="267"/>
      <c r="E107" s="25">
        <v>2</v>
      </c>
      <c r="F107" s="26" t="s">
        <v>349</v>
      </c>
      <c r="G107" s="25">
        <v>6973</v>
      </c>
      <c r="H107" s="25">
        <f t="shared" si="14"/>
        <v>6519.1138117310002</v>
      </c>
      <c r="I107" s="25">
        <f t="shared" si="13"/>
        <v>13038.227623462</v>
      </c>
      <c r="J107" s="30">
        <v>0</v>
      </c>
      <c r="K107" s="30">
        <f t="shared" si="10"/>
        <v>0</v>
      </c>
      <c r="L107" s="25">
        <f t="shared" si="11"/>
        <v>13038.227623462</v>
      </c>
      <c r="M107" s="26"/>
      <c r="N107" s="203">
        <v>0.93490804699999996</v>
      </c>
    </row>
    <row r="108" spans="1:14" ht="18.95" customHeight="1">
      <c r="A108" s="28">
        <f t="shared" si="12"/>
        <v>75</v>
      </c>
      <c r="B108" s="27" t="s">
        <v>3816</v>
      </c>
      <c r="C108" s="29" t="s">
        <v>3817</v>
      </c>
      <c r="D108" s="267"/>
      <c r="E108" s="25">
        <v>6</v>
      </c>
      <c r="F108" s="26" t="s">
        <v>349</v>
      </c>
      <c r="G108" s="25">
        <v>4523</v>
      </c>
      <c r="H108" s="25">
        <f t="shared" si="14"/>
        <v>4228.5890965809995</v>
      </c>
      <c r="I108" s="25">
        <f t="shared" si="13"/>
        <v>25371.534579485997</v>
      </c>
      <c r="J108" s="30">
        <v>0</v>
      </c>
      <c r="K108" s="30">
        <f t="shared" si="10"/>
        <v>0</v>
      </c>
      <c r="L108" s="25">
        <f t="shared" si="11"/>
        <v>25371.534579485997</v>
      </c>
      <c r="M108" s="26"/>
      <c r="N108" s="203">
        <v>0.93490804699999996</v>
      </c>
    </row>
    <row r="109" spans="1:14" ht="18.95" customHeight="1">
      <c r="A109" s="380">
        <f t="shared" si="12"/>
        <v>76</v>
      </c>
      <c r="B109" s="381" t="s">
        <v>3818</v>
      </c>
      <c r="C109" s="382" t="s">
        <v>3819</v>
      </c>
      <c r="D109" s="383"/>
      <c r="E109" s="242">
        <v>4</v>
      </c>
      <c r="F109" s="384" t="s">
        <v>349</v>
      </c>
      <c r="G109" s="242">
        <v>8400</v>
      </c>
      <c r="H109" s="242">
        <f t="shared" si="14"/>
        <v>7853.2275947999997</v>
      </c>
      <c r="I109" s="242">
        <f t="shared" si="13"/>
        <v>31412.910379199999</v>
      </c>
      <c r="J109" s="384">
        <v>0</v>
      </c>
      <c r="K109" s="384">
        <f t="shared" si="10"/>
        <v>0</v>
      </c>
      <c r="L109" s="242">
        <f t="shared" si="11"/>
        <v>31412.910379199999</v>
      </c>
      <c r="M109" s="384"/>
      <c r="N109" s="203">
        <v>0.93490804699999996</v>
      </c>
    </row>
    <row r="110" spans="1:14" ht="18.95" customHeight="1">
      <c r="A110" s="28">
        <f t="shared" si="12"/>
        <v>77</v>
      </c>
      <c r="B110" s="27" t="s">
        <v>3820</v>
      </c>
      <c r="C110" s="29" t="s">
        <v>3821</v>
      </c>
      <c r="D110" s="267"/>
      <c r="E110" s="25">
        <v>3</v>
      </c>
      <c r="F110" s="26" t="s">
        <v>349</v>
      </c>
      <c r="G110" s="25">
        <v>28400</v>
      </c>
      <c r="H110" s="25">
        <f t="shared" si="14"/>
        <v>26551.3885348</v>
      </c>
      <c r="I110" s="25">
        <f t="shared" si="13"/>
        <v>79654.165604399997</v>
      </c>
      <c r="J110" s="30">
        <v>0</v>
      </c>
      <c r="K110" s="30">
        <f t="shared" si="10"/>
        <v>0</v>
      </c>
      <c r="L110" s="25">
        <f t="shared" si="11"/>
        <v>79654.165604399997</v>
      </c>
      <c r="M110" s="26"/>
      <c r="N110" s="203">
        <v>0.93490804699999996</v>
      </c>
    </row>
    <row r="111" spans="1:14" ht="18.95" customHeight="1">
      <c r="A111" s="28">
        <f t="shared" si="12"/>
        <v>78</v>
      </c>
      <c r="B111" s="27" t="s">
        <v>3822</v>
      </c>
      <c r="C111" s="29" t="s">
        <v>3823</v>
      </c>
      <c r="D111" s="267"/>
      <c r="E111" s="25">
        <v>2</v>
      </c>
      <c r="F111" s="26" t="s">
        <v>349</v>
      </c>
      <c r="G111" s="25">
        <v>4902</v>
      </c>
      <c r="H111" s="25">
        <f t="shared" si="14"/>
        <v>4582.9192463939999</v>
      </c>
      <c r="I111" s="25">
        <f t="shared" si="13"/>
        <v>9165.8384927879997</v>
      </c>
      <c r="J111" s="30">
        <v>0</v>
      </c>
      <c r="K111" s="30">
        <f t="shared" si="10"/>
        <v>0</v>
      </c>
      <c r="L111" s="25">
        <f t="shared" si="11"/>
        <v>9165.8384927879997</v>
      </c>
      <c r="M111" s="26"/>
      <c r="N111" s="203">
        <v>0.93490804699999996</v>
      </c>
    </row>
    <row r="112" spans="1:14" ht="18.95" customHeight="1">
      <c r="A112" s="28">
        <f t="shared" si="12"/>
        <v>79</v>
      </c>
      <c r="B112" s="27" t="s">
        <v>3824</v>
      </c>
      <c r="C112" s="29" t="s">
        <v>3825</v>
      </c>
      <c r="D112" s="267" t="s">
        <v>3826</v>
      </c>
      <c r="E112" s="25">
        <v>1</v>
      </c>
      <c r="F112" s="26" t="s">
        <v>349</v>
      </c>
      <c r="G112" s="25">
        <v>142642</v>
      </c>
      <c r="H112" s="25">
        <f t="shared" si="14"/>
        <v>133357.15364017399</v>
      </c>
      <c r="I112" s="25">
        <f t="shared" si="13"/>
        <v>133357.15364017399</v>
      </c>
      <c r="J112" s="30">
        <v>0</v>
      </c>
      <c r="K112" s="30">
        <f t="shared" si="10"/>
        <v>0</v>
      </c>
      <c r="L112" s="25">
        <f t="shared" si="11"/>
        <v>133357.15364017399</v>
      </c>
      <c r="M112" s="26"/>
      <c r="N112" s="203">
        <v>0.93490804699999996</v>
      </c>
    </row>
    <row r="113" spans="1:14" ht="18.95" customHeight="1">
      <c r="A113" s="28">
        <f t="shared" si="12"/>
        <v>80</v>
      </c>
      <c r="B113" s="27" t="s">
        <v>3827</v>
      </c>
      <c r="C113" s="29" t="s">
        <v>3686</v>
      </c>
      <c r="D113" s="267" t="s">
        <v>3828</v>
      </c>
      <c r="E113" s="25">
        <v>1</v>
      </c>
      <c r="F113" s="26" t="s">
        <v>349</v>
      </c>
      <c r="G113" s="25">
        <f>110000+82440+10800+26900</f>
        <v>230140</v>
      </c>
      <c r="H113" s="25">
        <f t="shared" si="14"/>
        <v>215159.73793658</v>
      </c>
      <c r="I113" s="25">
        <f t="shared" si="13"/>
        <v>215159.73793658</v>
      </c>
      <c r="J113" s="30">
        <v>0</v>
      </c>
      <c r="K113" s="30">
        <f t="shared" si="10"/>
        <v>0</v>
      </c>
      <c r="L113" s="25">
        <f t="shared" si="11"/>
        <v>215159.73793658</v>
      </c>
      <c r="M113" s="26"/>
      <c r="N113" s="203">
        <v>0.93490804699999996</v>
      </c>
    </row>
    <row r="114" spans="1:14" ht="18.95" customHeight="1">
      <c r="A114" s="233">
        <f t="shared" si="12"/>
        <v>81</v>
      </c>
      <c r="B114" s="321" t="s">
        <v>3829</v>
      </c>
      <c r="C114" s="322" t="s">
        <v>3830</v>
      </c>
      <c r="D114" s="323"/>
      <c r="E114" s="54">
        <v>10</v>
      </c>
      <c r="F114" s="55" t="s">
        <v>349</v>
      </c>
      <c r="G114" s="54">
        <f>12200*0.6</f>
        <v>7320</v>
      </c>
      <c r="H114" s="25">
        <f t="shared" si="14"/>
        <v>6843.5269040399999</v>
      </c>
      <c r="I114" s="25">
        <f t="shared" si="13"/>
        <v>68435.269040400002</v>
      </c>
      <c r="J114" s="146">
        <v>0</v>
      </c>
      <c r="K114" s="146">
        <f t="shared" si="10"/>
        <v>0</v>
      </c>
      <c r="L114" s="54">
        <f t="shared" si="11"/>
        <v>68435.269040400002</v>
      </c>
      <c r="M114" s="26"/>
      <c r="N114" s="203">
        <v>0.93490804699999996</v>
      </c>
    </row>
    <row r="115" spans="1:14" ht="18.95" customHeight="1">
      <c r="A115" s="237"/>
      <c r="B115" s="359"/>
      <c r="C115" s="16"/>
      <c r="D115" s="379"/>
      <c r="E115" s="18"/>
      <c r="F115" s="19"/>
      <c r="G115" s="18"/>
      <c r="H115" s="25"/>
      <c r="I115" s="18"/>
      <c r="J115" s="20"/>
      <c r="K115" s="20"/>
      <c r="L115" s="18"/>
      <c r="M115" s="19"/>
      <c r="N115" s="203">
        <v>0.93490804699999996</v>
      </c>
    </row>
    <row r="116" spans="1:14" ht="18.95" customHeight="1">
      <c r="A116" s="28">
        <f>A114+1</f>
        <v>82</v>
      </c>
      <c r="B116" s="27" t="s">
        <v>3831</v>
      </c>
      <c r="C116" s="29" t="s">
        <v>3832</v>
      </c>
      <c r="D116" s="267"/>
      <c r="E116" s="25">
        <v>4</v>
      </c>
      <c r="F116" s="26" t="s">
        <v>349</v>
      </c>
      <c r="G116" s="25">
        <v>4794</v>
      </c>
      <c r="H116" s="25">
        <f t="shared" si="14"/>
        <v>4481.9491773179998</v>
      </c>
      <c r="I116" s="25">
        <f>H116*E116</f>
        <v>17927.796709271999</v>
      </c>
      <c r="J116" s="30">
        <v>0</v>
      </c>
      <c r="K116" s="30">
        <f t="shared" ref="K116:K141" si="15">J116*E116</f>
        <v>0</v>
      </c>
      <c r="L116" s="25">
        <f t="shared" ref="L116:L141" si="16">I116+K116</f>
        <v>17927.796709271999</v>
      </c>
      <c r="M116" s="26"/>
      <c r="N116" s="203">
        <v>0.93490804699999996</v>
      </c>
    </row>
    <row r="117" spans="1:14" ht="18.95" customHeight="1">
      <c r="A117" s="28">
        <f t="shared" ref="A117:A141" si="17">A116+1</f>
        <v>83</v>
      </c>
      <c r="B117" s="27" t="s">
        <v>3833</v>
      </c>
      <c r="C117" s="29" t="s">
        <v>3834</v>
      </c>
      <c r="D117" s="267"/>
      <c r="E117" s="25">
        <v>4</v>
      </c>
      <c r="F117" s="26" t="s">
        <v>349</v>
      </c>
      <c r="G117" s="25">
        <v>5988</v>
      </c>
      <c r="H117" s="25">
        <f t="shared" si="14"/>
        <v>5598.2293854359996</v>
      </c>
      <c r="I117" s="25">
        <f t="shared" ref="I117:I169" si="18">H117*E117</f>
        <v>22392.917541743998</v>
      </c>
      <c r="J117" s="30">
        <v>0</v>
      </c>
      <c r="K117" s="30">
        <f t="shared" si="15"/>
        <v>0</v>
      </c>
      <c r="L117" s="25">
        <f t="shared" si="16"/>
        <v>22392.917541743998</v>
      </c>
      <c r="M117" s="26"/>
      <c r="N117" s="203">
        <v>0.93490804699999996</v>
      </c>
    </row>
    <row r="118" spans="1:14" ht="18.95" customHeight="1">
      <c r="A118" s="28">
        <f t="shared" si="17"/>
        <v>84</v>
      </c>
      <c r="B118" s="27" t="s">
        <v>3835</v>
      </c>
      <c r="C118" s="29" t="s">
        <v>3836</v>
      </c>
      <c r="D118" s="267"/>
      <c r="E118" s="25">
        <v>5</v>
      </c>
      <c r="F118" s="26" t="s">
        <v>349</v>
      </c>
      <c r="G118" s="25">
        <f>51360*0.6</f>
        <v>30816</v>
      </c>
      <c r="H118" s="25">
        <f t="shared" si="14"/>
        <v>28810.126376352</v>
      </c>
      <c r="I118" s="25">
        <f t="shared" si="18"/>
        <v>144050.63188176</v>
      </c>
      <c r="J118" s="30">
        <v>0</v>
      </c>
      <c r="K118" s="30">
        <f t="shared" si="15"/>
        <v>0</v>
      </c>
      <c r="L118" s="25">
        <f t="shared" si="16"/>
        <v>144050.63188176</v>
      </c>
      <c r="M118" s="26"/>
      <c r="N118" s="203">
        <v>0.93490804699999996</v>
      </c>
    </row>
    <row r="119" spans="1:14" ht="18.95" customHeight="1">
      <c r="A119" s="28">
        <f t="shared" si="17"/>
        <v>85</v>
      </c>
      <c r="B119" s="27" t="s">
        <v>3837</v>
      </c>
      <c r="C119" s="29" t="s">
        <v>3838</v>
      </c>
      <c r="D119" s="267" t="s">
        <v>3839</v>
      </c>
      <c r="E119" s="25">
        <v>24</v>
      </c>
      <c r="F119" s="26" t="s">
        <v>349</v>
      </c>
      <c r="G119" s="25">
        <f>16100*0.6</f>
        <v>9660</v>
      </c>
      <c r="H119" s="25">
        <f t="shared" si="14"/>
        <v>9031.2117340200002</v>
      </c>
      <c r="I119" s="25">
        <f t="shared" si="18"/>
        <v>216749.08161648002</v>
      </c>
      <c r="J119" s="30">
        <v>0</v>
      </c>
      <c r="K119" s="30">
        <f t="shared" si="15"/>
        <v>0</v>
      </c>
      <c r="L119" s="25">
        <f t="shared" si="16"/>
        <v>216749.08161648002</v>
      </c>
      <c r="M119" s="26"/>
      <c r="N119" s="203">
        <v>0.93490804699999996</v>
      </c>
    </row>
    <row r="120" spans="1:14" ht="18.95" customHeight="1">
      <c r="A120" s="28">
        <f t="shared" si="17"/>
        <v>86</v>
      </c>
      <c r="B120" s="27" t="s">
        <v>3840</v>
      </c>
      <c r="C120" s="29" t="s">
        <v>3841</v>
      </c>
      <c r="D120" s="267" t="s">
        <v>3842</v>
      </c>
      <c r="E120" s="25">
        <v>3</v>
      </c>
      <c r="F120" s="26" t="s">
        <v>349</v>
      </c>
      <c r="G120" s="25">
        <f>80300*0.6</f>
        <v>48180</v>
      </c>
      <c r="H120" s="25">
        <f t="shared" si="14"/>
        <v>45043.869704459998</v>
      </c>
      <c r="I120" s="25">
        <f t="shared" si="18"/>
        <v>135131.60911337999</v>
      </c>
      <c r="J120" s="30">
        <v>0</v>
      </c>
      <c r="K120" s="30">
        <f t="shared" si="15"/>
        <v>0</v>
      </c>
      <c r="L120" s="25">
        <f t="shared" si="16"/>
        <v>135131.60911337999</v>
      </c>
      <c r="M120" s="26"/>
      <c r="N120" s="203">
        <v>0.93490804699999996</v>
      </c>
    </row>
    <row r="121" spans="1:14" ht="18.95" customHeight="1">
      <c r="A121" s="28">
        <f t="shared" si="17"/>
        <v>87</v>
      </c>
      <c r="B121" s="27" t="s">
        <v>3843</v>
      </c>
      <c r="C121" s="29" t="s">
        <v>3796</v>
      </c>
      <c r="D121" s="267" t="s">
        <v>3844</v>
      </c>
      <c r="E121" s="25">
        <v>30</v>
      </c>
      <c r="F121" s="26" t="s">
        <v>349</v>
      </c>
      <c r="G121" s="25">
        <v>15170</v>
      </c>
      <c r="H121" s="25">
        <f t="shared" si="14"/>
        <v>14182.555072989999</v>
      </c>
      <c r="I121" s="25">
        <f t="shared" si="18"/>
        <v>425476.65218969993</v>
      </c>
      <c r="J121" s="30">
        <v>0</v>
      </c>
      <c r="K121" s="30">
        <f t="shared" si="15"/>
        <v>0</v>
      </c>
      <c r="L121" s="25">
        <f t="shared" si="16"/>
        <v>425476.65218969993</v>
      </c>
      <c r="M121" s="26"/>
      <c r="N121" s="203">
        <v>0.93490804699999996</v>
      </c>
    </row>
    <row r="122" spans="1:14" ht="18.95" customHeight="1">
      <c r="A122" s="28">
        <f t="shared" si="17"/>
        <v>88</v>
      </c>
      <c r="B122" s="27" t="s">
        <v>3845</v>
      </c>
      <c r="C122" s="29" t="s">
        <v>3846</v>
      </c>
      <c r="D122" s="267" t="s">
        <v>3847</v>
      </c>
      <c r="E122" s="25">
        <v>1</v>
      </c>
      <c r="F122" s="26" t="s">
        <v>349</v>
      </c>
      <c r="G122" s="25">
        <v>20475</v>
      </c>
      <c r="H122" s="25">
        <f t="shared" si="14"/>
        <v>19142.242262324999</v>
      </c>
      <c r="I122" s="25">
        <f t="shared" si="18"/>
        <v>19142.242262324999</v>
      </c>
      <c r="J122" s="30">
        <v>0</v>
      </c>
      <c r="K122" s="30">
        <f t="shared" si="15"/>
        <v>0</v>
      </c>
      <c r="L122" s="25">
        <f t="shared" si="16"/>
        <v>19142.242262324999</v>
      </c>
      <c r="M122" s="26"/>
      <c r="N122" s="203">
        <v>0.93490804699999996</v>
      </c>
    </row>
    <row r="123" spans="1:14" ht="18.95" customHeight="1">
      <c r="A123" s="28">
        <f t="shared" si="17"/>
        <v>89</v>
      </c>
      <c r="B123" s="27" t="s">
        <v>3848</v>
      </c>
      <c r="C123" s="29" t="s">
        <v>3819</v>
      </c>
      <c r="D123" s="267"/>
      <c r="E123" s="25">
        <v>79</v>
      </c>
      <c r="F123" s="26" t="s">
        <v>349</v>
      </c>
      <c r="G123" s="25">
        <v>8400</v>
      </c>
      <c r="H123" s="25">
        <f t="shared" si="14"/>
        <v>7853.2275947999997</v>
      </c>
      <c r="I123" s="25">
        <f t="shared" si="18"/>
        <v>620404.97998920002</v>
      </c>
      <c r="J123" s="30">
        <v>0</v>
      </c>
      <c r="K123" s="30">
        <f t="shared" si="15"/>
        <v>0</v>
      </c>
      <c r="L123" s="25">
        <f t="shared" si="16"/>
        <v>620404.97998920002</v>
      </c>
      <c r="M123" s="26"/>
      <c r="N123" s="203">
        <v>0.93490804699999996</v>
      </c>
    </row>
    <row r="124" spans="1:14" ht="18.95" customHeight="1">
      <c r="A124" s="28">
        <f t="shared" si="17"/>
        <v>90</v>
      </c>
      <c r="B124" s="27" t="s">
        <v>3849</v>
      </c>
      <c r="C124" s="29" t="s">
        <v>3850</v>
      </c>
      <c r="D124" s="267"/>
      <c r="E124" s="25">
        <v>34</v>
      </c>
      <c r="F124" s="26" t="s">
        <v>349</v>
      </c>
      <c r="G124" s="25">
        <v>14000</v>
      </c>
      <c r="H124" s="25">
        <f t="shared" si="14"/>
        <v>13088.712658</v>
      </c>
      <c r="I124" s="25">
        <f t="shared" si="18"/>
        <v>445016.23037200002</v>
      </c>
      <c r="J124" s="30">
        <v>0</v>
      </c>
      <c r="K124" s="30">
        <f t="shared" si="15"/>
        <v>0</v>
      </c>
      <c r="L124" s="25">
        <f t="shared" si="16"/>
        <v>445016.23037200002</v>
      </c>
      <c r="M124" s="26"/>
      <c r="N124" s="203">
        <v>0.93490804699999996</v>
      </c>
    </row>
    <row r="125" spans="1:14" ht="18.95" customHeight="1">
      <c r="A125" s="28">
        <f t="shared" si="17"/>
        <v>91</v>
      </c>
      <c r="B125" s="27" t="s">
        <v>3851</v>
      </c>
      <c r="C125" s="29" t="s">
        <v>3850</v>
      </c>
      <c r="D125" s="267"/>
      <c r="E125" s="25">
        <v>20</v>
      </c>
      <c r="F125" s="26" t="s">
        <v>349</v>
      </c>
      <c r="G125" s="25">
        <v>22800</v>
      </c>
      <c r="H125" s="25">
        <f t="shared" si="14"/>
        <v>21315.903471599999</v>
      </c>
      <c r="I125" s="25">
        <f t="shared" si="18"/>
        <v>426318.06943199999</v>
      </c>
      <c r="J125" s="30">
        <v>0</v>
      </c>
      <c r="K125" s="30">
        <f t="shared" si="15"/>
        <v>0</v>
      </c>
      <c r="L125" s="25">
        <f t="shared" si="16"/>
        <v>426318.06943199999</v>
      </c>
      <c r="M125" s="26"/>
      <c r="N125" s="203">
        <v>0.93490804699999996</v>
      </c>
    </row>
    <row r="126" spans="1:14" ht="18.95" customHeight="1">
      <c r="A126" s="28">
        <f t="shared" si="17"/>
        <v>92</v>
      </c>
      <c r="B126" s="27" t="s">
        <v>3852</v>
      </c>
      <c r="C126" s="29" t="s">
        <v>3853</v>
      </c>
      <c r="D126" s="267"/>
      <c r="E126" s="25">
        <v>6</v>
      </c>
      <c r="F126" s="26" t="s">
        <v>349</v>
      </c>
      <c r="G126" s="25">
        <v>8400</v>
      </c>
      <c r="H126" s="25">
        <f t="shared" si="14"/>
        <v>7853.2275947999997</v>
      </c>
      <c r="I126" s="25">
        <f t="shared" si="18"/>
        <v>47119.3655688</v>
      </c>
      <c r="J126" s="30">
        <v>0</v>
      </c>
      <c r="K126" s="30">
        <f t="shared" si="15"/>
        <v>0</v>
      </c>
      <c r="L126" s="25">
        <f t="shared" si="16"/>
        <v>47119.3655688</v>
      </c>
      <c r="M126" s="26"/>
      <c r="N126" s="203">
        <v>0.93490804699999996</v>
      </c>
    </row>
    <row r="127" spans="1:14" ht="18.95" customHeight="1">
      <c r="A127" s="28">
        <f t="shared" si="17"/>
        <v>93</v>
      </c>
      <c r="B127" s="27" t="s">
        <v>3854</v>
      </c>
      <c r="C127" s="29" t="s">
        <v>3670</v>
      </c>
      <c r="D127" s="267"/>
      <c r="E127" s="25">
        <v>5</v>
      </c>
      <c r="F127" s="26" t="s">
        <v>349</v>
      </c>
      <c r="G127" s="25">
        <v>13623</v>
      </c>
      <c r="H127" s="25">
        <f t="shared" si="14"/>
        <v>12736.252324281</v>
      </c>
      <c r="I127" s="25">
        <f t="shared" si="18"/>
        <v>63681.261621404999</v>
      </c>
      <c r="J127" s="30">
        <v>0</v>
      </c>
      <c r="K127" s="30">
        <f t="shared" si="15"/>
        <v>0</v>
      </c>
      <c r="L127" s="25">
        <f t="shared" si="16"/>
        <v>63681.261621404999</v>
      </c>
      <c r="M127" s="26"/>
      <c r="N127" s="203">
        <v>0.93490804699999996</v>
      </c>
    </row>
    <row r="128" spans="1:14" ht="18.95" customHeight="1">
      <c r="A128" s="28">
        <f t="shared" si="17"/>
        <v>94</v>
      </c>
      <c r="B128" s="27" t="s">
        <v>3855</v>
      </c>
      <c r="C128" s="29" t="s">
        <v>3678</v>
      </c>
      <c r="D128" s="267"/>
      <c r="E128" s="25">
        <v>1</v>
      </c>
      <c r="F128" s="26" t="s">
        <v>349</v>
      </c>
      <c r="G128" s="25">
        <v>9620</v>
      </c>
      <c r="H128" s="25">
        <f t="shared" si="14"/>
        <v>8993.8154121400003</v>
      </c>
      <c r="I128" s="25">
        <f t="shared" si="18"/>
        <v>8993.8154121400003</v>
      </c>
      <c r="J128" s="30">
        <v>0</v>
      </c>
      <c r="K128" s="30">
        <f t="shared" si="15"/>
        <v>0</v>
      </c>
      <c r="L128" s="25">
        <f t="shared" si="16"/>
        <v>8993.8154121400003</v>
      </c>
      <c r="M128" s="26"/>
      <c r="N128" s="203">
        <v>0.93490804699999996</v>
      </c>
    </row>
    <row r="129" spans="1:14" ht="18.95" customHeight="1">
      <c r="A129" s="28">
        <f t="shared" si="17"/>
        <v>95</v>
      </c>
      <c r="B129" s="27" t="s">
        <v>3856</v>
      </c>
      <c r="C129" s="29" t="s">
        <v>3661</v>
      </c>
      <c r="D129" s="267"/>
      <c r="E129" s="25">
        <v>24</v>
      </c>
      <c r="F129" s="26" t="s">
        <v>349</v>
      </c>
      <c r="G129" s="25">
        <v>9180</v>
      </c>
      <c r="H129" s="25">
        <f t="shared" si="14"/>
        <v>8582.4558714599989</v>
      </c>
      <c r="I129" s="25">
        <f t="shared" si="18"/>
        <v>205978.94091503997</v>
      </c>
      <c r="J129" s="30">
        <v>0</v>
      </c>
      <c r="K129" s="30">
        <f t="shared" si="15"/>
        <v>0</v>
      </c>
      <c r="L129" s="25">
        <f t="shared" si="16"/>
        <v>205978.94091503997</v>
      </c>
      <c r="M129" s="26"/>
      <c r="N129" s="203">
        <v>0.93490804699999996</v>
      </c>
    </row>
    <row r="130" spans="1:14" ht="18.95" customHeight="1">
      <c r="A130" s="28">
        <f t="shared" si="17"/>
        <v>96</v>
      </c>
      <c r="B130" s="27" t="s">
        <v>3857</v>
      </c>
      <c r="C130" s="29" t="s">
        <v>3858</v>
      </c>
      <c r="D130" s="267"/>
      <c r="E130" s="25">
        <v>4</v>
      </c>
      <c r="F130" s="26" t="s">
        <v>349</v>
      </c>
      <c r="G130" s="25">
        <v>14550</v>
      </c>
      <c r="H130" s="25">
        <f t="shared" si="14"/>
        <v>13602.91208385</v>
      </c>
      <c r="I130" s="25">
        <f t="shared" si="18"/>
        <v>54411.648335400001</v>
      </c>
      <c r="J130" s="30">
        <v>0</v>
      </c>
      <c r="K130" s="30">
        <f t="shared" si="15"/>
        <v>0</v>
      </c>
      <c r="L130" s="25">
        <f t="shared" si="16"/>
        <v>54411.648335400001</v>
      </c>
      <c r="M130" s="26"/>
      <c r="N130" s="203">
        <v>0.93490804699999996</v>
      </c>
    </row>
    <row r="131" spans="1:14" ht="18.95" customHeight="1">
      <c r="A131" s="28">
        <f t="shared" si="17"/>
        <v>97</v>
      </c>
      <c r="B131" s="27" t="s">
        <v>3859</v>
      </c>
      <c r="C131" s="29" t="s">
        <v>3860</v>
      </c>
      <c r="D131" s="267"/>
      <c r="E131" s="25">
        <v>6</v>
      </c>
      <c r="F131" s="26" t="s">
        <v>349</v>
      </c>
      <c r="G131" s="25">
        <v>6360</v>
      </c>
      <c r="H131" s="25">
        <f t="shared" si="14"/>
        <v>5946.0151789199999</v>
      </c>
      <c r="I131" s="25">
        <f t="shared" si="18"/>
        <v>35676.091073520001</v>
      </c>
      <c r="J131" s="30">
        <v>0</v>
      </c>
      <c r="K131" s="30">
        <f t="shared" si="15"/>
        <v>0</v>
      </c>
      <c r="L131" s="25">
        <f t="shared" si="16"/>
        <v>35676.091073520001</v>
      </c>
      <c r="M131" s="26"/>
      <c r="N131" s="203">
        <v>0.93490804699999996</v>
      </c>
    </row>
    <row r="132" spans="1:14" ht="18.95" customHeight="1">
      <c r="A132" s="28">
        <f t="shared" si="17"/>
        <v>98</v>
      </c>
      <c r="B132" s="27" t="s">
        <v>3861</v>
      </c>
      <c r="C132" s="29" t="s">
        <v>3661</v>
      </c>
      <c r="D132" s="267"/>
      <c r="E132" s="25">
        <v>2</v>
      </c>
      <c r="F132" s="26" t="s">
        <v>349</v>
      </c>
      <c r="G132" s="25">
        <v>9818</v>
      </c>
      <c r="H132" s="25">
        <f t="shared" si="14"/>
        <v>9178.9272054459998</v>
      </c>
      <c r="I132" s="25">
        <f t="shared" si="18"/>
        <v>18357.854410892</v>
      </c>
      <c r="J132" s="30">
        <v>0</v>
      </c>
      <c r="K132" s="30">
        <f t="shared" si="15"/>
        <v>0</v>
      </c>
      <c r="L132" s="25">
        <f t="shared" si="16"/>
        <v>18357.854410892</v>
      </c>
      <c r="M132" s="26"/>
      <c r="N132" s="203">
        <v>0.93490804699999996</v>
      </c>
    </row>
    <row r="133" spans="1:14" ht="18.95" customHeight="1">
      <c r="A133" s="28">
        <f t="shared" si="17"/>
        <v>99</v>
      </c>
      <c r="B133" s="27" t="s">
        <v>3862</v>
      </c>
      <c r="C133" s="29" t="s">
        <v>3863</v>
      </c>
      <c r="D133" s="267"/>
      <c r="E133" s="25">
        <v>4</v>
      </c>
      <c r="F133" s="26" t="s">
        <v>349</v>
      </c>
      <c r="G133" s="25">
        <v>9620</v>
      </c>
      <c r="H133" s="25">
        <f t="shared" si="14"/>
        <v>8993.8154121400003</v>
      </c>
      <c r="I133" s="25">
        <f t="shared" si="18"/>
        <v>35975.261648560001</v>
      </c>
      <c r="J133" s="30">
        <v>0</v>
      </c>
      <c r="K133" s="30">
        <f t="shared" si="15"/>
        <v>0</v>
      </c>
      <c r="L133" s="25">
        <f t="shared" si="16"/>
        <v>35975.261648560001</v>
      </c>
      <c r="M133" s="26"/>
      <c r="N133" s="203">
        <v>0.93490804699999996</v>
      </c>
    </row>
    <row r="134" spans="1:14" ht="18.95" customHeight="1">
      <c r="A134" s="28">
        <f t="shared" si="17"/>
        <v>100</v>
      </c>
      <c r="B134" s="27" t="s">
        <v>3864</v>
      </c>
      <c r="C134" s="29" t="s">
        <v>3865</v>
      </c>
      <c r="D134" s="267"/>
      <c r="E134" s="25">
        <v>16</v>
      </c>
      <c r="F134" s="26" t="s">
        <v>349</v>
      </c>
      <c r="G134" s="25">
        <v>9400</v>
      </c>
      <c r="H134" s="25">
        <f t="shared" si="14"/>
        <v>8788.1356417999996</v>
      </c>
      <c r="I134" s="25">
        <f t="shared" si="18"/>
        <v>140610.17026879999</v>
      </c>
      <c r="J134" s="30">
        <v>0</v>
      </c>
      <c r="K134" s="30">
        <f t="shared" si="15"/>
        <v>0</v>
      </c>
      <c r="L134" s="25">
        <f t="shared" si="16"/>
        <v>140610.17026879999</v>
      </c>
      <c r="M134" s="26"/>
      <c r="N134" s="203">
        <v>0.93490804699999996</v>
      </c>
    </row>
    <row r="135" spans="1:14" ht="18.95" customHeight="1">
      <c r="A135" s="28">
        <f t="shared" si="17"/>
        <v>101</v>
      </c>
      <c r="B135" s="27" t="s">
        <v>3866</v>
      </c>
      <c r="C135" s="29" t="s">
        <v>1334</v>
      </c>
      <c r="D135" s="267"/>
      <c r="E135" s="25">
        <v>14</v>
      </c>
      <c r="F135" s="26" t="s">
        <v>349</v>
      </c>
      <c r="G135" s="25">
        <v>48300</v>
      </c>
      <c r="H135" s="25">
        <f t="shared" si="14"/>
        <v>45156.058670099999</v>
      </c>
      <c r="I135" s="25">
        <f t="shared" si="18"/>
        <v>632184.82138139999</v>
      </c>
      <c r="J135" s="30">
        <v>0</v>
      </c>
      <c r="K135" s="30">
        <f t="shared" si="15"/>
        <v>0</v>
      </c>
      <c r="L135" s="25">
        <f t="shared" si="16"/>
        <v>632184.82138139999</v>
      </c>
      <c r="M135" s="26"/>
      <c r="N135" s="203">
        <v>0.93490804699999996</v>
      </c>
    </row>
    <row r="136" spans="1:14" ht="18.95" customHeight="1">
      <c r="A136" s="28">
        <f t="shared" si="17"/>
        <v>102</v>
      </c>
      <c r="B136" s="27" t="s">
        <v>3867</v>
      </c>
      <c r="C136" s="29" t="s">
        <v>3821</v>
      </c>
      <c r="D136" s="267"/>
      <c r="E136" s="25">
        <v>6</v>
      </c>
      <c r="F136" s="26" t="s">
        <v>349</v>
      </c>
      <c r="G136" s="25">
        <v>28400</v>
      </c>
      <c r="H136" s="25">
        <f t="shared" si="14"/>
        <v>26551.3885348</v>
      </c>
      <c r="I136" s="25">
        <f t="shared" si="18"/>
        <v>159308.33120879999</v>
      </c>
      <c r="J136" s="30">
        <v>0</v>
      </c>
      <c r="K136" s="30">
        <f t="shared" si="15"/>
        <v>0</v>
      </c>
      <c r="L136" s="25">
        <f t="shared" si="16"/>
        <v>159308.33120879999</v>
      </c>
      <c r="M136" s="26"/>
      <c r="N136" s="203">
        <v>0.93490804699999996</v>
      </c>
    </row>
    <row r="137" spans="1:14" ht="18.95" customHeight="1">
      <c r="A137" s="28">
        <f t="shared" si="17"/>
        <v>103</v>
      </c>
      <c r="B137" s="27" t="s">
        <v>3868</v>
      </c>
      <c r="C137" s="29" t="s">
        <v>3869</v>
      </c>
      <c r="D137" s="267"/>
      <c r="E137" s="25">
        <v>2</v>
      </c>
      <c r="F137" s="26" t="s">
        <v>349</v>
      </c>
      <c r="G137" s="25">
        <v>38400</v>
      </c>
      <c r="H137" s="25">
        <f t="shared" si="14"/>
        <v>35900.469004799997</v>
      </c>
      <c r="I137" s="25">
        <f t="shared" si="18"/>
        <v>71800.938009599995</v>
      </c>
      <c r="J137" s="30">
        <v>0</v>
      </c>
      <c r="K137" s="30">
        <f t="shared" si="15"/>
        <v>0</v>
      </c>
      <c r="L137" s="25">
        <f t="shared" si="16"/>
        <v>71800.938009599995</v>
      </c>
      <c r="M137" s="26"/>
      <c r="N137" s="203">
        <v>0.93490804699999996</v>
      </c>
    </row>
    <row r="138" spans="1:14" ht="18.95" customHeight="1">
      <c r="A138" s="28">
        <f t="shared" si="17"/>
        <v>104</v>
      </c>
      <c r="B138" s="27" t="s">
        <v>3870</v>
      </c>
      <c r="C138" s="29" t="s">
        <v>3869</v>
      </c>
      <c r="D138" s="267"/>
      <c r="E138" s="25">
        <v>2</v>
      </c>
      <c r="F138" s="26" t="s">
        <v>349</v>
      </c>
      <c r="G138" s="25">
        <v>47600</v>
      </c>
      <c r="H138" s="25">
        <f t="shared" si="14"/>
        <v>44501.623037199999</v>
      </c>
      <c r="I138" s="25">
        <f t="shared" si="18"/>
        <v>89003.246074399998</v>
      </c>
      <c r="J138" s="30">
        <v>0</v>
      </c>
      <c r="K138" s="30">
        <f t="shared" si="15"/>
        <v>0</v>
      </c>
      <c r="L138" s="25">
        <f t="shared" si="16"/>
        <v>89003.246074399998</v>
      </c>
      <c r="M138" s="26"/>
      <c r="N138" s="203">
        <v>0.93490804699999996</v>
      </c>
    </row>
    <row r="139" spans="1:14" ht="18.95" customHeight="1">
      <c r="A139" s="28">
        <f t="shared" si="17"/>
        <v>105</v>
      </c>
      <c r="B139" s="27" t="s">
        <v>3871</v>
      </c>
      <c r="C139" s="29" t="s">
        <v>3869</v>
      </c>
      <c r="D139" s="267"/>
      <c r="E139" s="25">
        <v>2</v>
      </c>
      <c r="F139" s="26" t="s">
        <v>349</v>
      </c>
      <c r="G139" s="25">
        <v>45500</v>
      </c>
      <c r="H139" s="25">
        <f t="shared" si="14"/>
        <v>42538.316138499998</v>
      </c>
      <c r="I139" s="25">
        <f t="shared" si="18"/>
        <v>85076.632276999997</v>
      </c>
      <c r="J139" s="30">
        <v>0</v>
      </c>
      <c r="K139" s="30">
        <f t="shared" si="15"/>
        <v>0</v>
      </c>
      <c r="L139" s="25">
        <f t="shared" si="16"/>
        <v>85076.632276999997</v>
      </c>
      <c r="M139" s="26"/>
      <c r="N139" s="203">
        <v>0.93490804699999996</v>
      </c>
    </row>
    <row r="140" spans="1:14" ht="18.95" customHeight="1">
      <c r="A140" s="28">
        <f t="shared" si="17"/>
        <v>106</v>
      </c>
      <c r="B140" s="27" t="s">
        <v>3872</v>
      </c>
      <c r="C140" s="29" t="s">
        <v>3869</v>
      </c>
      <c r="D140" s="267"/>
      <c r="E140" s="25">
        <v>5</v>
      </c>
      <c r="F140" s="26" t="s">
        <v>349</v>
      </c>
      <c r="G140" s="25">
        <v>39900</v>
      </c>
      <c r="H140" s="25">
        <f t="shared" si="14"/>
        <v>37302.831075299997</v>
      </c>
      <c r="I140" s="25">
        <f t="shared" si="18"/>
        <v>186514.15537649998</v>
      </c>
      <c r="J140" s="30">
        <v>0</v>
      </c>
      <c r="K140" s="30">
        <f t="shared" si="15"/>
        <v>0</v>
      </c>
      <c r="L140" s="25">
        <f t="shared" si="16"/>
        <v>186514.15537649998</v>
      </c>
      <c r="M140" s="26"/>
      <c r="N140" s="203">
        <v>0.93490804699999996</v>
      </c>
    </row>
    <row r="141" spans="1:14" ht="18.95" customHeight="1">
      <c r="A141" s="28">
        <f t="shared" si="17"/>
        <v>107</v>
      </c>
      <c r="B141" s="27" t="s">
        <v>3873</v>
      </c>
      <c r="C141" s="29" t="s">
        <v>3874</v>
      </c>
      <c r="D141" s="267" t="s">
        <v>3875</v>
      </c>
      <c r="E141" s="25">
        <v>12</v>
      </c>
      <c r="F141" s="26" t="s">
        <v>349</v>
      </c>
      <c r="G141" s="25">
        <v>10035</v>
      </c>
      <c r="H141" s="25">
        <f t="shared" si="14"/>
        <v>9381.8022516450001</v>
      </c>
      <c r="I141" s="25">
        <f t="shared" si="18"/>
        <v>112581.62701974</v>
      </c>
      <c r="J141" s="30">
        <v>0</v>
      </c>
      <c r="K141" s="30">
        <f t="shared" si="15"/>
        <v>0</v>
      </c>
      <c r="L141" s="25">
        <f t="shared" si="16"/>
        <v>112581.62701974</v>
      </c>
      <c r="M141" s="26"/>
      <c r="N141" s="203">
        <v>0.93490804699999996</v>
      </c>
    </row>
    <row r="142" spans="1:14" ht="18.95" customHeight="1">
      <c r="A142" s="233"/>
      <c r="B142" s="321"/>
      <c r="C142" s="322"/>
      <c r="D142" s="323"/>
      <c r="E142" s="54"/>
      <c r="F142" s="55"/>
      <c r="G142" s="54"/>
      <c r="H142" s="25"/>
      <c r="I142" s="25" t="s">
        <v>151</v>
      </c>
      <c r="J142" s="146"/>
      <c r="K142" s="146"/>
      <c r="L142" s="54"/>
      <c r="M142" s="55"/>
      <c r="N142" s="203">
        <v>0.93490804699999996</v>
      </c>
    </row>
    <row r="143" spans="1:14" ht="18.95" customHeight="1">
      <c r="A143" s="237"/>
      <c r="B143" s="359"/>
      <c r="C143" s="16"/>
      <c r="D143" s="379"/>
      <c r="E143" s="18"/>
      <c r="F143" s="19"/>
      <c r="G143" s="18"/>
      <c r="H143" s="25"/>
      <c r="I143" s="18"/>
      <c r="J143" s="20"/>
      <c r="K143" s="20"/>
      <c r="L143" s="18"/>
      <c r="M143" s="19"/>
      <c r="N143" s="203">
        <v>0.93490804699999996</v>
      </c>
    </row>
    <row r="144" spans="1:14" ht="18.95" customHeight="1">
      <c r="A144" s="28">
        <f>A141+1</f>
        <v>108</v>
      </c>
      <c r="B144" s="27" t="s">
        <v>3876</v>
      </c>
      <c r="C144" s="29" t="s">
        <v>3877</v>
      </c>
      <c r="D144" s="267"/>
      <c r="E144" s="25">
        <v>4</v>
      </c>
      <c r="F144" s="26" t="s">
        <v>349</v>
      </c>
      <c r="G144" s="25">
        <v>61800</v>
      </c>
      <c r="H144" s="25">
        <f t="shared" si="14"/>
        <v>57777.317304600001</v>
      </c>
      <c r="I144" s="25">
        <f t="shared" si="18"/>
        <v>231109.2692184</v>
      </c>
      <c r="J144" s="30">
        <v>0</v>
      </c>
      <c r="K144" s="30">
        <f t="shared" ref="K144:K169" si="19">J144*E144</f>
        <v>0</v>
      </c>
      <c r="L144" s="25">
        <f t="shared" ref="L144:L169" si="20">I144+K144</f>
        <v>231109.2692184</v>
      </c>
      <c r="M144" s="26"/>
      <c r="N144" s="203">
        <v>0.93490804699999996</v>
      </c>
    </row>
    <row r="145" spans="1:14" ht="18.95" customHeight="1">
      <c r="A145" s="28">
        <f t="shared" ref="A145:A169" si="21">A144+1</f>
        <v>109</v>
      </c>
      <c r="B145" s="27" t="s">
        <v>3878</v>
      </c>
      <c r="C145" s="29" t="s">
        <v>3879</v>
      </c>
      <c r="D145" s="267"/>
      <c r="E145" s="25">
        <v>4</v>
      </c>
      <c r="F145" s="26" t="s">
        <v>349</v>
      </c>
      <c r="G145" s="25">
        <v>27300</v>
      </c>
      <c r="H145" s="25">
        <f t="shared" si="14"/>
        <v>25522.989683100001</v>
      </c>
      <c r="I145" s="25">
        <f t="shared" si="18"/>
        <v>102091.9587324</v>
      </c>
      <c r="J145" s="30">
        <v>0</v>
      </c>
      <c r="K145" s="30">
        <f t="shared" si="19"/>
        <v>0</v>
      </c>
      <c r="L145" s="25">
        <f t="shared" si="20"/>
        <v>102091.9587324</v>
      </c>
      <c r="M145" s="26"/>
      <c r="N145" s="203">
        <v>0.93490804699999996</v>
      </c>
    </row>
    <row r="146" spans="1:14" ht="18.95" customHeight="1">
      <c r="A146" s="28">
        <f t="shared" si="21"/>
        <v>110</v>
      </c>
      <c r="B146" s="27" t="s">
        <v>3880</v>
      </c>
      <c r="C146" s="29" t="s">
        <v>3881</v>
      </c>
      <c r="D146" s="267" t="s">
        <v>3882</v>
      </c>
      <c r="E146" s="25">
        <v>10</v>
      </c>
      <c r="F146" s="26" t="s">
        <v>349</v>
      </c>
      <c r="G146" s="25">
        <v>7200</v>
      </c>
      <c r="H146" s="25">
        <f t="shared" si="14"/>
        <v>6731.3379384</v>
      </c>
      <c r="I146" s="25">
        <f t="shared" si="18"/>
        <v>67313.379384</v>
      </c>
      <c r="J146" s="30">
        <v>0</v>
      </c>
      <c r="K146" s="30">
        <f t="shared" si="19"/>
        <v>0</v>
      </c>
      <c r="L146" s="25">
        <f t="shared" si="20"/>
        <v>67313.379384</v>
      </c>
      <c r="M146" s="26"/>
      <c r="N146" s="203">
        <v>0.93490804699999996</v>
      </c>
    </row>
    <row r="147" spans="1:14" ht="18.95" customHeight="1">
      <c r="A147" s="28">
        <f t="shared" si="21"/>
        <v>111</v>
      </c>
      <c r="B147" s="27" t="s">
        <v>3883</v>
      </c>
      <c r="C147" s="29" t="s">
        <v>3884</v>
      </c>
      <c r="D147" s="267"/>
      <c r="E147" s="25">
        <v>10</v>
      </c>
      <c r="F147" s="26" t="s">
        <v>349</v>
      </c>
      <c r="G147" s="25">
        <v>34000</v>
      </c>
      <c r="H147" s="25">
        <f t="shared" si="14"/>
        <v>31786.873597999998</v>
      </c>
      <c r="I147" s="25">
        <f t="shared" si="18"/>
        <v>317868.73598</v>
      </c>
      <c r="J147" s="30">
        <v>0</v>
      </c>
      <c r="K147" s="30">
        <f t="shared" si="19"/>
        <v>0</v>
      </c>
      <c r="L147" s="25">
        <f t="shared" si="20"/>
        <v>317868.73598</v>
      </c>
      <c r="M147" s="26"/>
      <c r="N147" s="203">
        <v>0.93490804699999996</v>
      </c>
    </row>
    <row r="148" spans="1:14" ht="18.95" customHeight="1">
      <c r="A148" s="28">
        <f t="shared" si="21"/>
        <v>112</v>
      </c>
      <c r="B148" s="27" t="s">
        <v>3885</v>
      </c>
      <c r="C148" s="29" t="s">
        <v>3886</v>
      </c>
      <c r="D148" s="267"/>
      <c r="E148" s="25">
        <v>4</v>
      </c>
      <c r="F148" s="26" t="s">
        <v>349</v>
      </c>
      <c r="G148" s="25">
        <v>54000</v>
      </c>
      <c r="H148" s="25">
        <f t="shared" si="14"/>
        <v>50485.034538</v>
      </c>
      <c r="I148" s="25">
        <f t="shared" si="18"/>
        <v>201940.138152</v>
      </c>
      <c r="J148" s="30">
        <v>0</v>
      </c>
      <c r="K148" s="30">
        <f t="shared" si="19"/>
        <v>0</v>
      </c>
      <c r="L148" s="25">
        <f t="shared" si="20"/>
        <v>201940.138152</v>
      </c>
      <c r="M148" s="26"/>
      <c r="N148" s="203">
        <v>0.93490804699999996</v>
      </c>
    </row>
    <row r="149" spans="1:14" ht="18.95" customHeight="1">
      <c r="A149" s="28">
        <f t="shared" si="21"/>
        <v>113</v>
      </c>
      <c r="B149" s="27" t="s">
        <v>3887</v>
      </c>
      <c r="C149" s="29" t="s">
        <v>3888</v>
      </c>
      <c r="D149" s="267"/>
      <c r="E149" s="25">
        <v>32</v>
      </c>
      <c r="F149" s="26" t="s">
        <v>349</v>
      </c>
      <c r="G149" s="25">
        <v>16700</v>
      </c>
      <c r="H149" s="25">
        <f t="shared" si="14"/>
        <v>15612.964384899999</v>
      </c>
      <c r="I149" s="25">
        <f t="shared" si="18"/>
        <v>499614.86031679995</v>
      </c>
      <c r="J149" s="30">
        <v>0</v>
      </c>
      <c r="K149" s="30">
        <f t="shared" si="19"/>
        <v>0</v>
      </c>
      <c r="L149" s="25">
        <f t="shared" si="20"/>
        <v>499614.86031679995</v>
      </c>
      <c r="M149" s="26"/>
      <c r="N149" s="203">
        <v>0.93490804699999996</v>
      </c>
    </row>
    <row r="150" spans="1:14" ht="18.95" customHeight="1">
      <c r="A150" s="28">
        <f t="shared" si="21"/>
        <v>114</v>
      </c>
      <c r="B150" s="27" t="s">
        <v>3889</v>
      </c>
      <c r="C150" s="29" t="s">
        <v>3890</v>
      </c>
      <c r="D150" s="267"/>
      <c r="E150" s="25">
        <v>6</v>
      </c>
      <c r="F150" s="26" t="s">
        <v>349</v>
      </c>
      <c r="G150" s="25">
        <v>25900</v>
      </c>
      <c r="H150" s="25">
        <f t="shared" si="14"/>
        <v>24214.1184173</v>
      </c>
      <c r="I150" s="25">
        <f t="shared" si="18"/>
        <v>145284.71050380002</v>
      </c>
      <c r="J150" s="30">
        <v>0</v>
      </c>
      <c r="K150" s="30">
        <f t="shared" si="19"/>
        <v>0</v>
      </c>
      <c r="L150" s="25">
        <f t="shared" si="20"/>
        <v>145284.71050380002</v>
      </c>
      <c r="M150" s="26"/>
      <c r="N150" s="203">
        <v>0.93490804699999996</v>
      </c>
    </row>
    <row r="151" spans="1:14" ht="18.95" customHeight="1">
      <c r="A151" s="28">
        <f t="shared" si="21"/>
        <v>115</v>
      </c>
      <c r="B151" s="27" t="s">
        <v>3891</v>
      </c>
      <c r="C151" s="29" t="s">
        <v>3892</v>
      </c>
      <c r="D151" s="267"/>
      <c r="E151" s="25">
        <v>3</v>
      </c>
      <c r="F151" s="26" t="s">
        <v>349</v>
      </c>
      <c r="G151" s="25">
        <v>101800</v>
      </c>
      <c r="H151" s="25">
        <f t="shared" si="14"/>
        <v>95173.63918459999</v>
      </c>
      <c r="I151" s="25">
        <f t="shared" si="18"/>
        <v>285520.91755379998</v>
      </c>
      <c r="J151" s="30">
        <v>0</v>
      </c>
      <c r="K151" s="30">
        <f t="shared" si="19"/>
        <v>0</v>
      </c>
      <c r="L151" s="25">
        <f t="shared" si="20"/>
        <v>285520.91755379998</v>
      </c>
      <c r="M151" s="26"/>
      <c r="N151" s="203">
        <v>0.93490804699999996</v>
      </c>
    </row>
    <row r="152" spans="1:14" ht="18.95" customHeight="1">
      <c r="A152" s="28">
        <f t="shared" si="21"/>
        <v>116</v>
      </c>
      <c r="B152" s="27" t="s">
        <v>3893</v>
      </c>
      <c r="C152" s="29" t="s">
        <v>3894</v>
      </c>
      <c r="D152" s="267"/>
      <c r="E152" s="25">
        <v>10</v>
      </c>
      <c r="F152" s="26" t="s">
        <v>349</v>
      </c>
      <c r="G152" s="25">
        <v>9200</v>
      </c>
      <c r="H152" s="25">
        <f t="shared" si="14"/>
        <v>8601.1540323999998</v>
      </c>
      <c r="I152" s="25">
        <f t="shared" si="18"/>
        <v>86011.540324000001</v>
      </c>
      <c r="J152" s="30">
        <v>0</v>
      </c>
      <c r="K152" s="30">
        <f t="shared" si="19"/>
        <v>0</v>
      </c>
      <c r="L152" s="25">
        <f t="shared" si="20"/>
        <v>86011.540324000001</v>
      </c>
      <c r="M152" s="26"/>
      <c r="N152" s="203">
        <v>0.93490804699999996</v>
      </c>
    </row>
    <row r="153" spans="1:14" ht="18.95" customHeight="1">
      <c r="A153" s="28">
        <f t="shared" si="21"/>
        <v>117</v>
      </c>
      <c r="B153" s="27" t="s">
        <v>3895</v>
      </c>
      <c r="C153" s="29" t="s">
        <v>3896</v>
      </c>
      <c r="D153" s="267" t="s">
        <v>3897</v>
      </c>
      <c r="E153" s="25">
        <v>10</v>
      </c>
      <c r="F153" s="26" t="s">
        <v>349</v>
      </c>
      <c r="G153" s="25">
        <v>89500</v>
      </c>
      <c r="H153" s="25">
        <f t="shared" si="14"/>
        <v>83674.27020649999</v>
      </c>
      <c r="I153" s="25">
        <f t="shared" si="18"/>
        <v>836742.70206499984</v>
      </c>
      <c r="J153" s="30">
        <v>0</v>
      </c>
      <c r="K153" s="30">
        <f t="shared" si="19"/>
        <v>0</v>
      </c>
      <c r="L153" s="25">
        <f t="shared" si="20"/>
        <v>836742.70206499984</v>
      </c>
      <c r="M153" s="26"/>
      <c r="N153" s="203">
        <v>0.93490804699999996</v>
      </c>
    </row>
    <row r="154" spans="1:14" ht="18.95" customHeight="1">
      <c r="A154" s="28">
        <f t="shared" si="21"/>
        <v>118</v>
      </c>
      <c r="B154" s="27" t="s">
        <v>3898</v>
      </c>
      <c r="C154" s="29" t="s">
        <v>3896</v>
      </c>
      <c r="D154" s="267" t="s">
        <v>3899</v>
      </c>
      <c r="E154" s="25">
        <v>4</v>
      </c>
      <c r="F154" s="26" t="s">
        <v>349</v>
      </c>
      <c r="G154" s="25">
        <v>110000</v>
      </c>
      <c r="H154" s="25">
        <f t="shared" si="14"/>
        <v>102839.88516999999</v>
      </c>
      <c r="I154" s="25">
        <f t="shared" si="18"/>
        <v>411359.54067999998</v>
      </c>
      <c r="J154" s="30">
        <v>0</v>
      </c>
      <c r="K154" s="30">
        <f t="shared" si="19"/>
        <v>0</v>
      </c>
      <c r="L154" s="25">
        <f t="shared" si="20"/>
        <v>411359.54067999998</v>
      </c>
      <c r="M154" s="26"/>
      <c r="N154" s="203">
        <v>0.93490804699999996</v>
      </c>
    </row>
    <row r="155" spans="1:14" ht="18.95" customHeight="1">
      <c r="A155" s="28">
        <f t="shared" si="21"/>
        <v>119</v>
      </c>
      <c r="B155" s="27" t="s">
        <v>3900</v>
      </c>
      <c r="C155" s="29" t="s">
        <v>3896</v>
      </c>
      <c r="D155" s="267" t="s">
        <v>3901</v>
      </c>
      <c r="E155" s="25">
        <v>2</v>
      </c>
      <c r="F155" s="26" t="s">
        <v>349</v>
      </c>
      <c r="G155" s="25">
        <v>149000</v>
      </c>
      <c r="H155" s="25">
        <f t="shared" si="14"/>
        <v>139301.29900299999</v>
      </c>
      <c r="I155" s="25">
        <f t="shared" si="18"/>
        <v>278602.59800599999</v>
      </c>
      <c r="J155" s="30">
        <v>0</v>
      </c>
      <c r="K155" s="30">
        <f t="shared" si="19"/>
        <v>0</v>
      </c>
      <c r="L155" s="25">
        <f t="shared" si="20"/>
        <v>278602.59800599999</v>
      </c>
      <c r="M155" s="26"/>
      <c r="N155" s="203">
        <v>0.93490804699999996</v>
      </c>
    </row>
    <row r="156" spans="1:14" ht="18.95" customHeight="1">
      <c r="A156" s="28">
        <f t="shared" si="21"/>
        <v>120</v>
      </c>
      <c r="B156" s="27" t="s">
        <v>3902</v>
      </c>
      <c r="C156" s="29" t="s">
        <v>3903</v>
      </c>
      <c r="D156" s="267" t="s">
        <v>3904</v>
      </c>
      <c r="E156" s="25">
        <v>4</v>
      </c>
      <c r="F156" s="26" t="s">
        <v>349</v>
      </c>
      <c r="G156" s="25">
        <v>27300</v>
      </c>
      <c r="H156" s="25">
        <f t="shared" si="14"/>
        <v>25522.989683100001</v>
      </c>
      <c r="I156" s="25">
        <f t="shared" si="18"/>
        <v>102091.9587324</v>
      </c>
      <c r="J156" s="30">
        <v>0</v>
      </c>
      <c r="K156" s="30">
        <f t="shared" si="19"/>
        <v>0</v>
      </c>
      <c r="L156" s="25">
        <f t="shared" si="20"/>
        <v>102091.9587324</v>
      </c>
      <c r="M156" s="26"/>
      <c r="N156" s="203">
        <v>0.93490804699999996</v>
      </c>
    </row>
    <row r="157" spans="1:14" ht="18.95" customHeight="1">
      <c r="A157" s="28">
        <f t="shared" si="21"/>
        <v>121</v>
      </c>
      <c r="B157" s="27" t="s">
        <v>3905</v>
      </c>
      <c r="C157" s="29" t="s">
        <v>3903</v>
      </c>
      <c r="D157" s="267" t="s">
        <v>3906</v>
      </c>
      <c r="E157" s="25">
        <v>12</v>
      </c>
      <c r="F157" s="26" t="s">
        <v>349</v>
      </c>
      <c r="G157" s="25">
        <v>35200</v>
      </c>
      <c r="H157" s="25">
        <f t="shared" si="14"/>
        <v>32908.763254400001</v>
      </c>
      <c r="I157" s="25">
        <f t="shared" si="18"/>
        <v>394905.15905280004</v>
      </c>
      <c r="J157" s="30">
        <v>0</v>
      </c>
      <c r="K157" s="30">
        <f t="shared" si="19"/>
        <v>0</v>
      </c>
      <c r="L157" s="25">
        <f t="shared" si="20"/>
        <v>394905.15905280004</v>
      </c>
      <c r="M157" s="26"/>
      <c r="N157" s="203">
        <v>0.93490804699999996</v>
      </c>
    </row>
    <row r="158" spans="1:14" ht="18.95" customHeight="1">
      <c r="A158" s="28">
        <f t="shared" si="21"/>
        <v>122</v>
      </c>
      <c r="B158" s="27" t="s">
        <v>3907</v>
      </c>
      <c r="C158" s="29" t="s">
        <v>3774</v>
      </c>
      <c r="D158" s="267"/>
      <c r="E158" s="25">
        <v>12</v>
      </c>
      <c r="F158" s="26" t="s">
        <v>349</v>
      </c>
      <c r="G158" s="25">
        <v>9800</v>
      </c>
      <c r="H158" s="25">
        <f t="shared" si="14"/>
        <v>9162.0988605999992</v>
      </c>
      <c r="I158" s="25">
        <f t="shared" si="18"/>
        <v>109945.18632719999</v>
      </c>
      <c r="J158" s="30">
        <v>0</v>
      </c>
      <c r="K158" s="30">
        <f t="shared" si="19"/>
        <v>0</v>
      </c>
      <c r="L158" s="25">
        <f t="shared" si="20"/>
        <v>109945.18632719999</v>
      </c>
      <c r="M158" s="26"/>
      <c r="N158" s="203">
        <v>0.93490804699999996</v>
      </c>
    </row>
    <row r="159" spans="1:14" ht="18.95" customHeight="1">
      <c r="A159" s="28">
        <f t="shared" si="21"/>
        <v>123</v>
      </c>
      <c r="B159" s="27" t="s">
        <v>3908</v>
      </c>
      <c r="C159" s="29" t="s">
        <v>3909</v>
      </c>
      <c r="D159" s="267" t="s">
        <v>3910</v>
      </c>
      <c r="E159" s="25">
        <v>10</v>
      </c>
      <c r="F159" s="26" t="s">
        <v>349</v>
      </c>
      <c r="G159" s="25">
        <v>31300</v>
      </c>
      <c r="H159" s="25">
        <f t="shared" si="14"/>
        <v>29262.6218711</v>
      </c>
      <c r="I159" s="25">
        <f t="shared" si="18"/>
        <v>292626.21871099999</v>
      </c>
      <c r="J159" s="30">
        <v>0</v>
      </c>
      <c r="K159" s="30">
        <f t="shared" si="19"/>
        <v>0</v>
      </c>
      <c r="L159" s="25">
        <f t="shared" si="20"/>
        <v>292626.21871099999</v>
      </c>
      <c r="M159" s="26"/>
      <c r="N159" s="203">
        <v>0.93490804699999996</v>
      </c>
    </row>
    <row r="160" spans="1:14" ht="18.95" customHeight="1">
      <c r="A160" s="28">
        <f t="shared" si="21"/>
        <v>124</v>
      </c>
      <c r="B160" s="27" t="s">
        <v>3911</v>
      </c>
      <c r="C160" s="29" t="s">
        <v>3903</v>
      </c>
      <c r="D160" s="267" t="s">
        <v>3912</v>
      </c>
      <c r="E160" s="25">
        <v>5</v>
      </c>
      <c r="F160" s="26" t="s">
        <v>349</v>
      </c>
      <c r="G160" s="25">
        <v>26800</v>
      </c>
      <c r="H160" s="25">
        <f t="shared" si="14"/>
        <v>25055.535659599998</v>
      </c>
      <c r="I160" s="25">
        <f t="shared" si="18"/>
        <v>125277.67829799998</v>
      </c>
      <c r="J160" s="30">
        <v>0</v>
      </c>
      <c r="K160" s="30">
        <f t="shared" si="19"/>
        <v>0</v>
      </c>
      <c r="L160" s="25">
        <f t="shared" si="20"/>
        <v>125277.67829799998</v>
      </c>
      <c r="M160" s="26"/>
      <c r="N160" s="203">
        <v>0.93490804699999996</v>
      </c>
    </row>
    <row r="161" spans="1:14" ht="18.95" customHeight="1">
      <c r="A161" s="28">
        <f t="shared" si="21"/>
        <v>125</v>
      </c>
      <c r="B161" s="27" t="s">
        <v>3913</v>
      </c>
      <c r="C161" s="29" t="s">
        <v>3896</v>
      </c>
      <c r="D161" s="267" t="s">
        <v>3914</v>
      </c>
      <c r="E161" s="25">
        <v>4</v>
      </c>
      <c r="F161" s="26" t="s">
        <v>349</v>
      </c>
      <c r="G161" s="25">
        <v>67000</v>
      </c>
      <c r="H161" s="25">
        <f t="shared" ref="H161:H208" si="22">G161*N161</f>
        <v>62638.839148999999</v>
      </c>
      <c r="I161" s="25">
        <f t="shared" si="18"/>
        <v>250555.356596</v>
      </c>
      <c r="J161" s="30">
        <v>0</v>
      </c>
      <c r="K161" s="30">
        <f t="shared" si="19"/>
        <v>0</v>
      </c>
      <c r="L161" s="25">
        <f t="shared" si="20"/>
        <v>250555.356596</v>
      </c>
      <c r="M161" s="26"/>
      <c r="N161" s="203">
        <v>0.93490804699999996</v>
      </c>
    </row>
    <row r="162" spans="1:14" ht="18.95" customHeight="1">
      <c r="A162" s="28">
        <f t="shared" si="21"/>
        <v>126</v>
      </c>
      <c r="B162" s="27" t="s">
        <v>3915</v>
      </c>
      <c r="C162" s="29" t="s">
        <v>3909</v>
      </c>
      <c r="D162" s="267" t="s">
        <v>3916</v>
      </c>
      <c r="E162" s="25">
        <v>4</v>
      </c>
      <c r="F162" s="26" t="s">
        <v>349</v>
      </c>
      <c r="G162" s="25">
        <v>31800</v>
      </c>
      <c r="H162" s="25">
        <f t="shared" si="22"/>
        <v>29730.075894599999</v>
      </c>
      <c r="I162" s="25">
        <f t="shared" si="18"/>
        <v>118920.30357839999</v>
      </c>
      <c r="J162" s="30">
        <v>0</v>
      </c>
      <c r="K162" s="30">
        <f t="shared" si="19"/>
        <v>0</v>
      </c>
      <c r="L162" s="25">
        <f t="shared" si="20"/>
        <v>118920.30357839999</v>
      </c>
      <c r="M162" s="26"/>
      <c r="N162" s="203">
        <v>0.93490804699999996</v>
      </c>
    </row>
    <row r="163" spans="1:14" ht="18.95" customHeight="1">
      <c r="A163" s="28">
        <f t="shared" si="21"/>
        <v>127</v>
      </c>
      <c r="B163" s="27" t="s">
        <v>3917</v>
      </c>
      <c r="C163" s="29" t="s">
        <v>3896</v>
      </c>
      <c r="D163" s="267" t="s">
        <v>3918</v>
      </c>
      <c r="E163" s="25">
        <v>1</v>
      </c>
      <c r="F163" s="26" t="s">
        <v>349</v>
      </c>
      <c r="G163" s="25">
        <v>118000</v>
      </c>
      <c r="H163" s="25">
        <f t="shared" si="22"/>
        <v>110319.149546</v>
      </c>
      <c r="I163" s="25">
        <f t="shared" si="18"/>
        <v>110319.149546</v>
      </c>
      <c r="J163" s="30">
        <v>0</v>
      </c>
      <c r="K163" s="30">
        <f t="shared" si="19"/>
        <v>0</v>
      </c>
      <c r="L163" s="25">
        <f t="shared" si="20"/>
        <v>110319.149546</v>
      </c>
      <c r="M163" s="26"/>
      <c r="N163" s="203">
        <v>0.93490804699999996</v>
      </c>
    </row>
    <row r="164" spans="1:14" ht="18.95" customHeight="1">
      <c r="A164" s="28">
        <f t="shared" si="21"/>
        <v>128</v>
      </c>
      <c r="B164" s="27" t="s">
        <v>3919</v>
      </c>
      <c r="C164" s="29" t="s">
        <v>3896</v>
      </c>
      <c r="D164" s="267" t="s">
        <v>3920</v>
      </c>
      <c r="E164" s="25">
        <v>1</v>
      </c>
      <c r="F164" s="26" t="s">
        <v>349</v>
      </c>
      <c r="G164" s="25">
        <v>93500</v>
      </c>
      <c r="H164" s="25">
        <f t="shared" si="22"/>
        <v>87413.902394499994</v>
      </c>
      <c r="I164" s="25">
        <f t="shared" si="18"/>
        <v>87413.902394499994</v>
      </c>
      <c r="J164" s="30">
        <v>0</v>
      </c>
      <c r="K164" s="30">
        <f t="shared" si="19"/>
        <v>0</v>
      </c>
      <c r="L164" s="25">
        <f t="shared" si="20"/>
        <v>87413.902394499994</v>
      </c>
      <c r="M164" s="26"/>
      <c r="N164" s="203">
        <v>0.93490804699999996</v>
      </c>
    </row>
    <row r="165" spans="1:14" ht="18.95" customHeight="1">
      <c r="A165" s="28">
        <f t="shared" si="21"/>
        <v>129</v>
      </c>
      <c r="B165" s="27" t="s">
        <v>3921</v>
      </c>
      <c r="C165" s="29" t="s">
        <v>3922</v>
      </c>
      <c r="D165" s="267" t="s">
        <v>3923</v>
      </c>
      <c r="E165" s="25">
        <v>10</v>
      </c>
      <c r="F165" s="26" t="s">
        <v>349</v>
      </c>
      <c r="G165" s="25">
        <v>9800</v>
      </c>
      <c r="H165" s="25">
        <f t="shared" si="22"/>
        <v>9162.0988605999992</v>
      </c>
      <c r="I165" s="25">
        <f t="shared" si="18"/>
        <v>91620.988605999999</v>
      </c>
      <c r="J165" s="30">
        <v>0</v>
      </c>
      <c r="K165" s="30">
        <f t="shared" si="19"/>
        <v>0</v>
      </c>
      <c r="L165" s="25">
        <f t="shared" si="20"/>
        <v>91620.988605999999</v>
      </c>
      <c r="M165" s="26"/>
      <c r="N165" s="203">
        <v>0.93490804699999996</v>
      </c>
    </row>
    <row r="166" spans="1:14" ht="18.95" customHeight="1">
      <c r="A166" s="28">
        <f t="shared" si="21"/>
        <v>130</v>
      </c>
      <c r="B166" s="27" t="s">
        <v>3924</v>
      </c>
      <c r="C166" s="29" t="s">
        <v>3796</v>
      </c>
      <c r="D166" s="267" t="s">
        <v>3925</v>
      </c>
      <c r="E166" s="25">
        <v>1</v>
      </c>
      <c r="F166" s="26" t="s">
        <v>349</v>
      </c>
      <c r="G166" s="25">
        <v>15170</v>
      </c>
      <c r="H166" s="25">
        <f t="shared" si="22"/>
        <v>14182.555072989999</v>
      </c>
      <c r="I166" s="25">
        <f t="shared" si="18"/>
        <v>14182.555072989999</v>
      </c>
      <c r="J166" s="30">
        <v>0</v>
      </c>
      <c r="K166" s="30">
        <f t="shared" si="19"/>
        <v>0</v>
      </c>
      <c r="L166" s="25">
        <f t="shared" si="20"/>
        <v>14182.555072989999</v>
      </c>
      <c r="M166" s="26"/>
      <c r="N166" s="203">
        <v>0.93490804699999996</v>
      </c>
    </row>
    <row r="167" spans="1:14" ht="18.95" customHeight="1">
      <c r="A167" s="28">
        <f t="shared" si="21"/>
        <v>131</v>
      </c>
      <c r="B167" s="27" t="s">
        <v>3926</v>
      </c>
      <c r="C167" s="29" t="s">
        <v>3927</v>
      </c>
      <c r="D167" s="267" t="s">
        <v>3928</v>
      </c>
      <c r="E167" s="25">
        <v>24</v>
      </c>
      <c r="F167" s="26" t="s">
        <v>349</v>
      </c>
      <c r="G167" s="25">
        <f>13357+5490+2715</f>
        <v>21562</v>
      </c>
      <c r="H167" s="25">
        <f t="shared" si="22"/>
        <v>20158.487309413998</v>
      </c>
      <c r="I167" s="25">
        <f t="shared" si="18"/>
        <v>483803.69542593596</v>
      </c>
      <c r="J167" s="30">
        <v>0</v>
      </c>
      <c r="K167" s="30">
        <f t="shared" si="19"/>
        <v>0</v>
      </c>
      <c r="L167" s="25">
        <f t="shared" si="20"/>
        <v>483803.69542593596</v>
      </c>
      <c r="M167" s="26"/>
      <c r="N167" s="203">
        <v>0.93490804699999996</v>
      </c>
    </row>
    <row r="168" spans="1:14" ht="18.95" customHeight="1">
      <c r="A168" s="28">
        <f t="shared" si="21"/>
        <v>132</v>
      </c>
      <c r="B168" s="27" t="s">
        <v>3929</v>
      </c>
      <c r="C168" s="29" t="s">
        <v>3930</v>
      </c>
      <c r="D168" s="267" t="s">
        <v>3931</v>
      </c>
      <c r="E168" s="25">
        <v>1</v>
      </c>
      <c r="F168" s="26" t="s">
        <v>349</v>
      </c>
      <c r="G168" s="25">
        <v>15832</v>
      </c>
      <c r="H168" s="25">
        <f t="shared" si="22"/>
        <v>14801.464200103999</v>
      </c>
      <c r="I168" s="25">
        <f t="shared" si="18"/>
        <v>14801.464200103999</v>
      </c>
      <c r="J168" s="30">
        <v>0</v>
      </c>
      <c r="K168" s="30">
        <f t="shared" si="19"/>
        <v>0</v>
      </c>
      <c r="L168" s="25">
        <f t="shared" si="20"/>
        <v>14801.464200103999</v>
      </c>
      <c r="M168" s="26"/>
      <c r="N168" s="203">
        <v>0.93490804699999996</v>
      </c>
    </row>
    <row r="169" spans="1:14" ht="18.95" customHeight="1">
      <c r="A169" s="28">
        <f t="shared" si="21"/>
        <v>133</v>
      </c>
      <c r="B169" s="27" t="s">
        <v>3932</v>
      </c>
      <c r="C169" s="29" t="s">
        <v>3933</v>
      </c>
      <c r="D169" s="267" t="s">
        <v>3934</v>
      </c>
      <c r="E169" s="25">
        <v>2</v>
      </c>
      <c r="F169" s="26" t="s">
        <v>349</v>
      </c>
      <c r="G169" s="25">
        <v>36892</v>
      </c>
      <c r="H169" s="25">
        <f t="shared" si="22"/>
        <v>34490.627669923997</v>
      </c>
      <c r="I169" s="25">
        <f t="shared" si="18"/>
        <v>68981.255339847994</v>
      </c>
      <c r="J169" s="30">
        <v>0</v>
      </c>
      <c r="K169" s="30">
        <f t="shared" si="19"/>
        <v>0</v>
      </c>
      <c r="L169" s="25">
        <f t="shared" si="20"/>
        <v>68981.255339847994</v>
      </c>
      <c r="M169" s="26"/>
      <c r="N169" s="203">
        <v>0.93490804699999996</v>
      </c>
    </row>
    <row r="170" spans="1:14" ht="18.95" customHeight="1">
      <c r="A170" s="233"/>
      <c r="B170" s="321"/>
      <c r="C170" s="322"/>
      <c r="D170" s="323"/>
      <c r="E170" s="54"/>
      <c r="F170" s="55"/>
      <c r="G170" s="54"/>
      <c r="H170" s="25"/>
      <c r="I170" s="54"/>
      <c r="J170" s="146"/>
      <c r="K170" s="146"/>
      <c r="L170" s="54"/>
      <c r="M170" s="55"/>
      <c r="N170" s="203">
        <v>0.93490804699999996</v>
      </c>
    </row>
    <row r="171" spans="1:14" ht="18.95" customHeight="1">
      <c r="A171" s="237"/>
      <c r="B171" s="359"/>
      <c r="C171" s="16"/>
      <c r="D171" s="379"/>
      <c r="E171" s="18"/>
      <c r="F171" s="19"/>
      <c r="G171" s="18"/>
      <c r="H171" s="25"/>
      <c r="I171" s="18"/>
      <c r="J171" s="20"/>
      <c r="K171" s="20"/>
      <c r="L171" s="18"/>
      <c r="M171" s="19"/>
      <c r="N171" s="203">
        <v>0.93490804699999996</v>
      </c>
    </row>
    <row r="172" spans="1:14" ht="18.95" customHeight="1">
      <c r="A172" s="28">
        <f>A169+1</f>
        <v>134</v>
      </c>
      <c r="B172" s="27" t="s">
        <v>3935</v>
      </c>
      <c r="C172" s="29" t="s">
        <v>3936</v>
      </c>
      <c r="D172" s="267" t="s">
        <v>3937</v>
      </c>
      <c r="E172" s="25">
        <v>2</v>
      </c>
      <c r="F172" s="26" t="s">
        <v>349</v>
      </c>
      <c r="G172" s="25">
        <v>8422</v>
      </c>
      <c r="H172" s="25">
        <f t="shared" si="22"/>
        <v>7873.7955718339999</v>
      </c>
      <c r="I172" s="25">
        <f t="shared" ref="I172:I194" si="23">H172*E172</f>
        <v>15747.591143668</v>
      </c>
      <c r="J172" s="30">
        <v>0</v>
      </c>
      <c r="K172" s="30">
        <f t="shared" ref="K172:K194" si="24">J172*E172</f>
        <v>0</v>
      </c>
      <c r="L172" s="25">
        <f t="shared" ref="L172:L194" si="25">I172+K172</f>
        <v>15747.591143668</v>
      </c>
      <c r="M172" s="26"/>
      <c r="N172" s="203">
        <v>0.93490804699999996</v>
      </c>
    </row>
    <row r="173" spans="1:14" ht="18.95" customHeight="1">
      <c r="A173" s="28">
        <f t="shared" ref="A173:A194" si="26">A172+1</f>
        <v>135</v>
      </c>
      <c r="B173" s="27" t="s">
        <v>3938</v>
      </c>
      <c r="C173" s="29" t="s">
        <v>3796</v>
      </c>
      <c r="D173" s="267" t="s">
        <v>3925</v>
      </c>
      <c r="E173" s="25">
        <v>4</v>
      </c>
      <c r="F173" s="26" t="s">
        <v>349</v>
      </c>
      <c r="G173" s="25">
        <v>15170</v>
      </c>
      <c r="H173" s="25">
        <f t="shared" si="22"/>
        <v>14182.555072989999</v>
      </c>
      <c r="I173" s="25">
        <f t="shared" si="23"/>
        <v>56730.220291959995</v>
      </c>
      <c r="J173" s="30">
        <v>0</v>
      </c>
      <c r="K173" s="30">
        <f t="shared" si="24"/>
        <v>0</v>
      </c>
      <c r="L173" s="25">
        <f t="shared" si="25"/>
        <v>56730.220291959995</v>
      </c>
      <c r="M173" s="26"/>
      <c r="N173" s="203">
        <v>0.93490804699999996</v>
      </c>
    </row>
    <row r="174" spans="1:14" ht="18.95" customHeight="1">
      <c r="A174" s="28">
        <f t="shared" si="26"/>
        <v>136</v>
      </c>
      <c r="B174" s="27" t="s">
        <v>3939</v>
      </c>
      <c r="C174" s="29" t="s">
        <v>3940</v>
      </c>
      <c r="D174" s="267" t="s">
        <v>3941</v>
      </c>
      <c r="E174" s="25">
        <v>4</v>
      </c>
      <c r="F174" s="26" t="s">
        <v>349</v>
      </c>
      <c r="G174" s="25">
        <v>47000</v>
      </c>
      <c r="H174" s="25">
        <f t="shared" si="22"/>
        <v>43940.678208999998</v>
      </c>
      <c r="I174" s="25">
        <f t="shared" si="23"/>
        <v>175762.71283599999</v>
      </c>
      <c r="J174" s="30">
        <v>0</v>
      </c>
      <c r="K174" s="30">
        <f t="shared" si="24"/>
        <v>0</v>
      </c>
      <c r="L174" s="25">
        <f t="shared" si="25"/>
        <v>175762.71283599999</v>
      </c>
      <c r="M174" s="26"/>
      <c r="N174" s="203">
        <v>0.93490804699999996</v>
      </c>
    </row>
    <row r="175" spans="1:14" ht="18.95" customHeight="1">
      <c r="A175" s="28">
        <f t="shared" si="26"/>
        <v>137</v>
      </c>
      <c r="B175" s="27" t="s">
        <v>3942</v>
      </c>
      <c r="C175" s="29" t="s">
        <v>3860</v>
      </c>
      <c r="D175" s="267"/>
      <c r="E175" s="25">
        <v>4</v>
      </c>
      <c r="F175" s="26" t="s">
        <v>349</v>
      </c>
      <c r="G175" s="25">
        <v>8700</v>
      </c>
      <c r="H175" s="25">
        <f t="shared" si="22"/>
        <v>8133.7000088999994</v>
      </c>
      <c r="I175" s="25">
        <f t="shared" si="23"/>
        <v>32534.800035599997</v>
      </c>
      <c r="J175" s="30">
        <v>0</v>
      </c>
      <c r="K175" s="30">
        <f t="shared" si="24"/>
        <v>0</v>
      </c>
      <c r="L175" s="25">
        <f t="shared" si="25"/>
        <v>32534.800035599997</v>
      </c>
      <c r="M175" s="26"/>
      <c r="N175" s="203">
        <v>0.93490804699999996</v>
      </c>
    </row>
    <row r="176" spans="1:14" ht="18.95" customHeight="1">
      <c r="A176" s="28">
        <f t="shared" si="26"/>
        <v>138</v>
      </c>
      <c r="B176" s="27" t="s">
        <v>3943</v>
      </c>
      <c r="C176" s="29" t="s">
        <v>3944</v>
      </c>
      <c r="D176" s="267"/>
      <c r="E176" s="25">
        <v>24</v>
      </c>
      <c r="F176" s="26" t="s">
        <v>349</v>
      </c>
      <c r="G176" s="25">
        <v>20330</v>
      </c>
      <c r="H176" s="25">
        <f t="shared" si="22"/>
        <v>19006.680595509999</v>
      </c>
      <c r="I176" s="25">
        <f t="shared" si="23"/>
        <v>456160.33429223998</v>
      </c>
      <c r="J176" s="30">
        <v>0</v>
      </c>
      <c r="K176" s="30">
        <f t="shared" si="24"/>
        <v>0</v>
      </c>
      <c r="L176" s="25">
        <f t="shared" si="25"/>
        <v>456160.33429223998</v>
      </c>
      <c r="M176" s="26"/>
      <c r="N176" s="203">
        <v>0.93490804699999996</v>
      </c>
    </row>
    <row r="177" spans="1:14" ht="18.95" customHeight="1">
      <c r="A177" s="28">
        <f t="shared" si="26"/>
        <v>139</v>
      </c>
      <c r="B177" s="27" t="s">
        <v>3945</v>
      </c>
      <c r="C177" s="29" t="s">
        <v>3858</v>
      </c>
      <c r="D177" s="267"/>
      <c r="E177" s="25">
        <v>14</v>
      </c>
      <c r="F177" s="26" t="s">
        <v>349</v>
      </c>
      <c r="G177" s="25">
        <v>25762</v>
      </c>
      <c r="H177" s="25">
        <f t="shared" si="22"/>
        <v>24085.101106814</v>
      </c>
      <c r="I177" s="25">
        <f t="shared" si="23"/>
        <v>337191.41549539601</v>
      </c>
      <c r="J177" s="30">
        <v>0</v>
      </c>
      <c r="K177" s="30">
        <f t="shared" si="24"/>
        <v>0</v>
      </c>
      <c r="L177" s="25">
        <f t="shared" si="25"/>
        <v>337191.41549539601</v>
      </c>
      <c r="M177" s="26"/>
      <c r="N177" s="203">
        <v>0.93490804699999996</v>
      </c>
    </row>
    <row r="178" spans="1:14" ht="18.95" customHeight="1">
      <c r="A178" s="28">
        <f t="shared" si="26"/>
        <v>140</v>
      </c>
      <c r="B178" s="27" t="s">
        <v>3946</v>
      </c>
      <c r="C178" s="29" t="s">
        <v>3947</v>
      </c>
      <c r="D178" s="267"/>
      <c r="E178" s="25">
        <v>1</v>
      </c>
      <c r="F178" s="26" t="s">
        <v>349</v>
      </c>
      <c r="G178" s="25">
        <v>27360</v>
      </c>
      <c r="H178" s="25">
        <f t="shared" si="22"/>
        <v>25579.084165919998</v>
      </c>
      <c r="I178" s="25">
        <f t="shared" si="23"/>
        <v>25579.084165919998</v>
      </c>
      <c r="J178" s="30">
        <v>0</v>
      </c>
      <c r="K178" s="30">
        <f t="shared" si="24"/>
        <v>0</v>
      </c>
      <c r="L178" s="25">
        <f t="shared" si="25"/>
        <v>25579.084165919998</v>
      </c>
      <c r="M178" s="26"/>
      <c r="N178" s="203">
        <v>0.93490804699999996</v>
      </c>
    </row>
    <row r="179" spans="1:14" ht="18.95" customHeight="1">
      <c r="A179" s="28">
        <f t="shared" si="26"/>
        <v>141</v>
      </c>
      <c r="B179" s="27" t="s">
        <v>3948</v>
      </c>
      <c r="C179" s="29" t="s">
        <v>3678</v>
      </c>
      <c r="D179" s="267"/>
      <c r="E179" s="25">
        <v>16</v>
      </c>
      <c r="F179" s="26" t="s">
        <v>349</v>
      </c>
      <c r="G179" s="25">
        <v>9620</v>
      </c>
      <c r="H179" s="25">
        <f t="shared" si="22"/>
        <v>8993.8154121400003</v>
      </c>
      <c r="I179" s="25">
        <f t="shared" si="23"/>
        <v>143901.04659424</v>
      </c>
      <c r="J179" s="30">
        <v>0</v>
      </c>
      <c r="K179" s="30">
        <f t="shared" si="24"/>
        <v>0</v>
      </c>
      <c r="L179" s="25">
        <f t="shared" si="25"/>
        <v>143901.04659424</v>
      </c>
      <c r="M179" s="26"/>
      <c r="N179" s="203">
        <v>0.93490804699999996</v>
      </c>
    </row>
    <row r="180" spans="1:14" ht="18.95" customHeight="1">
      <c r="A180" s="28">
        <f t="shared" si="26"/>
        <v>142</v>
      </c>
      <c r="B180" s="27" t="s">
        <v>3949</v>
      </c>
      <c r="C180" s="29" t="s">
        <v>3858</v>
      </c>
      <c r="D180" s="267"/>
      <c r="E180" s="25">
        <v>8</v>
      </c>
      <c r="F180" s="26" t="s">
        <v>349</v>
      </c>
      <c r="G180" s="25">
        <v>25762</v>
      </c>
      <c r="H180" s="25">
        <f t="shared" si="22"/>
        <v>24085.101106814</v>
      </c>
      <c r="I180" s="25">
        <f t="shared" si="23"/>
        <v>192680.808854512</v>
      </c>
      <c r="J180" s="30">
        <v>0</v>
      </c>
      <c r="K180" s="30">
        <f t="shared" si="24"/>
        <v>0</v>
      </c>
      <c r="L180" s="25">
        <f t="shared" si="25"/>
        <v>192680.808854512</v>
      </c>
      <c r="M180" s="26"/>
      <c r="N180" s="203">
        <v>0.93490804699999996</v>
      </c>
    </row>
    <row r="181" spans="1:14" ht="18.95" customHeight="1">
      <c r="A181" s="28">
        <f t="shared" si="26"/>
        <v>143</v>
      </c>
      <c r="B181" s="27" t="s">
        <v>3950</v>
      </c>
      <c r="C181" s="29" t="s">
        <v>3951</v>
      </c>
      <c r="D181" s="267"/>
      <c r="E181" s="25">
        <v>12</v>
      </c>
      <c r="F181" s="26" t="s">
        <v>349</v>
      </c>
      <c r="G181" s="25">
        <v>10400</v>
      </c>
      <c r="H181" s="25">
        <f t="shared" si="22"/>
        <v>9723.0436888000004</v>
      </c>
      <c r="I181" s="25">
        <f t="shared" si="23"/>
        <v>116676.5242656</v>
      </c>
      <c r="J181" s="30">
        <v>0</v>
      </c>
      <c r="K181" s="30">
        <f t="shared" si="24"/>
        <v>0</v>
      </c>
      <c r="L181" s="25">
        <f t="shared" si="25"/>
        <v>116676.5242656</v>
      </c>
      <c r="M181" s="26"/>
      <c r="N181" s="203">
        <v>0.93490804699999996</v>
      </c>
    </row>
    <row r="182" spans="1:14" ht="18.95" customHeight="1">
      <c r="A182" s="28">
        <f t="shared" si="26"/>
        <v>144</v>
      </c>
      <c r="B182" s="27" t="s">
        <v>3952</v>
      </c>
      <c r="C182" s="29" t="s">
        <v>3953</v>
      </c>
      <c r="D182" s="267"/>
      <c r="E182" s="25">
        <v>6</v>
      </c>
      <c r="F182" s="26" t="s">
        <v>349</v>
      </c>
      <c r="G182" s="25">
        <v>34000</v>
      </c>
      <c r="H182" s="25">
        <f t="shared" si="22"/>
        <v>31786.873597999998</v>
      </c>
      <c r="I182" s="25">
        <f t="shared" si="23"/>
        <v>190721.24158799998</v>
      </c>
      <c r="J182" s="30">
        <v>0</v>
      </c>
      <c r="K182" s="30">
        <f t="shared" si="24"/>
        <v>0</v>
      </c>
      <c r="L182" s="25">
        <f t="shared" si="25"/>
        <v>190721.24158799998</v>
      </c>
      <c r="M182" s="26"/>
      <c r="N182" s="203">
        <v>0.93490804699999996</v>
      </c>
    </row>
    <row r="183" spans="1:14" ht="18.95" customHeight="1">
      <c r="A183" s="28">
        <f t="shared" si="26"/>
        <v>145</v>
      </c>
      <c r="B183" s="27" t="s">
        <v>3954</v>
      </c>
      <c r="C183" s="29" t="s">
        <v>3955</v>
      </c>
      <c r="D183" s="267"/>
      <c r="E183" s="25">
        <v>3</v>
      </c>
      <c r="F183" s="26" t="s">
        <v>349</v>
      </c>
      <c r="G183" s="25">
        <v>7308</v>
      </c>
      <c r="H183" s="25">
        <f t="shared" si="22"/>
        <v>6832.3080074760001</v>
      </c>
      <c r="I183" s="25">
        <f t="shared" si="23"/>
        <v>20496.924022428</v>
      </c>
      <c r="J183" s="30">
        <v>0</v>
      </c>
      <c r="K183" s="30">
        <f t="shared" si="24"/>
        <v>0</v>
      </c>
      <c r="L183" s="25">
        <f t="shared" si="25"/>
        <v>20496.924022428</v>
      </c>
      <c r="M183" s="26"/>
      <c r="N183" s="203">
        <v>0.93490804699999996</v>
      </c>
    </row>
    <row r="184" spans="1:14" ht="18.95" customHeight="1">
      <c r="A184" s="28">
        <f t="shared" si="26"/>
        <v>146</v>
      </c>
      <c r="B184" s="27" t="s">
        <v>3956</v>
      </c>
      <c r="C184" s="29" t="s">
        <v>3834</v>
      </c>
      <c r="D184" s="267"/>
      <c r="E184" s="25">
        <v>6</v>
      </c>
      <c r="F184" s="26" t="s">
        <v>349</v>
      </c>
      <c r="G184" s="25">
        <v>5988</v>
      </c>
      <c r="H184" s="25">
        <f t="shared" si="22"/>
        <v>5598.2293854359996</v>
      </c>
      <c r="I184" s="25">
        <f t="shared" si="23"/>
        <v>33589.376312615997</v>
      </c>
      <c r="J184" s="30">
        <v>0</v>
      </c>
      <c r="K184" s="30">
        <f t="shared" si="24"/>
        <v>0</v>
      </c>
      <c r="L184" s="25">
        <f t="shared" si="25"/>
        <v>33589.376312615997</v>
      </c>
      <c r="M184" s="26"/>
      <c r="N184" s="203">
        <v>0.93490804699999996</v>
      </c>
    </row>
    <row r="185" spans="1:14" ht="18.95" customHeight="1">
      <c r="A185" s="28">
        <f t="shared" si="26"/>
        <v>147</v>
      </c>
      <c r="B185" s="27" t="s">
        <v>3957</v>
      </c>
      <c r="C185" s="29" t="s">
        <v>3958</v>
      </c>
      <c r="D185" s="267"/>
      <c r="E185" s="25">
        <v>4</v>
      </c>
      <c r="F185" s="26" t="s">
        <v>349</v>
      </c>
      <c r="G185" s="25">
        <v>23200</v>
      </c>
      <c r="H185" s="25">
        <f t="shared" si="22"/>
        <v>21689.866690399998</v>
      </c>
      <c r="I185" s="25">
        <f t="shared" si="23"/>
        <v>86759.466761599993</v>
      </c>
      <c r="J185" s="30">
        <v>0</v>
      </c>
      <c r="K185" s="30">
        <f t="shared" si="24"/>
        <v>0</v>
      </c>
      <c r="L185" s="25">
        <f t="shared" si="25"/>
        <v>86759.466761599993</v>
      </c>
      <c r="M185" s="26"/>
      <c r="N185" s="203">
        <v>0.93490804699999996</v>
      </c>
    </row>
    <row r="186" spans="1:14" ht="18.95" customHeight="1">
      <c r="A186" s="28">
        <f t="shared" si="26"/>
        <v>148</v>
      </c>
      <c r="B186" s="27" t="s">
        <v>3959</v>
      </c>
      <c r="C186" s="29" t="s">
        <v>3960</v>
      </c>
      <c r="D186" s="267" t="s">
        <v>3961</v>
      </c>
      <c r="E186" s="25">
        <v>3</v>
      </c>
      <c r="F186" s="26" t="s">
        <v>349</v>
      </c>
      <c r="G186" s="25">
        <v>38100</v>
      </c>
      <c r="H186" s="25">
        <f t="shared" si="22"/>
        <v>35619.996590700001</v>
      </c>
      <c r="I186" s="25">
        <f t="shared" si="23"/>
        <v>106859.9897721</v>
      </c>
      <c r="J186" s="30">
        <v>0</v>
      </c>
      <c r="K186" s="30">
        <f t="shared" si="24"/>
        <v>0</v>
      </c>
      <c r="L186" s="25">
        <f t="shared" si="25"/>
        <v>106859.9897721</v>
      </c>
      <c r="M186" s="26"/>
      <c r="N186" s="203">
        <v>0.93490804699999996</v>
      </c>
    </row>
    <row r="187" spans="1:14" ht="18.95" customHeight="1">
      <c r="A187" s="28">
        <f t="shared" si="26"/>
        <v>149</v>
      </c>
      <c r="B187" s="27" t="s">
        <v>3962</v>
      </c>
      <c r="C187" s="29" t="s">
        <v>3963</v>
      </c>
      <c r="D187" s="267" t="s">
        <v>3964</v>
      </c>
      <c r="E187" s="25">
        <v>3</v>
      </c>
      <c r="F187" s="26" t="s">
        <v>349</v>
      </c>
      <c r="G187" s="25">
        <v>14500</v>
      </c>
      <c r="H187" s="25">
        <f t="shared" si="22"/>
        <v>13556.166681499999</v>
      </c>
      <c r="I187" s="25">
        <f t="shared" si="23"/>
        <v>40668.500044499997</v>
      </c>
      <c r="J187" s="30">
        <v>0</v>
      </c>
      <c r="K187" s="30">
        <f t="shared" si="24"/>
        <v>0</v>
      </c>
      <c r="L187" s="25">
        <f t="shared" si="25"/>
        <v>40668.500044499997</v>
      </c>
      <c r="M187" s="26"/>
      <c r="N187" s="203">
        <v>0.93490804699999996</v>
      </c>
    </row>
    <row r="188" spans="1:14" ht="18.95" customHeight="1">
      <c r="A188" s="28">
        <f t="shared" si="26"/>
        <v>150</v>
      </c>
      <c r="B188" s="27" t="s">
        <v>3965</v>
      </c>
      <c r="C188" s="29" t="s">
        <v>3963</v>
      </c>
      <c r="D188" s="267" t="s">
        <v>3964</v>
      </c>
      <c r="E188" s="25">
        <v>3</v>
      </c>
      <c r="F188" s="26" t="s">
        <v>349</v>
      </c>
      <c r="G188" s="25">
        <v>13900</v>
      </c>
      <c r="H188" s="25">
        <f t="shared" si="22"/>
        <v>12995.2218533</v>
      </c>
      <c r="I188" s="25">
        <f t="shared" si="23"/>
        <v>38985.665559900001</v>
      </c>
      <c r="J188" s="30">
        <v>0</v>
      </c>
      <c r="K188" s="30">
        <f t="shared" si="24"/>
        <v>0</v>
      </c>
      <c r="L188" s="25">
        <f t="shared" si="25"/>
        <v>38985.665559900001</v>
      </c>
      <c r="M188" s="26"/>
      <c r="N188" s="203">
        <v>0.93490804699999996</v>
      </c>
    </row>
    <row r="189" spans="1:14" ht="18.95" customHeight="1">
      <c r="A189" s="28">
        <f t="shared" si="26"/>
        <v>151</v>
      </c>
      <c r="B189" s="27" t="s">
        <v>3966</v>
      </c>
      <c r="C189" s="29" t="s">
        <v>3796</v>
      </c>
      <c r="D189" s="267" t="s">
        <v>3925</v>
      </c>
      <c r="E189" s="25">
        <v>12</v>
      </c>
      <c r="F189" s="26" t="s">
        <v>349</v>
      </c>
      <c r="G189" s="25">
        <v>15170</v>
      </c>
      <c r="H189" s="25">
        <f t="shared" si="22"/>
        <v>14182.555072989999</v>
      </c>
      <c r="I189" s="25">
        <f t="shared" si="23"/>
        <v>170190.66087587998</v>
      </c>
      <c r="J189" s="30">
        <v>0</v>
      </c>
      <c r="K189" s="30">
        <f t="shared" si="24"/>
        <v>0</v>
      </c>
      <c r="L189" s="25">
        <f t="shared" si="25"/>
        <v>170190.66087587998</v>
      </c>
      <c r="M189" s="26"/>
      <c r="N189" s="203">
        <v>0.93490804699999996</v>
      </c>
    </row>
    <row r="190" spans="1:14" ht="18.95" customHeight="1">
      <c r="A190" s="28">
        <f t="shared" si="26"/>
        <v>152</v>
      </c>
      <c r="B190" s="27" t="s">
        <v>3967</v>
      </c>
      <c r="C190" s="29" t="s">
        <v>3963</v>
      </c>
      <c r="D190" s="267" t="s">
        <v>3964</v>
      </c>
      <c r="E190" s="25">
        <v>2</v>
      </c>
      <c r="F190" s="26" t="s">
        <v>349</v>
      </c>
      <c r="G190" s="25">
        <v>14500</v>
      </c>
      <c r="H190" s="25">
        <f t="shared" si="22"/>
        <v>13556.166681499999</v>
      </c>
      <c r="I190" s="25">
        <f t="shared" si="23"/>
        <v>27112.333362999998</v>
      </c>
      <c r="J190" s="30">
        <v>0</v>
      </c>
      <c r="K190" s="30">
        <f t="shared" si="24"/>
        <v>0</v>
      </c>
      <c r="L190" s="25">
        <f t="shared" si="25"/>
        <v>27112.333362999998</v>
      </c>
      <c r="M190" s="26"/>
      <c r="N190" s="203">
        <v>0.93490804699999996</v>
      </c>
    </row>
    <row r="191" spans="1:14" ht="18.95" customHeight="1">
      <c r="A191" s="28">
        <f t="shared" si="26"/>
        <v>153</v>
      </c>
      <c r="B191" s="27" t="s">
        <v>3968</v>
      </c>
      <c r="C191" s="29" t="s">
        <v>3930</v>
      </c>
      <c r="D191" s="267" t="s">
        <v>3969</v>
      </c>
      <c r="E191" s="25">
        <v>1</v>
      </c>
      <c r="F191" s="26" t="s">
        <v>349</v>
      </c>
      <c r="G191" s="25">
        <v>74288</v>
      </c>
      <c r="H191" s="25">
        <f t="shared" si="22"/>
        <v>69452.448995536004</v>
      </c>
      <c r="I191" s="25">
        <f t="shared" si="23"/>
        <v>69452.448995536004</v>
      </c>
      <c r="J191" s="30">
        <v>0</v>
      </c>
      <c r="K191" s="30">
        <f t="shared" si="24"/>
        <v>0</v>
      </c>
      <c r="L191" s="25">
        <f t="shared" si="25"/>
        <v>69452.448995536004</v>
      </c>
      <c r="M191" s="26"/>
      <c r="N191" s="203">
        <v>0.93490804699999996</v>
      </c>
    </row>
    <row r="192" spans="1:14" ht="18.95" customHeight="1">
      <c r="A192" s="28">
        <f t="shared" si="26"/>
        <v>154</v>
      </c>
      <c r="B192" s="27" t="s">
        <v>3970</v>
      </c>
      <c r="C192" s="29" t="s">
        <v>3930</v>
      </c>
      <c r="D192" s="267" t="s">
        <v>3971</v>
      </c>
      <c r="E192" s="25">
        <v>1</v>
      </c>
      <c r="F192" s="26" t="s">
        <v>349</v>
      </c>
      <c r="G192" s="25">
        <v>41010</v>
      </c>
      <c r="H192" s="25">
        <f t="shared" si="22"/>
        <v>38340.579007469998</v>
      </c>
      <c r="I192" s="25">
        <f t="shared" si="23"/>
        <v>38340.579007469998</v>
      </c>
      <c r="J192" s="30">
        <v>0</v>
      </c>
      <c r="K192" s="30">
        <f t="shared" si="24"/>
        <v>0</v>
      </c>
      <c r="L192" s="25">
        <f t="shared" si="25"/>
        <v>38340.579007469998</v>
      </c>
      <c r="M192" s="26"/>
      <c r="N192" s="203">
        <v>0.93490804699999996</v>
      </c>
    </row>
    <row r="193" spans="1:14" ht="18.95" customHeight="1">
      <c r="A193" s="28">
        <f t="shared" si="26"/>
        <v>155</v>
      </c>
      <c r="B193" s="27" t="s">
        <v>3972</v>
      </c>
      <c r="C193" s="29" t="s">
        <v>3930</v>
      </c>
      <c r="D193" s="267" t="s">
        <v>3973</v>
      </c>
      <c r="E193" s="25">
        <v>2</v>
      </c>
      <c r="F193" s="26" t="s">
        <v>349</v>
      </c>
      <c r="G193" s="25">
        <f>21100+2600+2600</f>
        <v>26300</v>
      </c>
      <c r="H193" s="25">
        <f t="shared" si="22"/>
        <v>24588.0816361</v>
      </c>
      <c r="I193" s="25">
        <f t="shared" si="23"/>
        <v>49176.163272199999</v>
      </c>
      <c r="J193" s="30">
        <v>0</v>
      </c>
      <c r="K193" s="30">
        <f t="shared" si="24"/>
        <v>0</v>
      </c>
      <c r="L193" s="25">
        <f t="shared" si="25"/>
        <v>49176.163272199999</v>
      </c>
      <c r="M193" s="26"/>
      <c r="N193" s="203">
        <v>0.93490804699999996</v>
      </c>
    </row>
    <row r="194" spans="1:14" ht="18.95" customHeight="1">
      <c r="A194" s="28">
        <f t="shared" si="26"/>
        <v>156</v>
      </c>
      <c r="B194" s="27" t="s">
        <v>3974</v>
      </c>
      <c r="C194" s="29" t="s">
        <v>3975</v>
      </c>
      <c r="D194" s="267"/>
      <c r="E194" s="25">
        <v>8</v>
      </c>
      <c r="F194" s="26" t="s">
        <v>349</v>
      </c>
      <c r="G194" s="25">
        <v>9800</v>
      </c>
      <c r="H194" s="25">
        <f t="shared" si="22"/>
        <v>9162.0988605999992</v>
      </c>
      <c r="I194" s="25">
        <f t="shared" si="23"/>
        <v>73296.790884799993</v>
      </c>
      <c r="J194" s="30">
        <v>0</v>
      </c>
      <c r="K194" s="30">
        <f t="shared" si="24"/>
        <v>0</v>
      </c>
      <c r="L194" s="25">
        <f t="shared" si="25"/>
        <v>73296.790884799993</v>
      </c>
      <c r="M194" s="26"/>
      <c r="N194" s="203">
        <v>0.93490804699999996</v>
      </c>
    </row>
    <row r="195" spans="1:14" s="1" customFormat="1" ht="18.95" customHeight="1">
      <c r="A195" s="339"/>
      <c r="B195" s="1391" t="s">
        <v>3976</v>
      </c>
      <c r="C195" s="1392"/>
      <c r="D195" s="1393"/>
      <c r="E195" s="34">
        <f>SUM(E32:E194)</f>
        <v>1573</v>
      </c>
      <c r="F195" s="102" t="s">
        <v>349</v>
      </c>
      <c r="G195" s="34"/>
      <c r="H195" s="25"/>
      <c r="I195" s="34">
        <f>SUM(I32:I194)</f>
        <v>24480132.478453141</v>
      </c>
      <c r="J195" s="34"/>
      <c r="K195" s="34"/>
      <c r="L195" s="34">
        <f>SUM(L32:L194)</f>
        <v>24480132.478453141</v>
      </c>
      <c r="M195" s="35"/>
      <c r="N195" s="203">
        <v>0.93490804699999996</v>
      </c>
    </row>
    <row r="196" spans="1:14" s="1" customFormat="1" ht="18.95" customHeight="1">
      <c r="A196" s="339"/>
      <c r="B196" s="385"/>
      <c r="C196" s="386"/>
      <c r="D196" s="387"/>
      <c r="E196" s="34"/>
      <c r="F196" s="102"/>
      <c r="G196" s="34"/>
      <c r="H196" s="25"/>
      <c r="I196" s="34"/>
      <c r="J196" s="34"/>
      <c r="K196" s="34"/>
      <c r="L196" s="34"/>
      <c r="M196" s="35"/>
      <c r="N196" s="203">
        <v>0.93490804699999996</v>
      </c>
    </row>
    <row r="197" spans="1:14" s="1" customFormat="1" ht="18.95" customHeight="1">
      <c r="A197" s="339"/>
      <c r="B197" s="385"/>
      <c r="C197" s="386"/>
      <c r="D197" s="387"/>
      <c r="E197" s="34"/>
      <c r="F197" s="102"/>
      <c r="G197" s="34"/>
      <c r="H197" s="25"/>
      <c r="I197" s="34"/>
      <c r="J197" s="34"/>
      <c r="K197" s="34"/>
      <c r="L197" s="34"/>
      <c r="M197" s="35"/>
      <c r="N197" s="203">
        <v>0.93490804699999996</v>
      </c>
    </row>
    <row r="198" spans="1:14" s="1" customFormat="1" ht="18.95" customHeight="1">
      <c r="A198" s="388"/>
      <c r="B198" s="389"/>
      <c r="C198" s="390"/>
      <c r="D198" s="391"/>
      <c r="E198" s="143"/>
      <c r="F198" s="392"/>
      <c r="G198" s="143"/>
      <c r="H198" s="25"/>
      <c r="I198" s="143"/>
      <c r="J198" s="143"/>
      <c r="K198" s="143"/>
      <c r="L198" s="143"/>
      <c r="M198" s="130"/>
      <c r="N198" s="203">
        <v>0.93490804699999996</v>
      </c>
    </row>
    <row r="199" spans="1:14" s="1" customFormat="1" ht="18.95" customHeight="1">
      <c r="A199" s="215">
        <v>2</v>
      </c>
      <c r="B199" s="393" t="s">
        <v>3977</v>
      </c>
      <c r="C199" s="394"/>
      <c r="D199" s="395"/>
      <c r="E199" s="218"/>
      <c r="F199" s="219"/>
      <c r="G199" s="218"/>
      <c r="H199" s="25"/>
      <c r="I199" s="218"/>
      <c r="J199" s="246"/>
      <c r="K199" s="218"/>
      <c r="L199" s="246"/>
      <c r="M199" s="26"/>
      <c r="N199" s="203">
        <v>0.93490804699999996</v>
      </c>
    </row>
    <row r="200" spans="1:14" ht="18.95" customHeight="1">
      <c r="A200" s="28"/>
      <c r="B200" s="27" t="s">
        <v>3978</v>
      </c>
      <c r="C200" s="29" t="s">
        <v>3979</v>
      </c>
      <c r="D200" s="267"/>
      <c r="E200" s="25">
        <v>6</v>
      </c>
      <c r="F200" s="26" t="s">
        <v>349</v>
      </c>
      <c r="G200" s="25">
        <v>6500</v>
      </c>
      <c r="H200" s="25">
        <f t="shared" si="22"/>
        <v>6076.9023054999998</v>
      </c>
      <c r="I200" s="25">
        <f t="shared" ref="I200:I204" si="27">H200*E200</f>
        <v>36461.413832999999</v>
      </c>
      <c r="J200" s="30">
        <v>0</v>
      </c>
      <c r="K200" s="30">
        <f>J200*E200</f>
        <v>0</v>
      </c>
      <c r="L200" s="25">
        <f>I200+K200</f>
        <v>36461.413832999999</v>
      </c>
      <c r="M200" s="26"/>
      <c r="N200" s="203">
        <v>0.93490804699999996</v>
      </c>
    </row>
    <row r="201" spans="1:14" ht="18.95" customHeight="1">
      <c r="A201" s="377"/>
      <c r="B201" s="27" t="s">
        <v>3980</v>
      </c>
      <c r="C201" s="29" t="s">
        <v>3979</v>
      </c>
      <c r="D201" s="267"/>
      <c r="E201" s="25">
        <v>4</v>
      </c>
      <c r="F201" s="26" t="s">
        <v>349</v>
      </c>
      <c r="G201" s="25">
        <v>7650</v>
      </c>
      <c r="H201" s="25">
        <f t="shared" si="22"/>
        <v>7152.04655955</v>
      </c>
      <c r="I201" s="25">
        <f t="shared" si="27"/>
        <v>28608.1862382</v>
      </c>
      <c r="J201" s="30">
        <v>0</v>
      </c>
      <c r="K201" s="30">
        <f>J201*E201</f>
        <v>0</v>
      </c>
      <c r="L201" s="25">
        <f>I201+K201</f>
        <v>28608.1862382</v>
      </c>
      <c r="M201" s="26"/>
      <c r="N201" s="203">
        <v>0.93490804699999996</v>
      </c>
    </row>
    <row r="202" spans="1:14" ht="18.95" customHeight="1">
      <c r="A202" s="268"/>
      <c r="B202" s="27" t="s">
        <v>3981</v>
      </c>
      <c r="C202" s="29" t="s">
        <v>3979</v>
      </c>
      <c r="D202" s="24"/>
      <c r="E202" s="25">
        <v>11</v>
      </c>
      <c r="F202" s="26" t="s">
        <v>349</v>
      </c>
      <c r="G202" s="25">
        <v>5750</v>
      </c>
      <c r="H202" s="25">
        <f t="shared" si="22"/>
        <v>5375.7212702500001</v>
      </c>
      <c r="I202" s="25">
        <f t="shared" si="27"/>
        <v>59132.933972750005</v>
      </c>
      <c r="J202" s="30">
        <v>0</v>
      </c>
      <c r="K202" s="30">
        <f>J202*E202</f>
        <v>0</v>
      </c>
      <c r="L202" s="25">
        <f>I202+K202</f>
        <v>59132.933972750005</v>
      </c>
      <c r="M202" s="26"/>
      <c r="N202" s="203">
        <v>0.93490804699999996</v>
      </c>
    </row>
    <row r="203" spans="1:14" ht="18.95" customHeight="1">
      <c r="A203" s="268"/>
      <c r="B203" s="27" t="s">
        <v>3982</v>
      </c>
      <c r="C203" s="29" t="s">
        <v>3979</v>
      </c>
      <c r="D203" s="24"/>
      <c r="E203" s="25">
        <v>11</v>
      </c>
      <c r="F203" s="26" t="s">
        <v>349</v>
      </c>
      <c r="G203" s="25">
        <v>6500</v>
      </c>
      <c r="H203" s="25">
        <f t="shared" si="22"/>
        <v>6076.9023054999998</v>
      </c>
      <c r="I203" s="25">
        <f t="shared" si="27"/>
        <v>66845.925360499998</v>
      </c>
      <c r="J203" s="30">
        <v>0</v>
      </c>
      <c r="K203" s="30">
        <f>J203*E203</f>
        <v>0</v>
      </c>
      <c r="L203" s="25">
        <f>I203+K203</f>
        <v>66845.925360499998</v>
      </c>
      <c r="M203" s="26"/>
      <c r="N203" s="203">
        <v>0.93490804699999996</v>
      </c>
    </row>
    <row r="204" spans="1:14" ht="18.95" customHeight="1">
      <c r="A204" s="268"/>
      <c r="B204" s="27" t="s">
        <v>3983</v>
      </c>
      <c r="C204" s="29" t="s">
        <v>3979</v>
      </c>
      <c r="D204" s="24"/>
      <c r="E204" s="25">
        <v>3</v>
      </c>
      <c r="F204" s="26" t="s">
        <v>349</v>
      </c>
      <c r="G204" s="25">
        <v>8900</v>
      </c>
      <c r="H204" s="25">
        <f t="shared" si="22"/>
        <v>8320.6816182999992</v>
      </c>
      <c r="I204" s="25">
        <f t="shared" si="27"/>
        <v>24962.044854899999</v>
      </c>
      <c r="J204" s="30">
        <v>0</v>
      </c>
      <c r="K204" s="30">
        <f>J204*E204</f>
        <v>0</v>
      </c>
      <c r="L204" s="25">
        <f>I204+K204</f>
        <v>24962.044854899999</v>
      </c>
      <c r="M204" s="26"/>
      <c r="N204" s="203">
        <v>0.93490804699999996</v>
      </c>
    </row>
    <row r="205" spans="1:14" s="1" customFormat="1" ht="18.95" customHeight="1">
      <c r="A205" s="339"/>
      <c r="B205" s="1275" t="s">
        <v>3984</v>
      </c>
      <c r="C205" s="1276"/>
      <c r="D205" s="1277"/>
      <c r="E205" s="34">
        <f>SUM(E200:E204)</f>
        <v>35</v>
      </c>
      <c r="F205" s="26" t="s">
        <v>349</v>
      </c>
      <c r="G205" s="34"/>
      <c r="H205" s="25"/>
      <c r="I205" s="34">
        <f>SUM(I200:I204)</f>
        <v>216010.50425935001</v>
      </c>
      <c r="J205" s="34"/>
      <c r="K205" s="34"/>
      <c r="L205" s="34">
        <f>SUM(L200:L204)</f>
        <v>216010.50425935001</v>
      </c>
      <c r="M205" s="35"/>
      <c r="N205" s="203">
        <v>0.93490804699999996</v>
      </c>
    </row>
    <row r="206" spans="1:14" s="1" customFormat="1" ht="18.95" customHeight="1">
      <c r="A206" s="339"/>
      <c r="B206" s="256"/>
      <c r="C206" s="257"/>
      <c r="D206" s="258"/>
      <c r="E206" s="34"/>
      <c r="F206" s="26"/>
      <c r="G206" s="34"/>
      <c r="H206" s="25"/>
      <c r="I206" s="34"/>
      <c r="J206" s="34"/>
      <c r="K206" s="34"/>
      <c r="L206" s="34"/>
      <c r="M206" s="35"/>
      <c r="N206" s="203">
        <v>0.93490804699999996</v>
      </c>
    </row>
    <row r="207" spans="1:14" s="1" customFormat="1" ht="18.95" customHeight="1">
      <c r="A207" s="220">
        <v>3</v>
      </c>
      <c r="B207" s="396" t="s">
        <v>3985</v>
      </c>
      <c r="C207" s="397"/>
      <c r="D207" s="398"/>
      <c r="E207" s="34"/>
      <c r="F207" s="35"/>
      <c r="G207" s="34"/>
      <c r="H207" s="25"/>
      <c r="I207" s="34"/>
      <c r="J207" s="102"/>
      <c r="K207" s="34"/>
      <c r="L207" s="102"/>
      <c r="M207" s="26"/>
      <c r="N207" s="203">
        <v>0.93490804699999996</v>
      </c>
    </row>
    <row r="208" spans="1:14" ht="18.95" customHeight="1">
      <c r="A208" s="28"/>
      <c r="B208" s="27" t="s">
        <v>3986</v>
      </c>
      <c r="C208" s="29" t="s">
        <v>3987</v>
      </c>
      <c r="D208" s="267"/>
      <c r="E208" s="25">
        <v>2</v>
      </c>
      <c r="F208" s="26" t="s">
        <v>3988</v>
      </c>
      <c r="G208" s="25">
        <v>109000</v>
      </c>
      <c r="H208" s="25">
        <f t="shared" si="22"/>
        <v>101904.97712299999</v>
      </c>
      <c r="I208" s="25">
        <f t="shared" ref="I208" si="28">H208*E208</f>
        <v>203809.95424599998</v>
      </c>
      <c r="J208" s="30">
        <v>0</v>
      </c>
      <c r="K208" s="30">
        <f>J208*E208</f>
        <v>0</v>
      </c>
      <c r="L208" s="25">
        <f>I208+K208</f>
        <v>203809.95424599998</v>
      </c>
      <c r="M208" s="26"/>
      <c r="N208" s="203">
        <v>0.93490804699999996</v>
      </c>
    </row>
    <row r="209" spans="1:13" s="1" customFormat="1" ht="18.95" customHeight="1">
      <c r="A209" s="339"/>
      <c r="B209" s="1275" t="s">
        <v>3989</v>
      </c>
      <c r="C209" s="1276"/>
      <c r="D209" s="1277"/>
      <c r="E209" s="34">
        <f>SUM(E208:E208)</f>
        <v>2</v>
      </c>
      <c r="F209" s="26" t="s">
        <v>3988</v>
      </c>
      <c r="G209" s="34"/>
      <c r="H209" s="34"/>
      <c r="I209" s="34">
        <f>SUM(I208:I208)</f>
        <v>203809.95424599998</v>
      </c>
      <c r="J209" s="34"/>
      <c r="K209" s="34"/>
      <c r="L209" s="34">
        <f>SUM(L208:L208)</f>
        <v>203809.95424599998</v>
      </c>
      <c r="M209" s="35"/>
    </row>
    <row r="210" spans="1:13" ht="18.95" customHeight="1">
      <c r="A210" s="377"/>
      <c r="B210" s="283"/>
      <c r="C210" s="43"/>
      <c r="D210" s="286"/>
      <c r="E210" s="72"/>
      <c r="F210" s="26"/>
      <c r="G210" s="72"/>
      <c r="H210" s="72"/>
      <c r="I210" s="72"/>
      <c r="J210" s="72"/>
      <c r="K210" s="72"/>
      <c r="L210" s="30"/>
      <c r="M210" s="26"/>
    </row>
    <row r="211" spans="1:13" ht="18.95" customHeight="1">
      <c r="A211" s="377"/>
      <c r="B211" s="287"/>
      <c r="C211" s="48"/>
      <c r="D211" s="49"/>
      <c r="E211" s="25"/>
      <c r="F211" s="26"/>
      <c r="G211" s="25"/>
      <c r="H211" s="25"/>
      <c r="I211" s="25"/>
      <c r="J211" s="25"/>
      <c r="K211" s="30"/>
      <c r="L211" s="25"/>
      <c r="M211" s="26"/>
    </row>
    <row r="212" spans="1:13" ht="18.95" customHeight="1">
      <c r="A212" s="377"/>
      <c r="B212" s="287"/>
      <c r="C212" s="48"/>
      <c r="D212" s="49"/>
      <c r="E212" s="25"/>
      <c r="F212" s="26"/>
      <c r="G212" s="25"/>
      <c r="H212" s="25"/>
      <c r="I212" s="25"/>
      <c r="J212" s="25"/>
      <c r="K212" s="30"/>
      <c r="L212" s="25"/>
      <c r="M212" s="26"/>
    </row>
    <row r="213" spans="1:13" ht="18.95" customHeight="1">
      <c r="A213" s="377"/>
      <c r="B213" s="287"/>
      <c r="C213" s="48"/>
      <c r="D213" s="49"/>
      <c r="E213" s="25"/>
      <c r="F213" s="26"/>
      <c r="G213" s="25"/>
      <c r="H213" s="25"/>
      <c r="I213" s="25"/>
      <c r="J213" s="25"/>
      <c r="K213" s="30"/>
      <c r="L213" s="25"/>
      <c r="M213" s="26"/>
    </row>
    <row r="214" spans="1:13" ht="18.95" customHeight="1">
      <c r="A214" s="377"/>
      <c r="B214" s="287"/>
      <c r="C214" s="48"/>
      <c r="D214" s="49"/>
      <c r="E214" s="25"/>
      <c r="F214" s="26"/>
      <c r="G214" s="25"/>
      <c r="H214" s="25"/>
      <c r="I214" s="25"/>
      <c r="J214" s="25"/>
      <c r="K214" s="30"/>
      <c r="L214" s="25"/>
      <c r="M214" s="26"/>
    </row>
    <row r="215" spans="1:13" ht="18.95" customHeight="1">
      <c r="A215" s="220"/>
      <c r="B215" s="302"/>
      <c r="C215" s="221"/>
      <c r="D215" s="267"/>
      <c r="E215" s="25"/>
      <c r="F215" s="26"/>
      <c r="G215" s="25"/>
      <c r="H215" s="25"/>
      <c r="I215" s="25"/>
      <c r="J215" s="30"/>
      <c r="K215" s="34"/>
      <c r="L215" s="30"/>
      <c r="M215" s="26"/>
    </row>
    <row r="216" spans="1:13" ht="18.95" customHeight="1">
      <c r="A216" s="136"/>
      <c r="B216" s="283"/>
      <c r="C216" s="399"/>
      <c r="D216" s="267"/>
      <c r="E216" s="25"/>
      <c r="F216" s="26"/>
      <c r="G216" s="25"/>
      <c r="H216" s="25"/>
      <c r="I216" s="25"/>
      <c r="J216" s="30"/>
      <c r="K216" s="30"/>
      <c r="L216" s="25"/>
      <c r="M216" s="26"/>
    </row>
    <row r="217" spans="1:13" ht="18.95" customHeight="1">
      <c r="A217" s="400"/>
      <c r="B217" s="27"/>
      <c r="C217" s="368"/>
      <c r="D217" s="301"/>
      <c r="E217" s="25"/>
      <c r="F217" s="26"/>
      <c r="G217" s="30"/>
      <c r="H217" s="30"/>
      <c r="I217" s="30"/>
      <c r="J217" s="30"/>
      <c r="K217" s="30"/>
      <c r="L217" s="25"/>
      <c r="M217" s="72"/>
    </row>
    <row r="218" spans="1:13" ht="18.95" customHeight="1">
      <c r="A218" s="400"/>
      <c r="B218" s="27"/>
      <c r="C218" s="368"/>
      <c r="D218" s="301"/>
      <c r="E218" s="25"/>
      <c r="F218" s="26"/>
      <c r="G218" s="30"/>
      <c r="H218" s="30"/>
      <c r="I218" s="30"/>
      <c r="J218" s="30"/>
      <c r="K218" s="30"/>
      <c r="L218" s="25"/>
      <c r="M218" s="72"/>
    </row>
    <row r="219" spans="1:13" ht="18.95" customHeight="1">
      <c r="A219" s="400"/>
      <c r="B219" s="27"/>
      <c r="C219" s="368"/>
      <c r="D219" s="301"/>
      <c r="E219" s="25"/>
      <c r="F219" s="26"/>
      <c r="G219" s="30"/>
      <c r="H219" s="30"/>
      <c r="I219" s="30"/>
      <c r="J219" s="30"/>
      <c r="K219" s="30"/>
      <c r="L219" s="25"/>
      <c r="M219" s="72"/>
    </row>
    <row r="220" spans="1:13" ht="18.95" customHeight="1">
      <c r="A220" s="136"/>
      <c r="B220" s="27"/>
      <c r="C220" s="368"/>
      <c r="D220" s="301"/>
      <c r="E220" s="72"/>
      <c r="F220" s="26"/>
      <c r="G220" s="30"/>
      <c r="H220" s="30"/>
      <c r="I220" s="30"/>
      <c r="J220" s="30"/>
      <c r="K220" s="30"/>
      <c r="L220" s="25"/>
      <c r="M220" s="72"/>
    </row>
    <row r="221" spans="1:13" ht="18.95" customHeight="1">
      <c r="A221" s="400"/>
      <c r="B221" s="27"/>
      <c r="C221" s="368"/>
      <c r="D221" s="301"/>
      <c r="E221" s="25"/>
      <c r="F221" s="26"/>
      <c r="G221" s="30"/>
      <c r="H221" s="30"/>
      <c r="I221" s="30"/>
      <c r="J221" s="30"/>
      <c r="K221" s="30"/>
      <c r="L221" s="25"/>
      <c r="M221" s="72"/>
    </row>
    <row r="222" spans="1:13" ht="18.95" customHeight="1">
      <c r="A222" s="400"/>
      <c r="B222" s="27"/>
      <c r="C222" s="368"/>
      <c r="D222" s="301"/>
      <c r="E222" s="72"/>
      <c r="F222" s="26"/>
      <c r="G222" s="30"/>
      <c r="H222" s="30"/>
      <c r="I222" s="30"/>
      <c r="J222" s="30"/>
      <c r="K222" s="30"/>
      <c r="L222" s="25"/>
      <c r="M222" s="72"/>
    </row>
    <row r="223" spans="1:13" ht="18.95" customHeight="1">
      <c r="A223" s="136"/>
      <c r="B223" s="27"/>
      <c r="C223" s="285"/>
      <c r="D223" s="301"/>
      <c r="E223" s="72"/>
      <c r="F223" s="26"/>
      <c r="G223" s="30"/>
      <c r="H223" s="30"/>
      <c r="I223" s="30"/>
      <c r="J223" s="30"/>
      <c r="K223" s="30"/>
      <c r="L223" s="25"/>
      <c r="M223" s="72"/>
    </row>
    <row r="224" spans="1:13" ht="18.95" customHeight="1">
      <c r="A224" s="377"/>
      <c r="B224" s="27"/>
      <c r="C224" s="368"/>
      <c r="D224" s="267"/>
      <c r="E224" s="72"/>
      <c r="F224" s="26"/>
      <c r="G224" s="30"/>
      <c r="H224" s="30"/>
      <c r="I224" s="30"/>
      <c r="J224" s="30"/>
      <c r="K224" s="72"/>
      <c r="L224" s="30"/>
      <c r="M224" s="26"/>
    </row>
    <row r="225" spans="1:13" ht="18.95" customHeight="1">
      <c r="A225" s="401"/>
      <c r="B225" s="27"/>
      <c r="C225" s="368"/>
      <c r="D225" s="301"/>
      <c r="E225" s="25"/>
      <c r="F225" s="26"/>
      <c r="G225" s="30"/>
      <c r="H225" s="30"/>
      <c r="I225" s="30"/>
      <c r="J225" s="30"/>
      <c r="K225" s="72"/>
      <c r="L225" s="30"/>
      <c r="M225" s="26"/>
    </row>
    <row r="226" spans="1:13" ht="18.95" customHeight="1">
      <c r="A226" s="402"/>
      <c r="B226" s="321"/>
      <c r="C226" s="403"/>
      <c r="D226" s="363"/>
      <c r="E226" s="54"/>
      <c r="F226" s="55"/>
      <c r="G226" s="146"/>
      <c r="H226" s="146"/>
      <c r="I226" s="146"/>
      <c r="J226" s="146"/>
      <c r="K226" s="107"/>
      <c r="L226" s="146"/>
      <c r="M226" s="55"/>
    </row>
    <row r="227" spans="1:13" ht="18.95" customHeight="1">
      <c r="A227" s="404"/>
      <c r="B227" s="276"/>
      <c r="C227" s="277"/>
      <c r="D227" s="367"/>
      <c r="E227" s="263"/>
      <c r="F227" s="248"/>
      <c r="G227" s="291"/>
      <c r="H227" s="291"/>
      <c r="I227" s="291"/>
      <c r="J227" s="291"/>
      <c r="K227" s="264"/>
      <c r="L227" s="291"/>
      <c r="M227" s="248"/>
    </row>
    <row r="228" spans="1:13" ht="18.95" customHeight="1">
      <c r="A228" s="405"/>
      <c r="B228" s="373"/>
      <c r="C228" s="368"/>
      <c r="D228" s="368"/>
      <c r="E228" s="72"/>
      <c r="F228" s="26"/>
      <c r="G228" s="72"/>
      <c r="H228" s="72"/>
      <c r="I228" s="72"/>
      <c r="J228" s="72"/>
      <c r="K228" s="72"/>
      <c r="L228" s="30"/>
      <c r="M228" s="26"/>
    </row>
    <row r="229" spans="1:13" ht="18.95" customHeight="1">
      <c r="A229" s="405"/>
      <c r="B229" s="266"/>
      <c r="C229" s="368"/>
      <c r="D229" s="267"/>
      <c r="E229" s="25"/>
      <c r="F229" s="26"/>
      <c r="G229" s="72"/>
      <c r="H229" s="72"/>
      <c r="I229" s="72"/>
      <c r="J229" s="72"/>
      <c r="K229" s="72"/>
      <c r="L229" s="30"/>
      <c r="M229" s="26"/>
    </row>
    <row r="230" spans="1:13" ht="18.95" customHeight="1">
      <c r="A230" s="405"/>
      <c r="B230" s="266"/>
      <c r="C230" s="368"/>
      <c r="D230" s="267"/>
      <c r="E230" s="25"/>
      <c r="F230" s="26"/>
      <c r="G230" s="72"/>
      <c r="H230" s="72"/>
      <c r="I230" s="72"/>
      <c r="J230" s="72"/>
      <c r="K230" s="72"/>
      <c r="L230" s="30"/>
      <c r="M230" s="26"/>
    </row>
    <row r="231" spans="1:13" ht="18.95" customHeight="1">
      <c r="A231" s="405"/>
      <c r="B231" s="266"/>
      <c r="C231" s="368"/>
      <c r="D231" s="267"/>
      <c r="E231" s="25"/>
      <c r="F231" s="26"/>
      <c r="G231" s="72"/>
      <c r="H231" s="72"/>
      <c r="I231" s="72"/>
      <c r="J231" s="72"/>
      <c r="K231" s="72"/>
      <c r="L231" s="30"/>
      <c r="M231" s="26"/>
    </row>
    <row r="232" spans="1:13" ht="18.95" customHeight="1">
      <c r="A232" s="405"/>
      <c r="B232" s="266"/>
      <c r="C232" s="368"/>
      <c r="D232" s="267"/>
      <c r="E232" s="25"/>
      <c r="F232" s="26"/>
      <c r="G232" s="72"/>
      <c r="H232" s="72"/>
      <c r="I232" s="72"/>
      <c r="J232" s="72"/>
      <c r="K232" s="72"/>
      <c r="L232" s="30"/>
      <c r="M232" s="26"/>
    </row>
    <row r="233" spans="1:13" ht="18.95" customHeight="1">
      <c r="A233" s="268"/>
      <c r="B233" s="269"/>
      <c r="C233" s="47"/>
      <c r="D233" s="24"/>
      <c r="E233" s="25"/>
      <c r="F233" s="26"/>
      <c r="G233" s="72"/>
      <c r="H233" s="72"/>
      <c r="I233" s="72"/>
      <c r="J233" s="72"/>
      <c r="K233" s="72"/>
      <c r="L233" s="30"/>
      <c r="M233" s="26"/>
    </row>
    <row r="234" spans="1:13" ht="18.95" customHeight="1">
      <c r="A234" s="268"/>
      <c r="B234" s="269"/>
      <c r="C234" s="47"/>
      <c r="D234" s="24"/>
      <c r="E234" s="25"/>
      <c r="F234" s="26"/>
      <c r="G234" s="72"/>
      <c r="H234" s="72"/>
      <c r="I234" s="72"/>
      <c r="J234" s="72"/>
      <c r="K234" s="72"/>
      <c r="L234" s="30"/>
      <c r="M234" s="26"/>
    </row>
    <row r="235" spans="1:13" ht="18.95" customHeight="1">
      <c r="A235" s="136"/>
      <c r="B235" s="42"/>
      <c r="C235" s="47"/>
      <c r="D235" s="24"/>
      <c r="E235" s="72"/>
      <c r="F235" s="26"/>
      <c r="G235" s="72"/>
      <c r="H235" s="72"/>
      <c r="I235" s="72"/>
      <c r="J235" s="72"/>
      <c r="K235" s="72"/>
      <c r="L235" s="30"/>
      <c r="M235" s="26"/>
    </row>
    <row r="236" spans="1:13" ht="18.95" customHeight="1">
      <c r="A236" s="136"/>
      <c r="B236" s="283"/>
      <c r="C236" s="285"/>
      <c r="D236" s="40"/>
      <c r="E236" s="72"/>
      <c r="F236" s="26"/>
      <c r="G236" s="72"/>
      <c r="H236" s="72"/>
      <c r="I236" s="72"/>
      <c r="J236" s="72"/>
      <c r="K236" s="72"/>
      <c r="L236" s="30"/>
      <c r="M236" s="26"/>
    </row>
    <row r="237" spans="1:13" ht="18.95" customHeight="1">
      <c r="A237" s="136"/>
      <c r="B237" s="285"/>
      <c r="C237" s="43"/>
      <c r="D237" s="24"/>
      <c r="E237" s="72"/>
      <c r="F237" s="26"/>
      <c r="G237" s="72"/>
      <c r="H237" s="72"/>
      <c r="I237" s="72"/>
      <c r="J237" s="72"/>
      <c r="K237" s="72"/>
      <c r="L237" s="30"/>
      <c r="M237" s="26"/>
    </row>
    <row r="238" spans="1:13" ht="18.95" customHeight="1">
      <c r="A238" s="377"/>
      <c r="B238" s="285"/>
      <c r="C238" s="43"/>
      <c r="D238" s="286"/>
      <c r="E238" s="72"/>
      <c r="F238" s="26"/>
      <c r="G238" s="72"/>
      <c r="H238" s="72"/>
      <c r="I238" s="72"/>
      <c r="J238" s="72"/>
      <c r="K238" s="72"/>
      <c r="L238" s="30"/>
      <c r="M238" s="26"/>
    </row>
    <row r="239" spans="1:13" ht="18.95" customHeight="1">
      <c r="A239" s="377"/>
      <c r="B239" s="287"/>
      <c r="C239" s="48"/>
      <c r="D239" s="49"/>
      <c r="E239" s="25"/>
      <c r="F239" s="26"/>
      <c r="G239" s="25"/>
      <c r="H239" s="25"/>
      <c r="I239" s="25"/>
      <c r="J239" s="25"/>
      <c r="K239" s="30"/>
      <c r="L239" s="25"/>
      <c r="M239" s="26"/>
    </row>
    <row r="240" spans="1:13" ht="18.95" customHeight="1">
      <c r="A240" s="377"/>
      <c r="B240" s="287"/>
      <c r="C240" s="48"/>
      <c r="D240" s="49"/>
      <c r="E240" s="25"/>
      <c r="F240" s="26"/>
      <c r="G240" s="25"/>
      <c r="H240" s="25"/>
      <c r="I240" s="25"/>
      <c r="J240" s="25"/>
      <c r="K240" s="30"/>
      <c r="L240" s="25"/>
      <c r="M240" s="26"/>
    </row>
    <row r="241" spans="1:13" ht="18.95" customHeight="1">
      <c r="A241" s="377"/>
      <c r="B241" s="287"/>
      <c r="C241" s="48"/>
      <c r="D241" s="49"/>
      <c r="E241" s="25"/>
      <c r="F241" s="26"/>
      <c r="G241" s="25"/>
      <c r="H241" s="25"/>
      <c r="I241" s="25"/>
      <c r="J241" s="25"/>
      <c r="K241" s="30"/>
      <c r="L241" s="25"/>
      <c r="M241" s="26"/>
    </row>
    <row r="242" spans="1:13" ht="18.95" customHeight="1">
      <c r="A242" s="378"/>
      <c r="B242" s="270"/>
      <c r="C242" s="271"/>
      <c r="D242" s="236"/>
      <c r="E242" s="54"/>
      <c r="F242" s="55"/>
      <c r="G242" s="54"/>
      <c r="H242" s="54"/>
      <c r="I242" s="54"/>
      <c r="J242" s="54"/>
      <c r="K242" s="146"/>
      <c r="L242" s="54"/>
      <c r="M242" s="26"/>
    </row>
    <row r="243" spans="1:13" ht="18.95" customHeight="1">
      <c r="A243" s="272"/>
      <c r="B243" s="273"/>
      <c r="C243" s="274"/>
      <c r="D243" s="262"/>
      <c r="E243" s="263"/>
      <c r="F243" s="248"/>
      <c r="G243" s="263"/>
      <c r="H243" s="263"/>
      <c r="I243" s="263"/>
      <c r="J243" s="291"/>
      <c r="K243" s="292"/>
      <c r="L243" s="291"/>
      <c r="M243" s="19"/>
    </row>
    <row r="244" spans="1:13" ht="18.95" customHeight="1">
      <c r="A244" s="404"/>
      <c r="B244" s="276"/>
      <c r="C244" s="277"/>
      <c r="D244" s="278"/>
      <c r="E244" s="263"/>
      <c r="F244" s="248"/>
      <c r="G244" s="263"/>
      <c r="H244" s="263"/>
      <c r="I244" s="263"/>
      <c r="J244" s="25"/>
      <c r="K244" s="72"/>
      <c r="L244" s="25"/>
      <c r="M244" s="248"/>
    </row>
    <row r="245" spans="1:13" ht="18.95" customHeight="1">
      <c r="A245" s="406"/>
      <c r="B245" s="276"/>
      <c r="C245" s="368"/>
      <c r="D245" s="368"/>
      <c r="E245" s="263"/>
      <c r="F245" s="248"/>
      <c r="G245" s="30"/>
      <c r="H245" s="30"/>
      <c r="I245" s="30"/>
      <c r="J245" s="25"/>
      <c r="K245" s="72"/>
      <c r="L245" s="25"/>
      <c r="M245" s="72"/>
    </row>
    <row r="246" spans="1:13" ht="18.95" customHeight="1">
      <c r="A246" s="406"/>
      <c r="B246" s="27"/>
      <c r="C246" s="368"/>
      <c r="D246" s="368"/>
      <c r="E246" s="263"/>
      <c r="F246" s="248"/>
      <c r="G246" s="30"/>
      <c r="H246" s="30"/>
      <c r="I246" s="30"/>
      <c r="J246" s="25"/>
      <c r="K246" s="72"/>
      <c r="L246" s="25"/>
      <c r="M246" s="72"/>
    </row>
    <row r="247" spans="1:13" ht="18.95" customHeight="1">
      <c r="A247" s="406"/>
      <c r="B247" s="27"/>
      <c r="C247" s="368"/>
      <c r="D247" s="368"/>
      <c r="E247" s="263"/>
      <c r="F247" s="248"/>
      <c r="G247" s="30"/>
      <c r="H247" s="30"/>
      <c r="I247" s="30"/>
      <c r="J247" s="25"/>
      <c r="K247" s="72"/>
      <c r="L247" s="25"/>
      <c r="M247" s="72"/>
    </row>
    <row r="248" spans="1:13" ht="18.95" customHeight="1">
      <c r="A248" s="404"/>
      <c r="B248" s="27"/>
      <c r="C248" s="277"/>
      <c r="D248" s="368"/>
      <c r="E248" s="263"/>
      <c r="F248" s="248"/>
      <c r="G248" s="72"/>
      <c r="H248" s="72"/>
      <c r="I248" s="72"/>
      <c r="J248" s="25"/>
      <c r="K248" s="72"/>
      <c r="L248" s="25"/>
      <c r="M248" s="72"/>
    </row>
    <row r="249" spans="1:13" ht="18.95" customHeight="1">
      <c r="A249" s="406"/>
      <c r="B249" s="276"/>
      <c r="C249" s="368"/>
      <c r="D249" s="368"/>
      <c r="E249" s="263"/>
      <c r="F249" s="248"/>
      <c r="G249" s="30"/>
      <c r="H249" s="30"/>
      <c r="I249" s="30"/>
      <c r="J249" s="25"/>
      <c r="K249" s="72"/>
      <c r="L249" s="25"/>
      <c r="M249" s="72"/>
    </row>
    <row r="250" spans="1:13" ht="18.95" customHeight="1">
      <c r="A250" s="406"/>
      <c r="B250" s="27"/>
      <c r="C250" s="368"/>
      <c r="D250" s="368"/>
      <c r="E250" s="263"/>
      <c r="F250" s="248"/>
      <c r="G250" s="30"/>
      <c r="H250" s="30"/>
      <c r="I250" s="30"/>
      <c r="J250" s="25"/>
      <c r="K250" s="72"/>
      <c r="L250" s="25"/>
      <c r="M250" s="72"/>
    </row>
    <row r="251" spans="1:13" ht="18.95" customHeight="1">
      <c r="A251" s="406"/>
      <c r="B251" s="27"/>
      <c r="C251" s="277"/>
      <c r="D251" s="368"/>
      <c r="E251" s="263"/>
      <c r="F251" s="248"/>
      <c r="G251" s="72"/>
      <c r="H251" s="72"/>
      <c r="I251" s="72"/>
      <c r="J251" s="25"/>
      <c r="K251" s="72"/>
      <c r="L251" s="25"/>
      <c r="M251" s="72"/>
    </row>
    <row r="252" spans="1:13" ht="18.95" customHeight="1">
      <c r="A252" s="406"/>
      <c r="B252" s="276"/>
      <c r="C252" s="368"/>
      <c r="D252" s="267"/>
      <c r="E252" s="263"/>
      <c r="F252" s="248"/>
      <c r="G252" s="30"/>
      <c r="H252" s="30"/>
      <c r="I252" s="30"/>
      <c r="J252" s="25"/>
      <c r="K252" s="72"/>
      <c r="L252" s="25"/>
      <c r="M252" s="26"/>
    </row>
    <row r="253" spans="1:13" ht="18.95" customHeight="1">
      <c r="A253" s="377"/>
      <c r="B253" s="27"/>
      <c r="C253" s="368"/>
      <c r="D253" s="368"/>
      <c r="E253" s="263"/>
      <c r="F253" s="248"/>
      <c r="G253" s="30"/>
      <c r="H253" s="30"/>
      <c r="I253" s="30"/>
      <c r="J253" s="25"/>
      <c r="K253" s="72"/>
      <c r="L253" s="25"/>
      <c r="M253" s="26"/>
    </row>
    <row r="254" spans="1:13" ht="18.95" customHeight="1">
      <c r="A254" s="406"/>
      <c r="B254" s="27"/>
      <c r="C254" s="368"/>
      <c r="D254" s="368"/>
      <c r="E254" s="263"/>
      <c r="F254" s="248"/>
      <c r="G254" s="30"/>
      <c r="H254" s="30"/>
      <c r="I254" s="30"/>
      <c r="J254" s="25"/>
      <c r="K254" s="72"/>
      <c r="L254" s="25"/>
      <c r="M254" s="26"/>
    </row>
    <row r="255" spans="1:13" ht="18.95" customHeight="1">
      <c r="A255" s="404"/>
      <c r="B255" s="27"/>
      <c r="C255" s="277"/>
      <c r="D255" s="368"/>
      <c r="E255" s="263"/>
      <c r="F255" s="248"/>
      <c r="G255" s="30"/>
      <c r="H255" s="30"/>
      <c r="I255" s="30"/>
      <c r="J255" s="25"/>
      <c r="K255" s="72"/>
      <c r="L255" s="25"/>
      <c r="M255" s="26"/>
    </row>
    <row r="256" spans="1:13" ht="18.95" customHeight="1">
      <c r="A256" s="377"/>
      <c r="B256" s="276"/>
      <c r="C256" s="368"/>
      <c r="D256" s="368"/>
      <c r="E256" s="263"/>
      <c r="F256" s="248"/>
      <c r="G256" s="72"/>
      <c r="H256" s="72"/>
      <c r="I256" s="72"/>
      <c r="J256" s="25"/>
      <c r="K256" s="72"/>
      <c r="L256" s="25"/>
      <c r="M256" s="26"/>
    </row>
    <row r="257" spans="1:13" ht="18.95" customHeight="1">
      <c r="A257" s="406"/>
      <c r="B257" s="373"/>
      <c r="C257" s="368"/>
      <c r="D257" s="267"/>
      <c r="E257" s="263"/>
      <c r="F257" s="248"/>
      <c r="G257" s="72"/>
      <c r="H257" s="72"/>
      <c r="I257" s="72"/>
      <c r="J257" s="25"/>
      <c r="K257" s="72"/>
      <c r="L257" s="25"/>
      <c r="M257" s="26"/>
    </row>
    <row r="258" spans="1:13" ht="18.95" customHeight="1">
      <c r="A258" s="404"/>
      <c r="B258" s="266"/>
      <c r="C258" s="368"/>
      <c r="D258" s="267"/>
      <c r="E258" s="263"/>
      <c r="F258" s="248"/>
      <c r="G258" s="72"/>
      <c r="H258" s="72"/>
      <c r="I258" s="72"/>
      <c r="J258" s="25"/>
      <c r="K258" s="72"/>
      <c r="L258" s="25"/>
      <c r="M258" s="26"/>
    </row>
    <row r="259" spans="1:13" ht="18.95" customHeight="1">
      <c r="A259" s="377"/>
      <c r="B259" s="266"/>
      <c r="C259" s="368"/>
      <c r="D259" s="267"/>
      <c r="E259" s="263"/>
      <c r="F259" s="248"/>
      <c r="G259" s="72"/>
      <c r="H259" s="72"/>
      <c r="I259" s="72"/>
      <c r="J259" s="25"/>
      <c r="K259" s="72"/>
      <c r="L259" s="25"/>
      <c r="M259" s="26"/>
    </row>
    <row r="260" spans="1:13" ht="18.95" customHeight="1">
      <c r="A260" s="406"/>
      <c r="B260" s="266"/>
      <c r="C260" s="368"/>
      <c r="D260" s="267"/>
      <c r="E260" s="263"/>
      <c r="F260" s="248"/>
      <c r="G260" s="72"/>
      <c r="H260" s="72"/>
      <c r="I260" s="72"/>
      <c r="J260" s="25"/>
      <c r="K260" s="72"/>
      <c r="L260" s="25"/>
      <c r="M260" s="26"/>
    </row>
    <row r="261" spans="1:13" ht="18.95" customHeight="1">
      <c r="A261" s="404"/>
      <c r="B261" s="266"/>
      <c r="C261" s="47"/>
      <c r="D261" s="24"/>
      <c r="E261" s="263"/>
      <c r="F261" s="248"/>
      <c r="G261" s="72"/>
      <c r="H261" s="72"/>
      <c r="I261" s="72"/>
      <c r="J261" s="25"/>
      <c r="K261" s="72"/>
      <c r="L261" s="25"/>
      <c r="M261" s="26"/>
    </row>
    <row r="262" spans="1:13" ht="18.95" customHeight="1">
      <c r="A262" s="377"/>
      <c r="B262" s="283"/>
      <c r="C262" s="47"/>
      <c r="D262" s="24"/>
      <c r="E262" s="263"/>
      <c r="F262" s="248"/>
      <c r="G262" s="72"/>
      <c r="H262" s="72"/>
      <c r="I262" s="72"/>
      <c r="J262" s="25"/>
      <c r="K262" s="72"/>
      <c r="L262" s="25"/>
      <c r="M262" s="26"/>
    </row>
    <row r="263" spans="1:13" ht="18.95" customHeight="1">
      <c r="A263" s="406"/>
      <c r="B263" s="283"/>
      <c r="C263" s="47"/>
      <c r="D263" s="24"/>
      <c r="E263" s="263"/>
      <c r="F263" s="248"/>
      <c r="G263" s="72"/>
      <c r="H263" s="72"/>
      <c r="I263" s="72"/>
      <c r="J263" s="72"/>
      <c r="K263" s="72"/>
      <c r="L263" s="25"/>
      <c r="M263" s="26"/>
    </row>
    <row r="264" spans="1:13" ht="18.95" customHeight="1">
      <c r="A264" s="404"/>
      <c r="B264" s="42"/>
      <c r="C264" s="285"/>
      <c r="D264" s="40"/>
      <c r="E264" s="263"/>
      <c r="F264" s="248"/>
      <c r="G264" s="72"/>
      <c r="H264" s="72"/>
      <c r="I264" s="72"/>
      <c r="J264" s="72"/>
      <c r="K264" s="72"/>
      <c r="L264" s="25"/>
      <c r="M264" s="26"/>
    </row>
    <row r="265" spans="1:13" ht="18.95" customHeight="1">
      <c r="A265" s="377"/>
      <c r="B265" s="285"/>
      <c r="C265" s="43"/>
      <c r="D265" s="24"/>
      <c r="E265" s="263"/>
      <c r="F265" s="248"/>
      <c r="G265" s="72"/>
      <c r="H265" s="72"/>
      <c r="I265" s="72"/>
      <c r="J265" s="72"/>
      <c r="K265" s="72"/>
      <c r="L265" s="25"/>
      <c r="M265" s="26"/>
    </row>
    <row r="266" spans="1:13" ht="18.95" customHeight="1">
      <c r="A266" s="377"/>
      <c r="B266" s="285"/>
      <c r="C266" s="43"/>
      <c r="D266" s="286"/>
      <c r="E266" s="72"/>
      <c r="F266" s="26"/>
      <c r="G266" s="72"/>
      <c r="H266" s="72"/>
      <c r="I266" s="72"/>
      <c r="J266" s="72"/>
      <c r="K266" s="72"/>
      <c r="L266" s="30"/>
      <c r="M266" s="26"/>
    </row>
    <row r="267" spans="1:13" ht="18.95" customHeight="1">
      <c r="A267" s="377"/>
      <c r="B267" s="287"/>
      <c r="C267" s="48"/>
      <c r="D267" s="49"/>
      <c r="E267" s="25"/>
      <c r="F267" s="26"/>
      <c r="G267" s="25"/>
      <c r="H267" s="25"/>
      <c r="I267" s="25"/>
      <c r="J267" s="25"/>
      <c r="K267" s="30"/>
      <c r="L267" s="25"/>
      <c r="M267" s="26"/>
    </row>
    <row r="268" spans="1:13" ht="18.95" customHeight="1">
      <c r="A268" s="377"/>
      <c r="B268" s="287"/>
      <c r="C268" s="48"/>
      <c r="D268" s="49"/>
      <c r="E268" s="25"/>
      <c r="F268" s="26"/>
      <c r="G268" s="25"/>
      <c r="H268" s="25"/>
      <c r="I268" s="25"/>
      <c r="J268" s="25"/>
      <c r="K268" s="30"/>
      <c r="L268" s="25"/>
      <c r="M268" s="26"/>
    </row>
    <row r="269" spans="1:13" ht="18.95" customHeight="1">
      <c r="A269" s="377"/>
      <c r="B269" s="287"/>
      <c r="C269" s="48"/>
      <c r="D269" s="49"/>
      <c r="E269" s="25"/>
      <c r="F269" s="26"/>
      <c r="G269" s="25"/>
      <c r="H269" s="25"/>
      <c r="I269" s="25"/>
      <c r="J269" s="25"/>
      <c r="K269" s="30"/>
      <c r="L269" s="25"/>
      <c r="M269" s="26"/>
    </row>
    <row r="270" spans="1:13" ht="18.95" customHeight="1">
      <c r="A270" s="378"/>
      <c r="B270" s="270"/>
      <c r="C270" s="271"/>
      <c r="D270" s="236"/>
      <c r="E270" s="54"/>
      <c r="F270" s="55"/>
      <c r="G270" s="54"/>
      <c r="H270" s="54"/>
      <c r="I270" s="54"/>
      <c r="J270" s="54"/>
      <c r="K270" s="146"/>
      <c r="L270" s="54"/>
      <c r="M270" s="26"/>
    </row>
    <row r="271" spans="1:13" ht="18.95" customHeight="1">
      <c r="A271" s="272"/>
      <c r="B271" s="273"/>
      <c r="C271" s="274"/>
      <c r="D271" s="262"/>
      <c r="E271" s="263"/>
      <c r="F271" s="248"/>
      <c r="G271" s="263"/>
      <c r="H271" s="263"/>
      <c r="I271" s="263"/>
      <c r="J271" s="291"/>
      <c r="K271" s="292"/>
      <c r="L271" s="291"/>
      <c r="M271" s="19"/>
    </row>
    <row r="272" spans="1:13" ht="18.95" customHeight="1">
      <c r="A272" s="404"/>
      <c r="B272" s="42"/>
      <c r="C272" s="277"/>
      <c r="D272" s="278"/>
      <c r="E272" s="263"/>
      <c r="F272" s="248"/>
      <c r="G272" s="72"/>
      <c r="H272" s="72"/>
      <c r="I272" s="72"/>
      <c r="J272" s="25"/>
      <c r="K272" s="72"/>
      <c r="L272" s="25"/>
      <c r="M272" s="248"/>
    </row>
    <row r="273" spans="1:13" ht="18.95" customHeight="1">
      <c r="A273" s="406"/>
      <c r="B273" s="42"/>
      <c r="C273" s="368"/>
      <c r="D273" s="368"/>
      <c r="E273" s="263"/>
      <c r="F273" s="248"/>
      <c r="G273" s="72"/>
      <c r="H273" s="72"/>
      <c r="I273" s="72"/>
      <c r="J273" s="25"/>
      <c r="K273" s="72"/>
      <c r="L273" s="25"/>
      <c r="M273" s="72"/>
    </row>
    <row r="274" spans="1:13" ht="18.95" customHeight="1">
      <c r="A274" s="406"/>
      <c r="B274" s="42"/>
      <c r="C274" s="368"/>
      <c r="D274" s="368"/>
      <c r="E274" s="263"/>
      <c r="F274" s="248"/>
      <c r="G274" s="72"/>
      <c r="H274" s="72"/>
      <c r="I274" s="72"/>
      <c r="J274" s="25"/>
      <c r="K274" s="72"/>
      <c r="L274" s="25"/>
      <c r="M274" s="72"/>
    </row>
    <row r="275" spans="1:13" ht="18.95" customHeight="1">
      <c r="A275" s="406"/>
      <c r="B275" s="42"/>
      <c r="C275" s="368"/>
      <c r="D275" s="368"/>
      <c r="E275" s="263"/>
      <c r="F275" s="248"/>
      <c r="G275" s="72"/>
      <c r="H275" s="72"/>
      <c r="I275" s="72"/>
      <c r="J275" s="25"/>
      <c r="K275" s="72"/>
      <c r="L275" s="25"/>
      <c r="M275" s="72"/>
    </row>
    <row r="276" spans="1:13" ht="18.95" customHeight="1">
      <c r="A276" s="404"/>
      <c r="B276" s="42"/>
      <c r="C276" s="277"/>
      <c r="D276" s="368"/>
      <c r="E276" s="263"/>
      <c r="F276" s="248"/>
      <c r="G276" s="72"/>
      <c r="H276" s="72"/>
      <c r="I276" s="72"/>
      <c r="J276" s="25"/>
      <c r="K276" s="72"/>
      <c r="L276" s="25"/>
      <c r="M276" s="72"/>
    </row>
    <row r="277" spans="1:13" ht="18.95" customHeight="1">
      <c r="A277" s="406"/>
      <c r="B277" s="283"/>
      <c r="C277" s="43"/>
      <c r="D277" s="24"/>
      <c r="E277" s="263"/>
      <c r="F277" s="248"/>
      <c r="G277" s="72"/>
      <c r="H277" s="72"/>
      <c r="I277" s="72"/>
      <c r="J277" s="72"/>
      <c r="K277" s="72"/>
      <c r="L277" s="25"/>
      <c r="M277" s="72"/>
    </row>
    <row r="278" spans="1:13" ht="18.95" customHeight="1">
      <c r="A278" s="406"/>
      <c r="B278" s="27"/>
      <c r="C278" s="368"/>
      <c r="D278" s="368"/>
      <c r="E278" s="263"/>
      <c r="F278" s="248"/>
      <c r="G278" s="30"/>
      <c r="H278" s="30"/>
      <c r="I278" s="30"/>
      <c r="J278" s="25"/>
      <c r="K278" s="72"/>
      <c r="L278" s="62"/>
      <c r="M278" s="72"/>
    </row>
    <row r="279" spans="1:13" ht="18.95" customHeight="1">
      <c r="A279" s="406"/>
      <c r="B279" s="276"/>
      <c r="C279" s="277"/>
      <c r="D279" s="368"/>
      <c r="E279" s="263"/>
      <c r="F279" s="248"/>
      <c r="G279" s="72"/>
      <c r="H279" s="72"/>
      <c r="I279" s="72"/>
      <c r="J279" s="25"/>
      <c r="K279" s="72"/>
      <c r="L279" s="62"/>
      <c r="M279" s="72"/>
    </row>
    <row r="280" spans="1:13" ht="18.95" customHeight="1">
      <c r="A280" s="406"/>
      <c r="B280" s="27"/>
      <c r="C280" s="368"/>
      <c r="D280" s="267"/>
      <c r="E280" s="263"/>
      <c r="F280" s="248"/>
      <c r="G280" s="30"/>
      <c r="H280" s="30"/>
      <c r="I280" s="30"/>
      <c r="J280" s="25"/>
      <c r="K280" s="72"/>
      <c r="L280" s="407"/>
      <c r="M280" s="26"/>
    </row>
    <row r="281" spans="1:13" ht="18.95" customHeight="1">
      <c r="A281" s="377"/>
      <c r="B281" s="27"/>
      <c r="C281" s="368"/>
      <c r="D281" s="368"/>
      <c r="E281" s="263"/>
      <c r="F281" s="248"/>
      <c r="G281" s="30"/>
      <c r="H281" s="30"/>
      <c r="I281" s="30"/>
      <c r="J281" s="25"/>
      <c r="K281" s="72"/>
      <c r="L281" s="407"/>
      <c r="M281" s="26"/>
    </row>
    <row r="282" spans="1:13" ht="18.95" customHeight="1">
      <c r="A282" s="406"/>
      <c r="B282" s="27"/>
      <c r="C282" s="368"/>
      <c r="D282" s="368"/>
      <c r="E282" s="263"/>
      <c r="F282" s="248"/>
      <c r="G282" s="30"/>
      <c r="H282" s="30"/>
      <c r="I282" s="30"/>
      <c r="J282" s="25"/>
      <c r="K282" s="72"/>
      <c r="L282" s="30"/>
      <c r="M282" s="26"/>
    </row>
    <row r="283" spans="1:13" ht="18.95" customHeight="1">
      <c r="A283" s="404"/>
      <c r="B283" s="276"/>
      <c r="C283" s="277"/>
      <c r="D283" s="368"/>
      <c r="E283" s="263"/>
      <c r="F283" s="248"/>
      <c r="G283" s="30"/>
      <c r="H283" s="30"/>
      <c r="I283" s="30"/>
      <c r="J283" s="25"/>
      <c r="K283" s="72"/>
      <c r="L283" s="30"/>
      <c r="M283" s="26"/>
    </row>
    <row r="284" spans="1:13" ht="18.95" customHeight="1">
      <c r="A284" s="377"/>
      <c r="B284" s="373"/>
      <c r="C284" s="368"/>
      <c r="D284" s="368"/>
      <c r="E284" s="263"/>
      <c r="F284" s="248"/>
      <c r="G284" s="72"/>
      <c r="H284" s="72"/>
      <c r="I284" s="72"/>
      <c r="J284" s="25"/>
      <c r="K284" s="72"/>
      <c r="L284" s="30"/>
      <c r="M284" s="26"/>
    </row>
    <row r="285" spans="1:13" ht="18.95" customHeight="1">
      <c r="A285" s="406"/>
      <c r="B285" s="266"/>
      <c r="C285" s="368"/>
      <c r="D285" s="267"/>
      <c r="E285" s="263"/>
      <c r="F285" s="248"/>
      <c r="G285" s="72"/>
      <c r="H285" s="72"/>
      <c r="I285" s="72"/>
      <c r="J285" s="25"/>
      <c r="K285" s="72"/>
      <c r="L285" s="30"/>
      <c r="M285" s="26"/>
    </row>
    <row r="286" spans="1:13" ht="18.95" customHeight="1">
      <c r="A286" s="404"/>
      <c r="B286" s="266"/>
      <c r="C286" s="368"/>
      <c r="D286" s="267"/>
      <c r="E286" s="263"/>
      <c r="F286" s="248"/>
      <c r="G286" s="72"/>
      <c r="H286" s="72"/>
      <c r="I286" s="72"/>
      <c r="J286" s="25"/>
      <c r="K286" s="72"/>
      <c r="L286" s="30"/>
      <c r="M286" s="26"/>
    </row>
    <row r="287" spans="1:13" ht="18.95" customHeight="1">
      <c r="A287" s="377"/>
      <c r="B287" s="266"/>
      <c r="C287" s="368"/>
      <c r="D287" s="267"/>
      <c r="E287" s="263"/>
      <c r="F287" s="248"/>
      <c r="G287" s="72"/>
      <c r="H287" s="72"/>
      <c r="I287" s="72"/>
      <c r="J287" s="25"/>
      <c r="K287" s="72"/>
      <c r="L287" s="30"/>
      <c r="M287" s="26"/>
    </row>
    <row r="288" spans="1:13" ht="18.95" customHeight="1">
      <c r="A288" s="406"/>
      <c r="B288" s="266"/>
      <c r="C288" s="368"/>
      <c r="D288" s="267"/>
      <c r="E288" s="263"/>
      <c r="F288" s="248"/>
      <c r="G288" s="72"/>
      <c r="H288" s="72"/>
      <c r="I288" s="72"/>
      <c r="J288" s="25"/>
      <c r="K288" s="72"/>
      <c r="L288" s="30"/>
      <c r="M288" s="26"/>
    </row>
    <row r="289" spans="1:13" ht="18.95" customHeight="1">
      <c r="A289" s="404"/>
      <c r="B289" s="283"/>
      <c r="C289" s="47"/>
      <c r="D289" s="24"/>
      <c r="E289" s="263"/>
      <c r="F289" s="248"/>
      <c r="G289" s="72"/>
      <c r="H289" s="72"/>
      <c r="I289" s="72"/>
      <c r="J289" s="25"/>
      <c r="K289" s="72"/>
      <c r="L289" s="30"/>
      <c r="M289" s="26"/>
    </row>
    <row r="290" spans="1:13" ht="18.95" customHeight="1">
      <c r="A290" s="377"/>
      <c r="B290" s="283"/>
      <c r="C290" s="47"/>
      <c r="D290" s="24"/>
      <c r="E290" s="263"/>
      <c r="F290" s="248"/>
      <c r="G290" s="72"/>
      <c r="H290" s="72"/>
      <c r="I290" s="72"/>
      <c r="J290" s="25"/>
      <c r="K290" s="72"/>
      <c r="L290" s="30"/>
      <c r="M290" s="26"/>
    </row>
    <row r="291" spans="1:13" ht="18.95" customHeight="1">
      <c r="A291" s="136"/>
      <c r="B291" s="42"/>
      <c r="C291" s="47"/>
      <c r="D291" s="24"/>
      <c r="E291" s="72"/>
      <c r="F291" s="26"/>
      <c r="G291" s="72"/>
      <c r="H291" s="72"/>
      <c r="I291" s="72"/>
      <c r="J291" s="72"/>
      <c r="K291" s="72"/>
      <c r="L291" s="30"/>
      <c r="M291" s="26"/>
    </row>
    <row r="292" spans="1:13" ht="18.95" customHeight="1">
      <c r="A292" s="136"/>
      <c r="B292" s="283"/>
      <c r="C292" s="285"/>
      <c r="D292" s="40"/>
      <c r="E292" s="72"/>
      <c r="F292" s="26"/>
      <c r="G292" s="72"/>
      <c r="H292" s="72"/>
      <c r="I292" s="72"/>
      <c r="J292" s="72"/>
      <c r="K292" s="72"/>
      <c r="L292" s="30"/>
      <c r="M292" s="26"/>
    </row>
    <row r="293" spans="1:13" ht="18.95" customHeight="1">
      <c r="A293" s="136"/>
      <c r="B293" s="285"/>
      <c r="C293" s="43"/>
      <c r="D293" s="24"/>
      <c r="E293" s="72"/>
      <c r="F293" s="26"/>
      <c r="G293" s="72"/>
      <c r="H293" s="72"/>
      <c r="I293" s="72"/>
      <c r="J293" s="72"/>
      <c r="K293" s="72"/>
      <c r="L293" s="30"/>
      <c r="M293" s="26"/>
    </row>
    <row r="294" spans="1:13" ht="18.95" customHeight="1">
      <c r="A294" s="377"/>
      <c r="B294" s="285"/>
      <c r="C294" s="43"/>
      <c r="D294" s="286"/>
      <c r="E294" s="72"/>
      <c r="F294" s="26"/>
      <c r="G294" s="72"/>
      <c r="H294" s="72"/>
      <c r="I294" s="72"/>
      <c r="J294" s="72"/>
      <c r="K294" s="72"/>
      <c r="L294" s="30"/>
      <c r="M294" s="26"/>
    </row>
    <row r="295" spans="1:13" ht="18.95" customHeight="1">
      <c r="A295" s="377"/>
      <c r="B295" s="287"/>
      <c r="C295" s="48"/>
      <c r="D295" s="49"/>
      <c r="E295" s="25"/>
      <c r="F295" s="26"/>
      <c r="G295" s="25"/>
      <c r="H295" s="25"/>
      <c r="I295" s="25"/>
      <c r="J295" s="25"/>
      <c r="K295" s="30"/>
      <c r="L295" s="25"/>
      <c r="M295" s="26"/>
    </row>
    <row r="296" spans="1:13" ht="18.95" customHeight="1">
      <c r="A296" s="377"/>
      <c r="B296" s="287"/>
      <c r="C296" s="48"/>
      <c r="D296" s="49"/>
      <c r="E296" s="25"/>
      <c r="F296" s="26"/>
      <c r="G296" s="25"/>
      <c r="H296" s="25"/>
      <c r="I296" s="25"/>
      <c r="J296" s="25"/>
      <c r="K296" s="30"/>
      <c r="L296" s="25"/>
      <c r="M296" s="26"/>
    </row>
    <row r="297" spans="1:13" ht="18.95" customHeight="1">
      <c r="A297" s="377"/>
      <c r="B297" s="287"/>
      <c r="C297" s="48"/>
      <c r="D297" s="49"/>
      <c r="E297" s="25"/>
      <c r="F297" s="26"/>
      <c r="G297" s="25"/>
      <c r="H297" s="25"/>
      <c r="I297" s="25"/>
      <c r="J297" s="25"/>
      <c r="K297" s="30"/>
      <c r="L297" s="25"/>
      <c r="M297" s="26"/>
    </row>
    <row r="298" spans="1:13" ht="18.95" customHeight="1">
      <c r="A298" s="378"/>
      <c r="B298" s="270"/>
      <c r="C298" s="271"/>
      <c r="D298" s="236"/>
      <c r="E298" s="54"/>
      <c r="F298" s="55"/>
      <c r="G298" s="54"/>
      <c r="H298" s="54"/>
      <c r="I298" s="54"/>
      <c r="J298" s="54"/>
      <c r="K298" s="146"/>
      <c r="L298" s="54"/>
      <c r="M298" s="26"/>
    </row>
    <row r="299" spans="1:13" ht="18.95" customHeight="1">
      <c r="A299" s="272"/>
      <c r="B299" s="273"/>
      <c r="C299" s="274"/>
      <c r="D299" s="262"/>
      <c r="E299" s="263"/>
      <c r="F299" s="248"/>
      <c r="G299" s="263"/>
      <c r="H299" s="263"/>
      <c r="I299" s="263"/>
      <c r="J299" s="291"/>
      <c r="K299" s="292"/>
      <c r="L299" s="291"/>
      <c r="M299" s="19"/>
    </row>
    <row r="300" spans="1:13" ht="18.95" customHeight="1">
      <c r="A300" s="404"/>
      <c r="B300" s="298"/>
      <c r="C300" s="277"/>
      <c r="D300" s="278"/>
      <c r="E300" s="263"/>
      <c r="F300" s="248"/>
      <c r="G300" s="72"/>
      <c r="H300" s="72"/>
      <c r="I300" s="72"/>
      <c r="J300" s="25"/>
      <c r="K300" s="72"/>
      <c r="L300" s="25"/>
      <c r="M300" s="248"/>
    </row>
    <row r="301" spans="1:13" ht="18.95" customHeight="1">
      <c r="A301" s="406"/>
      <c r="B301" s="298"/>
      <c r="C301" s="368"/>
      <c r="D301" s="368"/>
      <c r="E301" s="263"/>
      <c r="F301" s="248"/>
      <c r="G301" s="72"/>
      <c r="H301" s="72"/>
      <c r="I301" s="72"/>
      <c r="J301" s="25"/>
      <c r="K301" s="72"/>
      <c r="L301" s="25"/>
      <c r="M301" s="72"/>
    </row>
    <row r="302" spans="1:13" ht="18.95" customHeight="1">
      <c r="A302" s="406"/>
      <c r="B302" s="298"/>
      <c r="C302" s="368"/>
      <c r="D302" s="368"/>
      <c r="E302" s="263"/>
      <c r="F302" s="248"/>
      <c r="G302" s="72"/>
      <c r="H302" s="72"/>
      <c r="I302" s="72"/>
      <c r="J302" s="25"/>
      <c r="K302" s="72"/>
      <c r="L302" s="25"/>
      <c r="M302" s="72"/>
    </row>
    <row r="303" spans="1:13" ht="18.95" customHeight="1">
      <c r="A303" s="406"/>
      <c r="B303" s="298"/>
      <c r="C303" s="368"/>
      <c r="D303" s="368"/>
      <c r="E303" s="263"/>
      <c r="F303" s="248"/>
      <c r="G303" s="72"/>
      <c r="H303" s="72"/>
      <c r="I303" s="72"/>
      <c r="J303" s="25"/>
      <c r="K303" s="72"/>
      <c r="L303" s="25"/>
      <c r="M303" s="72"/>
    </row>
    <row r="304" spans="1:13" ht="18.95" customHeight="1">
      <c r="A304" s="404"/>
      <c r="B304" s="298"/>
      <c r="C304" s="277"/>
      <c r="D304" s="368"/>
      <c r="E304" s="263"/>
      <c r="F304" s="248"/>
      <c r="G304" s="72"/>
      <c r="H304" s="72"/>
      <c r="I304" s="72"/>
      <c r="J304" s="25"/>
      <c r="K304" s="72"/>
      <c r="L304" s="25"/>
      <c r="M304" s="72"/>
    </row>
    <row r="305" spans="1:13" ht="18.95" customHeight="1">
      <c r="A305" s="406"/>
      <c r="B305" s="299"/>
      <c r="C305" s="368"/>
      <c r="D305" s="368"/>
      <c r="E305" s="263"/>
      <c r="F305" s="248"/>
      <c r="G305" s="72"/>
      <c r="H305" s="72"/>
      <c r="I305" s="72"/>
      <c r="J305" s="25"/>
      <c r="K305" s="72"/>
      <c r="L305" s="25"/>
      <c r="M305" s="72"/>
    </row>
    <row r="306" spans="1:13" ht="18.95" customHeight="1">
      <c r="A306" s="406"/>
      <c r="B306" s="27"/>
      <c r="C306" s="368"/>
      <c r="D306" s="368"/>
      <c r="E306" s="263"/>
      <c r="F306" s="248"/>
      <c r="G306" s="30"/>
      <c r="H306" s="30"/>
      <c r="I306" s="30"/>
      <c r="J306" s="25"/>
      <c r="K306" s="72"/>
      <c r="L306" s="25"/>
      <c r="M306" s="72"/>
    </row>
    <row r="307" spans="1:13" ht="18.95" customHeight="1">
      <c r="A307" s="406"/>
      <c r="B307" s="276"/>
      <c r="C307" s="277"/>
      <c r="D307" s="368"/>
      <c r="E307" s="263"/>
      <c r="F307" s="248"/>
      <c r="G307" s="72"/>
      <c r="H307" s="72"/>
      <c r="I307" s="72"/>
      <c r="J307" s="25"/>
      <c r="K307" s="72"/>
      <c r="L307" s="25"/>
      <c r="M307" s="72"/>
    </row>
    <row r="308" spans="1:13" ht="18.95" customHeight="1">
      <c r="A308" s="406"/>
      <c r="B308" s="27"/>
      <c r="C308" s="368"/>
      <c r="D308" s="267"/>
      <c r="E308" s="263"/>
      <c r="F308" s="248"/>
      <c r="G308" s="30"/>
      <c r="H308" s="30"/>
      <c r="I308" s="30"/>
      <c r="J308" s="25"/>
      <c r="K308" s="72"/>
      <c r="L308" s="30"/>
      <c r="M308" s="26"/>
    </row>
    <row r="309" spans="1:13" ht="18.95" customHeight="1">
      <c r="A309" s="377"/>
      <c r="B309" s="27"/>
      <c r="C309" s="368"/>
      <c r="D309" s="368"/>
      <c r="E309" s="263"/>
      <c r="F309" s="248"/>
      <c r="G309" s="30"/>
      <c r="H309" s="30"/>
      <c r="I309" s="30"/>
      <c r="J309" s="25"/>
      <c r="K309" s="72"/>
      <c r="L309" s="30"/>
      <c r="M309" s="26"/>
    </row>
    <row r="310" spans="1:13" ht="18.95" customHeight="1">
      <c r="A310" s="406"/>
      <c r="B310" s="27"/>
      <c r="C310" s="368"/>
      <c r="D310" s="368"/>
      <c r="E310" s="263"/>
      <c r="F310" s="248"/>
      <c r="G310" s="30"/>
      <c r="H310" s="30"/>
      <c r="I310" s="30"/>
      <c r="J310" s="25"/>
      <c r="K310" s="72"/>
      <c r="L310" s="30"/>
      <c r="M310" s="26"/>
    </row>
    <row r="311" spans="1:13" ht="18.95" customHeight="1">
      <c r="A311" s="404"/>
      <c r="B311" s="276"/>
      <c r="C311" s="277"/>
      <c r="D311" s="368"/>
      <c r="E311" s="263"/>
      <c r="F311" s="248"/>
      <c r="G311" s="30"/>
      <c r="H311" s="30"/>
      <c r="I311" s="30"/>
      <c r="J311" s="25"/>
      <c r="K311" s="72"/>
      <c r="L311" s="30"/>
      <c r="M311" s="26"/>
    </row>
    <row r="312" spans="1:13" ht="18.95" customHeight="1">
      <c r="A312" s="377"/>
      <c r="B312" s="373"/>
      <c r="C312" s="368"/>
      <c r="D312" s="368"/>
      <c r="E312" s="263"/>
      <c r="F312" s="248"/>
      <c r="G312" s="72"/>
      <c r="H312" s="72"/>
      <c r="I312" s="72"/>
      <c r="J312" s="25"/>
      <c r="K312" s="72"/>
      <c r="L312" s="30"/>
      <c r="M312" s="26"/>
    </row>
    <row r="313" spans="1:13" ht="18.95" customHeight="1">
      <c r="A313" s="406"/>
      <c r="B313" s="266"/>
      <c r="C313" s="368"/>
      <c r="D313" s="267"/>
      <c r="E313" s="263"/>
      <c r="F313" s="248"/>
      <c r="G313" s="72"/>
      <c r="H313" s="72"/>
      <c r="I313" s="72"/>
      <c r="J313" s="25"/>
      <c r="K313" s="72"/>
      <c r="L313" s="30"/>
      <c r="M313" s="26"/>
    </row>
    <row r="314" spans="1:13" ht="18.95" customHeight="1">
      <c r="A314" s="404"/>
      <c r="B314" s="266"/>
      <c r="C314" s="368"/>
      <c r="D314" s="267"/>
      <c r="E314" s="263"/>
      <c r="F314" s="248"/>
      <c r="G314" s="72"/>
      <c r="H314" s="72"/>
      <c r="I314" s="72"/>
      <c r="J314" s="25"/>
      <c r="K314" s="72"/>
      <c r="L314" s="30"/>
      <c r="M314" s="26"/>
    </row>
    <row r="315" spans="1:13" ht="18.95" customHeight="1">
      <c r="A315" s="377"/>
      <c r="B315" s="266"/>
      <c r="C315" s="368"/>
      <c r="D315" s="267"/>
      <c r="E315" s="263"/>
      <c r="F315" s="248"/>
      <c r="G315" s="72"/>
      <c r="H315" s="72"/>
      <c r="I315" s="72"/>
      <c r="J315" s="25"/>
      <c r="K315" s="72"/>
      <c r="L315" s="30"/>
      <c r="M315" s="26"/>
    </row>
    <row r="316" spans="1:13" ht="18.95" customHeight="1">
      <c r="A316" s="406"/>
      <c r="B316" s="266"/>
      <c r="C316" s="368"/>
      <c r="D316" s="267"/>
      <c r="E316" s="263"/>
      <c r="F316" s="248"/>
      <c r="G316" s="72"/>
      <c r="H316" s="72"/>
      <c r="I316" s="72"/>
      <c r="J316" s="25"/>
      <c r="K316" s="72"/>
      <c r="L316" s="30"/>
      <c r="M316" s="26"/>
    </row>
    <row r="317" spans="1:13" ht="18.95" customHeight="1">
      <c r="A317" s="404"/>
      <c r="B317" s="283"/>
      <c r="C317" s="47"/>
      <c r="D317" s="24"/>
      <c r="E317" s="263"/>
      <c r="F317" s="248"/>
      <c r="G317" s="72"/>
      <c r="H317" s="72"/>
      <c r="I317" s="72"/>
      <c r="J317" s="25"/>
      <c r="K317" s="72"/>
      <c r="L317" s="30"/>
      <c r="M317" s="26"/>
    </row>
    <row r="318" spans="1:13" ht="18.95" customHeight="1">
      <c r="A318" s="377"/>
      <c r="B318" s="283"/>
      <c r="C318" s="47"/>
      <c r="D318" s="24"/>
      <c r="E318" s="263"/>
      <c r="F318" s="248"/>
      <c r="G318" s="72"/>
      <c r="H318" s="72"/>
      <c r="I318" s="72"/>
      <c r="J318" s="25"/>
      <c r="K318" s="72"/>
      <c r="L318" s="30"/>
      <c r="M318" s="26"/>
    </row>
    <row r="319" spans="1:13" ht="18.95" customHeight="1">
      <c r="A319" s="136"/>
      <c r="B319" s="42"/>
      <c r="C319" s="47"/>
      <c r="D319" s="24"/>
      <c r="E319" s="72"/>
      <c r="F319" s="26"/>
      <c r="G319" s="72"/>
      <c r="H319" s="72"/>
      <c r="I319" s="72"/>
      <c r="J319" s="72"/>
      <c r="K319" s="72"/>
      <c r="L319" s="30"/>
      <c r="M319" s="26"/>
    </row>
    <row r="320" spans="1:13" ht="18.95" customHeight="1">
      <c r="A320" s="136"/>
      <c r="B320" s="283"/>
      <c r="C320" s="285"/>
      <c r="D320" s="40"/>
      <c r="E320" s="72"/>
      <c r="F320" s="26"/>
      <c r="G320" s="72"/>
      <c r="H320" s="72"/>
      <c r="I320" s="72"/>
      <c r="J320" s="72"/>
      <c r="K320" s="72"/>
      <c r="L320" s="30"/>
      <c r="M320" s="26"/>
    </row>
    <row r="321" spans="1:13" ht="18.95" customHeight="1">
      <c r="A321" s="136"/>
      <c r="B321" s="285"/>
      <c r="C321" s="43"/>
      <c r="D321" s="24"/>
      <c r="E321" s="72"/>
      <c r="F321" s="26"/>
      <c r="G321" s="72"/>
      <c r="H321" s="72"/>
      <c r="I321" s="72"/>
      <c r="J321" s="72"/>
      <c r="K321" s="72"/>
      <c r="L321" s="30"/>
      <c r="M321" s="26"/>
    </row>
    <row r="322" spans="1:13" ht="18.95" customHeight="1">
      <c r="A322" s="377"/>
      <c r="B322" s="285"/>
      <c r="C322" s="43"/>
      <c r="D322" s="286"/>
      <c r="E322" s="72"/>
      <c r="F322" s="26"/>
      <c r="G322" s="72"/>
      <c r="H322" s="72"/>
      <c r="I322" s="72"/>
      <c r="J322" s="72"/>
      <c r="K322" s="72"/>
      <c r="L322" s="30"/>
      <c r="M322" s="26"/>
    </row>
    <row r="323" spans="1:13" ht="18.95" customHeight="1">
      <c r="A323" s="377"/>
      <c r="B323" s="287"/>
      <c r="C323" s="48"/>
      <c r="D323" s="49"/>
      <c r="E323" s="25"/>
      <c r="F323" s="26"/>
      <c r="G323" s="25"/>
      <c r="H323" s="25"/>
      <c r="I323" s="25"/>
      <c r="J323" s="25"/>
      <c r="K323" s="30"/>
      <c r="L323" s="25"/>
      <c r="M323" s="26"/>
    </row>
    <row r="324" spans="1:13" ht="18.95" customHeight="1">
      <c r="A324" s="377"/>
      <c r="B324" s="287"/>
      <c r="C324" s="48"/>
      <c r="D324" s="49"/>
      <c r="E324" s="25"/>
      <c r="F324" s="26"/>
      <c r="G324" s="25"/>
      <c r="H324" s="25"/>
      <c r="I324" s="25"/>
      <c r="J324" s="25"/>
      <c r="K324" s="30"/>
      <c r="L324" s="25"/>
      <c r="M324" s="26"/>
    </row>
    <row r="325" spans="1:13" ht="18.95" customHeight="1">
      <c r="A325" s="377"/>
      <c r="B325" s="287"/>
      <c r="C325" s="48"/>
      <c r="D325" s="49"/>
      <c r="E325" s="25"/>
      <c r="F325" s="26"/>
      <c r="G325" s="25"/>
      <c r="H325" s="25"/>
      <c r="I325" s="25"/>
      <c r="J325" s="25"/>
      <c r="K325" s="30"/>
      <c r="L325" s="25"/>
      <c r="M325" s="26"/>
    </row>
    <row r="326" spans="1:13" ht="18.95" customHeight="1">
      <c r="A326" s="378"/>
      <c r="B326" s="270"/>
      <c r="C326" s="271"/>
      <c r="D326" s="236"/>
      <c r="E326" s="54"/>
      <c r="F326" s="55"/>
      <c r="G326" s="54"/>
      <c r="H326" s="54"/>
      <c r="I326" s="54"/>
      <c r="J326" s="54"/>
      <c r="K326" s="146"/>
      <c r="L326" s="54"/>
      <c r="M326" s="26"/>
    </row>
    <row r="327" spans="1:13" ht="18.95" customHeight="1">
      <c r="A327" s="272"/>
      <c r="B327" s="273"/>
      <c r="C327" s="274"/>
      <c r="D327" s="262"/>
      <c r="E327" s="263"/>
      <c r="F327" s="248"/>
      <c r="G327" s="263"/>
      <c r="H327" s="263"/>
      <c r="I327" s="263"/>
      <c r="J327" s="291"/>
      <c r="K327" s="292"/>
      <c r="L327" s="291"/>
      <c r="M327" s="19"/>
    </row>
    <row r="328" spans="1:13" ht="18.95" customHeight="1">
      <c r="A328" s="404"/>
      <c r="B328" s="298"/>
      <c r="C328" s="277"/>
      <c r="D328" s="278"/>
      <c r="E328" s="263"/>
      <c r="F328" s="248"/>
      <c r="G328" s="72"/>
      <c r="H328" s="72"/>
      <c r="I328" s="72"/>
      <c r="J328" s="25"/>
      <c r="K328" s="72"/>
      <c r="L328" s="25"/>
      <c r="M328" s="248"/>
    </row>
    <row r="329" spans="1:13" ht="18.95" customHeight="1">
      <c r="A329" s="406"/>
      <c r="B329" s="298"/>
      <c r="C329" s="368"/>
      <c r="D329" s="368"/>
      <c r="E329" s="263"/>
      <c r="F329" s="248"/>
      <c r="G329" s="72"/>
      <c r="H329" s="72"/>
      <c r="I329" s="72"/>
      <c r="J329" s="25"/>
      <c r="K329" s="72"/>
      <c r="L329" s="25"/>
      <c r="M329" s="72"/>
    </row>
    <row r="330" spans="1:13" ht="18.95" customHeight="1">
      <c r="A330" s="406"/>
      <c r="B330" s="298"/>
      <c r="C330" s="368"/>
      <c r="D330" s="368"/>
      <c r="E330" s="263"/>
      <c r="F330" s="248"/>
      <c r="G330" s="72"/>
      <c r="H330" s="72"/>
      <c r="I330" s="72"/>
      <c r="J330" s="25"/>
      <c r="K330" s="72"/>
      <c r="L330" s="25"/>
      <c r="M330" s="72"/>
    </row>
    <row r="331" spans="1:13" ht="18.95" customHeight="1">
      <c r="A331" s="406"/>
      <c r="B331" s="298"/>
      <c r="C331" s="368"/>
      <c r="D331" s="368"/>
      <c r="E331" s="263"/>
      <c r="F331" s="248"/>
      <c r="G331" s="72"/>
      <c r="H331" s="72"/>
      <c r="I331" s="72"/>
      <c r="J331" s="25"/>
      <c r="K331" s="72"/>
      <c r="L331" s="25"/>
      <c r="M331" s="72"/>
    </row>
    <row r="332" spans="1:13" ht="18.95" customHeight="1">
      <c r="A332" s="404"/>
      <c r="B332" s="298"/>
      <c r="C332" s="277"/>
      <c r="D332" s="368"/>
      <c r="E332" s="263"/>
      <c r="F332" s="248"/>
      <c r="G332" s="72"/>
      <c r="H332" s="72"/>
      <c r="I332" s="72"/>
      <c r="J332" s="25"/>
      <c r="K332" s="72"/>
      <c r="L332" s="25"/>
      <c r="M332" s="72"/>
    </row>
    <row r="333" spans="1:13" ht="18.95" customHeight="1">
      <c r="A333" s="406"/>
      <c r="B333" s="299"/>
      <c r="C333" s="368"/>
      <c r="D333" s="368"/>
      <c r="E333" s="263"/>
      <c r="F333" s="248"/>
      <c r="G333" s="72"/>
      <c r="H333" s="72"/>
      <c r="I333" s="72"/>
      <c r="J333" s="25"/>
      <c r="K333" s="72"/>
      <c r="L333" s="25"/>
      <c r="M333" s="72"/>
    </row>
    <row r="334" spans="1:13" ht="18.95" customHeight="1">
      <c r="A334" s="406"/>
      <c r="B334" s="27"/>
      <c r="C334" s="368"/>
      <c r="D334" s="368"/>
      <c r="E334" s="263"/>
      <c r="F334" s="248"/>
      <c r="G334" s="30"/>
      <c r="H334" s="30"/>
      <c r="I334" s="30"/>
      <c r="J334" s="25"/>
      <c r="K334" s="72"/>
      <c r="L334" s="25"/>
      <c r="M334" s="72"/>
    </row>
    <row r="335" spans="1:13" ht="18.95" customHeight="1">
      <c r="A335" s="406"/>
      <c r="B335" s="276"/>
      <c r="C335" s="277"/>
      <c r="D335" s="368"/>
      <c r="E335" s="263"/>
      <c r="F335" s="248"/>
      <c r="G335" s="72"/>
      <c r="H335" s="72"/>
      <c r="I335" s="72"/>
      <c r="J335" s="25"/>
      <c r="K335" s="72"/>
      <c r="L335" s="25"/>
      <c r="M335" s="72"/>
    </row>
    <row r="336" spans="1:13" ht="18.95" customHeight="1">
      <c r="A336" s="406"/>
      <c r="B336" s="27"/>
      <c r="C336" s="368"/>
      <c r="D336" s="267"/>
      <c r="E336" s="263"/>
      <c r="F336" s="248"/>
      <c r="G336" s="30"/>
      <c r="H336" s="30"/>
      <c r="I336" s="30"/>
      <c r="J336" s="25"/>
      <c r="K336" s="72"/>
      <c r="L336" s="30"/>
      <c r="M336" s="26"/>
    </row>
    <row r="337" spans="1:13" ht="18.95" customHeight="1">
      <c r="A337" s="377"/>
      <c r="B337" s="27"/>
      <c r="C337" s="368"/>
      <c r="D337" s="368"/>
      <c r="E337" s="263"/>
      <c r="F337" s="248"/>
      <c r="G337" s="30"/>
      <c r="H337" s="30"/>
      <c r="I337" s="30"/>
      <c r="J337" s="25"/>
      <c r="K337" s="72"/>
      <c r="L337" s="30"/>
      <c r="M337" s="26"/>
    </row>
    <row r="338" spans="1:13" ht="18.95" customHeight="1">
      <c r="A338" s="406"/>
      <c r="B338" s="27"/>
      <c r="C338" s="368"/>
      <c r="D338" s="368"/>
      <c r="E338" s="263"/>
      <c r="F338" s="248"/>
      <c r="G338" s="30"/>
      <c r="H338" s="30"/>
      <c r="I338" s="30"/>
      <c r="J338" s="25"/>
      <c r="K338" s="72"/>
      <c r="L338" s="30"/>
      <c r="M338" s="26"/>
    </row>
    <row r="339" spans="1:13" ht="18.95" customHeight="1">
      <c r="A339" s="404"/>
      <c r="B339" s="276"/>
      <c r="C339" s="277"/>
      <c r="D339" s="368"/>
      <c r="E339" s="263"/>
      <c r="F339" s="248"/>
      <c r="G339" s="30"/>
      <c r="H339" s="30"/>
      <c r="I339" s="30"/>
      <c r="J339" s="25"/>
      <c r="K339" s="72"/>
      <c r="L339" s="30"/>
      <c r="M339" s="26"/>
    </row>
    <row r="340" spans="1:13" ht="18.95" customHeight="1">
      <c r="A340" s="377"/>
      <c r="B340" s="373"/>
      <c r="C340" s="368"/>
      <c r="D340" s="368"/>
      <c r="E340" s="263"/>
      <c r="F340" s="248"/>
      <c r="G340" s="72"/>
      <c r="H340" s="72"/>
      <c r="I340" s="72"/>
      <c r="J340" s="25"/>
      <c r="K340" s="72"/>
      <c r="L340" s="30"/>
      <c r="M340" s="26"/>
    </row>
    <row r="341" spans="1:13" ht="18.95" customHeight="1">
      <c r="A341" s="406"/>
      <c r="B341" s="266"/>
      <c r="C341" s="368"/>
      <c r="D341" s="267"/>
      <c r="E341" s="263"/>
      <c r="F341" s="248"/>
      <c r="G341" s="72"/>
      <c r="H341" s="72"/>
      <c r="I341" s="72"/>
      <c r="J341" s="25"/>
      <c r="K341" s="72"/>
      <c r="L341" s="30"/>
      <c r="M341" s="26"/>
    </row>
    <row r="342" spans="1:13" ht="18.95" customHeight="1">
      <c r="A342" s="404"/>
      <c r="B342" s="266"/>
      <c r="C342" s="368"/>
      <c r="D342" s="267"/>
      <c r="E342" s="263"/>
      <c r="F342" s="248"/>
      <c r="G342" s="72"/>
      <c r="H342" s="72"/>
      <c r="I342" s="72"/>
      <c r="J342" s="25"/>
      <c r="K342" s="72"/>
      <c r="L342" s="30"/>
      <c r="M342" s="26"/>
    </row>
    <row r="343" spans="1:13" ht="18.95" customHeight="1">
      <c r="A343" s="377"/>
      <c r="B343" s="266"/>
      <c r="C343" s="368"/>
      <c r="D343" s="267"/>
      <c r="E343" s="263"/>
      <c r="F343" s="248"/>
      <c r="G343" s="72"/>
      <c r="H343" s="72"/>
      <c r="I343" s="72"/>
      <c r="J343" s="25"/>
      <c r="K343" s="72"/>
      <c r="L343" s="30"/>
      <c r="M343" s="26"/>
    </row>
    <row r="344" spans="1:13" ht="18.95" customHeight="1">
      <c r="A344" s="406"/>
      <c r="B344" s="266"/>
      <c r="C344" s="368"/>
      <c r="D344" s="267"/>
      <c r="E344" s="263"/>
      <c r="F344" s="248"/>
      <c r="G344" s="72"/>
      <c r="H344" s="72"/>
      <c r="I344" s="72"/>
      <c r="J344" s="25"/>
      <c r="K344" s="72"/>
      <c r="L344" s="30"/>
      <c r="M344" s="26"/>
    </row>
    <row r="345" spans="1:13" ht="18.95" customHeight="1">
      <c r="A345" s="404"/>
      <c r="B345" s="283"/>
      <c r="C345" s="47"/>
      <c r="D345" s="24"/>
      <c r="E345" s="263"/>
      <c r="F345" s="248"/>
      <c r="G345" s="72"/>
      <c r="H345" s="72"/>
      <c r="I345" s="72"/>
      <c r="J345" s="25"/>
      <c r="K345" s="72"/>
      <c r="L345" s="30"/>
      <c r="M345" s="26"/>
    </row>
    <row r="346" spans="1:13" ht="18.95" customHeight="1">
      <c r="A346" s="377"/>
      <c r="B346" s="283"/>
      <c r="C346" s="47"/>
      <c r="D346" s="24"/>
      <c r="E346" s="263"/>
      <c r="F346" s="248"/>
      <c r="G346" s="72"/>
      <c r="H346" s="72"/>
      <c r="I346" s="72"/>
      <c r="J346" s="25"/>
      <c r="K346" s="72"/>
      <c r="L346" s="30"/>
      <c r="M346" s="26"/>
    </row>
    <row r="347" spans="1:13" ht="18.95" customHeight="1">
      <c r="A347" s="136"/>
      <c r="B347" s="42"/>
      <c r="C347" s="47"/>
      <c r="D347" s="24"/>
      <c r="E347" s="72"/>
      <c r="F347" s="26"/>
      <c r="G347" s="72"/>
      <c r="H347" s="72"/>
      <c r="I347" s="72"/>
      <c r="J347" s="72"/>
      <c r="K347" s="72"/>
      <c r="L347" s="30"/>
      <c r="M347" s="26"/>
    </row>
    <row r="348" spans="1:13" ht="18.95" customHeight="1">
      <c r="A348" s="136"/>
      <c r="B348" s="283"/>
      <c r="C348" s="285"/>
      <c r="D348" s="40"/>
      <c r="E348" s="72"/>
      <c r="F348" s="26"/>
      <c r="G348" s="72"/>
      <c r="H348" s="72"/>
      <c r="I348" s="72"/>
      <c r="J348" s="72"/>
      <c r="K348" s="72"/>
      <c r="L348" s="30"/>
      <c r="M348" s="26"/>
    </row>
    <row r="349" spans="1:13" ht="18.95" customHeight="1">
      <c r="A349" s="136"/>
      <c r="B349" s="285"/>
      <c r="C349" s="43"/>
      <c r="D349" s="24"/>
      <c r="E349" s="72"/>
      <c r="F349" s="26"/>
      <c r="G349" s="72"/>
      <c r="H349" s="72"/>
      <c r="I349" s="72"/>
      <c r="J349" s="72"/>
      <c r="K349" s="72"/>
      <c r="L349" s="30"/>
      <c r="M349" s="26"/>
    </row>
    <row r="350" spans="1:13" ht="18.95" customHeight="1">
      <c r="A350" s="377"/>
      <c r="B350" s="285"/>
      <c r="C350" s="43"/>
      <c r="D350" s="286"/>
      <c r="E350" s="72"/>
      <c r="F350" s="26"/>
      <c r="G350" s="72"/>
      <c r="H350" s="72"/>
      <c r="I350" s="72"/>
      <c r="J350" s="72"/>
      <c r="K350" s="72"/>
      <c r="L350" s="30"/>
      <c r="M350" s="26"/>
    </row>
    <row r="351" spans="1:13" ht="18.95" customHeight="1">
      <c r="A351" s="377"/>
      <c r="B351" s="287"/>
      <c r="C351" s="48"/>
      <c r="D351" s="49"/>
      <c r="E351" s="25"/>
      <c r="F351" s="26"/>
      <c r="G351" s="25"/>
      <c r="H351" s="25"/>
      <c r="I351" s="25"/>
      <c r="J351" s="25"/>
      <c r="K351" s="30"/>
      <c r="L351" s="25"/>
      <c r="M351" s="26"/>
    </row>
    <row r="352" spans="1:13" ht="18.95" customHeight="1">
      <c r="A352" s="377"/>
      <c r="B352" s="287"/>
      <c r="C352" s="48"/>
      <c r="D352" s="49"/>
      <c r="E352" s="25"/>
      <c r="F352" s="26"/>
      <c r="G352" s="25"/>
      <c r="H352" s="25"/>
      <c r="I352" s="25"/>
      <c r="J352" s="25"/>
      <c r="K352" s="30"/>
      <c r="L352" s="25"/>
      <c r="M352" s="26"/>
    </row>
    <row r="353" spans="1:13" ht="18.95" customHeight="1">
      <c r="A353" s="377"/>
      <c r="B353" s="287"/>
      <c r="C353" s="48"/>
      <c r="D353" s="49"/>
      <c r="E353" s="25"/>
      <c r="F353" s="26"/>
      <c r="G353" s="25"/>
      <c r="H353" s="25"/>
      <c r="I353" s="25"/>
      <c r="J353" s="25"/>
      <c r="K353" s="30"/>
      <c r="L353" s="25"/>
      <c r="M353" s="26"/>
    </row>
    <row r="354" spans="1:13" ht="18.95" customHeight="1">
      <c r="A354" s="378"/>
      <c r="B354" s="270"/>
      <c r="C354" s="271"/>
      <c r="D354" s="236"/>
      <c r="E354" s="54"/>
      <c r="F354" s="55"/>
      <c r="G354" s="54"/>
      <c r="H354" s="54"/>
      <c r="I354" s="54"/>
      <c r="J354" s="54"/>
      <c r="K354" s="146"/>
      <c r="L354" s="54"/>
      <c r="M354" s="26"/>
    </row>
  </sheetData>
  <mergeCells count="17">
    <mergeCell ref="M5:M6"/>
    <mergeCell ref="B5:D6"/>
    <mergeCell ref="B205:D205"/>
    <mergeCell ref="B209:D209"/>
    <mergeCell ref="A5:A6"/>
    <mergeCell ref="E5:E6"/>
    <mergeCell ref="F5:F6"/>
    <mergeCell ref="G5:I5"/>
    <mergeCell ref="J5:K5"/>
    <mergeCell ref="B14:D14"/>
    <mergeCell ref="B29:D29"/>
    <mergeCell ref="B195:D195"/>
    <mergeCell ref="A1:C1"/>
    <mergeCell ref="D1:I1"/>
    <mergeCell ref="K1:L1"/>
    <mergeCell ref="A2:C2"/>
    <mergeCell ref="A3:C3"/>
  </mergeCells>
  <printOptions horizontalCentered="1"/>
  <pageMargins left="0.39370078740157499" right="0.39370078740157499" top="1.1811023622047201" bottom="0" header="0.78740157480314998" footer="0"/>
  <pageSetup paperSize="9" scale="83" firstPageNumber="7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New,Regular"&amp;14แบบปร.4(ข) แผ่นที่ &amp;P/44</oddHeader>
  </headerFooter>
  <rowBreaks count="7" manualBreakCount="7">
    <brk id="30" max="11" man="1"/>
    <brk id="58" max="11" man="1"/>
    <brk id="86" max="11" man="1"/>
    <brk id="114" max="11" man="1"/>
    <brk id="142" max="11" man="1"/>
    <brk id="170" max="11" man="1"/>
    <brk id="198" max="11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O141"/>
  <sheetViews>
    <sheetView view="pageBreakPreview" zoomScaleNormal="70" workbookViewId="0">
      <selection activeCell="D27" sqref="D27"/>
    </sheetView>
  </sheetViews>
  <sheetFormatPr defaultColWidth="8.1796875" defaultRowHeight="19.350000000000001" customHeight="1"/>
  <cols>
    <col min="1" max="1" width="6.7265625" style="203" customWidth="1"/>
    <col min="2" max="2" width="13.453125" style="204" customWidth="1"/>
    <col min="3" max="3" width="24.453125" style="205" customWidth="1"/>
    <col min="4" max="4" width="40.7265625" style="203" customWidth="1"/>
    <col min="5" max="5" width="12.81640625" style="157" customWidth="1"/>
    <col min="6" max="6" width="9.54296875" style="154" customWidth="1"/>
    <col min="7" max="7" width="15.7265625" style="157" hidden="1" customWidth="1"/>
    <col min="8" max="12" width="15.7265625" style="157" customWidth="1"/>
    <col min="13" max="13" width="16.26953125" style="157" customWidth="1"/>
    <col min="14" max="15" width="17.26953125" style="203" customWidth="1"/>
    <col min="16" max="16384" width="8.1796875" style="203"/>
  </cols>
  <sheetData>
    <row r="1" spans="1:15" s="1" customFormat="1" ht="19.350000000000001" customHeight="1">
      <c r="A1" s="1229" t="s">
        <v>181</v>
      </c>
      <c r="B1" s="1229"/>
      <c r="C1" s="1229"/>
      <c r="D1" s="1367" t="str">
        <f>+'แบบ ปร.5(ข)'!C4</f>
        <v>โครงการจัดตั้งศูนย์การเรียนรู้แห่งชาติ OKMD : OKMD National Knowledge Center (Ratchadamnoen Center 1 และ 2)</v>
      </c>
      <c r="E1" s="1367"/>
      <c r="F1" s="1367"/>
      <c r="G1" s="1367"/>
      <c r="H1" s="1367"/>
      <c r="I1" s="1367"/>
      <c r="J1" s="95" t="s">
        <v>182</v>
      </c>
      <c r="K1" s="1230" t="s">
        <v>3990</v>
      </c>
      <c r="L1" s="1230"/>
      <c r="M1" s="304"/>
    </row>
    <row r="2" spans="1:15" s="1" customFormat="1" ht="19.350000000000001" customHeight="1">
      <c r="A2" s="1231" t="s">
        <v>125</v>
      </c>
      <c r="B2" s="1231"/>
      <c r="C2" s="1231"/>
      <c r="D2" s="7" t="str">
        <f>+'แบบ ปร.5(ข)'!C5</f>
        <v>แขวงตลาดยอด เขตพระนคร กรุงเทพมหานคร</v>
      </c>
      <c r="E2" s="8"/>
      <c r="F2" s="8"/>
      <c r="G2" s="8"/>
      <c r="H2" s="8"/>
      <c r="I2" s="8"/>
      <c r="J2" s="96" t="s">
        <v>184</v>
      </c>
      <c r="K2" s="97" t="str">
        <f>+'แบบ ปร.5(ข)'!C10</f>
        <v xml:space="preserve">  16 กรกฎาคม 2568</v>
      </c>
      <c r="L2" s="8"/>
      <c r="M2" s="8"/>
    </row>
    <row r="3" spans="1:15" s="1" customFormat="1" ht="19.350000000000001" customHeight="1">
      <c r="A3" s="1231" t="s">
        <v>185</v>
      </c>
      <c r="B3" s="1231"/>
      <c r="C3" s="1231"/>
      <c r="D3" s="9" t="str">
        <f>+'แบบ ปร.5(ข)'!C9</f>
        <v>คณะกรรมการกำหนดราคากลาง</v>
      </c>
      <c r="E3" s="8"/>
      <c r="F3" s="8"/>
      <c r="G3" s="8"/>
      <c r="H3" s="8"/>
      <c r="I3" s="96"/>
      <c r="J3" s="96"/>
      <c r="K3" s="97"/>
      <c r="L3" s="8"/>
      <c r="M3" s="8"/>
    </row>
    <row r="4" spans="1:15" s="1" customFormat="1" ht="19.350000000000001" customHeight="1">
      <c r="B4" s="206"/>
      <c r="C4" s="2"/>
      <c r="E4" s="3"/>
      <c r="F4" s="169"/>
      <c r="G4" s="3"/>
      <c r="H4" s="3"/>
      <c r="I4" s="3"/>
      <c r="J4" s="3"/>
      <c r="K4" s="3"/>
      <c r="L4" s="3"/>
      <c r="M4" s="3"/>
    </row>
    <row r="5" spans="1:15" ht="19.350000000000001" customHeight="1">
      <c r="A5" s="1270" t="s">
        <v>186</v>
      </c>
      <c r="B5" s="1235" t="s">
        <v>138</v>
      </c>
      <c r="C5" s="1287"/>
      <c r="D5" s="1288"/>
      <c r="E5" s="1237" t="s">
        <v>187</v>
      </c>
      <c r="F5" s="1237" t="s">
        <v>188</v>
      </c>
      <c r="G5" s="1369" t="s">
        <v>189</v>
      </c>
      <c r="H5" s="1369"/>
      <c r="I5" s="1369"/>
      <c r="J5" s="1369" t="s">
        <v>190</v>
      </c>
      <c r="K5" s="1369"/>
      <c r="L5" s="10" t="s">
        <v>191</v>
      </c>
      <c r="M5" s="1237" t="s">
        <v>140</v>
      </c>
    </row>
    <row r="6" spans="1:15" ht="19.350000000000001" customHeight="1">
      <c r="A6" s="1271"/>
      <c r="B6" s="1236"/>
      <c r="C6" s="1289"/>
      <c r="D6" s="1290"/>
      <c r="E6" s="1238"/>
      <c r="F6" s="1238"/>
      <c r="G6" s="12" t="s">
        <v>192</v>
      </c>
      <c r="H6" s="12" t="s">
        <v>192</v>
      </c>
      <c r="I6" s="12" t="s">
        <v>193</v>
      </c>
      <c r="J6" s="12" t="s">
        <v>192</v>
      </c>
      <c r="K6" s="12" t="s">
        <v>193</v>
      </c>
      <c r="L6" s="12" t="s">
        <v>194</v>
      </c>
      <c r="M6" s="1238"/>
    </row>
    <row r="7" spans="1:15" ht="19.350000000000001" customHeight="1">
      <c r="A7" s="14"/>
      <c r="B7" s="216" t="s">
        <v>3991</v>
      </c>
      <c r="C7" s="15"/>
      <c r="D7" s="17"/>
      <c r="E7" s="18"/>
      <c r="F7" s="19"/>
      <c r="G7" s="18"/>
      <c r="H7" s="18"/>
      <c r="I7" s="18"/>
      <c r="J7" s="20"/>
      <c r="K7" s="218"/>
      <c r="L7" s="19"/>
      <c r="M7" s="19"/>
    </row>
    <row r="8" spans="1:15" ht="19.350000000000001" customHeight="1">
      <c r="A8" s="207"/>
      <c r="B8" s="22" t="s">
        <v>162</v>
      </c>
      <c r="C8" s="208"/>
      <c r="D8" s="24"/>
      <c r="E8" s="25"/>
      <c r="F8" s="26"/>
      <c r="G8" s="25"/>
      <c r="H8" s="25"/>
      <c r="I8" s="25"/>
      <c r="J8" s="30"/>
      <c r="K8" s="30"/>
      <c r="L8" s="72"/>
      <c r="M8" s="26"/>
    </row>
    <row r="9" spans="1:15" ht="19.350000000000001" customHeight="1">
      <c r="A9" s="207"/>
      <c r="B9" s="22"/>
      <c r="C9" s="208"/>
      <c r="D9" s="24"/>
      <c r="E9" s="25"/>
      <c r="F9" s="26"/>
      <c r="G9" s="25"/>
      <c r="H9" s="25"/>
      <c r="I9" s="25"/>
      <c r="J9" s="30"/>
      <c r="K9" s="30"/>
      <c r="L9" s="72"/>
      <c r="M9" s="26"/>
    </row>
    <row r="10" spans="1:15" ht="19.350000000000001" customHeight="1">
      <c r="A10" s="28">
        <v>1</v>
      </c>
      <c r="B10" s="27" t="s">
        <v>3992</v>
      </c>
      <c r="C10" s="29"/>
      <c r="D10" s="301"/>
      <c r="E10" s="25">
        <f>E62</f>
        <v>50855</v>
      </c>
      <c r="F10" s="30" t="s">
        <v>349</v>
      </c>
      <c r="G10" s="25"/>
      <c r="H10" s="25"/>
      <c r="I10" s="25">
        <f>I62</f>
        <v>22801823.883708667</v>
      </c>
      <c r="J10" s="25">
        <f>J62</f>
        <v>0</v>
      </c>
      <c r="K10" s="25">
        <f>K62</f>
        <v>0</v>
      </c>
      <c r="L10" s="25">
        <f>L62</f>
        <v>22801823.883708667</v>
      </c>
      <c r="M10" s="26"/>
      <c r="N10" s="154">
        <f>O10*0.934908047</f>
        <v>22801823.883708671</v>
      </c>
      <c r="O10" s="157">
        <v>24389376</v>
      </c>
    </row>
    <row r="11" spans="1:15" ht="19.350000000000001" customHeight="1">
      <c r="A11" s="28">
        <v>2</v>
      </c>
      <c r="B11" s="27" t="s">
        <v>3993</v>
      </c>
      <c r="C11" s="29"/>
      <c r="D11" s="301"/>
      <c r="E11" s="25">
        <f>E68</f>
        <v>4</v>
      </c>
      <c r="F11" s="30" t="str">
        <f>F68</f>
        <v>ชุด</v>
      </c>
      <c r="G11" s="25"/>
      <c r="H11" s="25"/>
      <c r="I11" s="25">
        <f>I68</f>
        <v>1606817.1112984298</v>
      </c>
      <c r="J11" s="25">
        <f>J68</f>
        <v>0</v>
      </c>
      <c r="K11" s="25">
        <f>K68</f>
        <v>0</v>
      </c>
      <c r="L11" s="25">
        <f>L68</f>
        <v>1606817.1112984298</v>
      </c>
      <c r="M11" s="26"/>
      <c r="N11" s="154">
        <f>O11*0.934908047</f>
        <v>1606817.11129843</v>
      </c>
      <c r="O11" s="157">
        <v>1718690</v>
      </c>
    </row>
    <row r="12" spans="1:15" ht="19.350000000000001" customHeight="1">
      <c r="A12" s="28"/>
      <c r="B12" s="27"/>
      <c r="C12" s="29"/>
      <c r="D12" s="301"/>
      <c r="E12" s="25"/>
      <c r="F12" s="30"/>
      <c r="G12" s="25"/>
      <c r="H12" s="25"/>
      <c r="I12" s="25"/>
      <c r="J12" s="25"/>
      <c r="K12" s="25"/>
      <c r="L12" s="25"/>
      <c r="M12" s="26"/>
      <c r="N12" s="154" t="s">
        <v>151</v>
      </c>
      <c r="O12" s="157"/>
    </row>
    <row r="13" spans="1:15" ht="19.350000000000001" customHeight="1">
      <c r="A13" s="28"/>
      <c r="B13" s="27"/>
      <c r="C13" s="29"/>
      <c r="D13" s="301"/>
      <c r="E13" s="25"/>
      <c r="F13" s="26"/>
      <c r="G13" s="30"/>
      <c r="H13" s="30"/>
      <c r="I13" s="30"/>
      <c r="J13" s="30"/>
      <c r="K13" s="72"/>
      <c r="L13" s="26"/>
      <c r="M13" s="26"/>
      <c r="N13" s="154">
        <f>SUM(N10:N12)</f>
        <v>24408640.995007101</v>
      </c>
      <c r="O13" s="157">
        <f>SUM(O10:O12)</f>
        <v>26108066</v>
      </c>
    </row>
    <row r="14" spans="1:15" s="1" customFormat="1" ht="19.350000000000001" customHeight="1">
      <c r="A14" s="58"/>
      <c r="B14" s="1272" t="s">
        <v>3994</v>
      </c>
      <c r="C14" s="1273"/>
      <c r="D14" s="1274"/>
      <c r="E14" s="34"/>
      <c r="F14" s="26"/>
      <c r="G14" s="34"/>
      <c r="H14" s="34"/>
      <c r="I14" s="34">
        <f>SUM(I10:I12)</f>
        <v>24408640.995007098</v>
      </c>
      <c r="J14" s="34">
        <f>SUM(J10:J12)</f>
        <v>0</v>
      </c>
      <c r="K14" s="34">
        <f>SUM(K10:K12)</f>
        <v>0</v>
      </c>
      <c r="L14" s="34">
        <f>SUM(L10:L12)</f>
        <v>24408640.995007098</v>
      </c>
      <c r="M14" s="35"/>
      <c r="N14" s="169"/>
      <c r="O14" s="3"/>
    </row>
    <row r="15" spans="1:15" ht="19.350000000000001" customHeight="1">
      <c r="A15" s="28"/>
      <c r="B15" s="229"/>
      <c r="C15" s="208"/>
      <c r="D15" s="24"/>
      <c r="E15" s="25"/>
      <c r="F15" s="26"/>
      <c r="G15" s="25"/>
      <c r="H15" s="25"/>
      <c r="I15" s="25"/>
      <c r="J15" s="25"/>
      <c r="K15" s="30"/>
      <c r="L15" s="72"/>
      <c r="M15" s="26"/>
    </row>
    <row r="16" spans="1:15" ht="19.350000000000001" customHeight="1">
      <c r="A16" s="28"/>
      <c r="B16" s="229"/>
      <c r="C16" s="208"/>
      <c r="D16" s="24"/>
      <c r="E16" s="25"/>
      <c r="F16" s="26"/>
      <c r="G16" s="25"/>
      <c r="H16" s="25"/>
      <c r="I16" s="25"/>
      <c r="J16" s="25"/>
      <c r="K16" s="30"/>
      <c r="L16" s="72"/>
      <c r="M16" s="26"/>
    </row>
    <row r="17" spans="1:14" ht="19.350000000000001" customHeight="1">
      <c r="A17" s="28"/>
      <c r="B17" s="229"/>
      <c r="C17" s="208"/>
      <c r="D17" s="24"/>
      <c r="E17" s="25"/>
      <c r="F17" s="26"/>
      <c r="G17" s="25"/>
      <c r="H17" s="25"/>
      <c r="I17" s="25"/>
      <c r="J17" s="25"/>
      <c r="K17" s="30"/>
      <c r="L17" s="72"/>
      <c r="M17" s="26"/>
    </row>
    <row r="18" spans="1:14" ht="19.350000000000001" customHeight="1">
      <c r="A18" s="28"/>
      <c r="B18" s="229"/>
      <c r="C18" s="208"/>
      <c r="D18" s="24"/>
      <c r="E18" s="25"/>
      <c r="F18" s="26"/>
      <c r="G18" s="25"/>
      <c r="H18" s="25"/>
      <c r="I18" s="25"/>
      <c r="J18" s="25"/>
      <c r="K18" s="30"/>
      <c r="L18" s="72"/>
      <c r="M18" s="26"/>
    </row>
    <row r="19" spans="1:14" ht="19.350000000000001" customHeight="1">
      <c r="A19" s="28"/>
      <c r="B19" s="229"/>
      <c r="C19" s="208"/>
      <c r="D19" s="24"/>
      <c r="E19" s="25"/>
      <c r="F19" s="26"/>
      <c r="G19" s="25"/>
      <c r="H19" s="25"/>
      <c r="I19" s="25"/>
      <c r="J19" s="25"/>
      <c r="K19" s="30"/>
      <c r="L19" s="72"/>
      <c r="M19" s="26"/>
    </row>
    <row r="20" spans="1:14" ht="19.350000000000001" customHeight="1">
      <c r="A20" s="28"/>
      <c r="B20" s="229"/>
      <c r="C20" s="208"/>
      <c r="D20" s="24"/>
      <c r="E20" s="25"/>
      <c r="F20" s="26"/>
      <c r="G20" s="25"/>
      <c r="H20" s="25"/>
      <c r="I20" s="25"/>
      <c r="J20" s="25"/>
      <c r="K20" s="30"/>
      <c r="L20" s="72"/>
      <c r="M20" s="26"/>
    </row>
    <row r="21" spans="1:14" ht="19.350000000000001" customHeight="1">
      <c r="A21" s="28"/>
      <c r="B21" s="229"/>
      <c r="C21" s="208"/>
      <c r="D21" s="24"/>
      <c r="E21" s="25"/>
      <c r="F21" s="26"/>
      <c r="G21" s="25"/>
      <c r="H21" s="25"/>
      <c r="I21" s="25"/>
      <c r="J21" s="25"/>
      <c r="K21" s="30"/>
      <c r="L21" s="72"/>
      <c r="M21" s="26"/>
    </row>
    <row r="22" spans="1:14" ht="19.350000000000001" customHeight="1">
      <c r="A22" s="28"/>
      <c r="B22" s="229"/>
      <c r="C22" s="208"/>
      <c r="D22" s="24"/>
      <c r="E22" s="25"/>
      <c r="F22" s="26"/>
      <c r="G22" s="25"/>
      <c r="H22" s="25"/>
      <c r="I22" s="25"/>
      <c r="J22" s="25"/>
      <c r="K22" s="30"/>
      <c r="L22" s="72"/>
      <c r="M22" s="26"/>
    </row>
    <row r="23" spans="1:14" ht="19.350000000000001" customHeight="1">
      <c r="A23" s="21"/>
      <c r="B23" s="227"/>
      <c r="C23" s="226"/>
      <c r="D23" s="49"/>
      <c r="E23" s="25"/>
      <c r="F23" s="26"/>
      <c r="G23" s="25"/>
      <c r="H23" s="25"/>
      <c r="I23" s="25"/>
      <c r="J23" s="25"/>
      <c r="K23" s="30"/>
      <c r="L23" s="25"/>
      <c r="M23" s="26"/>
    </row>
    <row r="24" spans="1:14" ht="19.350000000000001" customHeight="1">
      <c r="A24" s="21"/>
      <c r="B24" s="227"/>
      <c r="C24" s="226"/>
      <c r="D24" s="49"/>
      <c r="E24" s="25"/>
      <c r="F24" s="26"/>
      <c r="G24" s="25"/>
      <c r="H24" s="25"/>
      <c r="I24" s="25"/>
      <c r="J24" s="25"/>
      <c r="K24" s="30"/>
      <c r="L24" s="25"/>
      <c r="M24" s="26"/>
    </row>
    <row r="25" spans="1:14" ht="19.350000000000001" customHeight="1">
      <c r="A25" s="21"/>
      <c r="B25" s="227"/>
      <c r="C25" s="226"/>
      <c r="D25" s="49"/>
      <c r="E25" s="25"/>
      <c r="F25" s="26"/>
      <c r="G25" s="25"/>
      <c r="H25" s="25"/>
      <c r="I25" s="25"/>
      <c r="J25" s="25"/>
      <c r="K25" s="30"/>
      <c r="L25" s="25"/>
      <c r="M25" s="26"/>
    </row>
    <row r="26" spans="1:14" ht="19.350000000000001" customHeight="1">
      <c r="A26" s="21"/>
      <c r="B26" s="227"/>
      <c r="C26" s="226"/>
      <c r="D26" s="49"/>
      <c r="E26" s="25"/>
      <c r="F26" s="26"/>
      <c r="G26" s="25"/>
      <c r="H26" s="25"/>
      <c r="I26" s="25"/>
      <c r="J26" s="25"/>
      <c r="K26" s="30"/>
      <c r="L26" s="25"/>
      <c r="M26" s="26"/>
    </row>
    <row r="27" spans="1:14" ht="19.350000000000001" customHeight="1">
      <c r="A27" s="21"/>
      <c r="B27" s="227"/>
      <c r="C27" s="226"/>
      <c r="D27" s="49"/>
      <c r="E27" s="25"/>
      <c r="F27" s="26"/>
      <c r="G27" s="25"/>
      <c r="H27" s="25"/>
      <c r="I27" s="25"/>
      <c r="J27" s="25"/>
      <c r="K27" s="30"/>
      <c r="L27" s="25"/>
      <c r="M27" s="26"/>
    </row>
    <row r="28" spans="1:14" ht="19.350000000000001" customHeight="1">
      <c r="A28" s="21"/>
      <c r="B28" s="227"/>
      <c r="C28" s="226"/>
      <c r="D28" s="49"/>
      <c r="E28" s="25"/>
      <c r="F28" s="26"/>
      <c r="G28" s="25"/>
      <c r="H28" s="25"/>
      <c r="I28" s="25"/>
      <c r="J28" s="25"/>
      <c r="K28" s="30"/>
      <c r="L28" s="25"/>
      <c r="M28" s="26"/>
    </row>
    <row r="29" spans="1:14" ht="19.350000000000001" customHeight="1">
      <c r="A29" s="251"/>
      <c r="B29" s="1275"/>
      <c r="C29" s="1276"/>
      <c r="D29" s="1277"/>
      <c r="E29" s="252"/>
      <c r="F29" s="253"/>
      <c r="G29" s="252"/>
      <c r="H29" s="252"/>
      <c r="I29" s="252"/>
      <c r="J29" s="252"/>
      <c r="K29" s="362"/>
      <c r="L29" s="252"/>
      <c r="M29" s="26"/>
    </row>
    <row r="30" spans="1:14" ht="19.350000000000001" customHeight="1">
      <c r="A30" s="50"/>
      <c r="B30" s="270"/>
      <c r="C30" s="271"/>
      <c r="D30" s="236"/>
      <c r="E30" s="54"/>
      <c r="F30" s="55"/>
      <c r="G30" s="54"/>
      <c r="H30" s="54"/>
      <c r="I30" s="54"/>
      <c r="J30" s="54"/>
      <c r="K30" s="146"/>
      <c r="L30" s="54"/>
      <c r="M30" s="55"/>
    </row>
    <row r="31" spans="1:14" s="1" customFormat="1" ht="19.350000000000001" customHeight="1">
      <c r="A31" s="215">
        <v>1</v>
      </c>
      <c r="B31" s="216" t="s">
        <v>3995</v>
      </c>
      <c r="C31" s="15"/>
      <c r="D31" s="354"/>
      <c r="E31" s="218"/>
      <c r="F31" s="219"/>
      <c r="G31" s="218"/>
      <c r="H31" s="218"/>
      <c r="I31" s="218"/>
      <c r="J31" s="246"/>
      <c r="K31" s="218"/>
      <c r="L31" s="219"/>
      <c r="M31" s="219"/>
    </row>
    <row r="32" spans="1:14" ht="19.350000000000001" customHeight="1">
      <c r="A32" s="28"/>
      <c r="B32" s="27" t="s">
        <v>3996</v>
      </c>
      <c r="C32" s="1278" t="s">
        <v>3997</v>
      </c>
      <c r="D32" s="1279"/>
      <c r="E32" s="25">
        <v>1</v>
      </c>
      <c r="F32" s="26" t="s">
        <v>349</v>
      </c>
      <c r="G32" s="25">
        <v>620000</v>
      </c>
      <c r="H32" s="25">
        <f>G32*N32</f>
        <v>579642.98913999996</v>
      </c>
      <c r="I32" s="25">
        <f>H32*E32</f>
        <v>579642.98913999996</v>
      </c>
      <c r="J32" s="25">
        <v>0</v>
      </c>
      <c r="K32" s="30">
        <v>0</v>
      </c>
      <c r="L32" s="72">
        <f>I32+K32</f>
        <v>579642.98913999996</v>
      </c>
      <c r="M32" s="288"/>
      <c r="N32" s="309">
        <v>0.93490804699999996</v>
      </c>
    </row>
    <row r="33" spans="1:14" ht="19.350000000000001" customHeight="1">
      <c r="A33" s="28"/>
      <c r="B33" s="27" t="s">
        <v>3998</v>
      </c>
      <c r="C33" s="1311" t="s">
        <v>3999</v>
      </c>
      <c r="D33" s="1312"/>
      <c r="E33" s="25">
        <v>1</v>
      </c>
      <c r="F33" s="26" t="s">
        <v>349</v>
      </c>
      <c r="G33" s="25">
        <v>1130000</v>
      </c>
      <c r="H33" s="25">
        <f>G33*N33</f>
        <v>1056446.09311</v>
      </c>
      <c r="I33" s="25">
        <f>H33*E33</f>
        <v>1056446.09311</v>
      </c>
      <c r="J33" s="25">
        <v>0</v>
      </c>
      <c r="K33" s="30">
        <v>0</v>
      </c>
      <c r="L33" s="72">
        <f>I33+K33</f>
        <v>1056446.09311</v>
      </c>
      <c r="M33" s="26"/>
      <c r="N33" s="309">
        <v>0.93490804699999996</v>
      </c>
    </row>
    <row r="34" spans="1:14" ht="19.350000000000001" customHeight="1">
      <c r="A34" s="28"/>
      <c r="B34" s="27"/>
      <c r="C34" s="29" t="s">
        <v>4000</v>
      </c>
      <c r="D34" s="46"/>
      <c r="E34" s="25"/>
      <c r="F34" s="26"/>
      <c r="G34" s="25"/>
      <c r="H34" s="25"/>
      <c r="I34" s="25"/>
      <c r="J34" s="25"/>
      <c r="K34" s="30"/>
      <c r="L34" s="72"/>
      <c r="M34" s="26"/>
      <c r="N34" s="309">
        <v>0.93490804699999996</v>
      </c>
    </row>
    <row r="35" spans="1:14" ht="19.350000000000001" customHeight="1">
      <c r="A35" s="28"/>
      <c r="B35" s="27" t="s">
        <v>4001</v>
      </c>
      <c r="C35" s="1278" t="s">
        <v>4002</v>
      </c>
      <c r="D35" s="1279"/>
      <c r="E35" s="25">
        <v>1</v>
      </c>
      <c r="F35" s="26" t="s">
        <v>349</v>
      </c>
      <c r="G35" s="25">
        <v>650000</v>
      </c>
      <c r="H35" s="25">
        <f>G35*N35</f>
        <v>607690.23054999998</v>
      </c>
      <c r="I35" s="25">
        <f>H35*E35</f>
        <v>607690.23054999998</v>
      </c>
      <c r="J35" s="25">
        <v>0</v>
      </c>
      <c r="K35" s="30">
        <v>0</v>
      </c>
      <c r="L35" s="72">
        <f>I35+K35</f>
        <v>607690.23054999998</v>
      </c>
      <c r="M35" s="288"/>
      <c r="N35" s="309">
        <v>0.93490804699999996</v>
      </c>
    </row>
    <row r="36" spans="1:14" ht="19.350000000000001" customHeight="1">
      <c r="A36" s="28"/>
      <c r="B36" s="27" t="s">
        <v>4003</v>
      </c>
      <c r="C36" s="1278" t="s">
        <v>4004</v>
      </c>
      <c r="D36" s="1279"/>
      <c r="E36" s="25">
        <v>1</v>
      </c>
      <c r="F36" s="26" t="s">
        <v>349</v>
      </c>
      <c r="G36" s="25">
        <v>1630000</v>
      </c>
      <c r="H36" s="25">
        <f>G36*N36</f>
        <v>1523900.1166099999</v>
      </c>
      <c r="I36" s="25">
        <f>H36*E36</f>
        <v>1523900.1166099999</v>
      </c>
      <c r="J36" s="25">
        <v>0</v>
      </c>
      <c r="K36" s="30">
        <v>0</v>
      </c>
      <c r="L36" s="72">
        <f>I36+K36</f>
        <v>1523900.1166099999</v>
      </c>
      <c r="M36" s="26"/>
      <c r="N36" s="309">
        <v>0.93490804699999996</v>
      </c>
    </row>
    <row r="37" spans="1:14" ht="19.350000000000001" customHeight="1">
      <c r="A37" s="28"/>
      <c r="B37" s="27"/>
      <c r="C37" s="29" t="s">
        <v>4000</v>
      </c>
      <c r="D37" s="356"/>
      <c r="E37" s="25"/>
      <c r="F37" s="26"/>
      <c r="G37" s="25"/>
      <c r="H37" s="25"/>
      <c r="I37" s="25"/>
      <c r="J37" s="25"/>
      <c r="K37" s="30"/>
      <c r="L37" s="72"/>
      <c r="M37" s="26"/>
      <c r="N37" s="309">
        <v>0.93490804699999996</v>
      </c>
    </row>
    <row r="38" spans="1:14" ht="19.350000000000001" customHeight="1">
      <c r="A38" s="28"/>
      <c r="B38" s="27" t="s">
        <v>4005</v>
      </c>
      <c r="C38" s="1278" t="s">
        <v>4006</v>
      </c>
      <c r="D38" s="1279"/>
      <c r="E38" s="25">
        <v>1</v>
      </c>
      <c r="F38" s="26" t="s">
        <v>349</v>
      </c>
      <c r="G38" s="25">
        <v>950000</v>
      </c>
      <c r="H38" s="25">
        <f>G38*N38</f>
        <v>888162.64464999991</v>
      </c>
      <c r="I38" s="25">
        <f>H38*E38</f>
        <v>888162.64464999991</v>
      </c>
      <c r="J38" s="25">
        <v>0</v>
      </c>
      <c r="K38" s="30">
        <v>0</v>
      </c>
      <c r="L38" s="72">
        <f>I38+K38</f>
        <v>888162.64464999991</v>
      </c>
      <c r="M38" s="288"/>
      <c r="N38" s="309">
        <v>0.93490804699999996</v>
      </c>
    </row>
    <row r="39" spans="1:14" ht="19.350000000000001" customHeight="1">
      <c r="A39" s="28"/>
      <c r="B39" s="27" t="s">
        <v>4007</v>
      </c>
      <c r="C39" s="1278" t="s">
        <v>4008</v>
      </c>
      <c r="D39" s="1279"/>
      <c r="E39" s="25">
        <v>1</v>
      </c>
      <c r="F39" s="26" t="s">
        <v>349</v>
      </c>
      <c r="G39" s="25">
        <v>2620000</v>
      </c>
      <c r="H39" s="25">
        <f>G39*N39</f>
        <v>2449459.0831399998</v>
      </c>
      <c r="I39" s="25">
        <f>H39*E39</f>
        <v>2449459.0831399998</v>
      </c>
      <c r="J39" s="25">
        <v>0</v>
      </c>
      <c r="K39" s="30">
        <v>0</v>
      </c>
      <c r="L39" s="72">
        <f>I39+K39</f>
        <v>2449459.0831399998</v>
      </c>
      <c r="M39" s="26"/>
      <c r="N39" s="309">
        <v>0.93490804699999996</v>
      </c>
    </row>
    <row r="40" spans="1:14" ht="19.350000000000001" customHeight="1">
      <c r="A40" s="28"/>
      <c r="B40" s="27"/>
      <c r="C40" s="29" t="s">
        <v>4000</v>
      </c>
      <c r="D40" s="356"/>
      <c r="E40" s="25"/>
      <c r="F40" s="26"/>
      <c r="G40" s="25"/>
      <c r="H40" s="25"/>
      <c r="I40" s="25"/>
      <c r="J40" s="25"/>
      <c r="K40" s="30"/>
      <c r="L40" s="72"/>
      <c r="M40" s="26"/>
      <c r="N40" s="309">
        <v>0.93490804699999996</v>
      </c>
    </row>
    <row r="41" spans="1:14" ht="19.350000000000001" customHeight="1">
      <c r="A41" s="28"/>
      <c r="B41" s="27" t="s">
        <v>4009</v>
      </c>
      <c r="C41" s="1278" t="s">
        <v>4010</v>
      </c>
      <c r="D41" s="1279"/>
      <c r="E41" s="25">
        <v>1</v>
      </c>
      <c r="F41" s="26" t="s">
        <v>349</v>
      </c>
      <c r="G41" s="25">
        <v>620000</v>
      </c>
      <c r="H41" s="25">
        <f>G41*N41</f>
        <v>579642.98913999996</v>
      </c>
      <c r="I41" s="25">
        <f>H41*E41</f>
        <v>579642.98913999996</v>
      </c>
      <c r="J41" s="25">
        <v>0</v>
      </c>
      <c r="K41" s="30">
        <v>0</v>
      </c>
      <c r="L41" s="72">
        <f>I41+K41</f>
        <v>579642.98913999996</v>
      </c>
      <c r="M41" s="288"/>
      <c r="N41" s="309">
        <v>0.93490804699999996</v>
      </c>
    </row>
    <row r="42" spans="1:14" ht="19.350000000000001" customHeight="1">
      <c r="A42" s="28"/>
      <c r="B42" s="27" t="s">
        <v>4011</v>
      </c>
      <c r="C42" s="1278" t="s">
        <v>4012</v>
      </c>
      <c r="D42" s="1279"/>
      <c r="E42" s="25">
        <v>1</v>
      </c>
      <c r="F42" s="26" t="s">
        <v>349</v>
      </c>
      <c r="G42" s="25">
        <v>1130000</v>
      </c>
      <c r="H42" s="25">
        <f>G42*N42</f>
        <v>1056446.09311</v>
      </c>
      <c r="I42" s="25">
        <f>H42*E42</f>
        <v>1056446.09311</v>
      </c>
      <c r="J42" s="25">
        <v>0</v>
      </c>
      <c r="K42" s="30">
        <v>0</v>
      </c>
      <c r="L42" s="72">
        <f>I42+K42</f>
        <v>1056446.09311</v>
      </c>
      <c r="M42" s="26"/>
      <c r="N42" s="309">
        <v>0.93490804699999996</v>
      </c>
    </row>
    <row r="43" spans="1:14" ht="19.350000000000001" customHeight="1">
      <c r="A43" s="28"/>
      <c r="B43" s="27"/>
      <c r="C43" s="29" t="s">
        <v>4000</v>
      </c>
      <c r="D43" s="356"/>
      <c r="E43" s="25"/>
      <c r="F43" s="26"/>
      <c r="G43" s="25"/>
      <c r="H43" s="25"/>
      <c r="I43" s="25"/>
      <c r="J43" s="25"/>
      <c r="K43" s="30"/>
      <c r="L43" s="72"/>
      <c r="M43" s="26"/>
      <c r="N43" s="309">
        <v>0.93490804699999996</v>
      </c>
    </row>
    <row r="44" spans="1:14" ht="19.350000000000001" customHeight="1">
      <c r="A44" s="28"/>
      <c r="B44" s="27" t="s">
        <v>4013</v>
      </c>
      <c r="C44" s="1278" t="s">
        <v>4014</v>
      </c>
      <c r="D44" s="1279"/>
      <c r="E44" s="25">
        <v>1</v>
      </c>
      <c r="F44" s="26" t="s">
        <v>349</v>
      </c>
      <c r="G44" s="25">
        <v>694876</v>
      </c>
      <c r="H44" s="25">
        <f>G44*N44</f>
        <v>649645.16406717198</v>
      </c>
      <c r="I44" s="25">
        <f>H44*E44</f>
        <v>649645.16406717198</v>
      </c>
      <c r="J44" s="25">
        <v>0</v>
      </c>
      <c r="K44" s="30">
        <v>0</v>
      </c>
      <c r="L44" s="72">
        <f>I44+K44</f>
        <v>649645.16406717198</v>
      </c>
      <c r="M44" s="288"/>
      <c r="N44" s="309">
        <v>0.93490804699999996</v>
      </c>
    </row>
    <row r="45" spans="1:14" ht="19.350000000000001" customHeight="1">
      <c r="A45" s="28"/>
      <c r="B45" s="27" t="s">
        <v>4015</v>
      </c>
      <c r="C45" s="1278" t="s">
        <v>4016</v>
      </c>
      <c r="D45" s="1279"/>
      <c r="E45" s="25">
        <v>10</v>
      </c>
      <c r="F45" s="26" t="s">
        <v>349</v>
      </c>
      <c r="G45" s="25">
        <v>82000</v>
      </c>
      <c r="H45" s="25">
        <f>G45*N45</f>
        <v>76662.459854000001</v>
      </c>
      <c r="I45" s="25">
        <f>H45*E45</f>
        <v>766624.59854000004</v>
      </c>
      <c r="J45" s="25">
        <v>0</v>
      </c>
      <c r="K45" s="30">
        <v>0</v>
      </c>
      <c r="L45" s="72">
        <f>I45+K45</f>
        <v>766624.59854000004</v>
      </c>
      <c r="M45" s="288"/>
      <c r="N45" s="309">
        <v>0.93490804699999996</v>
      </c>
    </row>
    <row r="46" spans="1:14" ht="19.350000000000001" customHeight="1">
      <c r="A46" s="28"/>
      <c r="B46" s="27" t="s">
        <v>4017</v>
      </c>
      <c r="C46" s="29" t="s">
        <v>4018</v>
      </c>
      <c r="D46" s="301"/>
      <c r="E46" s="25">
        <v>50000</v>
      </c>
      <c r="F46" s="26" t="s">
        <v>4019</v>
      </c>
      <c r="G46" s="25">
        <v>12</v>
      </c>
      <c r="H46" s="25">
        <f>G46*N46</f>
        <v>11.218896564</v>
      </c>
      <c r="I46" s="25">
        <f t="shared" ref="I46:I47" si="0">H46*E46</f>
        <v>560944.82819999999</v>
      </c>
      <c r="J46" s="25">
        <v>0</v>
      </c>
      <c r="K46" s="30">
        <v>0</v>
      </c>
      <c r="L46" s="72">
        <f>I46+K46</f>
        <v>560944.82819999999</v>
      </c>
      <c r="M46" s="288"/>
      <c r="N46" s="309">
        <v>0.93490804699999996</v>
      </c>
    </row>
    <row r="47" spans="1:14" ht="19.350000000000001" customHeight="1">
      <c r="A47" s="28"/>
      <c r="B47" s="27" t="s">
        <v>4020</v>
      </c>
      <c r="C47" s="1278" t="s">
        <v>4021</v>
      </c>
      <c r="D47" s="1279"/>
      <c r="E47" s="25">
        <v>2</v>
      </c>
      <c r="F47" s="26" t="s">
        <v>349</v>
      </c>
      <c r="G47" s="25">
        <v>2800000</v>
      </c>
      <c r="H47" s="25">
        <f>G47*N47</f>
        <v>2617742.5315999999</v>
      </c>
      <c r="I47" s="25">
        <f t="shared" si="0"/>
        <v>5235485.0631999997</v>
      </c>
      <c r="J47" s="25">
        <v>0</v>
      </c>
      <c r="K47" s="30">
        <v>0</v>
      </c>
      <c r="L47" s="72">
        <f>I47+K47</f>
        <v>5235485.0631999997</v>
      </c>
      <c r="M47" s="288"/>
      <c r="N47" s="309">
        <v>0.93490804699999996</v>
      </c>
    </row>
    <row r="48" spans="1:14" ht="19.350000000000001" customHeight="1">
      <c r="A48" s="28"/>
      <c r="B48" s="27"/>
      <c r="C48" s="29" t="s">
        <v>4022</v>
      </c>
      <c r="D48" s="356"/>
      <c r="E48" s="25"/>
      <c r="F48" s="26"/>
      <c r="G48" s="25"/>
      <c r="H48" s="25"/>
      <c r="I48" s="25"/>
      <c r="J48" s="25"/>
      <c r="K48" s="30"/>
      <c r="L48" s="72"/>
      <c r="M48" s="26"/>
      <c r="N48" s="309">
        <v>0.93490804699999996</v>
      </c>
    </row>
    <row r="49" spans="1:14" ht="19.350000000000001" customHeight="1">
      <c r="A49" s="28"/>
      <c r="B49" s="27" t="s">
        <v>4023</v>
      </c>
      <c r="C49" s="1278" t="s">
        <v>4024</v>
      </c>
      <c r="D49" s="1279"/>
      <c r="E49" s="25">
        <v>12</v>
      </c>
      <c r="F49" s="26" t="s">
        <v>4025</v>
      </c>
      <c r="G49" s="25">
        <v>27500</v>
      </c>
      <c r="H49" s="25">
        <f>G49*N49</f>
        <v>25709.971292499999</v>
      </c>
      <c r="I49" s="25">
        <f>H49*E49</f>
        <v>308519.65550999995</v>
      </c>
      <c r="J49" s="25">
        <v>0</v>
      </c>
      <c r="K49" s="30">
        <v>0</v>
      </c>
      <c r="L49" s="72">
        <f>I49+K49</f>
        <v>308519.65550999995</v>
      </c>
      <c r="M49" s="288"/>
      <c r="N49" s="309">
        <v>0.93490804699999996</v>
      </c>
    </row>
    <row r="50" spans="1:14" ht="19.350000000000001" customHeight="1">
      <c r="A50" s="28"/>
      <c r="B50" s="27" t="s">
        <v>4026</v>
      </c>
      <c r="C50" s="1278" t="s">
        <v>4027</v>
      </c>
      <c r="D50" s="1279"/>
      <c r="E50" s="25">
        <v>5</v>
      </c>
      <c r="F50" s="26" t="s">
        <v>349</v>
      </c>
      <c r="G50" s="25">
        <v>670000</v>
      </c>
      <c r="H50" s="25">
        <f>G50*N50</f>
        <v>626388.39148999995</v>
      </c>
      <c r="I50" s="25">
        <f>H50*E50</f>
        <v>3131941.9574499996</v>
      </c>
      <c r="J50" s="25">
        <v>0</v>
      </c>
      <c r="K50" s="30">
        <v>0</v>
      </c>
      <c r="L50" s="72">
        <f>I50+K50</f>
        <v>3131941.9574499996</v>
      </c>
      <c r="M50" s="288"/>
      <c r="N50" s="309">
        <v>0.93490804699999996</v>
      </c>
    </row>
    <row r="51" spans="1:14" ht="19.350000000000001" customHeight="1">
      <c r="A51" s="28"/>
      <c r="B51" s="27" t="s">
        <v>4028</v>
      </c>
      <c r="C51" s="1278" t="s">
        <v>4029</v>
      </c>
      <c r="D51" s="1279"/>
      <c r="E51" s="25">
        <v>1</v>
      </c>
      <c r="F51" s="26" t="s">
        <v>1512</v>
      </c>
      <c r="G51" s="25">
        <v>2912000</v>
      </c>
      <c r="H51" s="25">
        <f>G51*N51</f>
        <v>2722452.2328639999</v>
      </c>
      <c r="I51" s="25">
        <f t="shared" ref="I51:I52" si="1">H51*E51</f>
        <v>2722452.2328639999</v>
      </c>
      <c r="J51" s="25">
        <v>0</v>
      </c>
      <c r="K51" s="30">
        <v>0</v>
      </c>
      <c r="L51" s="72">
        <f>I51+K51</f>
        <v>2722452.2328639999</v>
      </c>
      <c r="M51" s="26"/>
      <c r="N51" s="309">
        <v>0.93490804699999996</v>
      </c>
    </row>
    <row r="52" spans="1:14" ht="19.350000000000001" customHeight="1">
      <c r="A52" s="28"/>
      <c r="B52" s="27" t="s">
        <v>4030</v>
      </c>
      <c r="C52" s="1278" t="s">
        <v>4031</v>
      </c>
      <c r="D52" s="1279"/>
      <c r="E52" s="25">
        <v>4</v>
      </c>
      <c r="F52" s="26" t="s">
        <v>349</v>
      </c>
      <c r="G52" s="25">
        <v>45000</v>
      </c>
      <c r="H52" s="25">
        <f>G52*N52</f>
        <v>42070.862114999996</v>
      </c>
      <c r="I52" s="25">
        <f t="shared" si="1"/>
        <v>168283.44845999999</v>
      </c>
      <c r="J52" s="25">
        <v>0</v>
      </c>
      <c r="K52" s="30">
        <v>0</v>
      </c>
      <c r="L52" s="72">
        <f>I52+K52</f>
        <v>168283.44845999999</v>
      </c>
      <c r="M52" s="288"/>
      <c r="N52" s="309">
        <v>0.93490804699999996</v>
      </c>
    </row>
    <row r="53" spans="1:14" ht="19.350000000000001" customHeight="1">
      <c r="A53" s="28"/>
      <c r="B53" s="27"/>
      <c r="C53" s="29" t="s">
        <v>4032</v>
      </c>
      <c r="D53" s="356"/>
      <c r="E53" s="25"/>
      <c r="F53" s="26"/>
      <c r="G53" s="25"/>
      <c r="H53" s="25"/>
      <c r="I53" s="25"/>
      <c r="J53" s="25"/>
      <c r="K53" s="30"/>
      <c r="L53" s="72"/>
      <c r="M53" s="26"/>
      <c r="N53" s="309">
        <v>0.93490804699999996</v>
      </c>
    </row>
    <row r="54" spans="1:14" ht="19.350000000000001" customHeight="1">
      <c r="A54" s="28"/>
      <c r="B54" s="27" t="s">
        <v>4033</v>
      </c>
      <c r="C54" s="1311" t="s">
        <v>4034</v>
      </c>
      <c r="D54" s="1312"/>
      <c r="E54" s="25">
        <v>2</v>
      </c>
      <c r="F54" s="26" t="s">
        <v>349</v>
      </c>
      <c r="G54" s="25">
        <v>35000</v>
      </c>
      <c r="H54" s="25">
        <f>G54*N54</f>
        <v>32721.781644999999</v>
      </c>
      <c r="I54" s="25">
        <f>H54*E54</f>
        <v>65443.563289999998</v>
      </c>
      <c r="J54" s="25">
        <v>0</v>
      </c>
      <c r="K54" s="30">
        <v>0</v>
      </c>
      <c r="L54" s="72">
        <f t="shared" ref="L54:L61" si="2">I54+K54</f>
        <v>65443.563289999998</v>
      </c>
      <c r="M54" s="288"/>
      <c r="N54" s="309">
        <v>0.93490804699999996</v>
      </c>
    </row>
    <row r="55" spans="1:14" ht="19.350000000000001" customHeight="1">
      <c r="A55" s="28"/>
      <c r="B55" s="27" t="s">
        <v>4035</v>
      </c>
      <c r="C55" s="1278" t="s">
        <v>4036</v>
      </c>
      <c r="D55" s="1279"/>
      <c r="E55" s="25">
        <v>37</v>
      </c>
      <c r="F55" s="26" t="s">
        <v>349</v>
      </c>
      <c r="G55" s="25">
        <v>4000</v>
      </c>
      <c r="H55" s="25">
        <f>G55*N55</f>
        <v>3739.632188</v>
      </c>
      <c r="I55" s="25">
        <f>H55*E55</f>
        <v>138366.39095599999</v>
      </c>
      <c r="J55" s="25">
        <v>0</v>
      </c>
      <c r="K55" s="30">
        <v>0</v>
      </c>
      <c r="L55" s="72">
        <f t="shared" si="2"/>
        <v>138366.39095599999</v>
      </c>
      <c r="M55" s="288"/>
      <c r="N55" s="309">
        <v>0.93490804699999996</v>
      </c>
    </row>
    <row r="56" spans="1:14" ht="19.350000000000001" customHeight="1">
      <c r="A56" s="28"/>
      <c r="B56" s="27" t="s">
        <v>4037</v>
      </c>
      <c r="C56" s="1278" t="s">
        <v>4038</v>
      </c>
      <c r="D56" s="1279"/>
      <c r="E56" s="25">
        <v>17</v>
      </c>
      <c r="F56" s="26" t="s">
        <v>349</v>
      </c>
      <c r="G56" s="25">
        <v>3750</v>
      </c>
      <c r="H56" s="25">
        <f>G56*N56</f>
        <v>3505.9051762499998</v>
      </c>
      <c r="I56" s="25">
        <f t="shared" ref="I56:I57" si="3">H56*E56</f>
        <v>59600.38799625</v>
      </c>
      <c r="J56" s="25">
        <v>0</v>
      </c>
      <c r="K56" s="30">
        <v>0</v>
      </c>
      <c r="L56" s="72">
        <f t="shared" si="2"/>
        <v>59600.38799625</v>
      </c>
      <c r="M56" s="288"/>
      <c r="N56" s="309">
        <v>0.93490804699999996</v>
      </c>
    </row>
    <row r="57" spans="1:14" ht="19.350000000000001" customHeight="1">
      <c r="A57" s="28"/>
      <c r="B57" s="27" t="s">
        <v>4039</v>
      </c>
      <c r="C57" s="1278" t="s">
        <v>4038</v>
      </c>
      <c r="D57" s="1279"/>
      <c r="E57" s="25">
        <v>3</v>
      </c>
      <c r="F57" s="26" t="s">
        <v>349</v>
      </c>
      <c r="G57" s="25">
        <v>3750</v>
      </c>
      <c r="H57" s="25">
        <f>G57*N57</f>
        <v>3505.9051762499998</v>
      </c>
      <c r="I57" s="25">
        <f t="shared" si="3"/>
        <v>10517.715528749999</v>
      </c>
      <c r="J57" s="25">
        <v>0</v>
      </c>
      <c r="K57" s="30">
        <v>0</v>
      </c>
      <c r="L57" s="72">
        <f t="shared" si="2"/>
        <v>10517.715528749999</v>
      </c>
      <c r="M57" s="288"/>
      <c r="N57" s="309">
        <v>0.93490804699999996</v>
      </c>
    </row>
    <row r="58" spans="1:14" ht="19.350000000000001" customHeight="1">
      <c r="A58" s="233"/>
      <c r="B58" s="321"/>
      <c r="C58" s="357"/>
      <c r="D58" s="358"/>
      <c r="E58" s="54"/>
      <c r="F58" s="55"/>
      <c r="G58" s="54"/>
      <c r="H58" s="54"/>
      <c r="I58" s="54"/>
      <c r="J58" s="54"/>
      <c r="K58" s="146"/>
      <c r="L58" s="107"/>
      <c r="M58" s="55"/>
      <c r="N58" s="309">
        <v>0.93490804699999996</v>
      </c>
    </row>
    <row r="59" spans="1:14" ht="19.350000000000001" customHeight="1">
      <c r="A59" s="237"/>
      <c r="B59" s="359"/>
      <c r="C59" s="360"/>
      <c r="D59" s="361"/>
      <c r="E59" s="18"/>
      <c r="F59" s="19"/>
      <c r="G59" s="18"/>
      <c r="H59" s="18"/>
      <c r="I59" s="18"/>
      <c r="J59" s="18"/>
      <c r="K59" s="20"/>
      <c r="L59" s="108"/>
      <c r="M59" s="19"/>
      <c r="N59" s="309">
        <v>0.93490804699999996</v>
      </c>
    </row>
    <row r="60" spans="1:14" ht="19.350000000000001" customHeight="1">
      <c r="A60" s="28"/>
      <c r="B60" s="27" t="s">
        <v>4040</v>
      </c>
      <c r="C60" s="1278" t="s">
        <v>4041</v>
      </c>
      <c r="D60" s="1279"/>
      <c r="E60" s="25">
        <v>3</v>
      </c>
      <c r="F60" s="26" t="s">
        <v>349</v>
      </c>
      <c r="G60" s="25">
        <v>39000</v>
      </c>
      <c r="H60" s="25">
        <f>G60*N60</f>
        <v>36461.413832999999</v>
      </c>
      <c r="I60" s="25">
        <f>H60*E60</f>
        <v>109384.241499</v>
      </c>
      <c r="J60" s="25">
        <v>0</v>
      </c>
      <c r="K60" s="30">
        <v>0</v>
      </c>
      <c r="L60" s="72">
        <f t="shared" si="2"/>
        <v>109384.241499</v>
      </c>
      <c r="M60" s="288"/>
      <c r="N60" s="309">
        <v>0.93490804699999996</v>
      </c>
    </row>
    <row r="61" spans="1:14" ht="19.350000000000001" customHeight="1">
      <c r="A61" s="28"/>
      <c r="B61" s="27" t="s">
        <v>4042</v>
      </c>
      <c r="C61" s="1278" t="s">
        <v>4043</v>
      </c>
      <c r="D61" s="1279"/>
      <c r="E61" s="25">
        <v>750</v>
      </c>
      <c r="F61" s="26" t="s">
        <v>349</v>
      </c>
      <c r="G61" s="25">
        <v>190</v>
      </c>
      <c r="H61" s="25">
        <f>G61*N61</f>
        <v>177.63252893000001</v>
      </c>
      <c r="I61" s="25">
        <f>H61*E61</f>
        <v>133224.39669749999</v>
      </c>
      <c r="J61" s="25">
        <v>0</v>
      </c>
      <c r="K61" s="30">
        <v>0</v>
      </c>
      <c r="L61" s="72">
        <f t="shared" si="2"/>
        <v>133224.39669749999</v>
      </c>
      <c r="M61" s="288"/>
      <c r="N61" s="309">
        <v>0.93490804699999996</v>
      </c>
    </row>
    <row r="62" spans="1:14" s="1" customFormat="1" ht="19.350000000000001" customHeight="1">
      <c r="A62" s="58"/>
      <c r="B62" s="1275" t="s">
        <v>4044</v>
      </c>
      <c r="C62" s="1276"/>
      <c r="D62" s="1277"/>
      <c r="E62" s="34">
        <f>SUM(E32:E61)</f>
        <v>50855</v>
      </c>
      <c r="F62" s="26" t="s">
        <v>349</v>
      </c>
      <c r="G62" s="34"/>
      <c r="H62" s="34"/>
      <c r="I62" s="34">
        <f>SUM(I32:I61)</f>
        <v>22801823.883708667</v>
      </c>
      <c r="J62" s="34">
        <f>SUM(J32:J61)</f>
        <v>0</v>
      </c>
      <c r="K62" s="34">
        <f>SUM(K32:K61)</f>
        <v>0</v>
      </c>
      <c r="L62" s="34">
        <f>SUM(L32:L61)</f>
        <v>22801823.883708667</v>
      </c>
      <c r="M62" s="126"/>
      <c r="N62" s="309">
        <v>0.93490804699999996</v>
      </c>
    </row>
    <row r="63" spans="1:14" s="1" customFormat="1" ht="19.350000000000001" customHeight="1">
      <c r="A63" s="58"/>
      <c r="B63" s="256"/>
      <c r="C63" s="257"/>
      <c r="D63" s="258"/>
      <c r="E63" s="34"/>
      <c r="F63" s="26"/>
      <c r="G63" s="34"/>
      <c r="H63" s="34"/>
      <c r="I63" s="34"/>
      <c r="J63" s="34"/>
      <c r="K63" s="34"/>
      <c r="L63" s="34"/>
      <c r="M63" s="126"/>
      <c r="N63" s="309">
        <v>0.93490804699999996</v>
      </c>
    </row>
    <row r="64" spans="1:14" s="1" customFormat="1" ht="19.350000000000001" customHeight="1">
      <c r="A64" s="220">
        <v>2</v>
      </c>
      <c r="B64" s="302" t="s">
        <v>4045</v>
      </c>
      <c r="C64" s="221"/>
      <c r="D64" s="303"/>
      <c r="E64" s="34"/>
      <c r="F64" s="35"/>
      <c r="G64" s="34"/>
      <c r="H64" s="34"/>
      <c r="I64" s="34"/>
      <c r="J64" s="102"/>
      <c r="K64" s="34"/>
      <c r="L64" s="35"/>
      <c r="M64" s="35"/>
      <c r="N64" s="309">
        <v>0.93490804699999996</v>
      </c>
    </row>
    <row r="65" spans="1:14" ht="19.350000000000001" customHeight="1">
      <c r="A65" s="28"/>
      <c r="B65" s="27" t="s">
        <v>4046</v>
      </c>
      <c r="C65" s="1278" t="s">
        <v>4047</v>
      </c>
      <c r="D65" s="1279"/>
      <c r="E65" s="25">
        <v>1</v>
      </c>
      <c r="F65" s="26" t="s">
        <v>349</v>
      </c>
      <c r="G65" s="25">
        <v>1090000</v>
      </c>
      <c r="H65" s="25">
        <f>G65*N65</f>
        <v>1019049.77123</v>
      </c>
      <c r="I65" s="25">
        <f>H65*E65</f>
        <v>1019049.77123</v>
      </c>
      <c r="J65" s="25">
        <v>0</v>
      </c>
      <c r="K65" s="30">
        <v>0</v>
      </c>
      <c r="L65" s="72">
        <f>I65+K65</f>
        <v>1019049.77123</v>
      </c>
      <c r="M65" s="26"/>
      <c r="N65" s="309">
        <v>0.93490804699999996</v>
      </c>
    </row>
    <row r="66" spans="1:14" ht="19.350000000000001" customHeight="1">
      <c r="A66" s="28"/>
      <c r="B66" s="27" t="s">
        <v>4048</v>
      </c>
      <c r="C66" s="1278" t="s">
        <v>4049</v>
      </c>
      <c r="D66" s="1279"/>
      <c r="E66" s="25">
        <v>2</v>
      </c>
      <c r="F66" s="26" t="s">
        <v>349</v>
      </c>
      <c r="G66" s="25">
        <v>49900</v>
      </c>
      <c r="H66" s="25">
        <f>G66*N66</f>
        <v>46651.911545299998</v>
      </c>
      <c r="I66" s="25">
        <f>H66*E66</f>
        <v>93303.823090599995</v>
      </c>
      <c r="J66" s="25">
        <v>0</v>
      </c>
      <c r="K66" s="30">
        <v>0</v>
      </c>
      <c r="L66" s="72">
        <f>I66+K66</f>
        <v>93303.823090599995</v>
      </c>
      <c r="M66" s="26"/>
      <c r="N66" s="309">
        <v>0.93490804699999996</v>
      </c>
    </row>
    <row r="67" spans="1:14" ht="19.350000000000001" customHeight="1">
      <c r="A67" s="28"/>
      <c r="B67" s="27" t="s">
        <v>4050</v>
      </c>
      <c r="C67" s="1278" t="s">
        <v>4051</v>
      </c>
      <c r="D67" s="1279"/>
      <c r="E67" s="25">
        <v>1</v>
      </c>
      <c r="F67" s="26" t="s">
        <v>349</v>
      </c>
      <c r="G67" s="25">
        <v>528890</v>
      </c>
      <c r="H67" s="25">
        <f>G67*N67</f>
        <v>494463.51697782998</v>
      </c>
      <c r="I67" s="25">
        <f>H67*E67</f>
        <v>494463.51697782998</v>
      </c>
      <c r="J67" s="25">
        <v>0</v>
      </c>
      <c r="K67" s="30">
        <v>0</v>
      </c>
      <c r="L67" s="72">
        <f>I67+K67</f>
        <v>494463.51697782998</v>
      </c>
      <c r="M67" s="26"/>
      <c r="N67" s="309">
        <v>0.93490804699999996</v>
      </c>
    </row>
    <row r="68" spans="1:14" s="1" customFormat="1" ht="19.350000000000001" customHeight="1">
      <c r="A68" s="58"/>
      <c r="B68" s="1275" t="s">
        <v>4052</v>
      </c>
      <c r="C68" s="1276"/>
      <c r="D68" s="1277"/>
      <c r="E68" s="34">
        <f>SUM(E65:E67)</f>
        <v>4</v>
      </c>
      <c r="F68" s="26" t="s">
        <v>349</v>
      </c>
      <c r="G68" s="34"/>
      <c r="H68" s="34"/>
      <c r="I68" s="34">
        <f>SUM(I65:I67)</f>
        <v>1606817.1112984298</v>
      </c>
      <c r="J68" s="34">
        <f>SUM(J65:J67)</f>
        <v>0</v>
      </c>
      <c r="K68" s="34">
        <f>SUM(K65:K67)</f>
        <v>0</v>
      </c>
      <c r="L68" s="34">
        <f>SUM(L65:L67)</f>
        <v>1606817.1112984298</v>
      </c>
      <c r="M68" s="126"/>
    </row>
    <row r="69" spans="1:14" ht="19.350000000000001" customHeight="1">
      <c r="A69" s="28"/>
      <c r="B69" s="27"/>
      <c r="C69" s="29"/>
      <c r="D69" s="301"/>
      <c r="E69" s="25"/>
      <c r="F69" s="26"/>
      <c r="G69" s="25"/>
      <c r="H69" s="25"/>
      <c r="I69" s="25"/>
      <c r="J69" s="25"/>
      <c r="K69" s="30"/>
      <c r="L69" s="72"/>
      <c r="M69" s="26"/>
      <c r="N69" s="309"/>
    </row>
    <row r="70" spans="1:14" ht="19.350000000000001" customHeight="1">
      <c r="A70" s="28"/>
      <c r="B70" s="27"/>
      <c r="C70" s="29"/>
      <c r="D70" s="301"/>
      <c r="E70" s="25"/>
      <c r="F70" s="26"/>
      <c r="G70" s="25"/>
      <c r="H70" s="25"/>
      <c r="I70" s="25"/>
      <c r="J70" s="25"/>
      <c r="K70" s="30"/>
      <c r="L70" s="72"/>
      <c r="M70" s="26"/>
      <c r="N70" s="309"/>
    </row>
    <row r="71" spans="1:14" ht="19.350000000000001" customHeight="1">
      <c r="A71" s="28"/>
      <c r="B71" s="27"/>
      <c r="C71" s="29"/>
      <c r="D71" s="301"/>
      <c r="E71" s="25"/>
      <c r="F71" s="26"/>
      <c r="G71" s="25"/>
      <c r="H71" s="25"/>
      <c r="I71" s="25"/>
      <c r="J71" s="25"/>
      <c r="K71" s="30"/>
      <c r="L71" s="72"/>
      <c r="M71" s="26"/>
      <c r="N71" s="309"/>
    </row>
    <row r="72" spans="1:14" ht="19.350000000000001" customHeight="1">
      <c r="A72" s="28"/>
      <c r="B72" s="27"/>
      <c r="C72" s="29"/>
      <c r="D72" s="301"/>
      <c r="E72" s="25"/>
      <c r="F72" s="26"/>
      <c r="G72" s="25"/>
      <c r="H72" s="25"/>
      <c r="I72" s="25"/>
      <c r="J72" s="25"/>
      <c r="K72" s="30"/>
      <c r="L72" s="72"/>
      <c r="M72" s="26"/>
      <c r="N72" s="309"/>
    </row>
    <row r="73" spans="1:14" ht="19.350000000000001" customHeight="1">
      <c r="A73" s="28"/>
      <c r="B73" s="27"/>
      <c r="C73" s="29"/>
      <c r="D73" s="301"/>
      <c r="E73" s="25"/>
      <c r="F73" s="26"/>
      <c r="G73" s="25"/>
      <c r="H73" s="25"/>
      <c r="I73" s="25"/>
      <c r="J73" s="25"/>
      <c r="K73" s="30"/>
      <c r="L73" s="72"/>
      <c r="M73" s="26"/>
      <c r="N73" s="309"/>
    </row>
    <row r="74" spans="1:14" ht="19.350000000000001" customHeight="1">
      <c r="A74" s="28"/>
      <c r="B74" s="27"/>
      <c r="C74" s="29"/>
      <c r="D74" s="301"/>
      <c r="E74" s="25"/>
      <c r="F74" s="26"/>
      <c r="G74" s="25"/>
      <c r="H74" s="25"/>
      <c r="I74" s="25"/>
      <c r="J74" s="25"/>
      <c r="K74" s="30"/>
      <c r="L74" s="72"/>
      <c r="M74" s="26"/>
      <c r="N74" s="309"/>
    </row>
    <row r="75" spans="1:14" ht="19.350000000000001" customHeight="1">
      <c r="A75" s="28"/>
      <c r="B75" s="27"/>
      <c r="C75" s="29"/>
      <c r="D75" s="301"/>
      <c r="E75" s="25"/>
      <c r="F75" s="26"/>
      <c r="G75" s="25"/>
      <c r="H75" s="25"/>
      <c r="I75" s="25"/>
      <c r="J75" s="25"/>
      <c r="K75" s="30"/>
      <c r="L75" s="72"/>
      <c r="M75" s="26"/>
      <c r="N75" s="309"/>
    </row>
    <row r="76" spans="1:14" ht="19.350000000000001" customHeight="1">
      <c r="A76" s="28"/>
      <c r="B76" s="27"/>
      <c r="C76" s="29"/>
      <c r="D76" s="301"/>
      <c r="E76" s="25"/>
      <c r="F76" s="26"/>
      <c r="G76" s="25"/>
      <c r="H76" s="25"/>
      <c r="I76" s="25"/>
      <c r="J76" s="25"/>
      <c r="K76" s="30"/>
      <c r="L76" s="72"/>
      <c r="M76" s="26"/>
      <c r="N76" s="309"/>
    </row>
    <row r="77" spans="1:14" ht="19.350000000000001" customHeight="1">
      <c r="A77" s="28"/>
      <c r="B77" s="27"/>
      <c r="C77" s="29"/>
      <c r="D77" s="301"/>
      <c r="E77" s="25"/>
      <c r="F77" s="26"/>
      <c r="G77" s="25"/>
      <c r="H77" s="25"/>
      <c r="I77" s="25"/>
      <c r="J77" s="25"/>
      <c r="K77" s="30"/>
      <c r="L77" s="72"/>
      <c r="M77" s="26"/>
      <c r="N77" s="309"/>
    </row>
    <row r="78" spans="1:14" ht="19.350000000000001" customHeight="1">
      <c r="A78" s="28"/>
      <c r="B78" s="27"/>
      <c r="C78" s="29"/>
      <c r="D78" s="301"/>
      <c r="E78" s="25"/>
      <c r="F78" s="26"/>
      <c r="G78" s="25"/>
      <c r="H78" s="25"/>
      <c r="I78" s="25"/>
      <c r="J78" s="25"/>
      <c r="K78" s="30"/>
      <c r="L78" s="72"/>
      <c r="M78" s="26"/>
      <c r="N78" s="309"/>
    </row>
    <row r="79" spans="1:14" ht="19.350000000000001" customHeight="1">
      <c r="A79" s="28"/>
      <c r="B79" s="27"/>
      <c r="C79" s="29"/>
      <c r="D79" s="301"/>
      <c r="E79" s="25"/>
      <c r="F79" s="26"/>
      <c r="G79" s="25"/>
      <c r="H79" s="25"/>
      <c r="I79" s="25"/>
      <c r="J79" s="25"/>
      <c r="K79" s="30"/>
      <c r="L79" s="72"/>
      <c r="M79" s="26"/>
      <c r="N79" s="309"/>
    </row>
    <row r="80" spans="1:14" ht="19.350000000000001" customHeight="1">
      <c r="A80" s="28"/>
      <c r="B80" s="27"/>
      <c r="C80" s="29"/>
      <c r="D80" s="301"/>
      <c r="E80" s="25"/>
      <c r="F80" s="26"/>
      <c r="G80" s="25"/>
      <c r="H80" s="25"/>
      <c r="I80" s="25"/>
      <c r="J80" s="25"/>
      <c r="K80" s="30"/>
      <c r="L80" s="72"/>
      <c r="M80" s="26"/>
      <c r="N80" s="309"/>
    </row>
    <row r="81" spans="1:14" ht="19.350000000000001" customHeight="1">
      <c r="A81" s="28"/>
      <c r="B81" s="27"/>
      <c r="C81" s="29"/>
      <c r="D81" s="301"/>
      <c r="E81" s="25"/>
      <c r="F81" s="26"/>
      <c r="G81" s="25"/>
      <c r="H81" s="25"/>
      <c r="I81" s="25"/>
      <c r="J81" s="25"/>
      <c r="K81" s="30"/>
      <c r="L81" s="72"/>
      <c r="M81" s="26"/>
      <c r="N81" s="309"/>
    </row>
    <row r="82" spans="1:14" ht="19.350000000000001" customHeight="1">
      <c r="A82" s="28"/>
      <c r="B82" s="27"/>
      <c r="C82" s="29"/>
      <c r="D82" s="301"/>
      <c r="E82" s="25"/>
      <c r="F82" s="26"/>
      <c r="G82" s="25"/>
      <c r="H82" s="25"/>
      <c r="I82" s="25"/>
      <c r="J82" s="25"/>
      <c r="K82" s="30"/>
      <c r="L82" s="72"/>
      <c r="M82" s="26"/>
      <c r="N82" s="309"/>
    </row>
    <row r="83" spans="1:14" ht="19.350000000000001" customHeight="1">
      <c r="A83" s="28"/>
      <c r="B83" s="27"/>
      <c r="C83" s="29"/>
      <c r="D83" s="301"/>
      <c r="E83" s="25"/>
      <c r="F83" s="26"/>
      <c r="G83" s="25"/>
      <c r="H83" s="25"/>
      <c r="I83" s="25"/>
      <c r="J83" s="25"/>
      <c r="K83" s="30"/>
      <c r="L83" s="72"/>
      <c r="M83" s="26"/>
      <c r="N83" s="309"/>
    </row>
    <row r="84" spans="1:14" ht="19.350000000000001" customHeight="1">
      <c r="A84" s="28"/>
      <c r="B84" s="27"/>
      <c r="C84" s="29"/>
      <c r="D84" s="301"/>
      <c r="E84" s="25"/>
      <c r="F84" s="26"/>
      <c r="G84" s="25"/>
      <c r="H84" s="25"/>
      <c r="I84" s="25"/>
      <c r="J84" s="25"/>
      <c r="K84" s="30"/>
      <c r="L84" s="72"/>
      <c r="M84" s="26"/>
      <c r="N84" s="309"/>
    </row>
    <row r="85" spans="1:14" ht="19.350000000000001" customHeight="1">
      <c r="A85" s="28"/>
      <c r="B85" s="27"/>
      <c r="C85" s="29"/>
      <c r="D85" s="301"/>
      <c r="E85" s="25"/>
      <c r="F85" s="26"/>
      <c r="G85" s="25"/>
      <c r="H85" s="25"/>
      <c r="I85" s="25"/>
      <c r="J85" s="25"/>
      <c r="K85" s="30"/>
      <c r="L85" s="72"/>
      <c r="M85" s="26"/>
      <c r="N85" s="309"/>
    </row>
    <row r="86" spans="1:14" ht="19.350000000000001" customHeight="1">
      <c r="A86" s="233"/>
      <c r="B86" s="321"/>
      <c r="C86" s="322"/>
      <c r="D86" s="363"/>
      <c r="E86" s="54"/>
      <c r="F86" s="55"/>
      <c r="G86" s="54"/>
      <c r="H86" s="54"/>
      <c r="I86" s="54"/>
      <c r="J86" s="54"/>
      <c r="K86" s="146"/>
      <c r="L86" s="107"/>
      <c r="M86" s="55"/>
      <c r="N86" s="309"/>
    </row>
    <row r="87" spans="1:14" ht="19.350000000000001" customHeight="1">
      <c r="A87" s="364"/>
      <c r="B87" s="365"/>
      <c r="C87" s="366"/>
      <c r="D87" s="367"/>
      <c r="E87" s="263"/>
      <c r="F87" s="248"/>
      <c r="G87" s="263"/>
      <c r="H87" s="263"/>
      <c r="I87" s="263"/>
      <c r="J87" s="263"/>
      <c r="K87" s="291"/>
      <c r="L87" s="264"/>
      <c r="M87" s="248"/>
      <c r="N87" s="309"/>
    </row>
    <row r="88" spans="1:14" ht="19.350000000000001" customHeight="1">
      <c r="A88" s="28"/>
      <c r="B88" s="27"/>
      <c r="C88" s="29"/>
      <c r="D88" s="368"/>
      <c r="E88" s="25"/>
      <c r="F88" s="26"/>
      <c r="G88" s="25"/>
      <c r="H88" s="25"/>
      <c r="I88" s="25"/>
      <c r="J88" s="25"/>
      <c r="K88" s="30"/>
      <c r="L88" s="72"/>
      <c r="M88" s="26"/>
      <c r="N88" s="309"/>
    </row>
    <row r="89" spans="1:14" ht="19.350000000000001" customHeight="1">
      <c r="A89" s="28"/>
      <c r="B89" s="27"/>
      <c r="C89" s="29"/>
      <c r="D89" s="368"/>
      <c r="E89" s="25"/>
      <c r="F89" s="26"/>
      <c r="G89" s="25"/>
      <c r="H89" s="25"/>
      <c r="I89" s="25"/>
      <c r="J89" s="25"/>
      <c r="K89" s="30"/>
      <c r="L89" s="72"/>
      <c r="M89" s="26"/>
      <c r="N89" s="309"/>
    </row>
    <row r="90" spans="1:14" ht="19.350000000000001" customHeight="1">
      <c r="A90" s="28"/>
      <c r="B90" s="27"/>
      <c r="C90" s="39"/>
      <c r="D90" s="230"/>
      <c r="E90" s="25"/>
      <c r="F90" s="26"/>
      <c r="G90" s="25"/>
      <c r="H90" s="25"/>
      <c r="I90" s="25"/>
      <c r="J90" s="25"/>
      <c r="K90" s="30"/>
      <c r="L90" s="72"/>
      <c r="M90" s="26"/>
      <c r="N90" s="309"/>
    </row>
    <row r="91" spans="1:14" ht="19.350000000000001" customHeight="1">
      <c r="A91" s="28"/>
      <c r="B91" s="27"/>
      <c r="C91" s="39"/>
      <c r="D91" s="230"/>
      <c r="E91" s="25"/>
      <c r="F91" s="26"/>
      <c r="G91" s="25"/>
      <c r="H91" s="25"/>
      <c r="I91" s="25"/>
      <c r="J91" s="25"/>
      <c r="K91" s="30"/>
      <c r="L91" s="72"/>
      <c r="M91" s="26"/>
      <c r="N91" s="309"/>
    </row>
    <row r="92" spans="1:14" ht="19.350000000000001" customHeight="1">
      <c r="A92" s="44"/>
      <c r="B92" s="27"/>
      <c r="C92" s="29"/>
      <c r="D92" s="368"/>
      <c r="E92" s="25"/>
      <c r="F92" s="26"/>
      <c r="G92" s="25"/>
      <c r="H92" s="25"/>
      <c r="I92" s="25"/>
      <c r="J92" s="30"/>
      <c r="K92" s="30"/>
      <c r="L92" s="72"/>
      <c r="M92" s="72"/>
    </row>
    <row r="93" spans="1:14" ht="19.350000000000001" customHeight="1">
      <c r="A93" s="44"/>
      <c r="B93" s="27"/>
      <c r="C93" s="29"/>
      <c r="D93" s="368"/>
      <c r="E93" s="25"/>
      <c r="F93" s="26"/>
      <c r="G93" s="25"/>
      <c r="H93" s="25"/>
      <c r="I93" s="25"/>
      <c r="J93" s="30"/>
      <c r="K93" s="30"/>
      <c r="L93" s="72"/>
      <c r="M93" s="72"/>
    </row>
    <row r="94" spans="1:14" s="1" customFormat="1" ht="19.350000000000001" customHeight="1">
      <c r="A94" s="211"/>
      <c r="B94" s="1360"/>
      <c r="C94" s="1361"/>
      <c r="D94" s="1362"/>
      <c r="E94" s="143"/>
      <c r="F94" s="55"/>
      <c r="G94" s="143"/>
      <c r="H94" s="143"/>
      <c r="I94" s="143"/>
      <c r="J94" s="143"/>
      <c r="K94" s="143"/>
      <c r="L94" s="143"/>
      <c r="M94" s="374"/>
    </row>
    <row r="95" spans="1:14" ht="19.350000000000001" customHeight="1">
      <c r="A95" s="371"/>
      <c r="B95" s="365"/>
      <c r="C95" s="367"/>
      <c r="D95" s="262"/>
      <c r="E95" s="263"/>
      <c r="F95" s="248"/>
      <c r="G95" s="291"/>
      <c r="H95" s="291"/>
      <c r="I95" s="291"/>
      <c r="J95" s="263"/>
      <c r="K95" s="264"/>
      <c r="L95" s="248"/>
      <c r="M95" s="248"/>
    </row>
    <row r="96" spans="1:14" ht="19.350000000000001" customHeight="1">
      <c r="A96" s="280"/>
      <c r="B96" s="27"/>
      <c r="C96" s="368"/>
      <c r="D96" s="368"/>
      <c r="E96" s="263"/>
      <c r="F96" s="248"/>
      <c r="G96" s="30"/>
      <c r="H96" s="30"/>
      <c r="I96" s="30"/>
      <c r="J96" s="25"/>
      <c r="K96" s="72"/>
      <c r="L96" s="26"/>
      <c r="M96" s="26"/>
    </row>
    <row r="97" spans="1:13" ht="19.350000000000001" customHeight="1">
      <c r="A97" s="372"/>
      <c r="B97" s="27"/>
      <c r="C97" s="368"/>
      <c r="D97" s="368"/>
      <c r="E97" s="263"/>
      <c r="F97" s="248"/>
      <c r="G97" s="30"/>
      <c r="H97" s="30"/>
      <c r="I97" s="30"/>
      <c r="J97" s="25"/>
      <c r="K97" s="72"/>
      <c r="L97" s="26"/>
      <c r="M97" s="26"/>
    </row>
    <row r="98" spans="1:13" ht="19.350000000000001" customHeight="1">
      <c r="A98" s="281"/>
      <c r="B98" s="276"/>
      <c r="C98" s="277"/>
      <c r="D98" s="368"/>
      <c r="E98" s="263"/>
      <c r="F98" s="248"/>
      <c r="G98" s="30"/>
      <c r="H98" s="30"/>
      <c r="I98" s="30"/>
      <c r="J98" s="25"/>
      <c r="K98" s="72"/>
      <c r="L98" s="26"/>
      <c r="M98" s="26"/>
    </row>
    <row r="99" spans="1:13" ht="19.350000000000001" customHeight="1">
      <c r="A99" s="280"/>
      <c r="B99" s="373"/>
      <c r="C99" s="368"/>
      <c r="D99" s="368"/>
      <c r="E99" s="263"/>
      <c r="F99" s="248"/>
      <c r="G99" s="72"/>
      <c r="H99" s="72"/>
      <c r="I99" s="72"/>
      <c r="J99" s="25"/>
      <c r="K99" s="72"/>
      <c r="L99" s="26"/>
      <c r="M99" s="26"/>
    </row>
    <row r="100" spans="1:13" ht="19.350000000000001" customHeight="1">
      <c r="A100" s="372"/>
      <c r="B100" s="266"/>
      <c r="C100" s="368"/>
      <c r="D100" s="267"/>
      <c r="E100" s="263"/>
      <c r="F100" s="248"/>
      <c r="G100" s="72"/>
      <c r="H100" s="72"/>
      <c r="I100" s="72"/>
      <c r="J100" s="25"/>
      <c r="K100" s="72"/>
      <c r="L100" s="26"/>
      <c r="M100" s="26"/>
    </row>
    <row r="101" spans="1:13" ht="19.350000000000001" customHeight="1">
      <c r="A101" s="281"/>
      <c r="B101" s="266"/>
      <c r="C101" s="368"/>
      <c r="D101" s="267"/>
      <c r="E101" s="263"/>
      <c r="F101" s="248"/>
      <c r="G101" s="72"/>
      <c r="H101" s="72"/>
      <c r="I101" s="72"/>
      <c r="J101" s="25"/>
      <c r="K101" s="72"/>
      <c r="L101" s="26"/>
      <c r="M101" s="26"/>
    </row>
    <row r="102" spans="1:13" ht="19.350000000000001" customHeight="1">
      <c r="A102" s="280"/>
      <c r="B102" s="266"/>
      <c r="C102" s="368"/>
      <c r="D102" s="267"/>
      <c r="E102" s="263"/>
      <c r="F102" s="248"/>
      <c r="G102" s="72"/>
      <c r="H102" s="72"/>
      <c r="I102" s="72"/>
      <c r="J102" s="25"/>
      <c r="K102" s="72"/>
      <c r="L102" s="26"/>
      <c r="M102" s="26"/>
    </row>
    <row r="103" spans="1:13" ht="19.350000000000001" customHeight="1">
      <c r="A103" s="372"/>
      <c r="B103" s="266"/>
      <c r="C103" s="368"/>
      <c r="D103" s="267"/>
      <c r="E103" s="263"/>
      <c r="F103" s="248"/>
      <c r="G103" s="72"/>
      <c r="H103" s="72"/>
      <c r="I103" s="72"/>
      <c r="J103" s="25"/>
      <c r="K103" s="72"/>
      <c r="L103" s="26"/>
      <c r="M103" s="26"/>
    </row>
    <row r="104" spans="1:13" ht="19.350000000000001" customHeight="1">
      <c r="A104" s="281"/>
      <c r="B104" s="283"/>
      <c r="C104" s="47"/>
      <c r="D104" s="24"/>
      <c r="E104" s="263"/>
      <c r="F104" s="248"/>
      <c r="G104" s="72"/>
      <c r="H104" s="72"/>
      <c r="I104" s="72"/>
      <c r="J104" s="25"/>
      <c r="K104" s="72"/>
      <c r="L104" s="26"/>
      <c r="M104" s="26"/>
    </row>
    <row r="105" spans="1:13" ht="19.350000000000001" customHeight="1">
      <c r="A105" s="280"/>
      <c r="B105" s="283"/>
      <c r="C105" s="47"/>
      <c r="D105" s="24"/>
      <c r="E105" s="263"/>
      <c r="F105" s="248"/>
      <c r="G105" s="72"/>
      <c r="H105" s="72"/>
      <c r="I105" s="72"/>
      <c r="J105" s="25"/>
      <c r="K105" s="72"/>
      <c r="L105" s="26"/>
      <c r="M105" s="26"/>
    </row>
    <row r="106" spans="1:13" ht="19.350000000000001" customHeight="1">
      <c r="A106" s="115"/>
      <c r="B106" s="42"/>
      <c r="C106" s="47"/>
      <c r="D106" s="24"/>
      <c r="E106" s="72"/>
      <c r="F106" s="26"/>
      <c r="G106" s="72"/>
      <c r="H106" s="72"/>
      <c r="I106" s="72"/>
      <c r="J106" s="72"/>
      <c r="K106" s="72"/>
      <c r="L106" s="26"/>
      <c r="M106" s="26"/>
    </row>
    <row r="107" spans="1:13" ht="19.350000000000001" customHeight="1">
      <c r="A107" s="115"/>
      <c r="B107" s="283"/>
      <c r="C107" s="285"/>
      <c r="D107" s="40"/>
      <c r="E107" s="72"/>
      <c r="F107" s="26"/>
      <c r="G107" s="72"/>
      <c r="H107" s="72"/>
      <c r="I107" s="72"/>
      <c r="J107" s="72"/>
      <c r="K107" s="72"/>
      <c r="L107" s="26"/>
      <c r="M107" s="26"/>
    </row>
    <row r="108" spans="1:13" ht="19.350000000000001" customHeight="1">
      <c r="A108" s="115"/>
      <c r="B108" s="285"/>
      <c r="C108" s="43"/>
      <c r="D108" s="24"/>
      <c r="E108" s="72"/>
      <c r="F108" s="26"/>
      <c r="G108" s="72"/>
      <c r="H108" s="72"/>
      <c r="I108" s="72"/>
      <c r="J108" s="72"/>
      <c r="K108" s="72"/>
      <c r="L108" s="26"/>
      <c r="M108" s="26"/>
    </row>
    <row r="109" spans="1:13" ht="19.350000000000001" customHeight="1">
      <c r="A109" s="21"/>
      <c r="B109" s="285"/>
      <c r="C109" s="43"/>
      <c r="D109" s="286"/>
      <c r="E109" s="72"/>
      <c r="F109" s="26"/>
      <c r="G109" s="72"/>
      <c r="H109" s="72"/>
      <c r="I109" s="72"/>
      <c r="J109" s="72"/>
      <c r="K109" s="72"/>
      <c r="L109" s="26"/>
      <c r="M109" s="26"/>
    </row>
    <row r="110" spans="1:13" ht="19.350000000000001" customHeight="1">
      <c r="A110" s="21"/>
      <c r="B110" s="287"/>
      <c r="C110" s="48"/>
      <c r="D110" s="49"/>
      <c r="E110" s="25"/>
      <c r="F110" s="26"/>
      <c r="G110" s="25"/>
      <c r="H110" s="25"/>
      <c r="I110" s="25"/>
      <c r="J110" s="25"/>
      <c r="K110" s="30"/>
      <c r="L110" s="25"/>
      <c r="M110" s="26"/>
    </row>
    <row r="111" spans="1:13" ht="19.350000000000001" customHeight="1">
      <c r="A111" s="21"/>
      <c r="B111" s="287"/>
      <c r="C111" s="48"/>
      <c r="D111" s="49"/>
      <c r="E111" s="25"/>
      <c r="F111" s="26"/>
      <c r="G111" s="25"/>
      <c r="H111" s="25"/>
      <c r="I111" s="25"/>
      <c r="J111" s="25"/>
      <c r="K111" s="30"/>
      <c r="L111" s="25"/>
      <c r="M111" s="26"/>
    </row>
    <row r="112" spans="1:13" ht="19.350000000000001" customHeight="1">
      <c r="A112" s="21"/>
      <c r="B112" s="287"/>
      <c r="C112" s="48"/>
      <c r="D112" s="49"/>
      <c r="E112" s="25"/>
      <c r="F112" s="26"/>
      <c r="G112" s="25"/>
      <c r="H112" s="25"/>
      <c r="I112" s="25"/>
      <c r="J112" s="25"/>
      <c r="K112" s="30"/>
      <c r="L112" s="25"/>
      <c r="M112" s="26"/>
    </row>
    <row r="113" spans="1:13" ht="19.350000000000001" customHeight="1">
      <c r="A113" s="50"/>
      <c r="B113" s="270"/>
      <c r="C113" s="271"/>
      <c r="D113" s="236"/>
      <c r="E113" s="54"/>
      <c r="F113" s="55"/>
      <c r="G113" s="54"/>
      <c r="H113" s="54"/>
      <c r="I113" s="54"/>
      <c r="J113" s="54"/>
      <c r="K113" s="146"/>
      <c r="L113" s="54"/>
      <c r="M113" s="26"/>
    </row>
    <row r="114" spans="1:13" ht="19.350000000000001" customHeight="1">
      <c r="A114" s="272"/>
      <c r="B114" s="273"/>
      <c r="C114" s="274"/>
      <c r="D114" s="262"/>
      <c r="E114" s="263"/>
      <c r="F114" s="248"/>
      <c r="G114" s="263"/>
      <c r="H114" s="263"/>
      <c r="I114" s="263"/>
      <c r="J114" s="291"/>
      <c r="K114" s="292"/>
      <c r="L114" s="248"/>
      <c r="M114" s="19"/>
    </row>
    <row r="115" spans="1:13" ht="19.350000000000001" customHeight="1">
      <c r="A115" s="275"/>
      <c r="B115" s="298"/>
      <c r="C115" s="277"/>
      <c r="D115" s="278"/>
      <c r="E115" s="263"/>
      <c r="F115" s="248"/>
      <c r="G115" s="72"/>
      <c r="H115" s="72"/>
      <c r="I115" s="72"/>
      <c r="J115" s="25"/>
      <c r="K115" s="72"/>
      <c r="L115" s="72"/>
      <c r="M115" s="248"/>
    </row>
    <row r="116" spans="1:13" ht="19.350000000000001" customHeight="1">
      <c r="A116" s="372"/>
      <c r="B116" s="298"/>
      <c r="C116" s="368"/>
      <c r="D116" s="368"/>
      <c r="E116" s="263"/>
      <c r="F116" s="248"/>
      <c r="G116" s="72"/>
      <c r="H116" s="72"/>
      <c r="I116" s="72"/>
      <c r="J116" s="25"/>
      <c r="K116" s="72"/>
      <c r="L116" s="72"/>
      <c r="M116" s="72"/>
    </row>
    <row r="117" spans="1:13" ht="19.350000000000001" customHeight="1">
      <c r="A117" s="372"/>
      <c r="B117" s="298"/>
      <c r="C117" s="368"/>
      <c r="D117" s="368"/>
      <c r="E117" s="263"/>
      <c r="F117" s="248"/>
      <c r="G117" s="72"/>
      <c r="H117" s="72"/>
      <c r="I117" s="72"/>
      <c r="J117" s="25"/>
      <c r="K117" s="72"/>
      <c r="L117" s="72"/>
      <c r="M117" s="72"/>
    </row>
    <row r="118" spans="1:13" ht="19.350000000000001" customHeight="1">
      <c r="A118" s="372"/>
      <c r="B118" s="298"/>
      <c r="C118" s="368"/>
      <c r="D118" s="368"/>
      <c r="E118" s="263"/>
      <c r="F118" s="248"/>
      <c r="G118" s="72"/>
      <c r="H118" s="72"/>
      <c r="I118" s="72"/>
      <c r="J118" s="25"/>
      <c r="K118" s="72"/>
      <c r="L118" s="72"/>
      <c r="M118" s="72"/>
    </row>
    <row r="119" spans="1:13" ht="19.350000000000001" customHeight="1">
      <c r="A119" s="275"/>
      <c r="B119" s="298"/>
      <c r="C119" s="277"/>
      <c r="D119" s="368"/>
      <c r="E119" s="263"/>
      <c r="F119" s="248"/>
      <c r="G119" s="72"/>
      <c r="H119" s="72"/>
      <c r="I119" s="72"/>
      <c r="J119" s="25"/>
      <c r="K119" s="72"/>
      <c r="L119" s="72"/>
      <c r="M119" s="72"/>
    </row>
    <row r="120" spans="1:13" ht="19.350000000000001" customHeight="1">
      <c r="A120" s="372"/>
      <c r="B120" s="299"/>
      <c r="C120" s="368"/>
      <c r="D120" s="368"/>
      <c r="E120" s="263"/>
      <c r="F120" s="248"/>
      <c r="G120" s="72"/>
      <c r="H120" s="72"/>
      <c r="I120" s="72"/>
      <c r="J120" s="25"/>
      <c r="K120" s="72"/>
      <c r="L120" s="72"/>
      <c r="M120" s="72"/>
    </row>
    <row r="121" spans="1:13" ht="19.350000000000001" customHeight="1">
      <c r="A121" s="372"/>
      <c r="B121" s="27"/>
      <c r="C121" s="368"/>
      <c r="D121" s="368"/>
      <c r="E121" s="263"/>
      <c r="F121" s="248"/>
      <c r="G121" s="30"/>
      <c r="H121" s="30"/>
      <c r="I121" s="30"/>
      <c r="J121" s="25"/>
      <c r="K121" s="72"/>
      <c r="L121" s="72"/>
      <c r="M121" s="72"/>
    </row>
    <row r="122" spans="1:13" ht="19.350000000000001" customHeight="1">
      <c r="A122" s="372"/>
      <c r="B122" s="276"/>
      <c r="C122" s="277"/>
      <c r="D122" s="368"/>
      <c r="E122" s="263"/>
      <c r="F122" s="248"/>
      <c r="G122" s="72"/>
      <c r="H122" s="72"/>
      <c r="I122" s="72"/>
      <c r="J122" s="25"/>
      <c r="K122" s="72"/>
      <c r="L122" s="72"/>
      <c r="M122" s="72"/>
    </row>
    <row r="123" spans="1:13" ht="19.350000000000001" customHeight="1">
      <c r="A123" s="372"/>
      <c r="B123" s="27"/>
      <c r="C123" s="368"/>
      <c r="D123" s="267"/>
      <c r="E123" s="263"/>
      <c r="F123" s="248"/>
      <c r="G123" s="30"/>
      <c r="H123" s="30"/>
      <c r="I123" s="30"/>
      <c r="J123" s="25"/>
      <c r="K123" s="72"/>
      <c r="L123" s="26"/>
      <c r="M123" s="26"/>
    </row>
    <row r="124" spans="1:13" ht="19.350000000000001" customHeight="1">
      <c r="A124" s="280"/>
      <c r="B124" s="27"/>
      <c r="C124" s="368"/>
      <c r="D124" s="368"/>
      <c r="E124" s="263"/>
      <c r="F124" s="248"/>
      <c r="G124" s="30"/>
      <c r="H124" s="30"/>
      <c r="I124" s="30"/>
      <c r="J124" s="25"/>
      <c r="K124" s="72"/>
      <c r="L124" s="26"/>
      <c r="M124" s="26"/>
    </row>
    <row r="125" spans="1:13" ht="19.350000000000001" customHeight="1">
      <c r="A125" s="372"/>
      <c r="B125" s="27"/>
      <c r="C125" s="368"/>
      <c r="D125" s="368"/>
      <c r="E125" s="263"/>
      <c r="F125" s="248"/>
      <c r="G125" s="30"/>
      <c r="H125" s="30"/>
      <c r="I125" s="30"/>
      <c r="J125" s="25"/>
      <c r="K125" s="72"/>
      <c r="L125" s="26"/>
      <c r="M125" s="26"/>
    </row>
    <row r="126" spans="1:13" ht="19.350000000000001" customHeight="1">
      <c r="A126" s="281"/>
      <c r="B126" s="276"/>
      <c r="C126" s="277"/>
      <c r="D126" s="368"/>
      <c r="E126" s="263"/>
      <c r="F126" s="248"/>
      <c r="G126" s="30"/>
      <c r="H126" s="30"/>
      <c r="I126" s="30"/>
      <c r="J126" s="25"/>
      <c r="K126" s="72"/>
      <c r="L126" s="26"/>
      <c r="M126" s="26"/>
    </row>
    <row r="127" spans="1:13" ht="19.350000000000001" customHeight="1">
      <c r="A127" s="280"/>
      <c r="B127" s="373"/>
      <c r="C127" s="368"/>
      <c r="D127" s="368"/>
      <c r="E127" s="263"/>
      <c r="F127" s="248"/>
      <c r="G127" s="72"/>
      <c r="H127" s="72"/>
      <c r="I127" s="72"/>
      <c r="J127" s="25"/>
      <c r="K127" s="72"/>
      <c r="L127" s="26"/>
      <c r="M127" s="26"/>
    </row>
    <row r="128" spans="1:13" ht="19.350000000000001" customHeight="1">
      <c r="A128" s="372"/>
      <c r="B128" s="266"/>
      <c r="C128" s="368"/>
      <c r="D128" s="267"/>
      <c r="E128" s="263"/>
      <c r="F128" s="248"/>
      <c r="G128" s="72"/>
      <c r="H128" s="72"/>
      <c r="I128" s="72"/>
      <c r="J128" s="25"/>
      <c r="K128" s="72"/>
      <c r="L128" s="26"/>
      <c r="M128" s="26"/>
    </row>
    <row r="129" spans="1:13" ht="19.350000000000001" customHeight="1">
      <c r="A129" s="281"/>
      <c r="B129" s="266"/>
      <c r="C129" s="368"/>
      <c r="D129" s="267"/>
      <c r="E129" s="263"/>
      <c r="F129" s="248"/>
      <c r="G129" s="72"/>
      <c r="H129" s="72"/>
      <c r="I129" s="72"/>
      <c r="J129" s="25"/>
      <c r="K129" s="72"/>
      <c r="L129" s="26"/>
      <c r="M129" s="26"/>
    </row>
    <row r="130" spans="1:13" ht="19.350000000000001" customHeight="1">
      <c r="A130" s="280"/>
      <c r="B130" s="266"/>
      <c r="C130" s="368"/>
      <c r="D130" s="267"/>
      <c r="E130" s="263"/>
      <c r="F130" s="248"/>
      <c r="G130" s="72"/>
      <c r="H130" s="72"/>
      <c r="I130" s="72"/>
      <c r="J130" s="25"/>
      <c r="K130" s="72"/>
      <c r="L130" s="26"/>
      <c r="M130" s="26"/>
    </row>
    <row r="131" spans="1:13" ht="19.350000000000001" customHeight="1">
      <c r="A131" s="372"/>
      <c r="B131" s="266"/>
      <c r="C131" s="368"/>
      <c r="D131" s="267"/>
      <c r="E131" s="263"/>
      <c r="F131" s="248"/>
      <c r="G131" s="72"/>
      <c r="H131" s="72"/>
      <c r="I131" s="72"/>
      <c r="J131" s="25"/>
      <c r="K131" s="72"/>
      <c r="L131" s="26"/>
      <c r="M131" s="26"/>
    </row>
    <row r="132" spans="1:13" ht="19.350000000000001" customHeight="1">
      <c r="A132" s="281"/>
      <c r="B132" s="283"/>
      <c r="C132" s="47"/>
      <c r="D132" s="24"/>
      <c r="E132" s="263"/>
      <c r="F132" s="248"/>
      <c r="G132" s="72"/>
      <c r="H132" s="72"/>
      <c r="I132" s="72"/>
      <c r="J132" s="25"/>
      <c r="K132" s="72"/>
      <c r="L132" s="26"/>
      <c r="M132" s="26"/>
    </row>
    <row r="133" spans="1:13" ht="19.350000000000001" customHeight="1">
      <c r="A133" s="280"/>
      <c r="B133" s="283"/>
      <c r="C133" s="47"/>
      <c r="D133" s="24"/>
      <c r="E133" s="263"/>
      <c r="F133" s="248"/>
      <c r="G133" s="72"/>
      <c r="H133" s="72"/>
      <c r="I133" s="72"/>
      <c r="J133" s="25"/>
      <c r="K133" s="72"/>
      <c r="L133" s="26"/>
      <c r="M133" s="26"/>
    </row>
    <row r="134" spans="1:13" ht="19.350000000000001" customHeight="1">
      <c r="A134" s="115"/>
      <c r="B134" s="42"/>
      <c r="C134" s="47"/>
      <c r="D134" s="24"/>
      <c r="E134" s="72"/>
      <c r="F134" s="26"/>
      <c r="G134" s="72"/>
      <c r="H134" s="72"/>
      <c r="I134" s="72"/>
      <c r="J134" s="72"/>
      <c r="K134" s="72"/>
      <c r="L134" s="26"/>
      <c r="M134" s="26"/>
    </row>
    <row r="135" spans="1:13" ht="19.350000000000001" customHeight="1">
      <c r="A135" s="115"/>
      <c r="B135" s="283"/>
      <c r="C135" s="285"/>
      <c r="D135" s="40"/>
      <c r="E135" s="72"/>
      <c r="F135" s="26"/>
      <c r="G135" s="72"/>
      <c r="H135" s="72"/>
      <c r="I135" s="72"/>
      <c r="J135" s="72"/>
      <c r="K135" s="72"/>
      <c r="L135" s="26"/>
      <c r="M135" s="26"/>
    </row>
    <row r="136" spans="1:13" ht="19.350000000000001" customHeight="1">
      <c r="A136" s="115"/>
      <c r="B136" s="285"/>
      <c r="C136" s="43"/>
      <c r="D136" s="24"/>
      <c r="E136" s="72"/>
      <c r="F136" s="26"/>
      <c r="G136" s="72"/>
      <c r="H136" s="72"/>
      <c r="I136" s="72"/>
      <c r="J136" s="72"/>
      <c r="K136" s="72"/>
      <c r="L136" s="26"/>
      <c r="M136" s="26"/>
    </row>
    <row r="137" spans="1:13" ht="19.350000000000001" customHeight="1">
      <c r="A137" s="21"/>
      <c r="B137" s="285"/>
      <c r="C137" s="43"/>
      <c r="D137" s="286"/>
      <c r="E137" s="72"/>
      <c r="F137" s="26"/>
      <c r="G137" s="72"/>
      <c r="H137" s="72"/>
      <c r="I137" s="72"/>
      <c r="J137" s="72"/>
      <c r="K137" s="72"/>
      <c r="L137" s="26"/>
      <c r="M137" s="26"/>
    </row>
    <row r="138" spans="1:13" ht="19.350000000000001" customHeight="1">
      <c r="A138" s="21"/>
      <c r="B138" s="287"/>
      <c r="C138" s="48"/>
      <c r="D138" s="49"/>
      <c r="E138" s="25"/>
      <c r="F138" s="26"/>
      <c r="G138" s="25"/>
      <c r="H138" s="25"/>
      <c r="I138" s="25"/>
      <c r="J138" s="25"/>
      <c r="K138" s="30"/>
      <c r="L138" s="25"/>
      <c r="M138" s="26"/>
    </row>
    <row r="139" spans="1:13" ht="19.350000000000001" customHeight="1">
      <c r="A139" s="21"/>
      <c r="B139" s="287"/>
      <c r="C139" s="48"/>
      <c r="D139" s="49"/>
      <c r="E139" s="25"/>
      <c r="F139" s="26"/>
      <c r="G139" s="25"/>
      <c r="H139" s="25"/>
      <c r="I139" s="25"/>
      <c r="J139" s="25"/>
      <c r="K139" s="30"/>
      <c r="L139" s="25"/>
      <c r="M139" s="26"/>
    </row>
    <row r="140" spans="1:13" ht="19.350000000000001" customHeight="1">
      <c r="A140" s="21"/>
      <c r="B140" s="287"/>
      <c r="C140" s="48"/>
      <c r="D140" s="49"/>
      <c r="E140" s="25"/>
      <c r="F140" s="26"/>
      <c r="G140" s="25"/>
      <c r="H140" s="25"/>
      <c r="I140" s="25"/>
      <c r="J140" s="25"/>
      <c r="K140" s="30"/>
      <c r="L140" s="25"/>
      <c r="M140" s="26"/>
    </row>
    <row r="141" spans="1:13" ht="19.350000000000001" customHeight="1">
      <c r="A141" s="50"/>
      <c r="B141" s="270"/>
      <c r="C141" s="271"/>
      <c r="D141" s="236"/>
      <c r="E141" s="54"/>
      <c r="F141" s="55"/>
      <c r="G141" s="54"/>
      <c r="H141" s="54"/>
      <c r="I141" s="54"/>
      <c r="J141" s="54"/>
      <c r="K141" s="146"/>
      <c r="L141" s="54"/>
      <c r="M141" s="26"/>
    </row>
  </sheetData>
  <mergeCells count="41">
    <mergeCell ref="B94:D94"/>
    <mergeCell ref="A5:A6"/>
    <mergeCell ref="E5:E6"/>
    <mergeCell ref="F5:F6"/>
    <mergeCell ref="M5:M6"/>
    <mergeCell ref="B5:D6"/>
    <mergeCell ref="B62:D62"/>
    <mergeCell ref="C65:D65"/>
    <mergeCell ref="C66:D66"/>
    <mergeCell ref="C67:D67"/>
    <mergeCell ref="B68:D68"/>
    <mergeCell ref="C55:D55"/>
    <mergeCell ref="C56:D56"/>
    <mergeCell ref="C57:D57"/>
    <mergeCell ref="C60:D60"/>
    <mergeCell ref="C61:D61"/>
    <mergeCell ref="C49:D49"/>
    <mergeCell ref="C50:D50"/>
    <mergeCell ref="C51:D51"/>
    <mergeCell ref="C52:D52"/>
    <mergeCell ref="C54:D54"/>
    <mergeCell ref="C41:D41"/>
    <mergeCell ref="C42:D42"/>
    <mergeCell ref="C44:D44"/>
    <mergeCell ref="C45:D45"/>
    <mergeCell ref="C47:D47"/>
    <mergeCell ref="C33:D33"/>
    <mergeCell ref="C35:D35"/>
    <mergeCell ref="C36:D36"/>
    <mergeCell ref="C38:D38"/>
    <mergeCell ref="C39:D39"/>
    <mergeCell ref="G5:I5"/>
    <mergeCell ref="J5:K5"/>
    <mergeCell ref="B14:D14"/>
    <mergeCell ref="B29:D29"/>
    <mergeCell ref="C32:D32"/>
    <mergeCell ref="A1:C1"/>
    <mergeCell ref="D1:I1"/>
    <mergeCell ref="K1:L1"/>
    <mergeCell ref="A2:C2"/>
    <mergeCell ref="A3:C3"/>
  </mergeCells>
  <printOptions horizontalCentered="1"/>
  <pageMargins left="0.39370078740157499" right="0.39370078740157499" top="1.1811023622047201" bottom="0" header="0.78740157480314998" footer="0"/>
  <pageSetup paperSize="9" scale="77" firstPageNumber="15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New,Regular"&amp;14แบบปร.4(ข) แผ่นที่ &amp;P/44</oddHeader>
  </headerFooter>
  <rowBreaks count="2" manualBreakCount="2">
    <brk id="30" max="11" man="1"/>
    <brk id="58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R371"/>
  <sheetViews>
    <sheetView view="pageBreakPreview" topLeftCell="A352" zoomScaleNormal="70" zoomScalePageLayoutView="55" workbookViewId="0">
      <selection activeCell="D27" sqref="D27"/>
    </sheetView>
  </sheetViews>
  <sheetFormatPr defaultColWidth="10.453125" defaultRowHeight="18.95" customHeight="1"/>
  <cols>
    <col min="1" max="1" width="6.7265625" style="326" customWidth="1"/>
    <col min="2" max="2" width="6.453125" style="205" customWidth="1"/>
    <col min="3" max="3" width="24.453125" style="205" customWidth="1"/>
    <col min="4" max="4" width="37.1796875" style="203" customWidth="1"/>
    <col min="5" max="5" width="11.453125" style="327" customWidth="1"/>
    <col min="6" max="6" width="9.54296875" style="157" customWidth="1"/>
    <col min="7" max="7" width="15.7265625" style="327" hidden="1" customWidth="1"/>
    <col min="8" max="9" width="15.7265625" style="327" customWidth="1"/>
    <col min="10" max="10" width="15.7265625" style="327" hidden="1" customWidth="1"/>
    <col min="11" max="13" width="15.7265625" style="327" customWidth="1"/>
    <col min="14" max="14" width="16.26953125" style="157" customWidth="1"/>
    <col min="15" max="15" width="13.453125" style="203" customWidth="1"/>
    <col min="16" max="18" width="16.453125" style="203" customWidth="1"/>
    <col min="19" max="16384" width="10.453125" style="203"/>
  </cols>
  <sheetData>
    <row r="1" spans="1:17" s="1" customFormat="1" ht="18.95" customHeight="1">
      <c r="A1" s="1229" t="s">
        <v>181</v>
      </c>
      <c r="B1" s="1229"/>
      <c r="C1" s="1229"/>
      <c r="D1" s="1367" t="str">
        <f>+'แบบ ปร.5(ข)'!C4</f>
        <v>โครงการจัดตั้งศูนย์การเรียนรู้แห่งชาติ OKMD : OKMD National Knowledge Center (Ratchadamnoen Center 1 และ 2)</v>
      </c>
      <c r="E1" s="1367"/>
      <c r="F1" s="1367"/>
      <c r="G1" s="1367"/>
      <c r="H1" s="1367"/>
      <c r="I1" s="1367"/>
      <c r="J1" s="340" t="s">
        <v>182</v>
      </c>
      <c r="K1" s="340" t="s">
        <v>182</v>
      </c>
      <c r="L1" s="1394" t="s">
        <v>4053</v>
      </c>
      <c r="M1" s="1394"/>
      <c r="N1" s="304"/>
    </row>
    <row r="2" spans="1:17" s="1" customFormat="1" ht="18.95" customHeight="1">
      <c r="A2" s="1231" t="s">
        <v>125</v>
      </c>
      <c r="B2" s="1231"/>
      <c r="C2" s="1231"/>
      <c r="D2" s="7" t="str">
        <f>+'แบบ ปร.5(ข)'!C5</f>
        <v>แขวงตลาดยอด เขตพระนคร กรุงเทพมหานคร</v>
      </c>
      <c r="E2" s="127"/>
      <c r="F2" s="8"/>
      <c r="G2" s="8"/>
      <c r="H2" s="8"/>
      <c r="I2" s="8"/>
      <c r="J2" s="96" t="s">
        <v>184</v>
      </c>
      <c r="K2" s="96" t="s">
        <v>184</v>
      </c>
      <c r="L2" s="97" t="str">
        <f>+'แบบ ปร.5(ข)'!C10</f>
        <v xml:space="preserve">  16 กรกฎาคม 2568</v>
      </c>
      <c r="M2" s="127"/>
      <c r="N2" s="8"/>
    </row>
    <row r="3" spans="1:17" s="1" customFormat="1" ht="18.95" customHeight="1">
      <c r="A3" s="1231" t="s">
        <v>185</v>
      </c>
      <c r="B3" s="1231"/>
      <c r="C3" s="1231"/>
      <c r="D3" s="9" t="str">
        <f>+'แบบ ปร.5(ข)'!C9</f>
        <v>คณะกรรมการกำหนดราคากลาง</v>
      </c>
      <c r="E3" s="127"/>
      <c r="F3" s="8"/>
      <c r="G3" s="8"/>
      <c r="H3" s="8"/>
      <c r="I3" s="96"/>
      <c r="J3" s="96"/>
      <c r="K3" s="96"/>
      <c r="L3" s="97"/>
      <c r="M3" s="127"/>
      <c r="N3" s="8"/>
    </row>
    <row r="4" spans="1:17" s="1" customFormat="1" ht="18.95" customHeight="1">
      <c r="A4" s="328"/>
      <c r="B4" s="2"/>
      <c r="C4" s="2"/>
      <c r="E4" s="4"/>
      <c r="F4" s="3"/>
      <c r="G4" s="4"/>
      <c r="H4" s="4"/>
      <c r="I4" s="4"/>
      <c r="J4" s="4"/>
      <c r="K4" s="4"/>
      <c r="L4" s="4"/>
      <c r="M4" s="4"/>
      <c r="N4" s="3"/>
    </row>
    <row r="5" spans="1:17" ht="18.95" customHeight="1">
      <c r="A5" s="1389" t="s">
        <v>186</v>
      </c>
      <c r="B5" s="1235" t="s">
        <v>138</v>
      </c>
      <c r="C5" s="1287"/>
      <c r="D5" s="1288"/>
      <c r="E5" s="1358" t="s">
        <v>187</v>
      </c>
      <c r="F5" s="1237" t="s">
        <v>188</v>
      </c>
      <c r="G5" s="1395" t="s">
        <v>189</v>
      </c>
      <c r="H5" s="1395"/>
      <c r="I5" s="1395"/>
      <c r="J5" s="1395" t="s">
        <v>190</v>
      </c>
      <c r="K5" s="1395"/>
      <c r="L5" s="1395"/>
      <c r="M5" s="99" t="s">
        <v>191</v>
      </c>
      <c r="N5" s="1237" t="s">
        <v>140</v>
      </c>
    </row>
    <row r="6" spans="1:17" ht="18.95" customHeight="1">
      <c r="A6" s="1390"/>
      <c r="B6" s="1236"/>
      <c r="C6" s="1289"/>
      <c r="D6" s="1290"/>
      <c r="E6" s="1359"/>
      <c r="F6" s="1238"/>
      <c r="G6" s="13" t="s">
        <v>192</v>
      </c>
      <c r="H6" s="13" t="s">
        <v>192</v>
      </c>
      <c r="I6" s="13" t="s">
        <v>193</v>
      </c>
      <c r="J6" s="13" t="s">
        <v>192</v>
      </c>
      <c r="K6" s="13" t="s">
        <v>192</v>
      </c>
      <c r="L6" s="13" t="s">
        <v>193</v>
      </c>
      <c r="M6" s="13" t="s">
        <v>194</v>
      </c>
      <c r="N6" s="1238"/>
    </row>
    <row r="7" spans="1:17" ht="18.95" customHeight="1">
      <c r="A7" s="14"/>
      <c r="B7" s="329" t="s">
        <v>4054</v>
      </c>
      <c r="C7" s="330"/>
      <c r="D7" s="331"/>
      <c r="E7" s="18"/>
      <c r="F7" s="19"/>
      <c r="G7" s="18"/>
      <c r="H7" s="18"/>
      <c r="I7" s="18"/>
      <c r="J7" s="20"/>
      <c r="K7" s="20"/>
      <c r="L7" s="218"/>
      <c r="M7" s="20"/>
      <c r="N7" s="19"/>
    </row>
    <row r="8" spans="1:17" ht="18.95" customHeight="1">
      <c r="A8" s="21"/>
      <c r="B8" s="332" t="s">
        <v>162</v>
      </c>
      <c r="C8" s="333"/>
      <c r="D8" s="334"/>
      <c r="E8" s="25"/>
      <c r="F8" s="26"/>
      <c r="G8" s="25"/>
      <c r="H8" s="25"/>
      <c r="I8" s="25"/>
      <c r="J8" s="30"/>
      <c r="K8" s="30"/>
      <c r="L8" s="30"/>
      <c r="M8" s="25"/>
      <c r="N8" s="26"/>
    </row>
    <row r="9" spans="1:17" ht="18.95" customHeight="1">
      <c r="A9" s="28"/>
      <c r="B9" s="335"/>
      <c r="C9" s="333"/>
      <c r="D9" s="336"/>
      <c r="E9" s="25"/>
      <c r="F9" s="26"/>
      <c r="G9" s="25"/>
      <c r="H9" s="25"/>
      <c r="I9" s="25"/>
      <c r="J9" s="30"/>
      <c r="K9" s="30"/>
      <c r="L9" s="30"/>
      <c r="M9" s="25"/>
      <c r="N9" s="26"/>
    </row>
    <row r="10" spans="1:17" s="1" customFormat="1" ht="18.95" customHeight="1">
      <c r="A10" s="28">
        <f>A31</f>
        <v>1</v>
      </c>
      <c r="B10" s="27" t="str">
        <f>B31</f>
        <v>จอ Digital Signage</v>
      </c>
      <c r="C10" s="29"/>
      <c r="D10" s="337"/>
      <c r="E10" s="25">
        <v>1</v>
      </c>
      <c r="F10" s="30" t="s">
        <v>349</v>
      </c>
      <c r="G10" s="25">
        <f>I58</f>
        <v>2300317.8769423254</v>
      </c>
      <c r="H10" s="25"/>
      <c r="I10" s="25">
        <f t="shared" ref="I10:I18" si="0">SUM(G10*E10)</f>
        <v>2300317.8769423254</v>
      </c>
      <c r="J10" s="25">
        <f>L58</f>
        <v>140236.20705</v>
      </c>
      <c r="K10" s="25"/>
      <c r="L10" s="25">
        <f t="shared" ref="L10:L18" si="1">J10*E10</f>
        <v>140236.20705</v>
      </c>
      <c r="M10" s="25">
        <f t="shared" ref="M10:M18" si="2">I10+L10</f>
        <v>2440554.0839923252</v>
      </c>
      <c r="N10" s="35"/>
      <c r="O10" s="169">
        <f>P10*0.934908047</f>
        <v>2440554.0839923248</v>
      </c>
      <c r="P10" s="3">
        <v>2610475</v>
      </c>
      <c r="Q10" s="343">
        <f>M10-O10</f>
        <v>0</v>
      </c>
    </row>
    <row r="11" spans="1:17" s="1" customFormat="1" ht="18.95" customHeight="1">
      <c r="A11" s="28">
        <f>A60</f>
        <v>2</v>
      </c>
      <c r="B11" s="27" t="str">
        <f>B60</f>
        <v>COOKING STUDIO</v>
      </c>
      <c r="C11" s="29"/>
      <c r="D11" s="337"/>
      <c r="E11" s="25">
        <v>1</v>
      </c>
      <c r="F11" s="30" t="s">
        <v>4055</v>
      </c>
      <c r="G11" s="25">
        <f>I72</f>
        <v>323945.6382855</v>
      </c>
      <c r="H11" s="25"/>
      <c r="I11" s="25">
        <f t="shared" si="0"/>
        <v>323945.6382855</v>
      </c>
      <c r="J11" s="25">
        <f>L72</f>
        <v>37396.321879999996</v>
      </c>
      <c r="K11" s="25"/>
      <c r="L11" s="25">
        <f t="shared" si="1"/>
        <v>37396.321879999996</v>
      </c>
      <c r="M11" s="25">
        <f t="shared" si="2"/>
        <v>361341.9601655</v>
      </c>
      <c r="N11" s="35"/>
      <c r="O11" s="169">
        <f t="shared" ref="O11:O18" si="3">P11*0.934908047</f>
        <v>361341.9601655</v>
      </c>
      <c r="P11" s="3">
        <v>386500</v>
      </c>
      <c r="Q11" s="343">
        <f t="shared" ref="Q11:Q20" si="4">M11-O11</f>
        <v>0</v>
      </c>
    </row>
    <row r="12" spans="1:17" s="1" customFormat="1" ht="18.95" customHeight="1">
      <c r="A12" s="28">
        <f>A74</f>
        <v>3</v>
      </c>
      <c r="B12" s="27" t="str">
        <f>B74</f>
        <v>MEDIA LAB</v>
      </c>
      <c r="C12" s="29"/>
      <c r="D12" s="337"/>
      <c r="E12" s="25">
        <v>1</v>
      </c>
      <c r="F12" s="30" t="s">
        <v>4055</v>
      </c>
      <c r="G12" s="25">
        <f>I170</f>
        <v>2853012.1416275501</v>
      </c>
      <c r="H12" s="25"/>
      <c r="I12" s="25">
        <f t="shared" si="0"/>
        <v>2853012.1416275501</v>
      </c>
      <c r="J12" s="25">
        <f>L170</f>
        <v>266448.79339499999</v>
      </c>
      <c r="K12" s="25"/>
      <c r="L12" s="25">
        <f t="shared" si="1"/>
        <v>266448.79339499999</v>
      </c>
      <c r="M12" s="25">
        <f t="shared" si="2"/>
        <v>3119460.9350225502</v>
      </c>
      <c r="N12" s="35"/>
      <c r="O12" s="169">
        <f t="shared" si="3"/>
        <v>3119460.9350225497</v>
      </c>
      <c r="P12" s="3">
        <v>3336650</v>
      </c>
      <c r="Q12" s="343">
        <f t="shared" si="4"/>
        <v>0</v>
      </c>
    </row>
    <row r="13" spans="1:17" s="1" customFormat="1" ht="18.95" customHeight="1">
      <c r="A13" s="28">
        <f>A172</f>
        <v>4</v>
      </c>
      <c r="B13" s="27" t="str">
        <f>B172</f>
        <v>PERFORMANCE ROOM</v>
      </c>
      <c r="C13" s="29"/>
      <c r="D13" s="337"/>
      <c r="E13" s="25">
        <v>1</v>
      </c>
      <c r="F13" s="30" t="s">
        <v>4055</v>
      </c>
      <c r="G13" s="25">
        <f>I215</f>
        <v>994087.72637509985</v>
      </c>
      <c r="H13" s="25"/>
      <c r="I13" s="25">
        <f t="shared" si="0"/>
        <v>994087.72637509985</v>
      </c>
      <c r="J13" s="25">
        <f>L215</f>
        <v>91620.988605999999</v>
      </c>
      <c r="K13" s="25"/>
      <c r="L13" s="25">
        <f t="shared" si="1"/>
        <v>91620.988605999999</v>
      </c>
      <c r="M13" s="25">
        <f t="shared" si="2"/>
        <v>1085708.7149810998</v>
      </c>
      <c r="N13" s="35"/>
      <c r="O13" s="169">
        <f t="shared" si="3"/>
        <v>1085708.7149811001</v>
      </c>
      <c r="P13" s="3">
        <v>1161300</v>
      </c>
      <c r="Q13" s="343">
        <f t="shared" si="4"/>
        <v>0</v>
      </c>
    </row>
    <row r="14" spans="1:17" s="1" customFormat="1" ht="18.95" customHeight="1">
      <c r="A14" s="28">
        <f>A217</f>
        <v>5</v>
      </c>
      <c r="B14" s="27" t="str">
        <f>B217</f>
        <v>AUDITORIUM</v>
      </c>
      <c r="C14" s="29"/>
      <c r="D14" s="337"/>
      <c r="E14" s="25">
        <v>1</v>
      </c>
      <c r="F14" s="30" t="s">
        <v>4055</v>
      </c>
      <c r="G14" s="25">
        <f>I269</f>
        <v>6166270.165712731</v>
      </c>
      <c r="H14" s="25"/>
      <c r="I14" s="25">
        <f t="shared" si="0"/>
        <v>6166270.165712731</v>
      </c>
      <c r="J14" s="25">
        <f>L269</f>
        <v>654435.63289999997</v>
      </c>
      <c r="K14" s="25"/>
      <c r="L14" s="25">
        <f t="shared" si="1"/>
        <v>654435.63289999997</v>
      </c>
      <c r="M14" s="25">
        <f t="shared" si="2"/>
        <v>6820705.7986127306</v>
      </c>
      <c r="N14" s="35"/>
      <c r="O14" s="169">
        <f t="shared" si="3"/>
        <v>6820705.7986127296</v>
      </c>
      <c r="P14" s="3">
        <v>7295590</v>
      </c>
      <c r="Q14" s="343">
        <f t="shared" si="4"/>
        <v>0</v>
      </c>
    </row>
    <row r="15" spans="1:17" s="1" customFormat="1" ht="18.95" customHeight="1">
      <c r="A15" s="28">
        <f>A271</f>
        <v>6</v>
      </c>
      <c r="B15" s="27" t="s">
        <v>4056</v>
      </c>
      <c r="C15" s="29"/>
      <c r="D15" s="337"/>
      <c r="E15" s="25">
        <v>1</v>
      </c>
      <c r="F15" s="30" t="s">
        <v>4055</v>
      </c>
      <c r="G15" s="25">
        <f>I281</f>
        <v>524717.14137874998</v>
      </c>
      <c r="H15" s="25"/>
      <c r="I15" s="25">
        <f t="shared" si="0"/>
        <v>524717.14137874998</v>
      </c>
      <c r="J15" s="25">
        <f>L281</f>
        <v>355265.05786</v>
      </c>
      <c r="K15" s="25"/>
      <c r="L15" s="25">
        <f t="shared" si="1"/>
        <v>355265.05786</v>
      </c>
      <c r="M15" s="25">
        <f t="shared" si="2"/>
        <v>879982.19923874992</v>
      </c>
      <c r="N15" s="35"/>
      <c r="O15" s="169">
        <f t="shared" si="3"/>
        <v>879982.19923874992</v>
      </c>
      <c r="P15" s="3">
        <v>941250</v>
      </c>
      <c r="Q15" s="343">
        <f t="shared" si="4"/>
        <v>0</v>
      </c>
    </row>
    <row r="16" spans="1:17" s="1" customFormat="1" ht="18.95" customHeight="1">
      <c r="A16" s="28">
        <f>A283</f>
        <v>7</v>
      </c>
      <c r="B16" s="27" t="str">
        <f>B283</f>
        <v>PLAYGROUND</v>
      </c>
      <c r="C16" s="29"/>
      <c r="D16" s="337"/>
      <c r="E16" s="25">
        <v>1</v>
      </c>
      <c r="F16" s="30" t="s">
        <v>4055</v>
      </c>
      <c r="G16" s="25">
        <f>I293</f>
        <v>252425.17268999998</v>
      </c>
      <c r="H16" s="25"/>
      <c r="I16" s="25">
        <f t="shared" si="0"/>
        <v>252425.17268999998</v>
      </c>
      <c r="J16" s="25">
        <f>L293</f>
        <v>18698.160939999998</v>
      </c>
      <c r="K16" s="25"/>
      <c r="L16" s="25">
        <f t="shared" si="1"/>
        <v>18698.160939999998</v>
      </c>
      <c r="M16" s="25">
        <f t="shared" si="2"/>
        <v>271123.33362999995</v>
      </c>
      <c r="N16" s="35"/>
      <c r="O16" s="169">
        <f t="shared" si="3"/>
        <v>271123.33363000001</v>
      </c>
      <c r="P16" s="3">
        <v>290000</v>
      </c>
      <c r="Q16" s="343">
        <f t="shared" si="4"/>
        <v>0</v>
      </c>
    </row>
    <row r="17" spans="1:18" s="1" customFormat="1" ht="18.95" customHeight="1">
      <c r="A17" s="28">
        <f>A294</f>
        <v>8</v>
      </c>
      <c r="B17" s="27" t="str">
        <f>B294</f>
        <v>MUSIC DIGITAL</v>
      </c>
      <c r="C17" s="29"/>
      <c r="D17" s="337"/>
      <c r="E17" s="25">
        <v>1</v>
      </c>
      <c r="F17" s="30" t="s">
        <v>4055</v>
      </c>
      <c r="G17" s="25">
        <f>I301</f>
        <v>150099.48694584999</v>
      </c>
      <c r="H17" s="25"/>
      <c r="I17" s="25">
        <f t="shared" si="0"/>
        <v>150099.48694584999</v>
      </c>
      <c r="J17" s="25">
        <f>L301</f>
        <v>9349.080469999999</v>
      </c>
      <c r="K17" s="25"/>
      <c r="L17" s="25">
        <f t="shared" si="1"/>
        <v>9349.080469999999</v>
      </c>
      <c r="M17" s="25">
        <f t="shared" si="2"/>
        <v>159448.56741584998</v>
      </c>
      <c r="N17" s="35"/>
      <c r="O17" s="169">
        <f t="shared" si="3"/>
        <v>159448.56741585</v>
      </c>
      <c r="P17" s="3">
        <v>170550</v>
      </c>
      <c r="Q17" s="343">
        <f t="shared" si="4"/>
        <v>0</v>
      </c>
    </row>
    <row r="18" spans="1:18" s="1" customFormat="1" ht="18.95" customHeight="1">
      <c r="A18" s="28">
        <f>A303</f>
        <v>9</v>
      </c>
      <c r="B18" s="27" t="str">
        <f>B303</f>
        <v>MEETING ROOM</v>
      </c>
      <c r="C18" s="29"/>
      <c r="D18" s="337"/>
      <c r="E18" s="25">
        <v>1</v>
      </c>
      <c r="F18" s="30" t="s">
        <v>4055</v>
      </c>
      <c r="G18" s="25">
        <f>I370</f>
        <v>1809299.4961176896</v>
      </c>
      <c r="H18" s="25"/>
      <c r="I18" s="25">
        <f t="shared" si="0"/>
        <v>1809299.4961176896</v>
      </c>
      <c r="J18" s="25">
        <f>L370</f>
        <v>210354.31057499998</v>
      </c>
      <c r="K18" s="25"/>
      <c r="L18" s="25">
        <f t="shared" si="1"/>
        <v>210354.31057499998</v>
      </c>
      <c r="M18" s="25">
        <f t="shared" si="2"/>
        <v>2019653.8066926897</v>
      </c>
      <c r="N18" s="35"/>
      <c r="O18" s="169">
        <f t="shared" si="3"/>
        <v>2019653.8066926899</v>
      </c>
      <c r="P18" s="3">
        <v>2160270</v>
      </c>
      <c r="Q18" s="343">
        <f t="shared" si="4"/>
        <v>0</v>
      </c>
    </row>
    <row r="19" spans="1:18" s="1" customFormat="1" ht="18.95" customHeight="1">
      <c r="A19" s="28"/>
      <c r="B19" s="27"/>
      <c r="C19" s="29"/>
      <c r="D19" s="337"/>
      <c r="E19" s="25"/>
      <c r="F19" s="25"/>
      <c r="G19" s="25"/>
      <c r="H19" s="25"/>
      <c r="I19" s="25"/>
      <c r="J19" s="25"/>
      <c r="K19" s="25"/>
      <c r="L19" s="25"/>
      <c r="M19" s="25"/>
      <c r="N19" s="35"/>
      <c r="O19" s="169">
        <f t="shared" ref="O19" si="5">P19*0.934899332</f>
        <v>0</v>
      </c>
      <c r="P19" s="3"/>
      <c r="Q19" s="343">
        <f t="shared" si="4"/>
        <v>0</v>
      </c>
    </row>
    <row r="20" spans="1:18" s="1" customFormat="1" ht="18.95" customHeight="1">
      <c r="A20" s="28"/>
      <c r="B20" s="1272" t="s">
        <v>4057</v>
      </c>
      <c r="C20" s="1273"/>
      <c r="D20" s="1274"/>
      <c r="E20" s="25"/>
      <c r="F20" s="25"/>
      <c r="G20" s="25"/>
      <c r="H20" s="25"/>
      <c r="I20" s="34">
        <f>SUM(I10:I19)</f>
        <v>15374174.846075498</v>
      </c>
      <c r="J20" s="34"/>
      <c r="K20" s="34"/>
      <c r="L20" s="34">
        <f>SUM(L10:L19)</f>
        <v>1783804.5536760001</v>
      </c>
      <c r="M20" s="34">
        <f>SUM(M10:M19)</f>
        <v>17157979.399751492</v>
      </c>
      <c r="N20" s="35"/>
      <c r="O20" s="169">
        <f>SUM(O10:O19)</f>
        <v>17157979.399751492</v>
      </c>
      <c r="P20" s="3">
        <f>SUM(P10:P19)</f>
        <v>18352585</v>
      </c>
      <c r="Q20" s="343">
        <f t="shared" si="4"/>
        <v>0</v>
      </c>
    </row>
    <row r="21" spans="1:18" s="1" customFormat="1" ht="18.95" customHeight="1">
      <c r="A21" s="28"/>
      <c r="B21" s="27"/>
      <c r="C21" s="29"/>
      <c r="D21" s="337"/>
      <c r="E21" s="25"/>
      <c r="F21" s="25"/>
      <c r="G21" s="25"/>
      <c r="H21" s="25"/>
      <c r="I21" s="25"/>
      <c r="J21" s="25"/>
      <c r="K21" s="25"/>
      <c r="L21" s="25"/>
      <c r="M21" s="25"/>
      <c r="N21" s="35"/>
      <c r="O21" s="342"/>
    </row>
    <row r="22" spans="1:18" s="1" customFormat="1" ht="18.95" customHeight="1">
      <c r="A22" s="28"/>
      <c r="B22" s="27"/>
      <c r="C22" s="29"/>
      <c r="D22" s="337"/>
      <c r="E22" s="25"/>
      <c r="F22" s="25"/>
      <c r="G22" s="25"/>
      <c r="H22" s="25"/>
      <c r="I22" s="25"/>
      <c r="J22" s="25"/>
      <c r="K22" s="25"/>
      <c r="L22" s="25"/>
      <c r="M22" s="25"/>
      <c r="N22" s="35"/>
      <c r="O22" s="342"/>
    </row>
    <row r="23" spans="1:18" s="1" customFormat="1" ht="18.95" customHeight="1">
      <c r="A23" s="28"/>
      <c r="B23" s="27"/>
      <c r="C23" s="29"/>
      <c r="D23" s="337"/>
      <c r="E23" s="25"/>
      <c r="F23" s="25"/>
      <c r="G23" s="25"/>
      <c r="H23" s="25"/>
      <c r="I23" s="25"/>
      <c r="J23" s="25"/>
      <c r="K23" s="25"/>
      <c r="L23" s="25"/>
      <c r="M23" s="25"/>
      <c r="N23" s="35"/>
      <c r="O23" s="342"/>
    </row>
    <row r="24" spans="1:18" s="1" customFormat="1" ht="18.95" customHeight="1">
      <c r="A24" s="28"/>
      <c r="B24" s="27"/>
      <c r="C24" s="29"/>
      <c r="D24" s="337"/>
      <c r="E24" s="25"/>
      <c r="F24" s="25"/>
      <c r="G24" s="25"/>
      <c r="H24" s="25"/>
      <c r="I24" s="25"/>
      <c r="J24" s="25"/>
      <c r="K24" s="25"/>
      <c r="L24" s="25"/>
      <c r="M24" s="25"/>
      <c r="N24" s="35"/>
      <c r="O24" s="342"/>
    </row>
    <row r="25" spans="1:18" s="1" customFormat="1" ht="18.95" customHeight="1">
      <c r="A25" s="28"/>
      <c r="B25" s="27"/>
      <c r="C25" s="29"/>
      <c r="D25" s="337"/>
      <c r="E25" s="25"/>
      <c r="F25" s="25"/>
      <c r="G25" s="25"/>
      <c r="H25" s="25"/>
      <c r="I25" s="25"/>
      <c r="J25" s="25"/>
      <c r="K25" s="25"/>
      <c r="L25" s="25"/>
      <c r="M25" s="25"/>
      <c r="N25" s="35"/>
      <c r="O25" s="342"/>
    </row>
    <row r="26" spans="1:18" s="1" customFormat="1" ht="18.95" customHeight="1">
      <c r="A26" s="28"/>
      <c r="B26" s="27"/>
      <c r="C26" s="29"/>
      <c r="D26" s="337"/>
      <c r="E26" s="25"/>
      <c r="F26" s="25"/>
      <c r="G26" s="25"/>
      <c r="H26" s="25"/>
      <c r="I26" s="25"/>
      <c r="J26" s="25"/>
      <c r="K26" s="25"/>
      <c r="L26" s="25"/>
      <c r="M26" s="25"/>
      <c r="N26" s="35"/>
      <c r="O26" s="342"/>
    </row>
    <row r="27" spans="1:18" s="1" customFormat="1" ht="18.95" customHeight="1">
      <c r="A27" s="28"/>
      <c r="B27" s="27"/>
      <c r="C27" s="29"/>
      <c r="D27" s="337"/>
      <c r="E27" s="25"/>
      <c r="F27" s="25"/>
      <c r="G27" s="25"/>
      <c r="H27" s="25"/>
      <c r="I27" s="25"/>
      <c r="J27" s="25"/>
      <c r="K27" s="25"/>
      <c r="L27" s="25"/>
      <c r="M27" s="25"/>
      <c r="N27" s="35"/>
      <c r="O27" s="342"/>
    </row>
    <row r="28" spans="1:18" s="1" customFormat="1" ht="18.95" customHeight="1">
      <c r="A28" s="28"/>
      <c r="B28" s="27"/>
      <c r="C28" s="29"/>
      <c r="D28" s="337"/>
      <c r="E28" s="25"/>
      <c r="F28" s="25"/>
      <c r="G28" s="25"/>
      <c r="H28" s="25"/>
      <c r="I28" s="25"/>
      <c r="J28" s="25"/>
      <c r="K28" s="25"/>
      <c r="L28" s="25"/>
      <c r="M28" s="25"/>
      <c r="N28" s="35"/>
      <c r="O28" s="342"/>
    </row>
    <row r="29" spans="1:18" s="1" customFormat="1" ht="18.95" customHeight="1">
      <c r="A29" s="28"/>
      <c r="B29" s="27"/>
      <c r="C29" s="29"/>
      <c r="D29" s="337"/>
      <c r="E29" s="25"/>
      <c r="F29" s="25"/>
      <c r="G29" s="25"/>
      <c r="H29" s="25"/>
      <c r="I29" s="25"/>
      <c r="J29" s="25"/>
      <c r="K29" s="25"/>
      <c r="L29" s="25"/>
      <c r="M29" s="25"/>
      <c r="N29" s="35"/>
      <c r="O29" s="342"/>
    </row>
    <row r="30" spans="1:18" s="1" customFormat="1" ht="18.95" customHeight="1">
      <c r="A30" s="28"/>
      <c r="B30" s="27"/>
      <c r="C30" s="29"/>
      <c r="D30" s="337"/>
      <c r="E30" s="25"/>
      <c r="F30" s="25"/>
      <c r="G30" s="25"/>
      <c r="H30" s="25"/>
      <c r="I30" s="25"/>
      <c r="J30" s="25"/>
      <c r="K30" s="25"/>
      <c r="L30" s="25"/>
      <c r="M30" s="25"/>
      <c r="N30" s="35"/>
      <c r="O30" s="342"/>
    </row>
    <row r="31" spans="1:18" s="1" customFormat="1" ht="18.95" customHeight="1">
      <c r="A31" s="220">
        <v>1</v>
      </c>
      <c r="B31" s="302" t="s">
        <v>4058</v>
      </c>
      <c r="C31" s="221"/>
      <c r="D31" s="267"/>
      <c r="E31" s="34"/>
      <c r="F31" s="35"/>
      <c r="G31" s="34"/>
      <c r="H31" s="34"/>
      <c r="I31" s="34"/>
      <c r="J31" s="34"/>
      <c r="K31" s="34"/>
      <c r="L31" s="102"/>
      <c r="M31" s="34"/>
      <c r="N31" s="35"/>
    </row>
    <row r="32" spans="1:18" s="1" customFormat="1" ht="18.95" customHeight="1">
      <c r="A32" s="220"/>
      <c r="B32" s="302" t="s">
        <v>4059</v>
      </c>
      <c r="C32" s="221"/>
      <c r="D32" s="267"/>
      <c r="E32" s="34"/>
      <c r="F32" s="35"/>
      <c r="G32" s="34"/>
      <c r="H32" s="34"/>
      <c r="I32" s="34"/>
      <c r="J32" s="34"/>
      <c r="K32" s="34"/>
      <c r="L32" s="102"/>
      <c r="M32" s="34"/>
      <c r="N32" s="35"/>
      <c r="Q32" s="2"/>
      <c r="R32" s="2"/>
    </row>
    <row r="33" spans="1:18" ht="18.95" customHeight="1">
      <c r="A33" s="28">
        <v>1</v>
      </c>
      <c r="B33" s="27" t="s">
        <v>4060</v>
      </c>
      <c r="C33" s="29"/>
      <c r="D33" s="267"/>
      <c r="E33" s="25">
        <v>1</v>
      </c>
      <c r="F33" s="26" t="s">
        <v>4061</v>
      </c>
      <c r="G33" s="25">
        <v>18525</v>
      </c>
      <c r="H33" s="25">
        <f>G33*O33</f>
        <v>17319.171570675</v>
      </c>
      <c r="I33" s="25">
        <f>E33*H33</f>
        <v>17319.171570675</v>
      </c>
      <c r="J33" s="30"/>
      <c r="K33" s="30"/>
      <c r="L33" s="30"/>
      <c r="M33" s="25">
        <f>I33+L33</f>
        <v>17319.171570675</v>
      </c>
      <c r="N33" s="26"/>
      <c r="O33" s="203">
        <v>0.93490804699999996</v>
      </c>
      <c r="Q33" s="25"/>
      <c r="R33" s="300"/>
    </row>
    <row r="34" spans="1:18" ht="18.95" customHeight="1">
      <c r="A34" s="28">
        <v>2</v>
      </c>
      <c r="B34" s="27" t="s">
        <v>4062</v>
      </c>
      <c r="C34" s="29"/>
      <c r="D34" s="267"/>
      <c r="E34" s="25">
        <v>1</v>
      </c>
      <c r="F34" s="26" t="s">
        <v>4063</v>
      </c>
      <c r="G34" s="25">
        <v>36100</v>
      </c>
      <c r="H34" s="25">
        <f>G34*O34</f>
        <v>33750.180496699999</v>
      </c>
      <c r="I34" s="25">
        <f>E34*H34</f>
        <v>33750.180496699999</v>
      </c>
      <c r="J34" s="30"/>
      <c r="K34" s="30"/>
      <c r="L34" s="30"/>
      <c r="M34" s="25">
        <f>I34+L34</f>
        <v>33750.180496699999</v>
      </c>
      <c r="N34" s="26"/>
      <c r="O34" s="203">
        <v>0.93490804699999996</v>
      </c>
      <c r="Q34" s="25"/>
      <c r="R34" s="300"/>
    </row>
    <row r="35" spans="1:18" s="1" customFormat="1" ht="18.95" customHeight="1">
      <c r="A35" s="220"/>
      <c r="B35" s="302" t="s">
        <v>4064</v>
      </c>
      <c r="C35" s="221"/>
      <c r="D35" s="267"/>
      <c r="E35" s="34"/>
      <c r="F35" s="35"/>
      <c r="G35" s="34"/>
      <c r="H35" s="34"/>
      <c r="I35" s="34"/>
      <c r="J35" s="102"/>
      <c r="K35" s="102"/>
      <c r="L35" s="102"/>
      <c r="M35" s="34"/>
      <c r="N35" s="35"/>
      <c r="O35" s="203">
        <v>0.93490804699999996</v>
      </c>
      <c r="Q35" s="34"/>
      <c r="R35" s="300"/>
    </row>
    <row r="36" spans="1:18" ht="18.95" customHeight="1">
      <c r="A36" s="28">
        <v>1</v>
      </c>
      <c r="B36" s="27" t="s">
        <v>4065</v>
      </c>
      <c r="C36" s="29"/>
      <c r="D36" s="267"/>
      <c r="E36" s="25">
        <v>3</v>
      </c>
      <c r="F36" s="26" t="s">
        <v>4061</v>
      </c>
      <c r="G36" s="25">
        <v>84000</v>
      </c>
      <c r="H36" s="25">
        <f>G36*O36</f>
        <v>78532.275947999995</v>
      </c>
      <c r="I36" s="25">
        <f>E36*H36</f>
        <v>235596.82784399998</v>
      </c>
      <c r="J36" s="30"/>
      <c r="K36" s="30"/>
      <c r="L36" s="30"/>
      <c r="M36" s="25">
        <f>I36+L36</f>
        <v>235596.82784399998</v>
      </c>
      <c r="N36" s="26"/>
      <c r="O36" s="203">
        <v>0.93490804699999996</v>
      </c>
      <c r="Q36" s="25"/>
      <c r="R36" s="300"/>
    </row>
    <row r="37" spans="1:18" ht="18.95" customHeight="1">
      <c r="A37" s="28">
        <v>2</v>
      </c>
      <c r="B37" s="27" t="s">
        <v>4062</v>
      </c>
      <c r="C37" s="29"/>
      <c r="D37" s="267"/>
      <c r="E37" s="25">
        <v>1</v>
      </c>
      <c r="F37" s="26" t="s">
        <v>4063</v>
      </c>
      <c r="G37" s="25">
        <v>36100</v>
      </c>
      <c r="H37" s="25">
        <f>G37*O37</f>
        <v>33750.180496699999</v>
      </c>
      <c r="I37" s="25">
        <f>E37*H37</f>
        <v>33750.180496699999</v>
      </c>
      <c r="J37" s="30"/>
      <c r="K37" s="30"/>
      <c r="L37" s="30"/>
      <c r="M37" s="25">
        <f>I37+L37</f>
        <v>33750.180496699999</v>
      </c>
      <c r="N37" s="26"/>
      <c r="O37" s="203">
        <v>0.93490804699999996</v>
      </c>
      <c r="Q37" s="25"/>
      <c r="R37" s="300"/>
    </row>
    <row r="38" spans="1:18" s="1" customFormat="1" ht="18.95" customHeight="1">
      <c r="A38" s="220"/>
      <c r="B38" s="302" t="s">
        <v>4066</v>
      </c>
      <c r="C38" s="221"/>
      <c r="D38" s="267"/>
      <c r="E38" s="34"/>
      <c r="F38" s="35"/>
      <c r="G38" s="34"/>
      <c r="H38" s="34"/>
      <c r="I38" s="34"/>
      <c r="J38" s="102"/>
      <c r="K38" s="102"/>
      <c r="L38" s="102"/>
      <c r="M38" s="34"/>
      <c r="N38" s="35"/>
      <c r="O38" s="203">
        <v>0.93490804699999996</v>
      </c>
      <c r="Q38" s="34"/>
      <c r="R38" s="300"/>
    </row>
    <row r="39" spans="1:18" ht="18.95" customHeight="1">
      <c r="A39" s="28">
        <v>1</v>
      </c>
      <c r="B39" s="27" t="s">
        <v>4067</v>
      </c>
      <c r="C39" s="29"/>
      <c r="D39" s="267"/>
      <c r="E39" s="25">
        <v>2</v>
      </c>
      <c r="F39" s="26" t="s">
        <v>4061</v>
      </c>
      <c r="G39" s="25">
        <v>39000</v>
      </c>
      <c r="H39" s="25">
        <f>G39*O39</f>
        <v>36461.413832999999</v>
      </c>
      <c r="I39" s="25">
        <f>E39*H39</f>
        <v>72922.827665999997</v>
      </c>
      <c r="J39" s="30"/>
      <c r="K39" s="30"/>
      <c r="L39" s="30"/>
      <c r="M39" s="25">
        <f>I39+L39</f>
        <v>72922.827665999997</v>
      </c>
      <c r="N39" s="26"/>
      <c r="O39" s="203">
        <v>0.93490804699999996</v>
      </c>
      <c r="Q39" s="25"/>
      <c r="R39" s="300"/>
    </row>
    <row r="40" spans="1:18" ht="18.95" customHeight="1">
      <c r="A40" s="28">
        <v>2</v>
      </c>
      <c r="B40" s="27" t="s">
        <v>4062</v>
      </c>
      <c r="C40" s="29"/>
      <c r="D40" s="267"/>
      <c r="E40" s="25">
        <v>2</v>
      </c>
      <c r="F40" s="26" t="s">
        <v>4063</v>
      </c>
      <c r="G40" s="25">
        <v>36100</v>
      </c>
      <c r="H40" s="25">
        <f>G40*O40</f>
        <v>33750.180496699999</v>
      </c>
      <c r="I40" s="25">
        <f>E40*H40</f>
        <v>67500.360993399998</v>
      </c>
      <c r="J40" s="30"/>
      <c r="K40" s="30"/>
      <c r="L40" s="30"/>
      <c r="M40" s="25">
        <f>I40+L40</f>
        <v>67500.360993399998</v>
      </c>
      <c r="N40" s="26"/>
      <c r="O40" s="203">
        <v>0.93490804699999996</v>
      </c>
      <c r="Q40" s="25"/>
      <c r="R40" s="300"/>
    </row>
    <row r="41" spans="1:18" ht="18.95" customHeight="1">
      <c r="A41" s="220"/>
      <c r="B41" s="302" t="s">
        <v>4068</v>
      </c>
      <c r="C41" s="221"/>
      <c r="D41" s="267"/>
      <c r="E41" s="34"/>
      <c r="F41" s="35"/>
      <c r="G41" s="34"/>
      <c r="H41" s="34"/>
      <c r="I41" s="34"/>
      <c r="J41" s="102"/>
      <c r="K41" s="102"/>
      <c r="L41" s="102"/>
      <c r="M41" s="34"/>
      <c r="N41" s="35"/>
      <c r="O41" s="203">
        <v>0.93490804699999996</v>
      </c>
      <c r="Q41" s="25"/>
      <c r="R41" s="300"/>
    </row>
    <row r="42" spans="1:18" s="1" customFormat="1" ht="18.95" customHeight="1">
      <c r="A42" s="28">
        <v>1</v>
      </c>
      <c r="B42" s="27" t="s">
        <v>4069</v>
      </c>
      <c r="C42" s="29"/>
      <c r="D42" s="267"/>
      <c r="E42" s="25">
        <v>1</v>
      </c>
      <c r="F42" s="26" t="s">
        <v>4061</v>
      </c>
      <c r="G42" s="25">
        <v>807500</v>
      </c>
      <c r="H42" s="25">
        <f>G42*O42</f>
        <v>754938.24795250001</v>
      </c>
      <c r="I42" s="25">
        <f>E42*H42</f>
        <v>754938.24795250001</v>
      </c>
      <c r="J42" s="30"/>
      <c r="K42" s="30"/>
      <c r="L42" s="30"/>
      <c r="M42" s="25">
        <f>I42+L42</f>
        <v>754938.24795250001</v>
      </c>
      <c r="N42" s="288"/>
      <c r="O42" s="203">
        <v>0.93490804699999996</v>
      </c>
      <c r="Q42" s="34"/>
      <c r="R42" s="300"/>
    </row>
    <row r="43" spans="1:18" ht="18.95" customHeight="1">
      <c r="A43" s="28">
        <v>2</v>
      </c>
      <c r="B43" s="27" t="s">
        <v>4062</v>
      </c>
      <c r="C43" s="29"/>
      <c r="D43" s="267"/>
      <c r="E43" s="25">
        <v>1</v>
      </c>
      <c r="F43" s="26" t="s">
        <v>4063</v>
      </c>
      <c r="G43" s="25">
        <v>36100</v>
      </c>
      <c r="H43" s="25">
        <f>G43*O43</f>
        <v>33750.180496699999</v>
      </c>
      <c r="I43" s="25">
        <f>E43*H43</f>
        <v>33750.180496699999</v>
      </c>
      <c r="J43" s="30"/>
      <c r="K43" s="30"/>
      <c r="L43" s="30"/>
      <c r="M43" s="25">
        <f>I43+L43</f>
        <v>33750.180496699999</v>
      </c>
      <c r="N43" s="26"/>
      <c r="O43" s="203">
        <v>0.93490804699999996</v>
      </c>
      <c r="Q43" s="25"/>
      <c r="R43" s="300"/>
    </row>
    <row r="44" spans="1:18" ht="18.95" customHeight="1">
      <c r="A44" s="220"/>
      <c r="B44" s="302" t="s">
        <v>4070</v>
      </c>
      <c r="C44" s="221"/>
      <c r="D44" s="267"/>
      <c r="E44" s="34"/>
      <c r="F44" s="35"/>
      <c r="G44" s="34"/>
      <c r="H44" s="34"/>
      <c r="I44" s="34"/>
      <c r="J44" s="102"/>
      <c r="K44" s="102"/>
      <c r="L44" s="102"/>
      <c r="M44" s="34"/>
      <c r="N44" s="35"/>
      <c r="O44" s="203">
        <v>0.93490804699999996</v>
      </c>
      <c r="Q44" s="25"/>
      <c r="R44" s="300"/>
    </row>
    <row r="45" spans="1:18" ht="18.95" customHeight="1">
      <c r="A45" s="28">
        <v>1</v>
      </c>
      <c r="B45" s="27" t="s">
        <v>4071</v>
      </c>
      <c r="C45" s="29"/>
      <c r="D45" s="267"/>
      <c r="E45" s="25">
        <v>1</v>
      </c>
      <c r="F45" s="26" t="s">
        <v>4061</v>
      </c>
      <c r="G45" s="25">
        <v>63000</v>
      </c>
      <c r="H45" s="25">
        <f>G45*O45</f>
        <v>58899.206960999996</v>
      </c>
      <c r="I45" s="25">
        <f>E45*H45</f>
        <v>58899.206960999996</v>
      </c>
      <c r="J45" s="30"/>
      <c r="K45" s="30"/>
      <c r="L45" s="30"/>
      <c r="M45" s="25">
        <f>I45+L45</f>
        <v>58899.206960999996</v>
      </c>
      <c r="N45" s="26"/>
      <c r="O45" s="203">
        <v>0.93490804699999996</v>
      </c>
      <c r="Q45" s="25"/>
      <c r="R45" s="300"/>
    </row>
    <row r="46" spans="1:18" s="1" customFormat="1" ht="18.95" customHeight="1">
      <c r="A46" s="28">
        <v>2</v>
      </c>
      <c r="B46" s="27" t="s">
        <v>4062</v>
      </c>
      <c r="C46" s="29"/>
      <c r="D46" s="267"/>
      <c r="E46" s="25">
        <v>1</v>
      </c>
      <c r="F46" s="26" t="s">
        <v>4063</v>
      </c>
      <c r="G46" s="25">
        <v>36100</v>
      </c>
      <c r="H46" s="25">
        <f>G46*O46</f>
        <v>33750.180496699999</v>
      </c>
      <c r="I46" s="25">
        <f>E46*H46</f>
        <v>33750.180496699999</v>
      </c>
      <c r="J46" s="30"/>
      <c r="K46" s="30"/>
      <c r="L46" s="30"/>
      <c r="M46" s="25">
        <f>I46+L46</f>
        <v>33750.180496699999</v>
      </c>
      <c r="N46" s="26"/>
      <c r="O46" s="203">
        <v>0.93490804699999996</v>
      </c>
      <c r="Q46" s="34"/>
      <c r="R46" s="300"/>
    </row>
    <row r="47" spans="1:18" ht="18.95" customHeight="1">
      <c r="A47" s="220"/>
      <c r="B47" s="302" t="s">
        <v>4072</v>
      </c>
      <c r="C47" s="29"/>
      <c r="D47" s="267"/>
      <c r="E47" s="25"/>
      <c r="F47" s="26"/>
      <c r="G47" s="25"/>
      <c r="H47" s="34"/>
      <c r="I47" s="34"/>
      <c r="J47" s="30"/>
      <c r="K47" s="30"/>
      <c r="L47" s="30"/>
      <c r="M47" s="25"/>
      <c r="N47" s="26"/>
      <c r="O47" s="203">
        <v>0.93490804699999996</v>
      </c>
      <c r="Q47" s="25"/>
      <c r="R47" s="300"/>
    </row>
    <row r="48" spans="1:18" ht="18.95" customHeight="1">
      <c r="A48" s="28">
        <v>1</v>
      </c>
      <c r="B48" s="27" t="s">
        <v>4069</v>
      </c>
      <c r="C48" s="29"/>
      <c r="D48" s="267"/>
      <c r="E48" s="25">
        <v>1</v>
      </c>
      <c r="F48" s="26" t="s">
        <v>4061</v>
      </c>
      <c r="G48" s="25">
        <v>807500</v>
      </c>
      <c r="H48" s="25">
        <f>G48*O48</f>
        <v>754938.24795250001</v>
      </c>
      <c r="I48" s="25">
        <f>E48*H48</f>
        <v>754938.24795250001</v>
      </c>
      <c r="J48" s="30"/>
      <c r="K48" s="30"/>
      <c r="L48" s="30"/>
      <c r="M48" s="25">
        <f>I48+L48</f>
        <v>754938.24795250001</v>
      </c>
      <c r="N48" s="26"/>
      <c r="O48" s="203">
        <v>0.93490804699999996</v>
      </c>
      <c r="Q48" s="25"/>
      <c r="R48" s="300"/>
    </row>
    <row r="49" spans="1:18" ht="18.95" customHeight="1">
      <c r="A49" s="28">
        <v>2</v>
      </c>
      <c r="B49" s="27" t="s">
        <v>4062</v>
      </c>
      <c r="C49" s="29"/>
      <c r="D49" s="267"/>
      <c r="E49" s="25">
        <v>1</v>
      </c>
      <c r="F49" s="26" t="s">
        <v>4063</v>
      </c>
      <c r="G49" s="25">
        <v>36100</v>
      </c>
      <c r="H49" s="25">
        <f>G49*O49</f>
        <v>33750.180496699999</v>
      </c>
      <c r="I49" s="25">
        <f>E49*H49</f>
        <v>33750.180496699999</v>
      </c>
      <c r="J49" s="30"/>
      <c r="K49" s="30"/>
      <c r="L49" s="30"/>
      <c r="M49" s="25">
        <f>I49+L49</f>
        <v>33750.180496699999</v>
      </c>
      <c r="N49" s="26"/>
      <c r="O49" s="203">
        <v>0.93490804699999996</v>
      </c>
      <c r="Q49" s="25"/>
      <c r="R49" s="300"/>
    </row>
    <row r="50" spans="1:18" ht="18.95" customHeight="1">
      <c r="A50" s="220"/>
      <c r="B50" s="302" t="s">
        <v>4073</v>
      </c>
      <c r="C50" s="29"/>
      <c r="D50" s="267"/>
      <c r="E50" s="25"/>
      <c r="F50" s="26"/>
      <c r="G50" s="25"/>
      <c r="H50" s="25"/>
      <c r="I50" s="25"/>
      <c r="J50" s="30"/>
      <c r="K50" s="30"/>
      <c r="L50" s="30"/>
      <c r="M50" s="25"/>
      <c r="N50" s="26"/>
      <c r="O50" s="203">
        <v>0.93490804699999996</v>
      </c>
      <c r="Q50" s="25"/>
      <c r="R50" s="300"/>
    </row>
    <row r="51" spans="1:18" ht="18.95" customHeight="1">
      <c r="A51" s="28">
        <v>1</v>
      </c>
      <c r="B51" s="27" t="s">
        <v>4074</v>
      </c>
      <c r="C51" s="29"/>
      <c r="D51" s="267"/>
      <c r="E51" s="25">
        <v>1</v>
      </c>
      <c r="F51" s="26" t="s">
        <v>4061</v>
      </c>
      <c r="G51" s="25">
        <v>81500</v>
      </c>
      <c r="H51" s="25">
        <f>G51*O51</f>
        <v>76195.005830499998</v>
      </c>
      <c r="I51" s="25">
        <f>E51*H51</f>
        <v>76195.005830499998</v>
      </c>
      <c r="J51" s="30"/>
      <c r="K51" s="30"/>
      <c r="L51" s="30"/>
      <c r="M51" s="25">
        <f>I51+L51</f>
        <v>76195.005830499998</v>
      </c>
      <c r="N51" s="26"/>
      <c r="O51" s="203">
        <v>0.93490804699999996</v>
      </c>
      <c r="Q51" s="25"/>
      <c r="R51" s="300"/>
    </row>
    <row r="52" spans="1:18" ht="18.95" customHeight="1">
      <c r="A52" s="28">
        <v>2</v>
      </c>
      <c r="B52" s="27" t="s">
        <v>4075</v>
      </c>
      <c r="C52" s="29"/>
      <c r="D52" s="267"/>
      <c r="E52" s="25">
        <v>1</v>
      </c>
      <c r="F52" s="26" t="s">
        <v>4063</v>
      </c>
      <c r="G52" s="25">
        <v>42750</v>
      </c>
      <c r="H52" s="25">
        <f>G52*O52</f>
        <v>39967.319009250001</v>
      </c>
      <c r="I52" s="25">
        <f>E52*H52</f>
        <v>39967.319009250001</v>
      </c>
      <c r="J52" s="30"/>
      <c r="K52" s="30"/>
      <c r="L52" s="30"/>
      <c r="M52" s="25">
        <f>I52+L52</f>
        <v>39967.319009250001</v>
      </c>
      <c r="N52" s="26"/>
      <c r="O52" s="203">
        <v>0.93490804699999996</v>
      </c>
      <c r="Q52" s="25"/>
      <c r="R52" s="300"/>
    </row>
    <row r="53" spans="1:18" ht="18.95" customHeight="1">
      <c r="A53" s="28"/>
      <c r="B53" s="302" t="s">
        <v>3219</v>
      </c>
      <c r="C53" s="29"/>
      <c r="D53" s="267"/>
      <c r="E53" s="25"/>
      <c r="F53" s="26"/>
      <c r="G53" s="25"/>
      <c r="H53" s="34"/>
      <c r="I53" s="34"/>
      <c r="J53" s="30"/>
      <c r="K53" s="30"/>
      <c r="L53" s="30"/>
      <c r="M53" s="25"/>
      <c r="N53" s="26"/>
      <c r="O53" s="203">
        <v>0.93490804699999996</v>
      </c>
      <c r="Q53" s="25"/>
      <c r="R53" s="300"/>
    </row>
    <row r="54" spans="1:18" ht="18.95" customHeight="1">
      <c r="A54" s="28">
        <v>1</v>
      </c>
      <c r="B54" s="27" t="s">
        <v>4076</v>
      </c>
      <c r="C54" s="29"/>
      <c r="D54" s="267"/>
      <c r="E54" s="25">
        <v>1</v>
      </c>
      <c r="F54" s="26" t="s">
        <v>4063</v>
      </c>
      <c r="G54" s="25">
        <v>57000</v>
      </c>
      <c r="H54" s="25">
        <f>G54*O54</f>
        <v>53289.758678999999</v>
      </c>
      <c r="I54" s="25">
        <f>E54*H54</f>
        <v>53289.758678999999</v>
      </c>
      <c r="J54" s="30"/>
      <c r="K54" s="30"/>
      <c r="L54" s="30"/>
      <c r="M54" s="25">
        <f>I54+L54</f>
        <v>53289.758678999999</v>
      </c>
      <c r="N54" s="26"/>
      <c r="O54" s="203">
        <v>0.93490804699999996</v>
      </c>
      <c r="Q54" s="25"/>
      <c r="R54" s="300"/>
    </row>
    <row r="55" spans="1:18" ht="18.95" customHeight="1">
      <c r="A55" s="28"/>
      <c r="B55" s="27"/>
      <c r="C55" s="29"/>
      <c r="D55" s="267"/>
      <c r="E55" s="25"/>
      <c r="F55" s="26"/>
      <c r="G55" s="25"/>
      <c r="H55" s="25">
        <f>G55*O55</f>
        <v>0</v>
      </c>
      <c r="I55" s="25" t="s">
        <v>151</v>
      </c>
      <c r="J55" s="30"/>
      <c r="K55" s="30"/>
      <c r="L55" s="30"/>
      <c r="M55" s="25"/>
      <c r="N55" s="26"/>
      <c r="O55" s="203">
        <v>0.93490804699999996</v>
      </c>
      <c r="Q55" s="25"/>
      <c r="R55" s="300"/>
    </row>
    <row r="56" spans="1:18" ht="18.95" customHeight="1">
      <c r="A56" s="28">
        <v>1</v>
      </c>
      <c r="B56" s="27" t="s">
        <v>4077</v>
      </c>
      <c r="C56" s="29"/>
      <c r="D56" s="267"/>
      <c r="E56" s="25">
        <v>1</v>
      </c>
      <c r="F56" s="26" t="s">
        <v>788</v>
      </c>
      <c r="G56" s="25"/>
      <c r="H56" s="25"/>
      <c r="I56" s="25"/>
      <c r="J56" s="30">
        <v>150000</v>
      </c>
      <c r="K56" s="30">
        <f>J56*O56</f>
        <v>140236.20705</v>
      </c>
      <c r="L56" s="30">
        <f>K56*E56</f>
        <v>140236.20705</v>
      </c>
      <c r="M56" s="25">
        <f>I56+L56</f>
        <v>140236.20705</v>
      </c>
      <c r="N56" s="26"/>
      <c r="O56" s="203">
        <v>0.93490804699999996</v>
      </c>
      <c r="Q56" s="25"/>
      <c r="R56" s="300"/>
    </row>
    <row r="57" spans="1:18" ht="18.95" customHeight="1">
      <c r="A57" s="28"/>
      <c r="B57" s="338" t="s">
        <v>4078</v>
      </c>
      <c r="C57" s="29"/>
      <c r="D57" s="267"/>
      <c r="E57" s="25"/>
      <c r="F57" s="26"/>
      <c r="G57" s="25"/>
      <c r="H57" s="25"/>
      <c r="I57" s="25"/>
      <c r="J57" s="30"/>
      <c r="K57" s="30"/>
      <c r="L57" s="30"/>
      <c r="M57" s="25"/>
      <c r="N57" s="26"/>
      <c r="O57" s="203">
        <v>0.93490804699999996</v>
      </c>
      <c r="Q57" s="25"/>
      <c r="R57" s="300"/>
    </row>
    <row r="58" spans="1:18" ht="18.95" customHeight="1">
      <c r="A58" s="339"/>
      <c r="B58" s="1275" t="s">
        <v>4079</v>
      </c>
      <c r="C58" s="1276"/>
      <c r="D58" s="1277"/>
      <c r="E58" s="34"/>
      <c r="F58" s="126"/>
      <c r="G58" s="34"/>
      <c r="H58" s="34"/>
      <c r="I58" s="34">
        <f>SUM(I33:I57)</f>
        <v>2300317.8769423254</v>
      </c>
      <c r="J58" s="34"/>
      <c r="K58" s="34"/>
      <c r="L58" s="34">
        <f>SUM(L33:L57)</f>
        <v>140236.20705</v>
      </c>
      <c r="M58" s="34">
        <f>SUM(M33:M57)</f>
        <v>2440554.0839923252</v>
      </c>
      <c r="N58" s="35"/>
      <c r="O58" s="203">
        <v>0.93490804699999996</v>
      </c>
      <c r="Q58" s="54"/>
      <c r="R58" s="300"/>
    </row>
    <row r="59" spans="1:18" ht="18.95" customHeight="1">
      <c r="A59" s="339"/>
      <c r="B59" s="256"/>
      <c r="C59" s="257"/>
      <c r="D59" s="258"/>
      <c r="E59" s="34"/>
      <c r="F59" s="126"/>
      <c r="G59" s="34"/>
      <c r="H59" s="34"/>
      <c r="I59" s="34"/>
      <c r="J59" s="34"/>
      <c r="K59" s="34"/>
      <c r="L59" s="34"/>
      <c r="M59" s="34"/>
      <c r="N59" s="35"/>
      <c r="O59" s="203">
        <v>0.93490804699999996</v>
      </c>
      <c r="Q59" s="18"/>
      <c r="R59" s="300"/>
    </row>
    <row r="60" spans="1:18" ht="18.95" customHeight="1">
      <c r="A60" s="220">
        <v>2</v>
      </c>
      <c r="B60" s="302" t="s">
        <v>895</v>
      </c>
      <c r="C60" s="221"/>
      <c r="D60" s="267"/>
      <c r="E60" s="34"/>
      <c r="F60" s="35"/>
      <c r="G60" s="34"/>
      <c r="H60" s="34"/>
      <c r="I60" s="34"/>
      <c r="J60" s="34"/>
      <c r="K60" s="34"/>
      <c r="L60" s="102"/>
      <c r="M60" s="34"/>
      <c r="N60" s="35"/>
      <c r="O60" s="203">
        <v>0.93490804699999996</v>
      </c>
      <c r="Q60" s="25"/>
      <c r="R60" s="300"/>
    </row>
    <row r="61" spans="1:18" s="1" customFormat="1" ht="18.95" customHeight="1">
      <c r="A61" s="220"/>
      <c r="B61" s="302" t="s">
        <v>4080</v>
      </c>
      <c r="C61" s="221"/>
      <c r="D61" s="267"/>
      <c r="E61" s="34"/>
      <c r="F61" s="35"/>
      <c r="G61" s="34"/>
      <c r="H61" s="34"/>
      <c r="I61" s="34"/>
      <c r="J61" s="34"/>
      <c r="K61" s="34"/>
      <c r="L61" s="102"/>
      <c r="M61" s="34"/>
      <c r="N61" s="35"/>
      <c r="O61" s="203">
        <v>0.93490804699999996</v>
      </c>
      <c r="P61" s="203"/>
      <c r="Q61" s="34"/>
      <c r="R61" s="300"/>
    </row>
    <row r="62" spans="1:18" s="1" customFormat="1" ht="18.95" customHeight="1">
      <c r="A62" s="28">
        <v>1</v>
      </c>
      <c r="B62" s="27" t="s">
        <v>4081</v>
      </c>
      <c r="C62" s="29"/>
      <c r="D62" s="267"/>
      <c r="E62" s="25">
        <v>6</v>
      </c>
      <c r="F62" s="26" t="s">
        <v>4082</v>
      </c>
      <c r="G62" s="25">
        <v>5800</v>
      </c>
      <c r="H62" s="25">
        <f>G62*O62</f>
        <v>5422.4666725999996</v>
      </c>
      <c r="I62" s="25">
        <f>E62*H62</f>
        <v>32534.800035599997</v>
      </c>
      <c r="J62" s="30">
        <v>0</v>
      </c>
      <c r="K62" s="30"/>
      <c r="L62" s="30">
        <v>0</v>
      </c>
      <c r="M62" s="25">
        <f t="shared" ref="M62:M67" si="6">I62+L62</f>
        <v>32534.800035599997</v>
      </c>
      <c r="N62" s="26"/>
      <c r="O62" s="203">
        <v>0.93490804699999996</v>
      </c>
      <c r="P62" s="203"/>
      <c r="Q62" s="34"/>
      <c r="R62" s="300"/>
    </row>
    <row r="63" spans="1:18" s="1" customFormat="1" ht="18.95" customHeight="1">
      <c r="A63" s="28">
        <v>2</v>
      </c>
      <c r="B63" s="27" t="s">
        <v>4083</v>
      </c>
      <c r="C63" s="29"/>
      <c r="D63" s="267"/>
      <c r="E63" s="25">
        <v>2</v>
      </c>
      <c r="F63" s="26" t="s">
        <v>349</v>
      </c>
      <c r="G63" s="25">
        <v>24000</v>
      </c>
      <c r="H63" s="25">
        <f>G63*O63</f>
        <v>22437.793127999998</v>
      </c>
      <c r="I63" s="25">
        <f t="shared" ref="I63:I69" si="7">E63*H63</f>
        <v>44875.586255999995</v>
      </c>
      <c r="J63" s="30">
        <v>0</v>
      </c>
      <c r="K63" s="30"/>
      <c r="L63" s="30">
        <v>0</v>
      </c>
      <c r="M63" s="25">
        <f t="shared" si="6"/>
        <v>44875.586255999995</v>
      </c>
      <c r="N63" s="26"/>
      <c r="O63" s="203">
        <v>0.93490804699999996</v>
      </c>
      <c r="Q63" s="34"/>
      <c r="R63" s="300"/>
    </row>
    <row r="64" spans="1:18" s="1" customFormat="1" ht="18.95" customHeight="1">
      <c r="A64" s="28">
        <v>3</v>
      </c>
      <c r="B64" s="27" t="s">
        <v>4084</v>
      </c>
      <c r="C64" s="29"/>
      <c r="D64" s="267"/>
      <c r="E64" s="25">
        <v>1</v>
      </c>
      <c r="F64" s="26" t="s">
        <v>4082</v>
      </c>
      <c r="G64" s="25">
        <v>36700</v>
      </c>
      <c r="H64" s="25">
        <f>G64*O64</f>
        <v>34311.1253249</v>
      </c>
      <c r="I64" s="25">
        <f t="shared" si="7"/>
        <v>34311.1253249</v>
      </c>
      <c r="J64" s="30">
        <v>0</v>
      </c>
      <c r="K64" s="30"/>
      <c r="L64" s="30">
        <v>0</v>
      </c>
      <c r="M64" s="25">
        <f t="shared" si="6"/>
        <v>34311.1253249</v>
      </c>
      <c r="N64" s="26"/>
      <c r="O64" s="203">
        <v>0.93490804699999996</v>
      </c>
      <c r="Q64" s="34"/>
      <c r="R64" s="300"/>
    </row>
    <row r="65" spans="1:18" ht="18.95" customHeight="1">
      <c r="A65" s="28">
        <v>4</v>
      </c>
      <c r="B65" s="27" t="s">
        <v>4085</v>
      </c>
      <c r="C65" s="29"/>
      <c r="D65" s="267"/>
      <c r="E65" s="25">
        <v>1</v>
      </c>
      <c r="F65" s="26" t="s">
        <v>4063</v>
      </c>
      <c r="G65" s="25">
        <v>14250</v>
      </c>
      <c r="H65" s="25">
        <f t="shared" ref="H65:H69" si="8">G65*O65</f>
        <v>13322.43966975</v>
      </c>
      <c r="I65" s="25">
        <f t="shared" si="7"/>
        <v>13322.43966975</v>
      </c>
      <c r="J65" s="30">
        <v>0</v>
      </c>
      <c r="K65" s="30"/>
      <c r="L65" s="30">
        <v>0</v>
      </c>
      <c r="M65" s="25">
        <f t="shared" si="6"/>
        <v>13322.43966975</v>
      </c>
      <c r="N65" s="26"/>
      <c r="O65" s="203">
        <v>0.93490804699999996</v>
      </c>
      <c r="Q65" s="25"/>
      <c r="R65" s="300"/>
    </row>
    <row r="66" spans="1:18" ht="18.95" customHeight="1">
      <c r="A66" s="28">
        <v>5</v>
      </c>
      <c r="B66" s="27" t="s">
        <v>4086</v>
      </c>
      <c r="C66" s="29"/>
      <c r="D66" s="267"/>
      <c r="E66" s="25">
        <v>1</v>
      </c>
      <c r="F66" s="26" t="s">
        <v>4063</v>
      </c>
      <c r="G66" s="25">
        <v>28500</v>
      </c>
      <c r="H66" s="25">
        <f t="shared" si="8"/>
        <v>26644.879339499999</v>
      </c>
      <c r="I66" s="25">
        <f t="shared" si="7"/>
        <v>26644.879339499999</v>
      </c>
      <c r="J66" s="30">
        <v>0</v>
      </c>
      <c r="K66" s="30"/>
      <c r="L66" s="30">
        <v>0</v>
      </c>
      <c r="M66" s="25">
        <f t="shared" si="6"/>
        <v>26644.879339499999</v>
      </c>
      <c r="N66" s="26"/>
      <c r="O66" s="203">
        <v>0.93490804699999996</v>
      </c>
      <c r="Q66" s="25"/>
      <c r="R66" s="300"/>
    </row>
    <row r="67" spans="1:18" ht="18.95" customHeight="1">
      <c r="A67" s="28">
        <v>6</v>
      </c>
      <c r="B67" s="27" t="s">
        <v>4087</v>
      </c>
      <c r="C67" s="29"/>
      <c r="D67" s="267"/>
      <c r="E67" s="25">
        <v>1</v>
      </c>
      <c r="F67" s="26" t="s">
        <v>1512</v>
      </c>
      <c r="G67" s="25">
        <v>14250</v>
      </c>
      <c r="H67" s="25">
        <f t="shared" si="8"/>
        <v>13322.43966975</v>
      </c>
      <c r="I67" s="25">
        <f t="shared" si="7"/>
        <v>13322.43966975</v>
      </c>
      <c r="J67" s="30">
        <v>0</v>
      </c>
      <c r="K67" s="30"/>
      <c r="L67" s="30">
        <v>0</v>
      </c>
      <c r="M67" s="25">
        <f t="shared" si="6"/>
        <v>13322.43966975</v>
      </c>
      <c r="N67" s="26"/>
      <c r="O67" s="203">
        <v>0.93490804699999996</v>
      </c>
      <c r="Q67" s="25"/>
      <c r="R67" s="300"/>
    </row>
    <row r="68" spans="1:18" ht="18.95" customHeight="1">
      <c r="A68" s="220"/>
      <c r="B68" s="302" t="s">
        <v>4088</v>
      </c>
      <c r="C68" s="221"/>
      <c r="D68" s="267"/>
      <c r="E68" s="34"/>
      <c r="F68" s="35"/>
      <c r="G68" s="34"/>
      <c r="H68" s="34"/>
      <c r="I68" s="25" t="s">
        <v>151</v>
      </c>
      <c r="J68" s="102"/>
      <c r="K68" s="102"/>
      <c r="L68" s="102"/>
      <c r="M68" s="34"/>
      <c r="N68" s="35"/>
      <c r="O68" s="203">
        <v>0.93490804699999996</v>
      </c>
      <c r="Q68" s="25"/>
      <c r="R68" s="300"/>
    </row>
    <row r="69" spans="1:18" ht="18.95" customHeight="1">
      <c r="A69" s="28">
        <v>7</v>
      </c>
      <c r="B69" s="27" t="s">
        <v>4089</v>
      </c>
      <c r="C69" s="29"/>
      <c r="D69" s="267"/>
      <c r="E69" s="25">
        <v>1</v>
      </c>
      <c r="F69" s="26" t="s">
        <v>4061</v>
      </c>
      <c r="G69" s="25">
        <v>170000</v>
      </c>
      <c r="H69" s="25">
        <f t="shared" si="8"/>
        <v>158934.36799</v>
      </c>
      <c r="I69" s="25">
        <f t="shared" si="7"/>
        <v>158934.36799</v>
      </c>
      <c r="J69" s="30">
        <v>0</v>
      </c>
      <c r="K69" s="30"/>
      <c r="L69" s="30">
        <v>0</v>
      </c>
      <c r="M69" s="25">
        <f>I69+L69</f>
        <v>158934.36799</v>
      </c>
      <c r="N69" s="26"/>
      <c r="O69" s="203">
        <v>0.93490804699999996</v>
      </c>
      <c r="Q69" s="25"/>
      <c r="R69" s="300"/>
    </row>
    <row r="70" spans="1:18" ht="18.95" customHeight="1">
      <c r="A70" s="28">
        <v>8</v>
      </c>
      <c r="B70" s="27" t="s">
        <v>4090</v>
      </c>
      <c r="C70" s="29"/>
      <c r="D70" s="267"/>
      <c r="E70" s="25">
        <v>1</v>
      </c>
      <c r="F70" s="26" t="s">
        <v>788</v>
      </c>
      <c r="G70" s="25">
        <v>0</v>
      </c>
      <c r="H70" s="25"/>
      <c r="I70" s="25">
        <f>E70*G70</f>
        <v>0</v>
      </c>
      <c r="J70" s="30">
        <v>40000</v>
      </c>
      <c r="K70" s="30">
        <f>J70*O70</f>
        <v>37396.321879999996</v>
      </c>
      <c r="L70" s="30">
        <f>K70*E70</f>
        <v>37396.321879999996</v>
      </c>
      <c r="M70" s="25">
        <f>I70+L70</f>
        <v>37396.321879999996</v>
      </c>
      <c r="N70" s="26"/>
      <c r="O70" s="203">
        <v>0.93490804699999996</v>
      </c>
      <c r="Q70" s="25"/>
      <c r="R70" s="300"/>
    </row>
    <row r="71" spans="1:18" s="1" customFormat="1" ht="18.95" customHeight="1">
      <c r="A71" s="28"/>
      <c r="B71" s="27"/>
      <c r="C71" s="29"/>
      <c r="D71" s="267"/>
      <c r="E71" s="25"/>
      <c r="F71" s="26"/>
      <c r="G71" s="25"/>
      <c r="H71" s="25"/>
      <c r="I71" s="25"/>
      <c r="J71" s="30"/>
      <c r="K71" s="30"/>
      <c r="L71" s="30"/>
      <c r="M71" s="25"/>
      <c r="N71" s="26"/>
      <c r="O71" s="203">
        <v>0.93490804699999996</v>
      </c>
      <c r="Q71" s="34"/>
      <c r="R71" s="300"/>
    </row>
    <row r="72" spans="1:18" ht="18.95" customHeight="1">
      <c r="A72" s="339"/>
      <c r="B72" s="1275" t="s">
        <v>4091</v>
      </c>
      <c r="C72" s="1276"/>
      <c r="D72" s="1277"/>
      <c r="E72" s="34"/>
      <c r="F72" s="126"/>
      <c r="G72" s="34"/>
      <c r="H72" s="34"/>
      <c r="I72" s="34">
        <f>SUM(I62:I71)</f>
        <v>323945.6382855</v>
      </c>
      <c r="J72" s="34"/>
      <c r="K72" s="34"/>
      <c r="L72" s="34">
        <f>SUM(L62:L71)</f>
        <v>37396.321879999996</v>
      </c>
      <c r="M72" s="34">
        <f>SUM(M62:M71)</f>
        <v>361341.9601655</v>
      </c>
      <c r="N72" s="35"/>
      <c r="O72" s="203">
        <v>0.93490804699999996</v>
      </c>
      <c r="Q72" s="25"/>
      <c r="R72" s="300"/>
    </row>
    <row r="73" spans="1:18" ht="18.95" customHeight="1">
      <c r="A73" s="339"/>
      <c r="B73" s="256"/>
      <c r="C73" s="257"/>
      <c r="D73" s="258"/>
      <c r="E73" s="34"/>
      <c r="F73" s="126"/>
      <c r="G73" s="34"/>
      <c r="H73" s="34"/>
      <c r="I73" s="34"/>
      <c r="J73" s="34"/>
      <c r="K73" s="34"/>
      <c r="L73" s="34"/>
      <c r="M73" s="34"/>
      <c r="N73" s="35"/>
      <c r="O73" s="203">
        <v>0.93490804699999996</v>
      </c>
      <c r="Q73" s="25"/>
      <c r="R73" s="300"/>
    </row>
    <row r="74" spans="1:18" ht="18.95" customHeight="1">
      <c r="A74" s="339">
        <v>3</v>
      </c>
      <c r="B74" s="302" t="s">
        <v>900</v>
      </c>
      <c r="C74" s="221"/>
      <c r="D74" s="258"/>
      <c r="E74" s="34"/>
      <c r="F74" s="126"/>
      <c r="G74" s="34"/>
      <c r="H74" s="34"/>
      <c r="I74" s="34"/>
      <c r="J74" s="34"/>
      <c r="K74" s="34"/>
      <c r="L74" s="34"/>
      <c r="M74" s="34"/>
      <c r="N74" s="35"/>
      <c r="O74" s="203">
        <v>0.93490804699999996</v>
      </c>
      <c r="Q74" s="25"/>
      <c r="R74" s="300"/>
    </row>
    <row r="75" spans="1:18" s="1" customFormat="1" ht="18.95" customHeight="1">
      <c r="A75" s="220"/>
      <c r="B75" s="302" t="s">
        <v>4092</v>
      </c>
      <c r="C75" s="221"/>
      <c r="D75" s="267"/>
      <c r="E75" s="34"/>
      <c r="F75" s="34"/>
      <c r="G75" s="34"/>
      <c r="H75" s="34"/>
      <c r="I75" s="34"/>
      <c r="J75" s="34"/>
      <c r="K75" s="34"/>
      <c r="L75" s="34"/>
      <c r="M75" s="34"/>
      <c r="N75" s="345"/>
      <c r="O75" s="203">
        <v>0.93490804699999996</v>
      </c>
      <c r="Q75" s="34"/>
      <c r="R75" s="300"/>
    </row>
    <row r="76" spans="1:18" s="1" customFormat="1" ht="18.95" customHeight="1">
      <c r="A76" s="220"/>
      <c r="B76" s="302" t="s">
        <v>4093</v>
      </c>
      <c r="C76" s="221"/>
      <c r="D76" s="267"/>
      <c r="E76" s="34"/>
      <c r="F76" s="35"/>
      <c r="G76" s="34"/>
      <c r="H76" s="34"/>
      <c r="I76" s="34"/>
      <c r="J76" s="34"/>
      <c r="K76" s="34"/>
      <c r="L76" s="102"/>
      <c r="M76" s="34"/>
      <c r="N76" s="35"/>
      <c r="O76" s="203">
        <v>0.93490804699999996</v>
      </c>
      <c r="Q76" s="34"/>
      <c r="R76" s="300"/>
    </row>
    <row r="77" spans="1:18" s="1" customFormat="1" ht="18.95" customHeight="1">
      <c r="A77" s="28">
        <v>1</v>
      </c>
      <c r="B77" s="27" t="s">
        <v>4083</v>
      </c>
      <c r="C77" s="29"/>
      <c r="D77" s="267"/>
      <c r="E77" s="25">
        <v>1</v>
      </c>
      <c r="F77" s="26" t="s">
        <v>349</v>
      </c>
      <c r="G77" s="25">
        <v>24000</v>
      </c>
      <c r="H77" s="25">
        <f t="shared" ref="H77:H97" si="9">G77*O77</f>
        <v>22437.793127999998</v>
      </c>
      <c r="I77" s="25">
        <f t="shared" ref="I77:I97" si="10">E77*H77</f>
        <v>22437.793127999998</v>
      </c>
      <c r="J77" s="30">
        <v>0</v>
      </c>
      <c r="K77" s="30"/>
      <c r="L77" s="30">
        <v>0</v>
      </c>
      <c r="M77" s="25">
        <f t="shared" ref="M77:M98" si="11">I77+L77</f>
        <v>22437.793127999998</v>
      </c>
      <c r="N77" s="26"/>
      <c r="O77" s="203">
        <v>0.93490804699999996</v>
      </c>
      <c r="Q77" s="34"/>
      <c r="R77" s="300"/>
    </row>
    <row r="78" spans="1:18" s="1" customFormat="1" ht="18.95" customHeight="1">
      <c r="A78" s="28">
        <v>2</v>
      </c>
      <c r="B78" s="27" t="s">
        <v>4094</v>
      </c>
      <c r="C78" s="29"/>
      <c r="D78" s="267"/>
      <c r="E78" s="25">
        <v>1</v>
      </c>
      <c r="F78" s="26" t="s">
        <v>349</v>
      </c>
      <c r="G78" s="25">
        <v>25400</v>
      </c>
      <c r="H78" s="25">
        <f t="shared" si="9"/>
        <v>23746.664393799998</v>
      </c>
      <c r="I78" s="25">
        <f t="shared" si="10"/>
        <v>23746.664393799998</v>
      </c>
      <c r="J78" s="30">
        <v>0</v>
      </c>
      <c r="K78" s="30"/>
      <c r="L78" s="30">
        <v>0</v>
      </c>
      <c r="M78" s="25">
        <f t="shared" si="11"/>
        <v>23746.664393799998</v>
      </c>
      <c r="N78" s="26"/>
      <c r="O78" s="203">
        <v>0.93490804699999996</v>
      </c>
      <c r="Q78" s="34"/>
      <c r="R78" s="300"/>
    </row>
    <row r="79" spans="1:18" s="1" customFormat="1" ht="18.95" customHeight="1">
      <c r="A79" s="28">
        <v>3</v>
      </c>
      <c r="B79" s="27" t="s">
        <v>4095</v>
      </c>
      <c r="C79" s="29"/>
      <c r="D79" s="267"/>
      <c r="E79" s="25">
        <v>2</v>
      </c>
      <c r="F79" s="26" t="s">
        <v>1512</v>
      </c>
      <c r="G79" s="25">
        <v>7600</v>
      </c>
      <c r="H79" s="25">
        <f t="shared" si="9"/>
        <v>7105.3011571999996</v>
      </c>
      <c r="I79" s="25">
        <f t="shared" si="10"/>
        <v>14210.602314399999</v>
      </c>
      <c r="J79" s="30">
        <v>0</v>
      </c>
      <c r="K79" s="30"/>
      <c r="L79" s="30">
        <v>0</v>
      </c>
      <c r="M79" s="25">
        <f t="shared" si="11"/>
        <v>14210.602314399999</v>
      </c>
      <c r="N79" s="26"/>
      <c r="O79" s="203">
        <v>0.93490804699999996</v>
      </c>
      <c r="Q79" s="34"/>
      <c r="R79" s="300"/>
    </row>
    <row r="80" spans="1:18" ht="18.95" customHeight="1">
      <c r="A80" s="28">
        <v>4</v>
      </c>
      <c r="B80" s="27" t="s">
        <v>4096</v>
      </c>
      <c r="C80" s="29"/>
      <c r="D80" s="267"/>
      <c r="E80" s="25">
        <v>1</v>
      </c>
      <c r="F80" s="26" t="s">
        <v>349</v>
      </c>
      <c r="G80" s="25">
        <v>209000</v>
      </c>
      <c r="H80" s="25">
        <f t="shared" si="9"/>
        <v>195395.781823</v>
      </c>
      <c r="I80" s="25">
        <f t="shared" si="10"/>
        <v>195395.781823</v>
      </c>
      <c r="J80" s="30">
        <v>0</v>
      </c>
      <c r="K80" s="30"/>
      <c r="L80" s="30">
        <v>0</v>
      </c>
      <c r="M80" s="25">
        <f t="shared" si="11"/>
        <v>195395.781823</v>
      </c>
      <c r="N80" s="26"/>
      <c r="O80" s="203">
        <v>0.93490804699999996</v>
      </c>
      <c r="Q80" s="25"/>
      <c r="R80" s="300"/>
    </row>
    <row r="81" spans="1:18" ht="18.95" customHeight="1">
      <c r="A81" s="28">
        <v>5</v>
      </c>
      <c r="B81" s="27" t="s">
        <v>4097</v>
      </c>
      <c r="C81" s="29"/>
      <c r="D81" s="267"/>
      <c r="E81" s="25">
        <v>1</v>
      </c>
      <c r="F81" s="26" t="s">
        <v>349</v>
      </c>
      <c r="G81" s="25">
        <v>26600</v>
      </c>
      <c r="H81" s="25">
        <f t="shared" si="9"/>
        <v>24868.5540502</v>
      </c>
      <c r="I81" s="25">
        <f t="shared" si="10"/>
        <v>24868.5540502</v>
      </c>
      <c r="J81" s="30">
        <v>0</v>
      </c>
      <c r="K81" s="30"/>
      <c r="L81" s="30">
        <v>0</v>
      </c>
      <c r="M81" s="25">
        <f t="shared" si="11"/>
        <v>24868.5540502</v>
      </c>
      <c r="N81" s="26"/>
      <c r="O81" s="203">
        <v>0.93490804699999996</v>
      </c>
      <c r="Q81" s="25"/>
      <c r="R81" s="300"/>
    </row>
    <row r="82" spans="1:18" ht="18.95" customHeight="1">
      <c r="A82" s="28">
        <v>6</v>
      </c>
      <c r="B82" s="27" t="s">
        <v>4098</v>
      </c>
      <c r="C82" s="29"/>
      <c r="D82" s="267"/>
      <c r="E82" s="25">
        <v>1</v>
      </c>
      <c r="F82" s="26" t="s">
        <v>4099</v>
      </c>
      <c r="G82" s="25">
        <v>9400</v>
      </c>
      <c r="H82" s="25">
        <f t="shared" si="9"/>
        <v>8788.1356417999996</v>
      </c>
      <c r="I82" s="25">
        <f t="shared" si="10"/>
        <v>8788.1356417999996</v>
      </c>
      <c r="J82" s="30">
        <v>0</v>
      </c>
      <c r="K82" s="30"/>
      <c r="L82" s="30">
        <v>0</v>
      </c>
      <c r="M82" s="25">
        <f t="shared" si="11"/>
        <v>8788.1356417999996</v>
      </c>
      <c r="N82" s="26"/>
      <c r="O82" s="203">
        <v>0.93490804699999996</v>
      </c>
      <c r="Q82" s="25"/>
      <c r="R82" s="300"/>
    </row>
    <row r="83" spans="1:18" ht="18.95" customHeight="1">
      <c r="A83" s="28">
        <v>7</v>
      </c>
      <c r="B83" s="27" t="s">
        <v>4100</v>
      </c>
      <c r="C83" s="29"/>
      <c r="D83" s="267"/>
      <c r="E83" s="25">
        <v>1</v>
      </c>
      <c r="F83" s="26" t="s">
        <v>349</v>
      </c>
      <c r="G83" s="25">
        <v>142500</v>
      </c>
      <c r="H83" s="25">
        <f t="shared" si="9"/>
        <v>133224.39669749999</v>
      </c>
      <c r="I83" s="25">
        <f t="shared" si="10"/>
        <v>133224.39669749999</v>
      </c>
      <c r="J83" s="30">
        <v>0</v>
      </c>
      <c r="K83" s="30"/>
      <c r="L83" s="30">
        <v>0</v>
      </c>
      <c r="M83" s="25">
        <f t="shared" si="11"/>
        <v>133224.39669749999</v>
      </c>
      <c r="N83" s="26"/>
      <c r="O83" s="203">
        <v>0.93490804699999996</v>
      </c>
      <c r="Q83" s="25"/>
      <c r="R83" s="300"/>
    </row>
    <row r="84" spans="1:18" ht="18.95" customHeight="1">
      <c r="A84" s="28">
        <v>8</v>
      </c>
      <c r="B84" s="27" t="s">
        <v>4101</v>
      </c>
      <c r="C84" s="29"/>
      <c r="D84" s="267"/>
      <c r="E84" s="25">
        <v>1</v>
      </c>
      <c r="F84" s="26" t="s">
        <v>4063</v>
      </c>
      <c r="G84" s="25">
        <v>176700</v>
      </c>
      <c r="H84" s="25">
        <f t="shared" si="9"/>
        <v>165198.25190489998</v>
      </c>
      <c r="I84" s="25">
        <f t="shared" si="10"/>
        <v>165198.25190489998</v>
      </c>
      <c r="J84" s="30">
        <v>0</v>
      </c>
      <c r="K84" s="30"/>
      <c r="L84" s="30">
        <v>0</v>
      </c>
      <c r="M84" s="25">
        <f t="shared" si="11"/>
        <v>165198.25190489998</v>
      </c>
      <c r="N84" s="26"/>
      <c r="O84" s="203">
        <v>0.93490804699999996</v>
      </c>
      <c r="Q84" s="25"/>
      <c r="R84" s="300"/>
    </row>
    <row r="85" spans="1:18" ht="18.95" customHeight="1">
      <c r="A85" s="28">
        <v>9</v>
      </c>
      <c r="B85" s="27" t="s">
        <v>4102</v>
      </c>
      <c r="C85" s="29"/>
      <c r="D85" s="267"/>
      <c r="E85" s="25">
        <v>2</v>
      </c>
      <c r="F85" s="26" t="s">
        <v>4019</v>
      </c>
      <c r="G85" s="25">
        <v>1500</v>
      </c>
      <c r="H85" s="25">
        <f t="shared" si="9"/>
        <v>1402.3620704999998</v>
      </c>
      <c r="I85" s="25">
        <f t="shared" si="10"/>
        <v>2804.7241409999997</v>
      </c>
      <c r="J85" s="30">
        <v>0</v>
      </c>
      <c r="K85" s="30"/>
      <c r="L85" s="30">
        <v>0</v>
      </c>
      <c r="M85" s="25">
        <f t="shared" si="11"/>
        <v>2804.7241409999997</v>
      </c>
      <c r="N85" s="26"/>
      <c r="O85" s="203">
        <v>0.93490804699999996</v>
      </c>
      <c r="Q85" s="25"/>
      <c r="R85" s="300"/>
    </row>
    <row r="86" spans="1:18" ht="18.95" customHeight="1">
      <c r="A86" s="28">
        <v>10</v>
      </c>
      <c r="B86" s="27" t="s">
        <v>4103</v>
      </c>
      <c r="C86" s="29"/>
      <c r="D86" s="267"/>
      <c r="E86" s="25">
        <v>2</v>
      </c>
      <c r="F86" s="26" t="s">
        <v>349</v>
      </c>
      <c r="G86" s="25">
        <v>10900</v>
      </c>
      <c r="H86" s="25">
        <f t="shared" si="9"/>
        <v>10190.497712299999</v>
      </c>
      <c r="I86" s="25">
        <f t="shared" si="10"/>
        <v>20380.995424599998</v>
      </c>
      <c r="J86" s="30">
        <v>0</v>
      </c>
      <c r="K86" s="30"/>
      <c r="L86" s="30">
        <v>0</v>
      </c>
      <c r="M86" s="25">
        <f t="shared" si="11"/>
        <v>20380.995424599998</v>
      </c>
      <c r="N86" s="26"/>
      <c r="O86" s="203">
        <v>0.93490804699999996</v>
      </c>
      <c r="Q86" s="54"/>
      <c r="R86" s="300"/>
    </row>
    <row r="87" spans="1:18" ht="18.95" customHeight="1">
      <c r="A87" s="28">
        <v>11</v>
      </c>
      <c r="B87" s="27" t="s">
        <v>4104</v>
      </c>
      <c r="C87" s="29"/>
      <c r="D87" s="267"/>
      <c r="E87" s="25">
        <v>2</v>
      </c>
      <c r="F87" s="26" t="s">
        <v>349</v>
      </c>
      <c r="G87" s="25">
        <v>8000</v>
      </c>
      <c r="H87" s="25">
        <f t="shared" si="9"/>
        <v>7479.2643760000001</v>
      </c>
      <c r="I87" s="25">
        <f t="shared" si="10"/>
        <v>14958.528752</v>
      </c>
      <c r="J87" s="30">
        <v>0</v>
      </c>
      <c r="K87" s="30"/>
      <c r="L87" s="30">
        <v>0</v>
      </c>
      <c r="M87" s="25">
        <f t="shared" si="11"/>
        <v>14958.528752</v>
      </c>
      <c r="N87" s="26"/>
      <c r="O87" s="203">
        <v>0.93490804699999996</v>
      </c>
      <c r="Q87" s="18"/>
      <c r="R87" s="300"/>
    </row>
    <row r="88" spans="1:18" ht="18.95" customHeight="1">
      <c r="A88" s="28">
        <v>12</v>
      </c>
      <c r="B88" s="27" t="s">
        <v>4105</v>
      </c>
      <c r="C88" s="29"/>
      <c r="D88" s="267"/>
      <c r="E88" s="25">
        <v>2</v>
      </c>
      <c r="F88" s="26" t="s">
        <v>349</v>
      </c>
      <c r="G88" s="25">
        <v>4275</v>
      </c>
      <c r="H88" s="25">
        <f t="shared" si="9"/>
        <v>3996.731900925</v>
      </c>
      <c r="I88" s="25">
        <f t="shared" si="10"/>
        <v>7993.46380185</v>
      </c>
      <c r="J88" s="30">
        <v>0</v>
      </c>
      <c r="K88" s="30"/>
      <c r="L88" s="30">
        <v>0</v>
      </c>
      <c r="M88" s="25">
        <f t="shared" si="11"/>
        <v>7993.46380185</v>
      </c>
      <c r="N88" s="26"/>
      <c r="O88" s="203">
        <v>0.93490804699999996</v>
      </c>
      <c r="Q88" s="25"/>
      <c r="R88" s="300"/>
    </row>
    <row r="89" spans="1:18" ht="18.95" customHeight="1">
      <c r="A89" s="28">
        <v>13</v>
      </c>
      <c r="B89" s="27" t="s">
        <v>4106</v>
      </c>
      <c r="C89" s="29"/>
      <c r="D89" s="267"/>
      <c r="E89" s="25">
        <v>2</v>
      </c>
      <c r="F89" s="26" t="s">
        <v>349</v>
      </c>
      <c r="G89" s="25">
        <v>42750</v>
      </c>
      <c r="H89" s="25">
        <f t="shared" si="9"/>
        <v>39967.319009250001</v>
      </c>
      <c r="I89" s="25">
        <f t="shared" si="10"/>
        <v>79934.638018500002</v>
      </c>
      <c r="J89" s="30">
        <v>0</v>
      </c>
      <c r="K89" s="30"/>
      <c r="L89" s="30">
        <v>0</v>
      </c>
      <c r="M89" s="25">
        <f t="shared" si="11"/>
        <v>79934.638018500002</v>
      </c>
      <c r="N89" s="26"/>
      <c r="O89" s="203">
        <v>0.93490804699999996</v>
      </c>
      <c r="Q89" s="25"/>
      <c r="R89" s="300"/>
    </row>
    <row r="90" spans="1:18" ht="18.95" customHeight="1">
      <c r="A90" s="28">
        <v>14</v>
      </c>
      <c r="B90" s="27" t="s">
        <v>4107</v>
      </c>
      <c r="C90" s="29"/>
      <c r="D90" s="267"/>
      <c r="E90" s="25">
        <v>2</v>
      </c>
      <c r="F90" s="26" t="s">
        <v>349</v>
      </c>
      <c r="G90" s="25">
        <v>15200</v>
      </c>
      <c r="H90" s="25">
        <f t="shared" si="9"/>
        <v>14210.602314399999</v>
      </c>
      <c r="I90" s="25">
        <f t="shared" si="10"/>
        <v>28421.204628799998</v>
      </c>
      <c r="J90" s="30">
        <v>0</v>
      </c>
      <c r="K90" s="30"/>
      <c r="L90" s="30">
        <v>0</v>
      </c>
      <c r="M90" s="25">
        <f t="shared" si="11"/>
        <v>28421.204628799998</v>
      </c>
      <c r="N90" s="26"/>
      <c r="O90" s="203">
        <v>0.93490804699999996</v>
      </c>
      <c r="Q90" s="25"/>
      <c r="R90" s="300"/>
    </row>
    <row r="91" spans="1:18" ht="18.95" customHeight="1">
      <c r="A91" s="28">
        <v>15</v>
      </c>
      <c r="B91" s="27" t="s">
        <v>4108</v>
      </c>
      <c r="C91" s="29"/>
      <c r="D91" s="267"/>
      <c r="E91" s="25">
        <v>1</v>
      </c>
      <c r="F91" s="26" t="s">
        <v>4063</v>
      </c>
      <c r="G91" s="25">
        <v>14250</v>
      </c>
      <c r="H91" s="25">
        <f t="shared" si="9"/>
        <v>13322.43966975</v>
      </c>
      <c r="I91" s="25">
        <f t="shared" si="10"/>
        <v>13322.43966975</v>
      </c>
      <c r="J91" s="30">
        <v>0</v>
      </c>
      <c r="K91" s="30"/>
      <c r="L91" s="30">
        <v>0</v>
      </c>
      <c r="M91" s="25">
        <f t="shared" si="11"/>
        <v>13322.43966975</v>
      </c>
      <c r="N91" s="26"/>
      <c r="O91" s="203">
        <v>0.93490804699999996</v>
      </c>
      <c r="Q91" s="25"/>
      <c r="R91" s="300"/>
    </row>
    <row r="92" spans="1:18" ht="18.95" customHeight="1">
      <c r="A92" s="28">
        <v>16</v>
      </c>
      <c r="B92" s="27" t="s">
        <v>4109</v>
      </c>
      <c r="C92" s="29"/>
      <c r="D92" s="267"/>
      <c r="E92" s="25">
        <v>1</v>
      </c>
      <c r="F92" s="26" t="s">
        <v>4063</v>
      </c>
      <c r="G92" s="25">
        <v>4750</v>
      </c>
      <c r="H92" s="25">
        <f t="shared" si="9"/>
        <v>4440.8132232500002</v>
      </c>
      <c r="I92" s="25">
        <f t="shared" si="10"/>
        <v>4440.8132232500002</v>
      </c>
      <c r="J92" s="30">
        <v>0</v>
      </c>
      <c r="K92" s="30"/>
      <c r="L92" s="30">
        <v>0</v>
      </c>
      <c r="M92" s="25">
        <f t="shared" si="11"/>
        <v>4440.8132232500002</v>
      </c>
      <c r="N92" s="26"/>
      <c r="O92" s="203">
        <v>0.93490804699999996</v>
      </c>
      <c r="Q92" s="25"/>
      <c r="R92" s="300"/>
    </row>
    <row r="93" spans="1:18" ht="18.95" customHeight="1">
      <c r="A93" s="28">
        <v>17</v>
      </c>
      <c r="B93" s="27" t="s">
        <v>4110</v>
      </c>
      <c r="C93" s="29"/>
      <c r="D93" s="267"/>
      <c r="E93" s="25">
        <v>1</v>
      </c>
      <c r="F93" s="26" t="s">
        <v>349</v>
      </c>
      <c r="G93" s="25">
        <v>11400</v>
      </c>
      <c r="H93" s="25">
        <f t="shared" si="9"/>
        <v>10657.951735799999</v>
      </c>
      <c r="I93" s="25">
        <f t="shared" si="10"/>
        <v>10657.951735799999</v>
      </c>
      <c r="J93" s="30">
        <v>0</v>
      </c>
      <c r="K93" s="30"/>
      <c r="L93" s="30">
        <v>0</v>
      </c>
      <c r="M93" s="25">
        <f t="shared" si="11"/>
        <v>10657.951735799999</v>
      </c>
      <c r="N93" s="26"/>
      <c r="O93" s="203">
        <v>0.93490804699999996</v>
      </c>
      <c r="Q93" s="25"/>
      <c r="R93" s="300"/>
    </row>
    <row r="94" spans="1:18" ht="18.95" customHeight="1">
      <c r="A94" s="28">
        <v>18</v>
      </c>
      <c r="B94" s="27" t="s">
        <v>4111</v>
      </c>
      <c r="C94" s="29"/>
      <c r="D94" s="267"/>
      <c r="E94" s="25">
        <v>4</v>
      </c>
      <c r="F94" s="26" t="s">
        <v>4112</v>
      </c>
      <c r="G94" s="25">
        <v>19000</v>
      </c>
      <c r="H94" s="25">
        <f t="shared" si="9"/>
        <v>17763.252893000001</v>
      </c>
      <c r="I94" s="25">
        <f t="shared" si="10"/>
        <v>71053.011572000003</v>
      </c>
      <c r="J94" s="30">
        <v>0</v>
      </c>
      <c r="K94" s="30"/>
      <c r="L94" s="30">
        <v>0</v>
      </c>
      <c r="M94" s="25">
        <f t="shared" si="11"/>
        <v>71053.011572000003</v>
      </c>
      <c r="N94" s="26"/>
      <c r="O94" s="203">
        <v>0.93490804699999996</v>
      </c>
      <c r="Q94" s="25"/>
      <c r="R94" s="300"/>
    </row>
    <row r="95" spans="1:18" ht="18.95" customHeight="1">
      <c r="A95" s="28">
        <v>19</v>
      </c>
      <c r="B95" s="27" t="s">
        <v>4113</v>
      </c>
      <c r="C95" s="29"/>
      <c r="D95" s="267"/>
      <c r="E95" s="25">
        <v>1</v>
      </c>
      <c r="F95" s="26" t="s">
        <v>349</v>
      </c>
      <c r="G95" s="25">
        <v>6175</v>
      </c>
      <c r="H95" s="25">
        <f t="shared" si="9"/>
        <v>5773.0571902249994</v>
      </c>
      <c r="I95" s="25">
        <f t="shared" si="10"/>
        <v>5773.0571902249994</v>
      </c>
      <c r="J95" s="30">
        <v>0</v>
      </c>
      <c r="K95" s="30"/>
      <c r="L95" s="30">
        <v>0</v>
      </c>
      <c r="M95" s="25">
        <f t="shared" si="11"/>
        <v>5773.0571902249994</v>
      </c>
      <c r="N95" s="26"/>
      <c r="O95" s="203">
        <v>0.93490804699999996</v>
      </c>
      <c r="Q95" s="25"/>
      <c r="R95" s="300"/>
    </row>
    <row r="96" spans="1:18" ht="18.95" customHeight="1">
      <c r="A96" s="28">
        <v>20</v>
      </c>
      <c r="B96" s="27" t="s">
        <v>4114</v>
      </c>
      <c r="C96" s="29"/>
      <c r="D96" s="267"/>
      <c r="E96" s="25">
        <v>1</v>
      </c>
      <c r="F96" s="26" t="s">
        <v>349</v>
      </c>
      <c r="G96" s="25">
        <v>66500</v>
      </c>
      <c r="H96" s="25">
        <f t="shared" si="9"/>
        <v>62171.385125499997</v>
      </c>
      <c r="I96" s="25">
        <f t="shared" si="10"/>
        <v>62171.385125499997</v>
      </c>
      <c r="J96" s="30">
        <v>0</v>
      </c>
      <c r="K96" s="30"/>
      <c r="L96" s="30">
        <v>0</v>
      </c>
      <c r="M96" s="25">
        <f t="shared" si="11"/>
        <v>62171.385125499997</v>
      </c>
      <c r="N96" s="26"/>
      <c r="O96" s="203">
        <v>0.93490804699999996</v>
      </c>
      <c r="Q96" s="25"/>
      <c r="R96" s="300"/>
    </row>
    <row r="97" spans="1:18" ht="18.95" customHeight="1">
      <c r="A97" s="28">
        <v>21</v>
      </c>
      <c r="B97" s="27" t="s">
        <v>4115</v>
      </c>
      <c r="C97" s="29"/>
      <c r="D97" s="267"/>
      <c r="E97" s="25">
        <v>1</v>
      </c>
      <c r="F97" s="26" t="s">
        <v>4116</v>
      </c>
      <c r="G97" s="25">
        <v>61750</v>
      </c>
      <c r="H97" s="25">
        <f t="shared" si="9"/>
        <v>57730.571902249998</v>
      </c>
      <c r="I97" s="25">
        <f t="shared" si="10"/>
        <v>57730.571902249998</v>
      </c>
      <c r="J97" s="30">
        <v>0</v>
      </c>
      <c r="K97" s="30"/>
      <c r="L97" s="30">
        <v>0</v>
      </c>
      <c r="M97" s="25">
        <f t="shared" si="11"/>
        <v>57730.571902249998</v>
      </c>
      <c r="N97" s="26"/>
      <c r="O97" s="203">
        <v>0.93490804699999996</v>
      </c>
      <c r="Q97" s="25"/>
      <c r="R97" s="300"/>
    </row>
    <row r="98" spans="1:18" ht="18.95" customHeight="1">
      <c r="A98" s="28">
        <v>22</v>
      </c>
      <c r="B98" s="27" t="s">
        <v>4117</v>
      </c>
      <c r="C98" s="29"/>
      <c r="D98" s="267"/>
      <c r="E98" s="25">
        <v>1</v>
      </c>
      <c r="F98" s="26" t="s">
        <v>788</v>
      </c>
      <c r="G98" s="25">
        <v>0</v>
      </c>
      <c r="H98" s="25"/>
      <c r="I98" s="25">
        <f t="shared" ref="I98" si="12">E98*G98</f>
        <v>0</v>
      </c>
      <c r="J98" s="30">
        <v>90000</v>
      </c>
      <c r="K98" s="30">
        <f>J98*O98</f>
        <v>84141.724229999993</v>
      </c>
      <c r="L98" s="30">
        <f>K98*E98</f>
        <v>84141.724229999993</v>
      </c>
      <c r="M98" s="25">
        <f t="shared" si="11"/>
        <v>84141.724229999993</v>
      </c>
      <c r="N98" s="26"/>
      <c r="O98" s="203">
        <v>0.93490804699999996</v>
      </c>
      <c r="Q98" s="25"/>
      <c r="R98" s="300"/>
    </row>
    <row r="99" spans="1:18" ht="18.95" customHeight="1">
      <c r="A99" s="28"/>
      <c r="B99" s="27"/>
      <c r="C99" s="29"/>
      <c r="D99" s="267"/>
      <c r="E99" s="25"/>
      <c r="F99" s="26"/>
      <c r="G99" s="25"/>
      <c r="H99" s="25"/>
      <c r="I99" s="25"/>
      <c r="J99" s="30"/>
      <c r="K99" s="30"/>
      <c r="L99" s="30"/>
      <c r="M99" s="25"/>
      <c r="N99" s="26"/>
      <c r="O99" s="203">
        <v>0.93490804699999996</v>
      </c>
      <c r="Q99" s="25"/>
      <c r="R99" s="300"/>
    </row>
    <row r="100" spans="1:18" ht="18.95" customHeight="1">
      <c r="A100" s="339"/>
      <c r="B100" s="1275" t="s">
        <v>4118</v>
      </c>
      <c r="C100" s="1276"/>
      <c r="D100" s="1277"/>
      <c r="E100" s="34"/>
      <c r="F100" s="126"/>
      <c r="G100" s="34"/>
      <c r="H100" s="34"/>
      <c r="I100" s="34">
        <f>SUM(I77:I99)</f>
        <v>967512.96513912478</v>
      </c>
      <c r="J100" s="34"/>
      <c r="K100" s="34"/>
      <c r="L100" s="34">
        <f>SUM(L78:L99)</f>
        <v>84141.724229999993</v>
      </c>
      <c r="M100" s="34">
        <f>SUM(M76:M99)</f>
        <v>1051654.6893691248</v>
      </c>
      <c r="N100" s="35"/>
      <c r="O100" s="203">
        <v>0.93490804699999996</v>
      </c>
      <c r="Q100" s="25"/>
      <c r="R100" s="300"/>
    </row>
    <row r="101" spans="1:18" ht="18.95" customHeight="1">
      <c r="A101" s="28"/>
      <c r="B101" s="344"/>
      <c r="C101" s="29"/>
      <c r="D101" s="267"/>
      <c r="E101" s="25"/>
      <c r="F101" s="26"/>
      <c r="G101" s="25"/>
      <c r="H101" s="25"/>
      <c r="I101" s="25"/>
      <c r="J101" s="30"/>
      <c r="K101" s="30"/>
      <c r="L101" s="30"/>
      <c r="M101" s="25"/>
      <c r="N101" s="26"/>
      <c r="O101" s="203">
        <v>0.93490804699999996</v>
      </c>
      <c r="Q101" s="25"/>
      <c r="R101" s="300"/>
    </row>
    <row r="102" spans="1:18" ht="18.95" customHeight="1">
      <c r="A102" s="28"/>
      <c r="B102" s="302" t="s">
        <v>4119</v>
      </c>
      <c r="C102" s="221"/>
      <c r="D102" s="267"/>
      <c r="E102" s="34"/>
      <c r="F102" s="34"/>
      <c r="G102" s="34"/>
      <c r="H102" s="34"/>
      <c r="I102" s="34"/>
      <c r="J102" s="34"/>
      <c r="K102" s="34"/>
      <c r="L102" s="34"/>
      <c r="M102" s="34"/>
      <c r="N102" s="35"/>
      <c r="O102" s="203">
        <v>0.93490804699999996</v>
      </c>
      <c r="Q102" s="25"/>
      <c r="R102" s="300"/>
    </row>
    <row r="103" spans="1:18" ht="18.95" customHeight="1">
      <c r="A103" s="220"/>
      <c r="B103" s="302" t="s">
        <v>4093</v>
      </c>
      <c r="C103" s="221"/>
      <c r="D103" s="267"/>
      <c r="E103" s="34"/>
      <c r="F103" s="35"/>
      <c r="G103" s="34"/>
      <c r="H103" s="34"/>
      <c r="I103" s="34"/>
      <c r="J103" s="34"/>
      <c r="K103" s="34"/>
      <c r="L103" s="102"/>
      <c r="M103" s="34"/>
      <c r="N103" s="345"/>
      <c r="O103" s="203">
        <v>0.93490804699999996</v>
      </c>
      <c r="Q103" s="25"/>
      <c r="R103" s="300"/>
    </row>
    <row r="104" spans="1:18" ht="18.95" customHeight="1">
      <c r="A104" s="28">
        <v>1</v>
      </c>
      <c r="B104" s="27" t="s">
        <v>4120</v>
      </c>
      <c r="C104" s="29"/>
      <c r="D104" s="267"/>
      <c r="E104" s="25">
        <v>1</v>
      </c>
      <c r="F104" s="26" t="s">
        <v>4063</v>
      </c>
      <c r="G104" s="25">
        <v>62700</v>
      </c>
      <c r="H104" s="25">
        <f>G104*O104</f>
        <v>58618.734546899999</v>
      </c>
      <c r="I104" s="25">
        <f t="shared" ref="I104:I116" si="13">E104*H104</f>
        <v>58618.734546899999</v>
      </c>
      <c r="J104" s="30">
        <v>0</v>
      </c>
      <c r="K104" s="30"/>
      <c r="L104" s="30">
        <v>0</v>
      </c>
      <c r="M104" s="25">
        <f>I104+L104</f>
        <v>58618.734546899999</v>
      </c>
      <c r="N104" s="26"/>
      <c r="O104" s="203">
        <v>0.93490804699999996</v>
      </c>
      <c r="Q104" s="25"/>
      <c r="R104" s="300"/>
    </row>
    <row r="105" spans="1:18" s="1" customFormat="1" ht="18.95" customHeight="1">
      <c r="A105" s="28">
        <v>2</v>
      </c>
      <c r="B105" s="27" t="s">
        <v>4121</v>
      </c>
      <c r="C105" s="29"/>
      <c r="D105" s="267"/>
      <c r="E105" s="25">
        <v>2</v>
      </c>
      <c r="F105" s="26" t="s">
        <v>1512</v>
      </c>
      <c r="G105" s="25">
        <v>7600</v>
      </c>
      <c r="H105" s="25">
        <f t="shared" ref="H105:H116" si="14">G105*O105</f>
        <v>7105.3011571999996</v>
      </c>
      <c r="I105" s="25">
        <f t="shared" si="13"/>
        <v>14210.602314399999</v>
      </c>
      <c r="J105" s="30">
        <v>0</v>
      </c>
      <c r="K105" s="30"/>
      <c r="L105" s="30">
        <v>0</v>
      </c>
      <c r="M105" s="25">
        <f>I105+L105</f>
        <v>14210.602314399999</v>
      </c>
      <c r="N105" s="26"/>
      <c r="O105" s="203">
        <v>0.93490804699999996</v>
      </c>
      <c r="Q105" s="34"/>
      <c r="R105" s="300"/>
    </row>
    <row r="106" spans="1:18" ht="18.95" customHeight="1">
      <c r="A106" s="28">
        <v>3</v>
      </c>
      <c r="B106" s="27" t="s">
        <v>4122</v>
      </c>
      <c r="C106" s="29"/>
      <c r="D106" s="267"/>
      <c r="E106" s="25">
        <v>1</v>
      </c>
      <c r="F106" s="26" t="s">
        <v>4063</v>
      </c>
      <c r="G106" s="25">
        <v>28500</v>
      </c>
      <c r="H106" s="25">
        <f t="shared" si="14"/>
        <v>26644.879339499999</v>
      </c>
      <c r="I106" s="25">
        <f t="shared" si="13"/>
        <v>26644.879339499999</v>
      </c>
      <c r="J106" s="30">
        <v>0</v>
      </c>
      <c r="K106" s="30"/>
      <c r="L106" s="30">
        <v>0</v>
      </c>
      <c r="M106" s="25">
        <f>I106+L106</f>
        <v>26644.879339499999</v>
      </c>
      <c r="N106" s="26"/>
      <c r="O106" s="203">
        <v>0.93490804699999996</v>
      </c>
      <c r="Q106" s="25"/>
      <c r="R106" s="300"/>
    </row>
    <row r="107" spans="1:18" s="1" customFormat="1" ht="18.95" customHeight="1">
      <c r="A107" s="28">
        <v>4</v>
      </c>
      <c r="B107" s="27" t="s">
        <v>4123</v>
      </c>
      <c r="C107" s="29"/>
      <c r="D107" s="267"/>
      <c r="E107" s="25">
        <v>1</v>
      </c>
      <c r="F107" s="26" t="s">
        <v>4063</v>
      </c>
      <c r="G107" s="25">
        <v>9975</v>
      </c>
      <c r="H107" s="25">
        <f t="shared" si="14"/>
        <v>9325.7077688249992</v>
      </c>
      <c r="I107" s="25">
        <f t="shared" si="13"/>
        <v>9325.7077688249992</v>
      </c>
      <c r="J107" s="30">
        <v>0</v>
      </c>
      <c r="K107" s="30"/>
      <c r="L107" s="30">
        <v>0</v>
      </c>
      <c r="M107" s="25">
        <f>I107+L107</f>
        <v>9325.7077688249992</v>
      </c>
      <c r="N107" s="26"/>
      <c r="O107" s="203">
        <v>0.93490804699999996</v>
      </c>
      <c r="Q107" s="34"/>
      <c r="R107" s="300"/>
    </row>
    <row r="108" spans="1:18" s="1" customFormat="1" ht="18.95" customHeight="1">
      <c r="A108" s="28">
        <v>5</v>
      </c>
      <c r="B108" s="27" t="s">
        <v>4124</v>
      </c>
      <c r="C108" s="29"/>
      <c r="D108" s="267"/>
      <c r="E108" s="25">
        <v>2</v>
      </c>
      <c r="F108" s="26" t="s">
        <v>4063</v>
      </c>
      <c r="G108" s="25">
        <f>14250+3325</f>
        <v>17575</v>
      </c>
      <c r="H108" s="25">
        <f t="shared" si="14"/>
        <v>16431.008926024999</v>
      </c>
      <c r="I108" s="25">
        <f t="shared" si="13"/>
        <v>32862.017852049998</v>
      </c>
      <c r="J108" s="30">
        <v>0</v>
      </c>
      <c r="K108" s="30"/>
      <c r="L108" s="30">
        <v>0</v>
      </c>
      <c r="M108" s="25">
        <f>I108+L108</f>
        <v>32862.017852049998</v>
      </c>
      <c r="N108" s="288"/>
      <c r="O108" s="203">
        <v>0.93490804699999996</v>
      </c>
      <c r="Q108" s="34"/>
      <c r="R108" s="300"/>
    </row>
    <row r="109" spans="1:18" ht="18.95" customHeight="1">
      <c r="A109" s="28">
        <v>6</v>
      </c>
      <c r="B109" s="27" t="s">
        <v>4125</v>
      </c>
      <c r="C109" s="29"/>
      <c r="D109" s="267"/>
      <c r="E109" s="25">
        <v>1</v>
      </c>
      <c r="F109" s="26" t="s">
        <v>4063</v>
      </c>
      <c r="G109" s="25">
        <v>332500</v>
      </c>
      <c r="H109" s="25">
        <f t="shared" si="14"/>
        <v>310856.92562749999</v>
      </c>
      <c r="I109" s="25">
        <f t="shared" si="13"/>
        <v>310856.92562749999</v>
      </c>
      <c r="J109" s="30">
        <v>0</v>
      </c>
      <c r="K109" s="30"/>
      <c r="L109" s="30">
        <v>0</v>
      </c>
      <c r="M109" s="25">
        <f t="shared" ref="M109:M117" si="15">I109+L109</f>
        <v>310856.92562749999</v>
      </c>
      <c r="N109" s="26"/>
      <c r="O109" s="203">
        <v>0.93490804699999996</v>
      </c>
      <c r="Q109" s="25"/>
      <c r="R109" s="300"/>
    </row>
    <row r="110" spans="1:18" ht="18.95" customHeight="1">
      <c r="A110" s="28">
        <v>7</v>
      </c>
      <c r="B110" s="27" t="s">
        <v>4109</v>
      </c>
      <c r="C110" s="29"/>
      <c r="D110" s="267"/>
      <c r="E110" s="25">
        <v>2</v>
      </c>
      <c r="F110" s="26" t="s">
        <v>4063</v>
      </c>
      <c r="G110" s="25">
        <v>4750</v>
      </c>
      <c r="H110" s="25">
        <f t="shared" si="14"/>
        <v>4440.8132232500002</v>
      </c>
      <c r="I110" s="25">
        <f t="shared" si="13"/>
        <v>8881.6264465000004</v>
      </c>
      <c r="J110" s="30">
        <v>0</v>
      </c>
      <c r="K110" s="30"/>
      <c r="L110" s="30">
        <v>0</v>
      </c>
      <c r="M110" s="25">
        <f t="shared" si="15"/>
        <v>8881.6264465000004</v>
      </c>
      <c r="N110" s="288"/>
      <c r="O110" s="203">
        <v>0.93490804699999996</v>
      </c>
      <c r="Q110" s="25"/>
      <c r="R110" s="300"/>
    </row>
    <row r="111" spans="1:18" ht="18.95" customHeight="1">
      <c r="A111" s="28">
        <v>8</v>
      </c>
      <c r="B111" s="27" t="s">
        <v>4126</v>
      </c>
      <c r="C111" s="29"/>
      <c r="D111" s="267"/>
      <c r="E111" s="25">
        <v>1</v>
      </c>
      <c r="F111" s="26" t="s">
        <v>4063</v>
      </c>
      <c r="G111" s="25">
        <v>136800</v>
      </c>
      <c r="H111" s="25">
        <f t="shared" si="14"/>
        <v>127895.4208296</v>
      </c>
      <c r="I111" s="25">
        <f t="shared" si="13"/>
        <v>127895.4208296</v>
      </c>
      <c r="J111" s="30">
        <v>0</v>
      </c>
      <c r="K111" s="30"/>
      <c r="L111" s="30">
        <v>0</v>
      </c>
      <c r="M111" s="25">
        <f t="shared" si="15"/>
        <v>127895.4208296</v>
      </c>
      <c r="N111" s="26"/>
      <c r="O111" s="203">
        <v>0.93490804699999996</v>
      </c>
      <c r="Q111" s="25"/>
      <c r="R111" s="300"/>
    </row>
    <row r="112" spans="1:18" ht="18.95" customHeight="1">
      <c r="A112" s="28">
        <v>9</v>
      </c>
      <c r="B112" s="27" t="s">
        <v>4127</v>
      </c>
      <c r="C112" s="29"/>
      <c r="D112" s="267"/>
      <c r="E112" s="25">
        <v>2</v>
      </c>
      <c r="F112" s="26" t="s">
        <v>349</v>
      </c>
      <c r="G112" s="25">
        <v>23750</v>
      </c>
      <c r="H112" s="25">
        <f t="shared" si="14"/>
        <v>22204.06611625</v>
      </c>
      <c r="I112" s="25">
        <f t="shared" si="13"/>
        <v>44408.1322325</v>
      </c>
      <c r="J112" s="30">
        <v>0</v>
      </c>
      <c r="K112" s="30"/>
      <c r="L112" s="30">
        <v>0</v>
      </c>
      <c r="M112" s="25">
        <f t="shared" si="15"/>
        <v>44408.1322325</v>
      </c>
      <c r="N112" s="288"/>
      <c r="O112" s="203">
        <v>0.93490804699999996</v>
      </c>
      <c r="Q112" s="25"/>
      <c r="R112" s="300"/>
    </row>
    <row r="113" spans="1:18" ht="18.95" customHeight="1">
      <c r="A113" s="28">
        <v>10</v>
      </c>
      <c r="B113" s="27" t="s">
        <v>4128</v>
      </c>
      <c r="C113" s="29"/>
      <c r="D113" s="267"/>
      <c r="E113" s="25">
        <v>2</v>
      </c>
      <c r="F113" s="26" t="s">
        <v>4063</v>
      </c>
      <c r="G113" s="25">
        <v>7600</v>
      </c>
      <c r="H113" s="25">
        <f t="shared" si="14"/>
        <v>7105.3011571999996</v>
      </c>
      <c r="I113" s="25">
        <f t="shared" si="13"/>
        <v>14210.602314399999</v>
      </c>
      <c r="J113" s="30">
        <v>0</v>
      </c>
      <c r="K113" s="30"/>
      <c r="L113" s="30">
        <v>0</v>
      </c>
      <c r="M113" s="25">
        <f t="shared" si="15"/>
        <v>14210.602314399999</v>
      </c>
      <c r="N113" s="288"/>
      <c r="O113" s="203">
        <v>0.93490804699999996</v>
      </c>
      <c r="Q113" s="25"/>
      <c r="R113" s="300"/>
    </row>
    <row r="114" spans="1:18" ht="18.95" customHeight="1">
      <c r="A114" s="28">
        <v>11</v>
      </c>
      <c r="B114" s="27" t="s">
        <v>4129</v>
      </c>
      <c r="C114" s="29"/>
      <c r="D114" s="267"/>
      <c r="E114" s="25">
        <v>1</v>
      </c>
      <c r="F114" s="26" t="s">
        <v>4063</v>
      </c>
      <c r="G114" s="25">
        <v>10450</v>
      </c>
      <c r="H114" s="25">
        <f t="shared" si="14"/>
        <v>9769.7890911499999</v>
      </c>
      <c r="I114" s="25">
        <f t="shared" si="13"/>
        <v>9769.7890911499999</v>
      </c>
      <c r="J114" s="30">
        <v>0</v>
      </c>
      <c r="K114" s="30"/>
      <c r="L114" s="30">
        <v>0</v>
      </c>
      <c r="M114" s="25">
        <f t="shared" si="15"/>
        <v>9769.7890911499999</v>
      </c>
      <c r="N114" s="288"/>
      <c r="O114" s="203">
        <v>0.93490804699999996</v>
      </c>
      <c r="Q114" s="54"/>
      <c r="R114" s="300"/>
    </row>
    <row r="115" spans="1:18" ht="18.95" customHeight="1">
      <c r="A115" s="28">
        <v>12</v>
      </c>
      <c r="B115" s="27" t="s">
        <v>4130</v>
      </c>
      <c r="C115" s="29"/>
      <c r="D115" s="267"/>
      <c r="E115" s="25">
        <v>1</v>
      </c>
      <c r="F115" s="26" t="s">
        <v>4063</v>
      </c>
      <c r="G115" s="25">
        <v>148200</v>
      </c>
      <c r="H115" s="25">
        <f t="shared" si="14"/>
        <v>138553.3725654</v>
      </c>
      <c r="I115" s="25">
        <f t="shared" si="13"/>
        <v>138553.3725654</v>
      </c>
      <c r="J115" s="30">
        <v>0</v>
      </c>
      <c r="K115" s="30"/>
      <c r="L115" s="30">
        <v>0</v>
      </c>
      <c r="M115" s="25">
        <f t="shared" si="15"/>
        <v>138553.3725654</v>
      </c>
      <c r="N115" s="26"/>
      <c r="O115" s="203">
        <v>0.93490804699999996</v>
      </c>
      <c r="Q115" s="18"/>
      <c r="R115" s="300"/>
    </row>
    <row r="116" spans="1:18" ht="18.95" customHeight="1">
      <c r="A116" s="28">
        <v>13</v>
      </c>
      <c r="B116" s="27" t="s">
        <v>4131</v>
      </c>
      <c r="C116" s="29"/>
      <c r="D116" s="267"/>
      <c r="E116" s="25">
        <v>1</v>
      </c>
      <c r="F116" s="26" t="s">
        <v>1512</v>
      </c>
      <c r="G116" s="25">
        <v>14250</v>
      </c>
      <c r="H116" s="25">
        <f t="shared" si="14"/>
        <v>13322.43966975</v>
      </c>
      <c r="I116" s="25">
        <f t="shared" si="13"/>
        <v>13322.43966975</v>
      </c>
      <c r="J116" s="30">
        <v>0</v>
      </c>
      <c r="K116" s="30"/>
      <c r="L116" s="30">
        <v>0</v>
      </c>
      <c r="M116" s="25">
        <f t="shared" si="15"/>
        <v>13322.43966975</v>
      </c>
      <c r="N116" s="26"/>
      <c r="O116" s="203">
        <v>0.93490804699999996</v>
      </c>
      <c r="Q116" s="25"/>
      <c r="R116" s="300"/>
    </row>
    <row r="117" spans="1:18" ht="18.95" customHeight="1">
      <c r="A117" s="28">
        <v>14</v>
      </c>
      <c r="B117" s="27" t="s">
        <v>4117</v>
      </c>
      <c r="C117" s="29"/>
      <c r="D117" s="267"/>
      <c r="E117" s="25">
        <v>1</v>
      </c>
      <c r="F117" s="26" t="s">
        <v>788</v>
      </c>
      <c r="G117" s="25"/>
      <c r="H117" s="25"/>
      <c r="I117" s="25"/>
      <c r="J117" s="30">
        <v>80000</v>
      </c>
      <c r="K117" s="30">
        <f>J117*O117</f>
        <v>74792.643759999992</v>
      </c>
      <c r="L117" s="30">
        <f>K117*E117</f>
        <v>74792.643759999992</v>
      </c>
      <c r="M117" s="25">
        <f t="shared" si="15"/>
        <v>74792.643759999992</v>
      </c>
      <c r="N117" s="26"/>
      <c r="O117" s="203">
        <v>0.93490804699999996</v>
      </c>
      <c r="Q117" s="25"/>
      <c r="R117" s="300"/>
    </row>
    <row r="118" spans="1:18" ht="18.95" customHeight="1">
      <c r="A118" s="28"/>
      <c r="B118" s="27"/>
      <c r="C118" s="29"/>
      <c r="D118" s="267"/>
      <c r="E118" s="25"/>
      <c r="F118" s="26"/>
      <c r="G118" s="25"/>
      <c r="H118" s="25"/>
      <c r="I118" s="25"/>
      <c r="J118" s="30"/>
      <c r="K118" s="30"/>
      <c r="L118" s="30"/>
      <c r="M118" s="25"/>
      <c r="N118" s="26"/>
      <c r="O118" s="203">
        <v>0.93490804699999996</v>
      </c>
      <c r="Q118" s="25"/>
      <c r="R118" s="300"/>
    </row>
    <row r="119" spans="1:18" ht="18.95" customHeight="1">
      <c r="A119" s="339"/>
      <c r="B119" s="1275" t="s">
        <v>4132</v>
      </c>
      <c r="C119" s="1276"/>
      <c r="D119" s="1277"/>
      <c r="E119" s="34"/>
      <c r="F119" s="126"/>
      <c r="G119" s="34"/>
      <c r="H119" s="34"/>
      <c r="I119" s="34">
        <f>SUM(I104:I118)</f>
        <v>809560.2505984751</v>
      </c>
      <c r="J119" s="34"/>
      <c r="K119" s="34"/>
      <c r="L119" s="34">
        <f>SUM(L104:L118)</f>
        <v>74792.643759999992</v>
      </c>
      <c r="M119" s="34">
        <f>SUM(M104:M118)</f>
        <v>884352.89435847511</v>
      </c>
      <c r="N119" s="35"/>
      <c r="O119" s="203">
        <v>0.93490804699999996</v>
      </c>
      <c r="Q119" s="25"/>
      <c r="R119" s="300"/>
    </row>
    <row r="120" spans="1:18" ht="18.95" customHeight="1">
      <c r="A120" s="28"/>
      <c r="B120" s="27"/>
      <c r="C120" s="29"/>
      <c r="D120" s="267"/>
      <c r="E120" s="25"/>
      <c r="F120" s="26"/>
      <c r="G120" s="25"/>
      <c r="H120" s="25"/>
      <c r="I120" s="25"/>
      <c r="J120" s="30"/>
      <c r="K120" s="30"/>
      <c r="L120" s="30"/>
      <c r="M120" s="25"/>
      <c r="N120" s="26"/>
      <c r="O120" s="203">
        <v>0.93490804699999996</v>
      </c>
      <c r="Q120" s="25"/>
      <c r="R120" s="300"/>
    </row>
    <row r="121" spans="1:18" ht="18.95" customHeight="1">
      <c r="A121" s="220"/>
      <c r="B121" s="302" t="s">
        <v>4133</v>
      </c>
      <c r="C121" s="9"/>
      <c r="D121" s="267"/>
      <c r="E121" s="34"/>
      <c r="F121" s="34"/>
      <c r="G121" s="34"/>
      <c r="H121" s="34"/>
      <c r="I121" s="34"/>
      <c r="J121" s="34"/>
      <c r="K121" s="34"/>
      <c r="L121" s="34"/>
      <c r="M121" s="34"/>
      <c r="N121" s="35"/>
      <c r="O121" s="203">
        <v>0.93490804699999996</v>
      </c>
      <c r="Q121" s="25"/>
      <c r="R121" s="300"/>
    </row>
    <row r="122" spans="1:18" ht="18.95" customHeight="1">
      <c r="A122" s="28">
        <v>1</v>
      </c>
      <c r="B122" s="27" t="s">
        <v>4134</v>
      </c>
      <c r="C122" s="29"/>
      <c r="D122" s="267"/>
      <c r="E122" s="25">
        <v>1</v>
      </c>
      <c r="F122" s="26" t="s">
        <v>349</v>
      </c>
      <c r="G122" s="25">
        <v>16300</v>
      </c>
      <c r="H122" s="25">
        <f>G122*O122</f>
        <v>15239.001166099999</v>
      </c>
      <c r="I122" s="25">
        <f t="shared" ref="I122:I131" si="16">E122*H122</f>
        <v>15239.001166099999</v>
      </c>
      <c r="J122" s="30">
        <v>0</v>
      </c>
      <c r="K122" s="30"/>
      <c r="L122" s="30">
        <v>0</v>
      </c>
      <c r="M122" s="25">
        <f>I122+L122</f>
        <v>15239.001166099999</v>
      </c>
      <c r="N122" s="26"/>
      <c r="O122" s="203">
        <v>0.93490804699999996</v>
      </c>
      <c r="Q122" s="25"/>
      <c r="R122" s="300"/>
    </row>
    <row r="123" spans="1:18" ht="18.95" customHeight="1">
      <c r="A123" s="28">
        <v>2</v>
      </c>
      <c r="B123" s="27" t="s">
        <v>4120</v>
      </c>
      <c r="C123" s="29"/>
      <c r="D123" s="267"/>
      <c r="E123" s="25">
        <v>1</v>
      </c>
      <c r="F123" s="26" t="s">
        <v>4063</v>
      </c>
      <c r="G123" s="25">
        <v>62700</v>
      </c>
      <c r="H123" s="25">
        <f t="shared" ref="H123:H131" si="17">G123*O123</f>
        <v>58618.734546899999</v>
      </c>
      <c r="I123" s="25">
        <f t="shared" si="16"/>
        <v>58618.734546899999</v>
      </c>
      <c r="J123" s="30">
        <v>0</v>
      </c>
      <c r="K123" s="30"/>
      <c r="L123" s="30">
        <v>0</v>
      </c>
      <c r="M123" s="25">
        <f>I123+L123</f>
        <v>58618.734546899999</v>
      </c>
      <c r="N123" s="26"/>
      <c r="O123" s="203">
        <v>0.93490804699999996</v>
      </c>
      <c r="Q123" s="25"/>
      <c r="R123" s="300"/>
    </row>
    <row r="124" spans="1:18" ht="18.95" customHeight="1">
      <c r="A124" s="220">
        <v>3</v>
      </c>
      <c r="B124" s="27" t="s">
        <v>4135</v>
      </c>
      <c r="C124" s="29"/>
      <c r="D124" s="267"/>
      <c r="E124" s="25">
        <v>2</v>
      </c>
      <c r="F124" s="26" t="s">
        <v>1512</v>
      </c>
      <c r="G124" s="25">
        <v>7600</v>
      </c>
      <c r="H124" s="25">
        <f t="shared" si="17"/>
        <v>7105.3011571999996</v>
      </c>
      <c r="I124" s="25">
        <f t="shared" si="16"/>
        <v>14210.602314399999</v>
      </c>
      <c r="J124" s="30">
        <v>0</v>
      </c>
      <c r="K124" s="30"/>
      <c r="L124" s="30">
        <v>0</v>
      </c>
      <c r="M124" s="25">
        <f>I124+L124</f>
        <v>14210.602314399999</v>
      </c>
      <c r="N124" s="26"/>
      <c r="O124" s="203">
        <v>0.93490804699999996</v>
      </c>
      <c r="Q124" s="25"/>
      <c r="R124" s="300"/>
    </row>
    <row r="125" spans="1:18" ht="18.95" customHeight="1">
      <c r="A125" s="28">
        <v>4</v>
      </c>
      <c r="B125" s="27" t="s">
        <v>4136</v>
      </c>
      <c r="C125" s="29"/>
      <c r="D125" s="267"/>
      <c r="E125" s="25">
        <v>1</v>
      </c>
      <c r="F125" s="26" t="s">
        <v>4063</v>
      </c>
      <c r="G125" s="25">
        <v>7600</v>
      </c>
      <c r="H125" s="25">
        <f t="shared" si="17"/>
        <v>7105.3011571999996</v>
      </c>
      <c r="I125" s="25">
        <f t="shared" si="16"/>
        <v>7105.3011571999996</v>
      </c>
      <c r="J125" s="30">
        <v>0</v>
      </c>
      <c r="K125" s="30"/>
      <c r="L125" s="30">
        <v>0</v>
      </c>
      <c r="M125" s="25">
        <f>I125+L125</f>
        <v>7105.3011571999996</v>
      </c>
      <c r="N125" s="26"/>
      <c r="O125" s="203">
        <v>0.93490804699999996</v>
      </c>
      <c r="Q125" s="25"/>
      <c r="R125" s="300"/>
    </row>
    <row r="126" spans="1:18" ht="18.95" customHeight="1">
      <c r="A126" s="220">
        <v>5</v>
      </c>
      <c r="B126" s="27" t="s">
        <v>4137</v>
      </c>
      <c r="C126" s="29"/>
      <c r="D126" s="267"/>
      <c r="E126" s="25">
        <v>4</v>
      </c>
      <c r="F126" s="26" t="s">
        <v>349</v>
      </c>
      <c r="G126" s="25">
        <v>2850</v>
      </c>
      <c r="H126" s="25">
        <f t="shared" si="17"/>
        <v>2664.4879339499998</v>
      </c>
      <c r="I126" s="25">
        <f t="shared" si="16"/>
        <v>10657.951735799999</v>
      </c>
      <c r="J126" s="30">
        <v>0</v>
      </c>
      <c r="K126" s="30"/>
      <c r="L126" s="30">
        <v>0</v>
      </c>
      <c r="M126" s="25">
        <f t="shared" ref="M126:M132" si="18">I126+L126</f>
        <v>10657.951735799999</v>
      </c>
      <c r="N126" s="26"/>
      <c r="O126" s="203">
        <v>0.93490804699999996</v>
      </c>
      <c r="Q126" s="25"/>
      <c r="R126" s="300"/>
    </row>
    <row r="127" spans="1:18" s="1" customFormat="1" ht="18.95" customHeight="1">
      <c r="A127" s="28">
        <v>6</v>
      </c>
      <c r="B127" s="27" t="s">
        <v>4138</v>
      </c>
      <c r="C127" s="29"/>
      <c r="D127" s="267"/>
      <c r="E127" s="25">
        <v>1</v>
      </c>
      <c r="F127" s="26" t="s">
        <v>4063</v>
      </c>
      <c r="G127" s="25">
        <v>161500</v>
      </c>
      <c r="H127" s="25">
        <f t="shared" si="17"/>
        <v>150987.64959049999</v>
      </c>
      <c r="I127" s="25">
        <f t="shared" si="16"/>
        <v>150987.64959049999</v>
      </c>
      <c r="J127" s="30">
        <v>0</v>
      </c>
      <c r="K127" s="30"/>
      <c r="L127" s="30">
        <v>0</v>
      </c>
      <c r="M127" s="25">
        <f t="shared" si="18"/>
        <v>150987.64959049999</v>
      </c>
      <c r="N127" s="26"/>
      <c r="O127" s="203">
        <v>0.93490804699999996</v>
      </c>
      <c r="Q127" s="34"/>
      <c r="R127" s="300"/>
    </row>
    <row r="128" spans="1:18" ht="18.95" customHeight="1">
      <c r="A128" s="220">
        <v>7</v>
      </c>
      <c r="B128" s="27" t="s">
        <v>4128</v>
      </c>
      <c r="C128" s="29"/>
      <c r="D128" s="267"/>
      <c r="E128" s="25">
        <v>1</v>
      </c>
      <c r="F128" s="26" t="s">
        <v>4063</v>
      </c>
      <c r="G128" s="25">
        <v>7600</v>
      </c>
      <c r="H128" s="25">
        <f t="shared" si="17"/>
        <v>7105.3011571999996</v>
      </c>
      <c r="I128" s="25">
        <f t="shared" si="16"/>
        <v>7105.3011571999996</v>
      </c>
      <c r="J128" s="30">
        <v>0</v>
      </c>
      <c r="K128" s="30"/>
      <c r="L128" s="30">
        <v>0</v>
      </c>
      <c r="M128" s="25">
        <f t="shared" si="18"/>
        <v>7105.3011571999996</v>
      </c>
      <c r="N128" s="26"/>
      <c r="O128" s="203">
        <v>0.93490804699999996</v>
      </c>
      <c r="Q128" s="25"/>
      <c r="R128" s="300"/>
    </row>
    <row r="129" spans="1:18" s="1" customFormat="1" ht="18.95" customHeight="1">
      <c r="A129" s="28">
        <v>8</v>
      </c>
      <c r="B129" s="27" t="s">
        <v>4129</v>
      </c>
      <c r="C129" s="29"/>
      <c r="D129" s="267"/>
      <c r="E129" s="25">
        <v>1</v>
      </c>
      <c r="F129" s="26" t="s">
        <v>4063</v>
      </c>
      <c r="G129" s="25">
        <v>10450</v>
      </c>
      <c r="H129" s="25">
        <f t="shared" si="17"/>
        <v>9769.7890911499999</v>
      </c>
      <c r="I129" s="25">
        <f t="shared" si="16"/>
        <v>9769.7890911499999</v>
      </c>
      <c r="J129" s="30">
        <v>0</v>
      </c>
      <c r="K129" s="30"/>
      <c r="L129" s="30">
        <v>0</v>
      </c>
      <c r="M129" s="25">
        <f t="shared" si="18"/>
        <v>9769.7890911499999</v>
      </c>
      <c r="N129" s="26"/>
      <c r="O129" s="203">
        <v>0.93490804699999996</v>
      </c>
      <c r="Q129" s="34"/>
      <c r="R129" s="300"/>
    </row>
    <row r="130" spans="1:18" s="1" customFormat="1" ht="18.95" customHeight="1">
      <c r="A130" s="220">
        <v>9</v>
      </c>
      <c r="B130" s="27" t="s">
        <v>4139</v>
      </c>
      <c r="C130" s="29"/>
      <c r="D130" s="267"/>
      <c r="E130" s="25">
        <v>1</v>
      </c>
      <c r="F130" s="26" t="s">
        <v>349</v>
      </c>
      <c r="G130" s="25">
        <v>5700</v>
      </c>
      <c r="H130" s="25">
        <f t="shared" si="17"/>
        <v>5328.9758678999997</v>
      </c>
      <c r="I130" s="25">
        <f t="shared" si="16"/>
        <v>5328.9758678999997</v>
      </c>
      <c r="J130" s="30">
        <v>0</v>
      </c>
      <c r="K130" s="30"/>
      <c r="L130" s="30">
        <v>0</v>
      </c>
      <c r="M130" s="25">
        <f t="shared" si="18"/>
        <v>5328.9758678999997</v>
      </c>
      <c r="N130" s="26"/>
      <c r="O130" s="203">
        <v>0.93490804699999996</v>
      </c>
      <c r="Q130" s="34"/>
      <c r="R130" s="300"/>
    </row>
    <row r="131" spans="1:18" ht="18.95" customHeight="1">
      <c r="A131" s="28">
        <v>10</v>
      </c>
      <c r="B131" s="27" t="s">
        <v>4131</v>
      </c>
      <c r="C131" s="29"/>
      <c r="D131" s="267"/>
      <c r="E131" s="25">
        <v>1</v>
      </c>
      <c r="F131" s="26" t="s">
        <v>1512</v>
      </c>
      <c r="G131" s="25">
        <v>14250</v>
      </c>
      <c r="H131" s="25">
        <f t="shared" si="17"/>
        <v>13322.43966975</v>
      </c>
      <c r="I131" s="25">
        <f t="shared" si="16"/>
        <v>13322.43966975</v>
      </c>
      <c r="J131" s="30">
        <v>0</v>
      </c>
      <c r="K131" s="30"/>
      <c r="L131" s="30">
        <v>0</v>
      </c>
      <c r="M131" s="25">
        <f t="shared" si="18"/>
        <v>13322.43966975</v>
      </c>
      <c r="N131" s="26"/>
      <c r="O131" s="203">
        <v>0.93490804699999996</v>
      </c>
      <c r="Q131" s="25"/>
      <c r="R131" s="300"/>
    </row>
    <row r="132" spans="1:18" ht="18.95" customHeight="1">
      <c r="A132" s="220">
        <v>11</v>
      </c>
      <c r="B132" s="27" t="s">
        <v>4117</v>
      </c>
      <c r="C132" s="29"/>
      <c r="D132" s="267"/>
      <c r="E132" s="25">
        <v>1</v>
      </c>
      <c r="F132" s="26" t="s">
        <v>788</v>
      </c>
      <c r="G132" s="25"/>
      <c r="H132" s="25"/>
      <c r="I132" s="25">
        <f t="shared" ref="I132" si="19">E132*G132</f>
        <v>0</v>
      </c>
      <c r="J132" s="30">
        <v>30000</v>
      </c>
      <c r="K132" s="30">
        <f>J132*O132</f>
        <v>28047.241409999999</v>
      </c>
      <c r="L132" s="30">
        <f>K132*E132</f>
        <v>28047.241409999999</v>
      </c>
      <c r="M132" s="25">
        <f t="shared" si="18"/>
        <v>28047.241409999999</v>
      </c>
      <c r="N132" s="26"/>
      <c r="O132" s="203">
        <v>0.93490804699999996</v>
      </c>
      <c r="Q132" s="25"/>
      <c r="R132" s="300"/>
    </row>
    <row r="133" spans="1:18" ht="18.95" customHeight="1">
      <c r="A133" s="28"/>
      <c r="B133" s="27"/>
      <c r="C133" s="29"/>
      <c r="D133" s="267"/>
      <c r="E133" s="25"/>
      <c r="F133" s="26"/>
      <c r="G133" s="25"/>
      <c r="H133" s="25"/>
      <c r="I133" s="25"/>
      <c r="J133" s="30"/>
      <c r="K133" s="30"/>
      <c r="L133" s="30"/>
      <c r="M133" s="25"/>
      <c r="N133" s="26"/>
      <c r="O133" s="203">
        <v>0.93490804699999996</v>
      </c>
      <c r="Q133" s="25"/>
      <c r="R133" s="300"/>
    </row>
    <row r="134" spans="1:18" ht="18.95" customHeight="1">
      <c r="A134" s="339"/>
      <c r="B134" s="1275" t="s">
        <v>4140</v>
      </c>
      <c r="C134" s="1276"/>
      <c r="D134" s="1277"/>
      <c r="E134" s="34"/>
      <c r="F134" s="126"/>
      <c r="G134" s="34"/>
      <c r="H134" s="25"/>
      <c r="I134" s="34">
        <f>SUM(I122:I133)</f>
        <v>292345.74629689998</v>
      </c>
      <c r="J134" s="34"/>
      <c r="K134" s="34"/>
      <c r="L134" s="34">
        <f>SUM(L122:L133)</f>
        <v>28047.241409999999</v>
      </c>
      <c r="M134" s="34">
        <f>SUM(M122:M133)</f>
        <v>320392.98770689999</v>
      </c>
      <c r="N134" s="35"/>
      <c r="O134" s="203">
        <v>0.93490804699999996</v>
      </c>
      <c r="Q134" s="25"/>
      <c r="R134" s="300"/>
    </row>
    <row r="135" spans="1:18" s="1" customFormat="1" ht="18.95" customHeight="1">
      <c r="A135" s="339"/>
      <c r="B135" s="256"/>
      <c r="C135" s="257"/>
      <c r="D135" s="258"/>
      <c r="E135" s="34"/>
      <c r="F135" s="126"/>
      <c r="G135" s="34"/>
      <c r="H135" s="34"/>
      <c r="I135" s="34"/>
      <c r="J135" s="34"/>
      <c r="K135" s="34"/>
      <c r="L135" s="34"/>
      <c r="M135" s="34"/>
      <c r="N135" s="35"/>
      <c r="O135" s="203">
        <v>0.93490804699999996</v>
      </c>
      <c r="Q135" s="34"/>
      <c r="R135" s="300"/>
    </row>
    <row r="136" spans="1:18" ht="18.95" customHeight="1">
      <c r="A136" s="220"/>
      <c r="B136" s="302" t="s">
        <v>4141</v>
      </c>
      <c r="C136" s="221"/>
      <c r="D136" s="346"/>
      <c r="E136" s="347"/>
      <c r="F136" s="34"/>
      <c r="G136" s="34"/>
      <c r="H136" s="34"/>
      <c r="I136" s="34"/>
      <c r="J136" s="34"/>
      <c r="K136" s="34"/>
      <c r="L136" s="34"/>
      <c r="M136" s="34"/>
      <c r="N136" s="35"/>
      <c r="O136" s="203">
        <v>0.93490804699999996</v>
      </c>
      <c r="Q136" s="25"/>
      <c r="R136" s="300"/>
    </row>
    <row r="137" spans="1:18" s="1" customFormat="1" ht="18.95" customHeight="1">
      <c r="A137" s="220"/>
      <c r="B137" s="302" t="s">
        <v>4080</v>
      </c>
      <c r="C137" s="221"/>
      <c r="D137" s="267"/>
      <c r="E137" s="34"/>
      <c r="F137" s="35"/>
      <c r="G137" s="34"/>
      <c r="H137" s="34"/>
      <c r="I137" s="34"/>
      <c r="J137" s="34"/>
      <c r="K137" s="34"/>
      <c r="L137" s="102"/>
      <c r="M137" s="34"/>
      <c r="N137" s="345"/>
      <c r="O137" s="203">
        <v>0.93490804699999996</v>
      </c>
      <c r="Q137" s="34"/>
      <c r="R137" s="300"/>
    </row>
    <row r="138" spans="1:18" ht="18.95" customHeight="1">
      <c r="A138" s="28">
        <v>1</v>
      </c>
      <c r="B138" s="27" t="s">
        <v>4142</v>
      </c>
      <c r="C138" s="29"/>
      <c r="D138" s="267"/>
      <c r="E138" s="25">
        <v>2</v>
      </c>
      <c r="F138" s="26" t="s">
        <v>4082</v>
      </c>
      <c r="G138" s="25">
        <v>28400</v>
      </c>
      <c r="H138" s="25">
        <f t="shared" ref="H138:H139" si="20">G138*O138</f>
        <v>26551.3885348</v>
      </c>
      <c r="I138" s="25">
        <f t="shared" ref="I138:I139" si="21">E138*H138</f>
        <v>53102.777069600001</v>
      </c>
      <c r="J138" s="30">
        <v>0</v>
      </c>
      <c r="K138" s="30"/>
      <c r="L138" s="30">
        <v>0</v>
      </c>
      <c r="M138" s="25">
        <f>I138+L138</f>
        <v>53102.777069600001</v>
      </c>
      <c r="N138" s="26"/>
      <c r="O138" s="203">
        <v>0.93490804699999996</v>
      </c>
      <c r="Q138" s="25"/>
      <c r="R138" s="300"/>
    </row>
    <row r="139" spans="1:18" ht="18.95" customHeight="1">
      <c r="A139" s="28">
        <v>2</v>
      </c>
      <c r="B139" s="27" t="s">
        <v>4143</v>
      </c>
      <c r="C139" s="29"/>
      <c r="D139" s="267"/>
      <c r="E139" s="25">
        <v>2</v>
      </c>
      <c r="F139" s="26" t="s">
        <v>4082</v>
      </c>
      <c r="G139" s="25">
        <v>2375</v>
      </c>
      <c r="H139" s="25">
        <f t="shared" si="20"/>
        <v>2220.4066116250001</v>
      </c>
      <c r="I139" s="25">
        <f t="shared" si="21"/>
        <v>4440.8132232500002</v>
      </c>
      <c r="J139" s="30">
        <v>0</v>
      </c>
      <c r="K139" s="30"/>
      <c r="L139" s="30">
        <v>0</v>
      </c>
      <c r="M139" s="25">
        <f>I139+L139</f>
        <v>4440.8132232500002</v>
      </c>
      <c r="N139" s="26"/>
      <c r="O139" s="203">
        <v>0.93490804699999996</v>
      </c>
      <c r="Q139" s="25"/>
      <c r="R139" s="300"/>
    </row>
    <row r="140" spans="1:18" s="1" customFormat="1" ht="18.95" customHeight="1">
      <c r="A140" s="28">
        <v>3</v>
      </c>
      <c r="B140" s="27" t="s">
        <v>4144</v>
      </c>
      <c r="C140" s="29"/>
      <c r="D140" s="267"/>
      <c r="E140" s="25">
        <v>1</v>
      </c>
      <c r="F140" s="26" t="s">
        <v>788</v>
      </c>
      <c r="G140" s="25">
        <v>0</v>
      </c>
      <c r="H140" s="25"/>
      <c r="I140" s="25">
        <f>E140*G140</f>
        <v>0</v>
      </c>
      <c r="J140" s="30">
        <v>5000</v>
      </c>
      <c r="K140" s="30">
        <f>J140*O140</f>
        <v>4674.5402349999995</v>
      </c>
      <c r="L140" s="30">
        <f>K140*E140</f>
        <v>4674.5402349999995</v>
      </c>
      <c r="M140" s="25">
        <f>I140+L140</f>
        <v>4674.5402349999995</v>
      </c>
      <c r="N140" s="26"/>
      <c r="O140" s="203">
        <v>0.93490804699999996</v>
      </c>
      <c r="Q140" s="25"/>
      <c r="R140" s="300"/>
    </row>
    <row r="141" spans="1:18" ht="18.95" customHeight="1">
      <c r="A141" s="28"/>
      <c r="B141" s="348"/>
      <c r="C141" s="349"/>
      <c r="D141" s="49"/>
      <c r="E141" s="25"/>
      <c r="F141" s="26"/>
      <c r="G141" s="25"/>
      <c r="H141" s="25"/>
      <c r="I141" s="25"/>
      <c r="J141" s="30"/>
      <c r="K141" s="30"/>
      <c r="L141" s="30"/>
      <c r="M141" s="25"/>
      <c r="N141" s="26"/>
      <c r="O141" s="203">
        <v>0.93490804699999996</v>
      </c>
      <c r="Q141" s="25"/>
      <c r="R141" s="300"/>
    </row>
    <row r="142" spans="1:18" ht="18.95" customHeight="1">
      <c r="A142" s="339"/>
      <c r="B142" s="1275" t="s">
        <v>4145</v>
      </c>
      <c r="C142" s="1276"/>
      <c r="D142" s="1277"/>
      <c r="E142" s="34"/>
      <c r="F142" s="126"/>
      <c r="G142" s="34"/>
      <c r="H142" s="34"/>
      <c r="I142" s="34">
        <f>SUM(I138:I141)</f>
        <v>57543.59029285</v>
      </c>
      <c r="J142" s="34"/>
      <c r="K142" s="34"/>
      <c r="L142" s="34">
        <f>SUM(L138:L141)</f>
        <v>4674.5402349999995</v>
      </c>
      <c r="M142" s="34">
        <f>SUM(M138:M141)</f>
        <v>62218.13052785</v>
      </c>
      <c r="N142" s="35"/>
      <c r="O142" s="203">
        <v>0.93490804699999996</v>
      </c>
      <c r="Q142" s="54"/>
      <c r="R142" s="300"/>
    </row>
    <row r="143" spans="1:18" ht="18.95" customHeight="1">
      <c r="A143" s="28"/>
      <c r="B143" s="27"/>
      <c r="C143" s="29"/>
      <c r="D143" s="267"/>
      <c r="E143" s="25"/>
      <c r="F143" s="26"/>
      <c r="G143" s="25"/>
      <c r="H143" s="25"/>
      <c r="I143" s="25"/>
      <c r="J143" s="30"/>
      <c r="K143" s="30"/>
      <c r="L143" s="30"/>
      <c r="M143" s="25"/>
      <c r="N143" s="26"/>
      <c r="O143" s="203">
        <v>0.93490804699999996</v>
      </c>
      <c r="Q143" s="18"/>
      <c r="R143" s="300"/>
    </row>
    <row r="144" spans="1:18" ht="18.95" customHeight="1">
      <c r="A144" s="28"/>
      <c r="B144" s="27"/>
      <c r="C144" s="29"/>
      <c r="D144" s="267"/>
      <c r="E144" s="25"/>
      <c r="F144" s="26"/>
      <c r="G144" s="25"/>
      <c r="H144" s="25"/>
      <c r="I144" s="25"/>
      <c r="J144" s="30"/>
      <c r="K144" s="30"/>
      <c r="L144" s="30"/>
      <c r="M144" s="25"/>
      <c r="N144" s="26"/>
      <c r="O144" s="203">
        <v>0.93490804699999996</v>
      </c>
      <c r="Q144" s="25"/>
      <c r="R144" s="300"/>
    </row>
    <row r="145" spans="1:18" ht="18.95" customHeight="1">
      <c r="A145" s="220"/>
      <c r="B145" s="302" t="s">
        <v>4146</v>
      </c>
      <c r="C145" s="221"/>
      <c r="D145" s="267"/>
      <c r="E145" s="34"/>
      <c r="F145" s="34"/>
      <c r="G145" s="34"/>
      <c r="H145" s="34"/>
      <c r="I145" s="34"/>
      <c r="J145" s="34"/>
      <c r="K145" s="34"/>
      <c r="L145" s="34"/>
      <c r="M145" s="34"/>
      <c r="N145" s="35"/>
      <c r="O145" s="203">
        <v>0.93490804699999996</v>
      </c>
      <c r="Q145" s="25"/>
      <c r="R145" s="300"/>
    </row>
    <row r="146" spans="1:18" ht="18.95" customHeight="1">
      <c r="A146" s="28">
        <v>1</v>
      </c>
      <c r="B146" s="27" t="s">
        <v>4147</v>
      </c>
      <c r="C146" s="29"/>
      <c r="D146" s="267"/>
      <c r="E146" s="25">
        <v>1</v>
      </c>
      <c r="F146" s="26" t="s">
        <v>4148</v>
      </c>
      <c r="G146" s="25">
        <v>85500</v>
      </c>
      <c r="H146" s="25">
        <f t="shared" ref="H146:H149" si="22">G146*O146</f>
        <v>79934.638018500002</v>
      </c>
      <c r="I146" s="25">
        <f t="shared" ref="I146:I149" si="23">E146*H146</f>
        <v>79934.638018500002</v>
      </c>
      <c r="J146" s="30">
        <v>0</v>
      </c>
      <c r="K146" s="30"/>
      <c r="L146" s="30">
        <v>0</v>
      </c>
      <c r="M146" s="25">
        <f>I146+L146</f>
        <v>79934.638018500002</v>
      </c>
      <c r="N146" s="26"/>
      <c r="O146" s="203">
        <v>0.93490804699999996</v>
      </c>
      <c r="Q146" s="25"/>
      <c r="R146" s="300"/>
    </row>
    <row r="147" spans="1:18" ht="18.95" customHeight="1">
      <c r="A147" s="28">
        <v>2</v>
      </c>
      <c r="B147" s="27" t="s">
        <v>4149</v>
      </c>
      <c r="C147" s="29"/>
      <c r="D147" s="267"/>
      <c r="E147" s="25">
        <v>1</v>
      </c>
      <c r="F147" s="26" t="s">
        <v>4150</v>
      </c>
      <c r="G147" s="25">
        <v>14250</v>
      </c>
      <c r="H147" s="25">
        <f t="shared" si="22"/>
        <v>13322.43966975</v>
      </c>
      <c r="I147" s="25">
        <f t="shared" si="23"/>
        <v>13322.43966975</v>
      </c>
      <c r="J147" s="30">
        <v>0</v>
      </c>
      <c r="K147" s="30"/>
      <c r="L147" s="30">
        <v>0</v>
      </c>
      <c r="M147" s="25">
        <f>I147+L147</f>
        <v>13322.43966975</v>
      </c>
      <c r="N147" s="26"/>
      <c r="O147" s="203">
        <v>0.93490804699999996</v>
      </c>
      <c r="Q147" s="25"/>
      <c r="R147" s="300"/>
    </row>
    <row r="148" spans="1:18" ht="18.95" customHeight="1">
      <c r="A148" s="28">
        <v>3</v>
      </c>
      <c r="B148" s="27" t="s">
        <v>4151</v>
      </c>
      <c r="C148" s="29"/>
      <c r="D148" s="267"/>
      <c r="E148" s="25">
        <v>1</v>
      </c>
      <c r="F148" s="26" t="s">
        <v>4152</v>
      </c>
      <c r="G148" s="25">
        <v>9500</v>
      </c>
      <c r="H148" s="25">
        <f t="shared" si="22"/>
        <v>8881.6264465000004</v>
      </c>
      <c r="I148" s="25">
        <f t="shared" si="23"/>
        <v>8881.6264465000004</v>
      </c>
      <c r="J148" s="30">
        <v>0</v>
      </c>
      <c r="K148" s="30"/>
      <c r="L148" s="30">
        <v>0</v>
      </c>
      <c r="M148" s="25">
        <f>I148+L148</f>
        <v>8881.6264465000004</v>
      </c>
      <c r="N148" s="26"/>
      <c r="O148" s="203">
        <v>0.93490804699999996</v>
      </c>
      <c r="Q148" s="25"/>
      <c r="R148" s="300"/>
    </row>
    <row r="149" spans="1:18" ht="18.95" customHeight="1">
      <c r="A149" s="28">
        <v>4</v>
      </c>
      <c r="B149" s="27" t="s">
        <v>4153</v>
      </c>
      <c r="C149" s="29"/>
      <c r="D149" s="267"/>
      <c r="E149" s="25">
        <v>2</v>
      </c>
      <c r="F149" s="26" t="s">
        <v>4152</v>
      </c>
      <c r="G149" s="25">
        <v>19000</v>
      </c>
      <c r="H149" s="25">
        <f t="shared" si="22"/>
        <v>17763.252893000001</v>
      </c>
      <c r="I149" s="25">
        <f t="shared" si="23"/>
        <v>35526.505786000002</v>
      </c>
      <c r="J149" s="30">
        <v>0</v>
      </c>
      <c r="K149" s="30"/>
      <c r="L149" s="30">
        <v>0</v>
      </c>
      <c r="M149" s="25">
        <f>I149+L149</f>
        <v>35526.505786000002</v>
      </c>
      <c r="N149" s="26"/>
      <c r="O149" s="203">
        <v>0.93490804699999996</v>
      </c>
      <c r="Q149" s="25"/>
      <c r="R149" s="300"/>
    </row>
    <row r="150" spans="1:18" ht="18.95" customHeight="1">
      <c r="A150" s="28">
        <v>5</v>
      </c>
      <c r="B150" s="27" t="s">
        <v>4144</v>
      </c>
      <c r="C150" s="29"/>
      <c r="D150" s="267"/>
      <c r="E150" s="25">
        <v>1</v>
      </c>
      <c r="F150" s="26" t="s">
        <v>788</v>
      </c>
      <c r="G150" s="25">
        <v>0</v>
      </c>
      <c r="H150" s="25"/>
      <c r="I150" s="25">
        <f>E150*G150</f>
        <v>0</v>
      </c>
      <c r="J150" s="30">
        <v>10000</v>
      </c>
      <c r="K150" s="30">
        <f>J150*O150</f>
        <v>9349.080469999999</v>
      </c>
      <c r="L150" s="30">
        <f>K150*E150</f>
        <v>9349.080469999999</v>
      </c>
      <c r="M150" s="25">
        <f>I150+L150</f>
        <v>9349.080469999999</v>
      </c>
      <c r="N150" s="26"/>
      <c r="O150" s="203">
        <v>0.93490804699999996</v>
      </c>
      <c r="Q150" s="25"/>
      <c r="R150" s="300"/>
    </row>
    <row r="151" spans="1:18" s="1" customFormat="1" ht="18.95" customHeight="1">
      <c r="A151" s="28"/>
      <c r="B151" s="27"/>
      <c r="C151" s="29"/>
      <c r="D151" s="267"/>
      <c r="E151" s="25"/>
      <c r="F151" s="26"/>
      <c r="G151" s="25"/>
      <c r="H151" s="25"/>
      <c r="I151" s="25"/>
      <c r="J151" s="30"/>
      <c r="K151" s="30"/>
      <c r="L151" s="30"/>
      <c r="M151" s="25"/>
      <c r="N151" s="26"/>
      <c r="O151" s="203">
        <v>0.93490804699999996</v>
      </c>
      <c r="Q151" s="34"/>
      <c r="R151" s="300"/>
    </row>
    <row r="152" spans="1:18" ht="18.95" customHeight="1">
      <c r="A152" s="339"/>
      <c r="B152" s="1275" t="s">
        <v>4154</v>
      </c>
      <c r="C152" s="1276"/>
      <c r="D152" s="1277"/>
      <c r="E152" s="34"/>
      <c r="F152" s="126"/>
      <c r="G152" s="34"/>
      <c r="H152" s="34"/>
      <c r="I152" s="34">
        <f>SUM(I146:I151)</f>
        <v>137665.20992075</v>
      </c>
      <c r="J152" s="34"/>
      <c r="K152" s="34"/>
      <c r="L152" s="34">
        <f>SUM(L146:L151)</f>
        <v>9349.080469999999</v>
      </c>
      <c r="M152" s="34">
        <f>SUM(M146:M151)</f>
        <v>147014.29039074999</v>
      </c>
      <c r="N152" s="35"/>
      <c r="O152" s="203">
        <v>0.93490804699999996</v>
      </c>
      <c r="Q152" s="25"/>
      <c r="R152" s="300"/>
    </row>
    <row r="153" spans="1:18" s="1" customFormat="1" ht="18.95" customHeight="1">
      <c r="A153" s="28"/>
      <c r="B153" s="27"/>
      <c r="C153" s="29"/>
      <c r="D153" s="267"/>
      <c r="E153" s="25"/>
      <c r="F153" s="26"/>
      <c r="G153" s="25"/>
      <c r="H153" s="25"/>
      <c r="I153" s="25"/>
      <c r="J153" s="30"/>
      <c r="K153" s="30"/>
      <c r="L153" s="30"/>
      <c r="M153" s="25"/>
      <c r="N153" s="26"/>
      <c r="O153" s="203">
        <v>0.93490804699999996</v>
      </c>
      <c r="Q153" s="34"/>
      <c r="R153" s="300"/>
    </row>
    <row r="154" spans="1:18" ht="18.95" customHeight="1">
      <c r="A154" s="220"/>
      <c r="B154" s="302" t="s">
        <v>4155</v>
      </c>
      <c r="C154" s="221"/>
      <c r="D154" s="267"/>
      <c r="E154" s="34"/>
      <c r="F154" s="34"/>
      <c r="G154" s="34"/>
      <c r="H154" s="34"/>
      <c r="I154" s="34"/>
      <c r="J154" s="34"/>
      <c r="K154" s="34"/>
      <c r="L154" s="34"/>
      <c r="M154" s="34"/>
      <c r="N154" s="35"/>
      <c r="O154" s="203">
        <v>0.93490804699999996</v>
      </c>
      <c r="Q154" s="25"/>
      <c r="R154" s="300"/>
    </row>
    <row r="155" spans="1:18" ht="18.95" customHeight="1">
      <c r="A155" s="220"/>
      <c r="B155" s="302" t="s">
        <v>4156</v>
      </c>
      <c r="C155" s="221"/>
      <c r="D155" s="267"/>
      <c r="E155" s="34"/>
      <c r="F155" s="35"/>
      <c r="G155" s="34"/>
      <c r="H155" s="34"/>
      <c r="I155" s="34"/>
      <c r="J155" s="34"/>
      <c r="K155" s="34"/>
      <c r="L155" s="102"/>
      <c r="M155" s="34"/>
      <c r="N155" s="35"/>
      <c r="O155" s="203">
        <v>0.93490804699999996</v>
      </c>
      <c r="Q155" s="25"/>
      <c r="R155" s="300"/>
    </row>
    <row r="156" spans="1:18" ht="18.95" customHeight="1">
      <c r="A156" s="28">
        <v>1</v>
      </c>
      <c r="B156" s="27" t="s">
        <v>4083</v>
      </c>
      <c r="C156" s="29"/>
      <c r="D156" s="267"/>
      <c r="E156" s="25">
        <v>2</v>
      </c>
      <c r="F156" s="26" t="s">
        <v>349</v>
      </c>
      <c r="G156" s="25">
        <v>24000</v>
      </c>
      <c r="H156" s="25">
        <f t="shared" ref="H156:H165" si="24">G156*O156</f>
        <v>22437.793127999998</v>
      </c>
      <c r="I156" s="25">
        <f t="shared" ref="I156:I165" si="25">E156*H156</f>
        <v>44875.586255999995</v>
      </c>
      <c r="J156" s="30">
        <v>0</v>
      </c>
      <c r="K156" s="30"/>
      <c r="L156" s="30">
        <v>0</v>
      </c>
      <c r="M156" s="25">
        <f t="shared" ref="M156:M166" si="26">I156+L156</f>
        <v>44875.586255999995</v>
      </c>
      <c r="N156" s="26"/>
      <c r="O156" s="203">
        <v>0.93490804699999996</v>
      </c>
      <c r="Q156" s="25"/>
      <c r="R156" s="300"/>
    </row>
    <row r="157" spans="1:18" ht="18.95" customHeight="1">
      <c r="A157" s="28">
        <v>2</v>
      </c>
      <c r="B157" s="27" t="s">
        <v>4157</v>
      </c>
      <c r="C157" s="29"/>
      <c r="D157" s="267"/>
      <c r="E157" s="25">
        <v>1</v>
      </c>
      <c r="F157" s="26" t="s">
        <v>4063</v>
      </c>
      <c r="G157" s="25">
        <v>14250</v>
      </c>
      <c r="H157" s="25">
        <f t="shared" si="24"/>
        <v>13322.43966975</v>
      </c>
      <c r="I157" s="25">
        <f t="shared" si="25"/>
        <v>13322.43966975</v>
      </c>
      <c r="J157" s="30">
        <v>0</v>
      </c>
      <c r="K157" s="30"/>
      <c r="L157" s="30">
        <v>0</v>
      </c>
      <c r="M157" s="25">
        <f t="shared" si="26"/>
        <v>13322.43966975</v>
      </c>
      <c r="N157" s="26"/>
      <c r="O157" s="203">
        <v>0.93490804699999996</v>
      </c>
      <c r="Q157" s="25"/>
      <c r="R157" s="300"/>
    </row>
    <row r="158" spans="1:18" ht="18.95" customHeight="1">
      <c r="A158" s="28">
        <v>3</v>
      </c>
      <c r="B158" s="27" t="s">
        <v>4158</v>
      </c>
      <c r="C158" s="29"/>
      <c r="D158" s="267"/>
      <c r="E158" s="25">
        <v>1</v>
      </c>
      <c r="F158" s="26" t="s">
        <v>4063</v>
      </c>
      <c r="G158" s="25">
        <v>114000</v>
      </c>
      <c r="H158" s="25">
        <f t="shared" si="24"/>
        <v>106579.517358</v>
      </c>
      <c r="I158" s="25">
        <f t="shared" si="25"/>
        <v>106579.517358</v>
      </c>
      <c r="J158" s="30">
        <v>0</v>
      </c>
      <c r="K158" s="30"/>
      <c r="L158" s="30">
        <v>0</v>
      </c>
      <c r="M158" s="25">
        <f t="shared" si="26"/>
        <v>106579.517358</v>
      </c>
      <c r="N158" s="26"/>
      <c r="O158" s="203">
        <v>0.93490804699999996</v>
      </c>
      <c r="Q158" s="25"/>
      <c r="R158" s="300"/>
    </row>
    <row r="159" spans="1:18" ht="18.95" customHeight="1">
      <c r="A159" s="28">
        <v>4</v>
      </c>
      <c r="B159" s="27" t="s">
        <v>4159</v>
      </c>
      <c r="C159" s="29"/>
      <c r="D159" s="267"/>
      <c r="E159" s="25">
        <v>1</v>
      </c>
      <c r="F159" s="26" t="s">
        <v>4063</v>
      </c>
      <c r="G159" s="25">
        <v>31350</v>
      </c>
      <c r="H159" s="25">
        <f t="shared" si="24"/>
        <v>29309.36727345</v>
      </c>
      <c r="I159" s="25">
        <f t="shared" si="25"/>
        <v>29309.36727345</v>
      </c>
      <c r="J159" s="30">
        <v>0</v>
      </c>
      <c r="K159" s="30"/>
      <c r="L159" s="30">
        <v>0</v>
      </c>
      <c r="M159" s="25">
        <f t="shared" si="26"/>
        <v>29309.36727345</v>
      </c>
      <c r="N159" s="26"/>
      <c r="O159" s="203">
        <v>0.93490804699999996</v>
      </c>
      <c r="Q159" s="25"/>
      <c r="R159" s="300"/>
    </row>
    <row r="160" spans="1:18" s="1" customFormat="1" ht="18.95" customHeight="1">
      <c r="A160" s="28">
        <v>5</v>
      </c>
      <c r="B160" s="27" t="s">
        <v>4160</v>
      </c>
      <c r="C160" s="29"/>
      <c r="D160" s="267"/>
      <c r="E160" s="25">
        <v>2</v>
      </c>
      <c r="F160" s="26" t="s">
        <v>1512</v>
      </c>
      <c r="G160" s="25">
        <v>23750</v>
      </c>
      <c r="H160" s="25">
        <f t="shared" si="24"/>
        <v>22204.06611625</v>
      </c>
      <c r="I160" s="25">
        <f t="shared" si="25"/>
        <v>44408.1322325</v>
      </c>
      <c r="J160" s="30">
        <v>0</v>
      </c>
      <c r="K160" s="30"/>
      <c r="L160" s="30">
        <v>0</v>
      </c>
      <c r="M160" s="25">
        <f t="shared" si="26"/>
        <v>44408.1322325</v>
      </c>
      <c r="N160" s="26"/>
      <c r="O160" s="203">
        <v>0.93490804699999996</v>
      </c>
      <c r="Q160" s="34"/>
      <c r="R160" s="300"/>
    </row>
    <row r="161" spans="1:18" ht="18.95" customHeight="1">
      <c r="A161" s="28">
        <v>6</v>
      </c>
      <c r="B161" s="27" t="s">
        <v>4161</v>
      </c>
      <c r="C161" s="29"/>
      <c r="D161" s="267"/>
      <c r="E161" s="25">
        <v>1</v>
      </c>
      <c r="F161" s="26" t="s">
        <v>349</v>
      </c>
      <c r="G161" s="25">
        <v>36100</v>
      </c>
      <c r="H161" s="25">
        <f t="shared" si="24"/>
        <v>33750.180496699999</v>
      </c>
      <c r="I161" s="25">
        <f t="shared" si="25"/>
        <v>33750.180496699999</v>
      </c>
      <c r="J161" s="30">
        <v>0</v>
      </c>
      <c r="K161" s="30"/>
      <c r="L161" s="30">
        <v>0</v>
      </c>
      <c r="M161" s="25">
        <f t="shared" si="26"/>
        <v>33750.180496699999</v>
      </c>
      <c r="N161" s="26"/>
      <c r="O161" s="203">
        <v>0.93490804699999996</v>
      </c>
      <c r="Q161" s="25"/>
      <c r="R161" s="300"/>
    </row>
    <row r="162" spans="1:18" s="1" customFormat="1" ht="18.95" customHeight="1">
      <c r="A162" s="28">
        <v>7</v>
      </c>
      <c r="B162" s="27" t="s">
        <v>4162</v>
      </c>
      <c r="C162" s="29"/>
      <c r="D162" s="267"/>
      <c r="E162" s="25">
        <v>1</v>
      </c>
      <c r="F162" s="26" t="s">
        <v>349</v>
      </c>
      <c r="G162" s="25">
        <v>34200</v>
      </c>
      <c r="H162" s="25">
        <f t="shared" si="24"/>
        <v>31973.8552074</v>
      </c>
      <c r="I162" s="25">
        <f t="shared" si="25"/>
        <v>31973.8552074</v>
      </c>
      <c r="J162" s="30">
        <v>0</v>
      </c>
      <c r="K162" s="30"/>
      <c r="L162" s="30">
        <v>0</v>
      </c>
      <c r="M162" s="25">
        <f t="shared" si="26"/>
        <v>31973.8552074</v>
      </c>
      <c r="N162" s="26"/>
      <c r="O162" s="203">
        <v>0.93490804699999996</v>
      </c>
      <c r="Q162" s="34"/>
      <c r="R162" s="300"/>
    </row>
    <row r="163" spans="1:18" s="1" customFormat="1" ht="18.95" customHeight="1">
      <c r="A163" s="28">
        <v>8</v>
      </c>
      <c r="B163" s="27" t="s">
        <v>4163</v>
      </c>
      <c r="C163" s="221"/>
      <c r="D163" s="267"/>
      <c r="E163" s="25">
        <v>1</v>
      </c>
      <c r="F163" s="26" t="s">
        <v>4063</v>
      </c>
      <c r="G163" s="25">
        <v>24700</v>
      </c>
      <c r="H163" s="25">
        <f t="shared" si="24"/>
        <v>23092.228760899998</v>
      </c>
      <c r="I163" s="25">
        <f t="shared" si="25"/>
        <v>23092.228760899998</v>
      </c>
      <c r="J163" s="30">
        <v>0</v>
      </c>
      <c r="K163" s="30"/>
      <c r="L163" s="30">
        <v>0</v>
      </c>
      <c r="M163" s="25">
        <f t="shared" si="26"/>
        <v>23092.228760899998</v>
      </c>
      <c r="N163" s="35"/>
      <c r="O163" s="203">
        <v>0.93490804699999996</v>
      </c>
      <c r="Q163" s="34"/>
      <c r="R163" s="300"/>
    </row>
    <row r="164" spans="1:18" ht="18.95" customHeight="1">
      <c r="A164" s="28">
        <v>9</v>
      </c>
      <c r="B164" s="27" t="s">
        <v>4164</v>
      </c>
      <c r="C164" s="29"/>
      <c r="D164" s="267"/>
      <c r="E164" s="25">
        <v>1</v>
      </c>
      <c r="F164" s="26" t="s">
        <v>4063</v>
      </c>
      <c r="G164" s="25">
        <v>265000</v>
      </c>
      <c r="H164" s="25">
        <f t="shared" si="24"/>
        <v>247750.63245499998</v>
      </c>
      <c r="I164" s="25">
        <f t="shared" si="25"/>
        <v>247750.63245499998</v>
      </c>
      <c r="J164" s="30">
        <v>0</v>
      </c>
      <c r="K164" s="30"/>
      <c r="L164" s="30">
        <v>0</v>
      </c>
      <c r="M164" s="25">
        <f t="shared" si="26"/>
        <v>247750.63245499998</v>
      </c>
      <c r="N164" s="288"/>
      <c r="O164" s="203">
        <v>0.93490804699999996</v>
      </c>
      <c r="Q164" s="25"/>
      <c r="R164" s="300"/>
    </row>
    <row r="165" spans="1:18" ht="18.95" customHeight="1">
      <c r="A165" s="28">
        <v>10</v>
      </c>
      <c r="B165" s="27" t="s">
        <v>4131</v>
      </c>
      <c r="C165" s="29"/>
      <c r="D165" s="267"/>
      <c r="E165" s="25">
        <v>1</v>
      </c>
      <c r="F165" s="26" t="s">
        <v>1512</v>
      </c>
      <c r="G165" s="25">
        <v>14250</v>
      </c>
      <c r="H165" s="25">
        <f t="shared" si="24"/>
        <v>13322.43966975</v>
      </c>
      <c r="I165" s="25">
        <f t="shared" si="25"/>
        <v>13322.43966975</v>
      </c>
      <c r="J165" s="30">
        <v>0</v>
      </c>
      <c r="K165" s="30"/>
      <c r="L165" s="30">
        <v>0</v>
      </c>
      <c r="M165" s="25">
        <f t="shared" si="26"/>
        <v>13322.43966975</v>
      </c>
      <c r="N165" s="26"/>
      <c r="O165" s="203">
        <v>0.93490804699999996</v>
      </c>
      <c r="Q165" s="25"/>
      <c r="R165" s="300"/>
    </row>
    <row r="166" spans="1:18" ht="18.95" customHeight="1">
      <c r="A166" s="28">
        <v>11</v>
      </c>
      <c r="B166" s="27" t="s">
        <v>4117</v>
      </c>
      <c r="C166" s="29"/>
      <c r="D166" s="267"/>
      <c r="E166" s="25">
        <v>1</v>
      </c>
      <c r="F166" s="26" t="s">
        <v>788</v>
      </c>
      <c r="G166" s="25"/>
      <c r="H166" s="25"/>
      <c r="I166" s="25">
        <f>E166*G166</f>
        <v>0</v>
      </c>
      <c r="J166" s="30">
        <v>70000</v>
      </c>
      <c r="K166" s="30">
        <f>J166*O166</f>
        <v>65443.563289999998</v>
      </c>
      <c r="L166" s="30">
        <f>K166*E166</f>
        <v>65443.563289999998</v>
      </c>
      <c r="M166" s="25">
        <f t="shared" si="26"/>
        <v>65443.563289999998</v>
      </c>
      <c r="N166" s="26"/>
      <c r="O166" s="203">
        <v>0.93490804699999996</v>
      </c>
      <c r="Q166" s="25"/>
      <c r="R166" s="300"/>
    </row>
    <row r="167" spans="1:18" ht="18.95" customHeight="1">
      <c r="A167" s="28"/>
      <c r="B167" s="27"/>
      <c r="C167" s="29"/>
      <c r="D167" s="267"/>
      <c r="E167" s="25"/>
      <c r="F167" s="26"/>
      <c r="G167" s="25"/>
      <c r="H167" s="25"/>
      <c r="I167" s="25"/>
      <c r="J167" s="30"/>
      <c r="K167" s="30"/>
      <c r="L167" s="30"/>
      <c r="M167" s="25"/>
      <c r="N167" s="26"/>
      <c r="O167" s="203">
        <v>0.93490804699999996</v>
      </c>
      <c r="Q167" s="25"/>
      <c r="R167" s="300"/>
    </row>
    <row r="168" spans="1:18" ht="18.95" customHeight="1">
      <c r="A168" s="339"/>
      <c r="B168" s="1275" t="s">
        <v>4165</v>
      </c>
      <c r="C168" s="1276"/>
      <c r="D168" s="1277"/>
      <c r="E168" s="34"/>
      <c r="F168" s="126"/>
      <c r="G168" s="34"/>
      <c r="H168" s="34"/>
      <c r="I168" s="34">
        <f>SUM(I156:I167)</f>
        <v>588384.37937944999</v>
      </c>
      <c r="J168" s="34"/>
      <c r="K168" s="34"/>
      <c r="L168" s="34">
        <f>SUM(L156:L167)</f>
        <v>65443.563289999998</v>
      </c>
      <c r="M168" s="34">
        <f>SUM(M156:M167)</f>
        <v>653827.94266944996</v>
      </c>
      <c r="N168" s="35"/>
      <c r="O168" s="203">
        <v>0.93490804699999996</v>
      </c>
      <c r="Q168" s="25"/>
      <c r="R168" s="300"/>
    </row>
    <row r="169" spans="1:18" ht="18.95" customHeight="1">
      <c r="A169" s="28"/>
      <c r="B169" s="27"/>
      <c r="C169" s="29"/>
      <c r="D169" s="267"/>
      <c r="E169" s="25"/>
      <c r="F169" s="26"/>
      <c r="G169" s="25"/>
      <c r="H169" s="25"/>
      <c r="I169" s="25"/>
      <c r="J169" s="30"/>
      <c r="K169" s="30"/>
      <c r="L169" s="30"/>
      <c r="M169" s="25"/>
      <c r="N169" s="26"/>
      <c r="O169" s="203">
        <v>0.93490804699999996</v>
      </c>
      <c r="Q169" s="25"/>
      <c r="R169" s="300"/>
    </row>
    <row r="170" spans="1:18" ht="18.95" customHeight="1">
      <c r="A170" s="339"/>
      <c r="B170" s="1275" t="s">
        <v>4166</v>
      </c>
      <c r="C170" s="1276"/>
      <c r="D170" s="1277"/>
      <c r="E170" s="34"/>
      <c r="F170" s="126"/>
      <c r="G170" s="34"/>
      <c r="H170" s="34"/>
      <c r="I170" s="34">
        <f>I168+I152+I134+I142+I119+I100</f>
        <v>2853012.1416275501</v>
      </c>
      <c r="J170" s="34"/>
      <c r="K170" s="34"/>
      <c r="L170" s="34">
        <f>L168+L152+L134+L142+L119+L100</f>
        <v>266448.79339499999</v>
      </c>
      <c r="M170" s="34">
        <f>M168+M152+M134+M142+M119+M100</f>
        <v>3119460.9350225497</v>
      </c>
      <c r="N170" s="35"/>
      <c r="O170" s="203">
        <v>0.93490804699999996</v>
      </c>
      <c r="Q170" s="54"/>
      <c r="R170" s="300"/>
    </row>
    <row r="171" spans="1:18" s="1" customFormat="1" ht="18.95" customHeight="1">
      <c r="A171" s="339"/>
      <c r="B171" s="256"/>
      <c r="C171" s="257"/>
      <c r="D171" s="258"/>
      <c r="E171" s="34"/>
      <c r="F171" s="126"/>
      <c r="G171" s="34"/>
      <c r="H171" s="34"/>
      <c r="I171" s="34"/>
      <c r="J171" s="34"/>
      <c r="K171" s="34"/>
      <c r="L171" s="34"/>
      <c r="M171" s="34"/>
      <c r="N171" s="35"/>
      <c r="O171" s="203">
        <v>0.93490804699999996</v>
      </c>
      <c r="Q171" s="218"/>
      <c r="R171" s="300"/>
    </row>
    <row r="172" spans="1:18" ht="18.95" customHeight="1">
      <c r="A172" s="220">
        <v>4</v>
      </c>
      <c r="B172" s="302" t="s">
        <v>4167</v>
      </c>
      <c r="C172" s="221"/>
      <c r="D172" s="267"/>
      <c r="E172" s="34"/>
      <c r="F172" s="35"/>
      <c r="G172" s="34"/>
      <c r="H172" s="34"/>
      <c r="I172" s="34"/>
      <c r="J172" s="34"/>
      <c r="K172" s="34"/>
      <c r="L172" s="102"/>
      <c r="M172" s="34"/>
      <c r="N172" s="35"/>
      <c r="O172" s="203">
        <v>0.93490804699999996</v>
      </c>
      <c r="Q172" s="25"/>
      <c r="R172" s="300"/>
    </row>
    <row r="173" spans="1:18" ht="18.95" customHeight="1">
      <c r="A173" s="220"/>
      <c r="B173" s="302" t="s">
        <v>4168</v>
      </c>
      <c r="C173" s="221"/>
      <c r="D173" s="267"/>
      <c r="E173" s="34"/>
      <c r="F173" s="34"/>
      <c r="G173" s="34"/>
      <c r="H173" s="34"/>
      <c r="I173" s="34"/>
      <c r="J173" s="34"/>
      <c r="K173" s="34"/>
      <c r="L173" s="34"/>
      <c r="M173" s="34"/>
      <c r="N173" s="35"/>
      <c r="O173" s="203">
        <v>0.93490804699999996</v>
      </c>
      <c r="Q173" s="25"/>
      <c r="R173" s="300"/>
    </row>
    <row r="174" spans="1:18" ht="18.95" customHeight="1">
      <c r="A174" s="220"/>
      <c r="B174" s="302" t="s">
        <v>4080</v>
      </c>
      <c r="C174" s="221"/>
      <c r="D174" s="267"/>
      <c r="E174" s="34"/>
      <c r="F174" s="35"/>
      <c r="G174" s="34"/>
      <c r="H174" s="34"/>
      <c r="I174" s="34"/>
      <c r="J174" s="34"/>
      <c r="K174" s="34"/>
      <c r="L174" s="102"/>
      <c r="M174" s="34"/>
      <c r="N174" s="35"/>
      <c r="O174" s="203">
        <v>0.93490804699999996</v>
      </c>
      <c r="Q174" s="25"/>
      <c r="R174" s="300"/>
    </row>
    <row r="175" spans="1:18" ht="18.95" customHeight="1">
      <c r="A175" s="28">
        <v>1</v>
      </c>
      <c r="B175" s="27" t="s">
        <v>4169</v>
      </c>
      <c r="C175" s="29"/>
      <c r="D175" s="267"/>
      <c r="E175" s="25">
        <v>1</v>
      </c>
      <c r="F175" s="26" t="s">
        <v>349</v>
      </c>
      <c r="G175" s="25">
        <v>5100</v>
      </c>
      <c r="H175" s="25">
        <f t="shared" ref="H175:H181" si="27">G175*O175</f>
        <v>4768.0310396999994</v>
      </c>
      <c r="I175" s="25">
        <f t="shared" ref="I175:I183" si="28">E175*H175</f>
        <v>4768.0310396999994</v>
      </c>
      <c r="J175" s="30">
        <v>0</v>
      </c>
      <c r="K175" s="30"/>
      <c r="L175" s="30">
        <v>0</v>
      </c>
      <c r="M175" s="25">
        <f t="shared" ref="M175:M182" si="29">I175+L175</f>
        <v>4768.0310396999994</v>
      </c>
      <c r="N175" s="26"/>
      <c r="O175" s="203">
        <v>0.93490804699999996</v>
      </c>
      <c r="Q175" s="25"/>
      <c r="R175" s="300"/>
    </row>
    <row r="176" spans="1:18" ht="18.95" customHeight="1">
      <c r="A176" s="28">
        <v>2</v>
      </c>
      <c r="B176" s="27" t="s">
        <v>4170</v>
      </c>
      <c r="C176" s="29"/>
      <c r="D176" s="267"/>
      <c r="E176" s="25">
        <v>1</v>
      </c>
      <c r="F176" s="26" t="s">
        <v>349</v>
      </c>
      <c r="G176" s="25">
        <v>13950</v>
      </c>
      <c r="H176" s="25">
        <f t="shared" si="27"/>
        <v>13041.967255649999</v>
      </c>
      <c r="I176" s="25">
        <f t="shared" si="28"/>
        <v>13041.967255649999</v>
      </c>
      <c r="J176" s="30">
        <v>0</v>
      </c>
      <c r="K176" s="30"/>
      <c r="L176" s="30">
        <v>0</v>
      </c>
      <c r="M176" s="25">
        <f t="shared" si="29"/>
        <v>13041.967255649999</v>
      </c>
      <c r="N176" s="26"/>
      <c r="O176" s="203">
        <v>0.93490804699999996</v>
      </c>
      <c r="Q176" s="25"/>
      <c r="R176" s="300"/>
    </row>
    <row r="177" spans="1:18" ht="18.95" customHeight="1">
      <c r="A177" s="28">
        <v>3</v>
      </c>
      <c r="B177" s="27" t="s">
        <v>4171</v>
      </c>
      <c r="C177" s="29"/>
      <c r="D177" s="267"/>
      <c r="E177" s="25">
        <v>1</v>
      </c>
      <c r="F177" s="26" t="s">
        <v>4063</v>
      </c>
      <c r="G177" s="25">
        <v>19000</v>
      </c>
      <c r="H177" s="25">
        <f t="shared" si="27"/>
        <v>17763.252893000001</v>
      </c>
      <c r="I177" s="25">
        <f t="shared" si="28"/>
        <v>17763.252893000001</v>
      </c>
      <c r="J177" s="30">
        <v>0</v>
      </c>
      <c r="K177" s="30"/>
      <c r="L177" s="30">
        <v>0</v>
      </c>
      <c r="M177" s="25">
        <f t="shared" si="29"/>
        <v>17763.252893000001</v>
      </c>
      <c r="N177" s="288"/>
      <c r="O177" s="203">
        <v>0.93490804699999996</v>
      </c>
      <c r="Q177" s="25"/>
      <c r="R177" s="300"/>
    </row>
    <row r="178" spans="1:18" s="1" customFormat="1" ht="18.95" customHeight="1">
      <c r="A178" s="28">
        <v>4</v>
      </c>
      <c r="B178" s="27" t="s">
        <v>4172</v>
      </c>
      <c r="C178" s="29"/>
      <c r="D178" s="267"/>
      <c r="E178" s="25">
        <v>2</v>
      </c>
      <c r="F178" s="26" t="s">
        <v>349</v>
      </c>
      <c r="G178" s="25">
        <v>46650</v>
      </c>
      <c r="H178" s="25">
        <f t="shared" si="27"/>
        <v>43613.460392549998</v>
      </c>
      <c r="I178" s="25">
        <f t="shared" si="28"/>
        <v>87226.920785099996</v>
      </c>
      <c r="J178" s="30">
        <v>0</v>
      </c>
      <c r="K178" s="30"/>
      <c r="L178" s="30">
        <v>0</v>
      </c>
      <c r="M178" s="25">
        <f t="shared" si="29"/>
        <v>87226.920785099996</v>
      </c>
      <c r="N178" s="26"/>
      <c r="O178" s="203">
        <v>0.93490804699999996</v>
      </c>
      <c r="Q178" s="34"/>
      <c r="R178" s="300"/>
    </row>
    <row r="179" spans="1:18" ht="18.95" customHeight="1">
      <c r="A179" s="28">
        <v>5</v>
      </c>
      <c r="B179" s="27" t="s">
        <v>4173</v>
      </c>
      <c r="C179" s="29"/>
      <c r="D179" s="267"/>
      <c r="E179" s="25">
        <v>2</v>
      </c>
      <c r="F179" s="26" t="s">
        <v>349</v>
      </c>
      <c r="G179" s="25">
        <v>9500</v>
      </c>
      <c r="H179" s="25">
        <f t="shared" si="27"/>
        <v>8881.6264465000004</v>
      </c>
      <c r="I179" s="25">
        <f t="shared" si="28"/>
        <v>17763.252893000001</v>
      </c>
      <c r="J179" s="30">
        <v>0</v>
      </c>
      <c r="K179" s="30"/>
      <c r="L179" s="30">
        <v>0</v>
      </c>
      <c r="M179" s="25">
        <f t="shared" si="29"/>
        <v>17763.252893000001</v>
      </c>
      <c r="N179" s="26"/>
      <c r="O179" s="203">
        <v>0.93490804699999996</v>
      </c>
      <c r="Q179" s="25"/>
      <c r="R179" s="300"/>
    </row>
    <row r="180" spans="1:18" s="1" customFormat="1" ht="18.95" customHeight="1">
      <c r="A180" s="28">
        <v>6</v>
      </c>
      <c r="B180" s="27" t="s">
        <v>4174</v>
      </c>
      <c r="C180" s="29"/>
      <c r="D180" s="267"/>
      <c r="E180" s="25">
        <v>1</v>
      </c>
      <c r="F180" s="26" t="s">
        <v>349</v>
      </c>
      <c r="G180" s="25">
        <v>1425</v>
      </c>
      <c r="H180" s="25">
        <f t="shared" si="27"/>
        <v>1332.2439669749999</v>
      </c>
      <c r="I180" s="25">
        <f t="shared" si="28"/>
        <v>1332.2439669749999</v>
      </c>
      <c r="J180" s="30">
        <v>0</v>
      </c>
      <c r="K180" s="30"/>
      <c r="L180" s="30">
        <v>0</v>
      </c>
      <c r="M180" s="25">
        <f t="shared" si="29"/>
        <v>1332.2439669749999</v>
      </c>
      <c r="N180" s="26"/>
      <c r="O180" s="203">
        <v>0.93490804699999996</v>
      </c>
      <c r="Q180" s="34"/>
      <c r="R180" s="300"/>
    </row>
    <row r="181" spans="1:18" s="1" customFormat="1" ht="18.95" customHeight="1">
      <c r="A181" s="28">
        <v>7</v>
      </c>
      <c r="B181" s="27" t="s">
        <v>4175</v>
      </c>
      <c r="C181" s="29"/>
      <c r="D181" s="267"/>
      <c r="E181" s="25">
        <v>1</v>
      </c>
      <c r="F181" s="26" t="s">
        <v>1512</v>
      </c>
      <c r="G181" s="25">
        <v>14250</v>
      </c>
      <c r="H181" s="25">
        <f t="shared" si="27"/>
        <v>13322.43966975</v>
      </c>
      <c r="I181" s="25">
        <f t="shared" si="28"/>
        <v>13322.43966975</v>
      </c>
      <c r="J181" s="30">
        <v>0</v>
      </c>
      <c r="K181" s="30"/>
      <c r="L181" s="30">
        <v>0</v>
      </c>
      <c r="M181" s="25">
        <f t="shared" si="29"/>
        <v>13322.43966975</v>
      </c>
      <c r="N181" s="26"/>
      <c r="O181" s="203">
        <v>0.93490804699999996</v>
      </c>
      <c r="Q181" s="34"/>
      <c r="R181" s="300"/>
    </row>
    <row r="182" spans="1:18" s="1" customFormat="1" ht="18.95" customHeight="1">
      <c r="A182" s="28">
        <v>8</v>
      </c>
      <c r="B182" s="27" t="s">
        <v>4117</v>
      </c>
      <c r="C182" s="29"/>
      <c r="D182" s="267"/>
      <c r="E182" s="25">
        <v>1</v>
      </c>
      <c r="F182" s="26" t="s">
        <v>788</v>
      </c>
      <c r="G182" s="25"/>
      <c r="H182" s="25"/>
      <c r="I182" s="25">
        <f t="shared" si="28"/>
        <v>0</v>
      </c>
      <c r="J182" s="30">
        <v>15000</v>
      </c>
      <c r="K182" s="30">
        <f>J182*O182</f>
        <v>14023.620704999999</v>
      </c>
      <c r="L182" s="30">
        <f>K182*E182</f>
        <v>14023.620704999999</v>
      </c>
      <c r="M182" s="25">
        <f t="shared" si="29"/>
        <v>14023.620704999999</v>
      </c>
      <c r="N182" s="26"/>
      <c r="O182" s="203">
        <v>0.93490804699999996</v>
      </c>
      <c r="Q182" s="34"/>
      <c r="R182" s="300"/>
    </row>
    <row r="183" spans="1:18" s="1" customFormat="1" ht="18.95" customHeight="1">
      <c r="A183" s="28"/>
      <c r="B183" s="27"/>
      <c r="C183" s="29"/>
      <c r="D183" s="267"/>
      <c r="E183" s="25"/>
      <c r="F183" s="26"/>
      <c r="G183" s="25"/>
      <c r="H183" s="25"/>
      <c r="I183" s="25">
        <f t="shared" si="28"/>
        <v>0</v>
      </c>
      <c r="J183" s="30"/>
      <c r="K183" s="30"/>
      <c r="L183" s="30"/>
      <c r="M183" s="25"/>
      <c r="N183" s="26"/>
      <c r="O183" s="203">
        <v>0.93490804699999996</v>
      </c>
      <c r="Q183" s="34"/>
      <c r="R183" s="300"/>
    </row>
    <row r="184" spans="1:18" s="1" customFormat="1" ht="18.95" customHeight="1">
      <c r="A184" s="339"/>
      <c r="B184" s="1275" t="s">
        <v>4176</v>
      </c>
      <c r="C184" s="1276"/>
      <c r="D184" s="1277"/>
      <c r="E184" s="102">
        <v>1</v>
      </c>
      <c r="F184" s="35" t="s">
        <v>4177</v>
      </c>
      <c r="G184" s="34"/>
      <c r="H184" s="34"/>
      <c r="I184" s="34">
        <f>SUM(I175:I183)</f>
        <v>155218.10850317497</v>
      </c>
      <c r="J184" s="34"/>
      <c r="K184" s="34"/>
      <c r="L184" s="34">
        <f>SUM(L176:L183)</f>
        <v>14023.620704999999</v>
      </c>
      <c r="M184" s="34">
        <f>SUM(M175:M183)</f>
        <v>169241.72920817498</v>
      </c>
      <c r="N184" s="35"/>
      <c r="O184" s="203">
        <v>0.93490804699999996</v>
      </c>
      <c r="Q184" s="34"/>
      <c r="R184" s="300"/>
    </row>
    <row r="185" spans="1:18" ht="18.95" customHeight="1">
      <c r="A185" s="339"/>
      <c r="B185" s="1275" t="s">
        <v>4176</v>
      </c>
      <c r="C185" s="1276"/>
      <c r="D185" s="1277"/>
      <c r="E185" s="102">
        <v>2</v>
      </c>
      <c r="F185" s="35" t="s">
        <v>4177</v>
      </c>
      <c r="G185" s="34"/>
      <c r="H185" s="34"/>
      <c r="I185" s="34">
        <f>I184*2</f>
        <v>310436.21700634994</v>
      </c>
      <c r="J185" s="34"/>
      <c r="K185" s="34"/>
      <c r="L185" s="34">
        <f>L184*2</f>
        <v>28047.241409999999</v>
      </c>
      <c r="M185" s="34">
        <f>M184*2</f>
        <v>338483.45841634995</v>
      </c>
      <c r="N185" s="35"/>
      <c r="O185" s="203">
        <v>0.93490804699999996</v>
      </c>
      <c r="Q185" s="25"/>
      <c r="R185" s="300"/>
    </row>
    <row r="186" spans="1:18" ht="18.95" customHeight="1">
      <c r="A186" s="28"/>
      <c r="B186" s="27"/>
      <c r="C186" s="29"/>
      <c r="D186" s="267"/>
      <c r="E186" s="25"/>
      <c r="F186" s="26"/>
      <c r="G186" s="25"/>
      <c r="H186" s="25"/>
      <c r="I186" s="25"/>
      <c r="J186" s="30"/>
      <c r="K186" s="30"/>
      <c r="L186" s="30"/>
      <c r="M186" s="25"/>
      <c r="N186" s="26"/>
      <c r="O186" s="203">
        <v>0.93490804699999996</v>
      </c>
      <c r="Q186" s="25"/>
      <c r="R186" s="300"/>
    </row>
    <row r="187" spans="1:18" ht="18.95" customHeight="1">
      <c r="A187" s="220"/>
      <c r="B187" s="302" t="s">
        <v>4178</v>
      </c>
      <c r="C187" s="221"/>
      <c r="D187" s="267"/>
      <c r="E187" s="34"/>
      <c r="F187" s="34"/>
      <c r="G187" s="34"/>
      <c r="H187" s="34"/>
      <c r="I187" s="34"/>
      <c r="J187" s="34"/>
      <c r="K187" s="34"/>
      <c r="L187" s="34"/>
      <c r="M187" s="34"/>
      <c r="N187" s="35"/>
      <c r="O187" s="203">
        <v>0.93490804699999996</v>
      </c>
      <c r="Q187" s="25"/>
      <c r="R187" s="300"/>
    </row>
    <row r="188" spans="1:18" ht="18.95" customHeight="1">
      <c r="A188" s="220"/>
      <c r="B188" s="302" t="s">
        <v>4088</v>
      </c>
      <c r="C188" s="221"/>
      <c r="D188" s="267"/>
      <c r="E188" s="34"/>
      <c r="F188" s="35"/>
      <c r="G188" s="34"/>
      <c r="H188" s="34"/>
      <c r="I188" s="34"/>
      <c r="J188" s="34"/>
      <c r="K188" s="34"/>
      <c r="L188" s="102"/>
      <c r="M188" s="34"/>
      <c r="N188" s="35"/>
      <c r="O188" s="203">
        <v>0.93490804699999996</v>
      </c>
      <c r="Q188" s="25"/>
      <c r="R188" s="300"/>
    </row>
    <row r="189" spans="1:18" ht="18.95" customHeight="1">
      <c r="A189" s="28">
        <v>1</v>
      </c>
      <c r="B189" s="27" t="s">
        <v>4179</v>
      </c>
      <c r="C189" s="29"/>
      <c r="D189" s="267"/>
      <c r="E189" s="25">
        <v>1</v>
      </c>
      <c r="F189" s="26" t="s">
        <v>4061</v>
      </c>
      <c r="G189" s="25">
        <v>14250</v>
      </c>
      <c r="H189" s="25">
        <f t="shared" ref="H189:H190" si="30">G189*O189</f>
        <v>13322.43966975</v>
      </c>
      <c r="I189" s="25">
        <f t="shared" ref="I189:I197" si="31">E189*H189</f>
        <v>13322.43966975</v>
      </c>
      <c r="J189" s="30">
        <v>0</v>
      </c>
      <c r="K189" s="30"/>
      <c r="L189" s="30">
        <v>0</v>
      </c>
      <c r="M189" s="25">
        <f>I189+L189</f>
        <v>13322.43966975</v>
      </c>
      <c r="N189" s="26"/>
      <c r="O189" s="203">
        <v>0.93490804699999996</v>
      </c>
      <c r="Q189" s="25"/>
      <c r="R189" s="300"/>
    </row>
    <row r="190" spans="1:18" ht="18.95" customHeight="1">
      <c r="A190" s="28">
        <v>2</v>
      </c>
      <c r="B190" s="27" t="s">
        <v>4180</v>
      </c>
      <c r="C190" s="29"/>
      <c r="D190" s="267"/>
      <c r="E190" s="25">
        <v>1</v>
      </c>
      <c r="F190" s="26" t="s">
        <v>4063</v>
      </c>
      <c r="G190" s="25">
        <v>47500</v>
      </c>
      <c r="H190" s="25">
        <f t="shared" si="30"/>
        <v>44408.1322325</v>
      </c>
      <c r="I190" s="25">
        <f t="shared" si="31"/>
        <v>44408.1322325</v>
      </c>
      <c r="J190" s="30">
        <v>0</v>
      </c>
      <c r="K190" s="30"/>
      <c r="L190" s="30">
        <v>0</v>
      </c>
      <c r="M190" s="25">
        <f>I190+L190</f>
        <v>44408.1322325</v>
      </c>
      <c r="N190" s="26"/>
      <c r="O190" s="203">
        <v>0.93490804699999996</v>
      </c>
      <c r="Q190" s="25"/>
      <c r="R190" s="300"/>
    </row>
    <row r="191" spans="1:18" ht="18.95" customHeight="1">
      <c r="A191" s="28">
        <v>3</v>
      </c>
      <c r="B191" s="27" t="s">
        <v>4144</v>
      </c>
      <c r="C191" s="29"/>
      <c r="D191" s="267"/>
      <c r="E191" s="25">
        <v>1</v>
      </c>
      <c r="F191" s="26" t="s">
        <v>788</v>
      </c>
      <c r="G191" s="25">
        <v>0</v>
      </c>
      <c r="H191" s="25"/>
      <c r="I191" s="25">
        <f t="shared" si="31"/>
        <v>0</v>
      </c>
      <c r="J191" s="30">
        <v>2000</v>
      </c>
      <c r="K191" s="30">
        <f>J191*O191</f>
        <v>1869.816094</v>
      </c>
      <c r="L191" s="30">
        <f>K191*E191</f>
        <v>1869.816094</v>
      </c>
      <c r="M191" s="25">
        <f>I191+L191</f>
        <v>1869.816094</v>
      </c>
      <c r="N191" s="26"/>
      <c r="O191" s="203">
        <v>0.93490804699999996</v>
      </c>
      <c r="Q191" s="25"/>
      <c r="R191" s="300"/>
    </row>
    <row r="192" spans="1:18" ht="18.95" customHeight="1">
      <c r="A192" s="220"/>
      <c r="B192" s="302" t="s">
        <v>4181</v>
      </c>
      <c r="C192" s="221"/>
      <c r="D192" s="267"/>
      <c r="E192" s="34"/>
      <c r="F192" s="34"/>
      <c r="G192" s="34"/>
      <c r="H192" s="34"/>
      <c r="I192" s="25">
        <f t="shared" si="31"/>
        <v>0</v>
      </c>
      <c r="J192" s="34"/>
      <c r="K192" s="34"/>
      <c r="L192" s="34"/>
      <c r="M192" s="34"/>
      <c r="N192" s="35"/>
      <c r="O192" s="203">
        <v>0.93490804699999996</v>
      </c>
      <c r="Q192" s="25"/>
      <c r="R192" s="300"/>
    </row>
    <row r="193" spans="1:18" ht="18.95" customHeight="1">
      <c r="A193" s="28">
        <v>1</v>
      </c>
      <c r="B193" s="27" t="s">
        <v>4179</v>
      </c>
      <c r="C193" s="29"/>
      <c r="D193" s="267"/>
      <c r="E193" s="25">
        <v>2</v>
      </c>
      <c r="F193" s="26" t="s">
        <v>4061</v>
      </c>
      <c r="G193" s="25">
        <v>14250</v>
      </c>
      <c r="H193" s="25">
        <f t="shared" ref="H193:H196" si="32">G193*O193</f>
        <v>13322.43966975</v>
      </c>
      <c r="I193" s="25">
        <f t="shared" si="31"/>
        <v>26644.879339499999</v>
      </c>
      <c r="J193" s="30">
        <v>0</v>
      </c>
      <c r="K193" s="30"/>
      <c r="L193" s="30">
        <v>0</v>
      </c>
      <c r="M193" s="25">
        <f>I193+L193</f>
        <v>26644.879339499999</v>
      </c>
      <c r="N193" s="26"/>
      <c r="O193" s="203">
        <v>0.93490804699999996</v>
      </c>
      <c r="Q193" s="25"/>
      <c r="R193" s="300"/>
    </row>
    <row r="194" spans="1:18" s="1" customFormat="1" ht="18.95" customHeight="1">
      <c r="A194" s="28">
        <v>2</v>
      </c>
      <c r="B194" s="27" t="s">
        <v>4180</v>
      </c>
      <c r="C194" s="29"/>
      <c r="D194" s="267"/>
      <c r="E194" s="25">
        <v>2</v>
      </c>
      <c r="F194" s="26" t="s">
        <v>4063</v>
      </c>
      <c r="G194" s="25">
        <v>47500</v>
      </c>
      <c r="H194" s="25">
        <f t="shared" si="32"/>
        <v>44408.1322325</v>
      </c>
      <c r="I194" s="25">
        <f t="shared" si="31"/>
        <v>88816.264465</v>
      </c>
      <c r="J194" s="30">
        <v>0</v>
      </c>
      <c r="K194" s="30"/>
      <c r="L194" s="30">
        <v>0</v>
      </c>
      <c r="M194" s="25">
        <f>I194+L194</f>
        <v>88816.264465</v>
      </c>
      <c r="N194" s="26"/>
      <c r="O194" s="203">
        <v>0.93490804699999996</v>
      </c>
      <c r="Q194" s="34"/>
      <c r="R194" s="300"/>
    </row>
    <row r="195" spans="1:18" s="1" customFormat="1" ht="18.95" customHeight="1">
      <c r="A195" s="28">
        <v>3</v>
      </c>
      <c r="B195" s="27" t="s">
        <v>4182</v>
      </c>
      <c r="C195" s="29"/>
      <c r="D195" s="267"/>
      <c r="E195" s="25">
        <v>2</v>
      </c>
      <c r="F195" s="26" t="s">
        <v>4082</v>
      </c>
      <c r="G195" s="25">
        <v>4275</v>
      </c>
      <c r="H195" s="25">
        <f t="shared" si="32"/>
        <v>3996.731900925</v>
      </c>
      <c r="I195" s="25">
        <f t="shared" si="31"/>
        <v>7993.46380185</v>
      </c>
      <c r="J195" s="30">
        <v>0</v>
      </c>
      <c r="K195" s="30"/>
      <c r="L195" s="30">
        <v>0</v>
      </c>
      <c r="M195" s="25">
        <f>I195+L195</f>
        <v>7993.46380185</v>
      </c>
      <c r="N195" s="26"/>
      <c r="O195" s="203">
        <v>0.93490804699999996</v>
      </c>
      <c r="Q195" s="34"/>
      <c r="R195" s="300"/>
    </row>
    <row r="196" spans="1:18" ht="18.95" customHeight="1">
      <c r="A196" s="28">
        <v>4</v>
      </c>
      <c r="B196" s="27" t="s">
        <v>4183</v>
      </c>
      <c r="C196" s="29"/>
      <c r="D196" s="267"/>
      <c r="E196" s="25">
        <v>2</v>
      </c>
      <c r="F196" s="26" t="s">
        <v>4082</v>
      </c>
      <c r="G196" s="25">
        <v>1550</v>
      </c>
      <c r="H196" s="25">
        <f t="shared" si="32"/>
        <v>1449.10747285</v>
      </c>
      <c r="I196" s="25">
        <f t="shared" si="31"/>
        <v>2898.2149457</v>
      </c>
      <c r="J196" s="30">
        <v>0</v>
      </c>
      <c r="K196" s="30"/>
      <c r="L196" s="30">
        <v>0</v>
      </c>
      <c r="M196" s="25">
        <f>I196+L196</f>
        <v>2898.2149457</v>
      </c>
      <c r="N196" s="26"/>
      <c r="O196" s="203">
        <v>0.93490804699999996</v>
      </c>
      <c r="Q196" s="25"/>
      <c r="R196" s="300"/>
    </row>
    <row r="197" spans="1:18" ht="18.95" customHeight="1">
      <c r="A197" s="28">
        <v>5</v>
      </c>
      <c r="B197" s="27" t="s">
        <v>4144</v>
      </c>
      <c r="C197" s="29"/>
      <c r="D197" s="267"/>
      <c r="E197" s="25">
        <v>2</v>
      </c>
      <c r="F197" s="26" t="s">
        <v>788</v>
      </c>
      <c r="G197" s="25">
        <v>0</v>
      </c>
      <c r="H197" s="25"/>
      <c r="I197" s="25">
        <f t="shared" si="31"/>
        <v>0</v>
      </c>
      <c r="J197" s="30">
        <v>3000</v>
      </c>
      <c r="K197" s="30">
        <f>J197*O197</f>
        <v>2804.7241409999997</v>
      </c>
      <c r="L197" s="30">
        <f>K197*E197</f>
        <v>5609.4482819999994</v>
      </c>
      <c r="M197" s="25">
        <f>I197+L197</f>
        <v>5609.4482819999994</v>
      </c>
      <c r="N197" s="26"/>
      <c r="O197" s="203">
        <v>0.93490804699999996</v>
      </c>
      <c r="Q197" s="25"/>
      <c r="R197" s="300"/>
    </row>
    <row r="198" spans="1:18" ht="18.95" customHeight="1">
      <c r="A198" s="339"/>
      <c r="B198" s="1275" t="s">
        <v>4184</v>
      </c>
      <c r="C198" s="1276"/>
      <c r="D198" s="1277"/>
      <c r="E198" s="102"/>
      <c r="F198" s="35"/>
      <c r="G198" s="34"/>
      <c r="H198" s="34"/>
      <c r="I198" s="34">
        <f>SUM(I189:I197)</f>
        <v>184083.3944543</v>
      </c>
      <c r="J198" s="34"/>
      <c r="K198" s="34"/>
      <c r="L198" s="34">
        <f>SUM(L189:L197)</f>
        <v>7479.2643759999992</v>
      </c>
      <c r="M198" s="34">
        <f>SUM(M189:M197)</f>
        <v>191562.6588303</v>
      </c>
      <c r="N198" s="35"/>
      <c r="O198" s="203">
        <v>0.93490804699999996</v>
      </c>
      <c r="Q198" s="54"/>
      <c r="R198" s="300"/>
    </row>
    <row r="199" spans="1:18" s="1" customFormat="1" ht="18.95" customHeight="1">
      <c r="A199" s="28"/>
      <c r="B199" s="27"/>
      <c r="C199" s="29"/>
      <c r="D199" s="267"/>
      <c r="E199" s="25"/>
      <c r="F199" s="26"/>
      <c r="G199" s="25"/>
      <c r="H199" s="25"/>
      <c r="I199" s="25"/>
      <c r="J199" s="30"/>
      <c r="K199" s="30"/>
      <c r="L199" s="30"/>
      <c r="M199" s="25"/>
      <c r="N199" s="26"/>
      <c r="O199" s="203">
        <v>0.93490804699999996</v>
      </c>
      <c r="Q199" s="218"/>
      <c r="R199" s="300"/>
    </row>
    <row r="200" spans="1:18" s="1" customFormat="1" ht="18.95" customHeight="1">
      <c r="A200" s="28"/>
      <c r="B200" s="27"/>
      <c r="C200" s="29"/>
      <c r="D200" s="267"/>
      <c r="E200" s="25"/>
      <c r="F200" s="26"/>
      <c r="G200" s="25"/>
      <c r="H200" s="25"/>
      <c r="I200" s="25"/>
      <c r="J200" s="30"/>
      <c r="K200" s="30"/>
      <c r="L200" s="30"/>
      <c r="M200" s="25"/>
      <c r="N200" s="26"/>
      <c r="O200" s="203">
        <v>0.93490804699999996</v>
      </c>
      <c r="Q200" s="34"/>
      <c r="R200" s="300"/>
    </row>
    <row r="201" spans="1:18" ht="18.95" customHeight="1">
      <c r="A201" s="220"/>
      <c r="B201" s="302" t="s">
        <v>4185</v>
      </c>
      <c r="C201" s="221"/>
      <c r="D201" s="267"/>
      <c r="E201" s="34"/>
      <c r="F201" s="34"/>
      <c r="G201" s="34"/>
      <c r="H201" s="34"/>
      <c r="I201" s="34"/>
      <c r="J201" s="34"/>
      <c r="K201" s="34"/>
      <c r="L201" s="34"/>
      <c r="M201" s="34"/>
      <c r="N201" s="35"/>
      <c r="O201" s="203">
        <v>0.93490804699999996</v>
      </c>
      <c r="Q201" s="25"/>
      <c r="R201" s="300"/>
    </row>
    <row r="202" spans="1:18" ht="18.95" customHeight="1">
      <c r="A202" s="220"/>
      <c r="B202" s="302" t="s">
        <v>4186</v>
      </c>
      <c r="C202" s="221"/>
      <c r="D202" s="267"/>
      <c r="E202" s="34"/>
      <c r="F202" s="35"/>
      <c r="G202" s="34"/>
      <c r="H202" s="34"/>
      <c r="I202" s="34"/>
      <c r="J202" s="34"/>
      <c r="K202" s="34"/>
      <c r="L202" s="102"/>
      <c r="M202" s="34"/>
      <c r="N202" s="35"/>
      <c r="O202" s="203">
        <v>0.93490804699999996</v>
      </c>
      <c r="Q202" s="25"/>
      <c r="R202" s="300"/>
    </row>
    <row r="203" spans="1:18" ht="18.95" customHeight="1">
      <c r="A203" s="28">
        <v>1</v>
      </c>
      <c r="B203" s="27" t="s">
        <v>4083</v>
      </c>
      <c r="C203" s="29"/>
      <c r="D203" s="267"/>
      <c r="E203" s="25">
        <v>2</v>
      </c>
      <c r="F203" s="26" t="s">
        <v>349</v>
      </c>
      <c r="G203" s="25">
        <v>24000</v>
      </c>
      <c r="H203" s="25">
        <f t="shared" ref="H203:H212" si="33">G203*O203</f>
        <v>22437.793127999998</v>
      </c>
      <c r="I203" s="25">
        <f t="shared" ref="I203:I212" si="34">E203*H203</f>
        <v>44875.586255999995</v>
      </c>
      <c r="J203" s="30"/>
      <c r="K203" s="30"/>
      <c r="L203" s="30"/>
      <c r="M203" s="25">
        <f t="shared" ref="M203:M211" si="35">I203+L203</f>
        <v>44875.586255999995</v>
      </c>
      <c r="N203" s="26"/>
      <c r="O203" s="203">
        <v>0.93490804699999996</v>
      </c>
      <c r="Q203" s="25"/>
      <c r="R203" s="300"/>
    </row>
    <row r="204" spans="1:18" ht="18.95" customHeight="1">
      <c r="A204" s="28">
        <v>2</v>
      </c>
      <c r="B204" s="27" t="s">
        <v>4157</v>
      </c>
      <c r="C204" s="29"/>
      <c r="D204" s="267"/>
      <c r="E204" s="25">
        <v>1</v>
      </c>
      <c r="F204" s="26" t="s">
        <v>4063</v>
      </c>
      <c r="G204" s="25">
        <v>14250</v>
      </c>
      <c r="H204" s="25">
        <f t="shared" si="33"/>
        <v>13322.43966975</v>
      </c>
      <c r="I204" s="25">
        <f t="shared" si="34"/>
        <v>13322.43966975</v>
      </c>
      <c r="J204" s="30"/>
      <c r="K204" s="30"/>
      <c r="L204" s="30"/>
      <c r="M204" s="25">
        <f t="shared" si="35"/>
        <v>13322.43966975</v>
      </c>
      <c r="N204" s="26"/>
      <c r="O204" s="203">
        <v>0.93490804699999996</v>
      </c>
      <c r="Q204" s="25"/>
      <c r="R204" s="300"/>
    </row>
    <row r="205" spans="1:18" ht="18.95" customHeight="1">
      <c r="A205" s="28">
        <v>3</v>
      </c>
      <c r="B205" s="27" t="s">
        <v>4158</v>
      </c>
      <c r="C205" s="29"/>
      <c r="D205" s="267"/>
      <c r="E205" s="25">
        <v>1</v>
      </c>
      <c r="F205" s="26" t="s">
        <v>4063</v>
      </c>
      <c r="G205" s="25">
        <v>114000</v>
      </c>
      <c r="H205" s="25">
        <f t="shared" si="33"/>
        <v>106579.517358</v>
      </c>
      <c r="I205" s="25">
        <f t="shared" si="34"/>
        <v>106579.517358</v>
      </c>
      <c r="J205" s="30"/>
      <c r="K205" s="30"/>
      <c r="L205" s="30"/>
      <c r="M205" s="25">
        <f t="shared" si="35"/>
        <v>106579.517358</v>
      </c>
      <c r="N205" s="26"/>
      <c r="O205" s="203">
        <v>0.93490804699999996</v>
      </c>
      <c r="Q205" s="25"/>
      <c r="R205" s="300"/>
    </row>
    <row r="206" spans="1:18" ht="18.95" customHeight="1">
      <c r="A206" s="28">
        <v>4</v>
      </c>
      <c r="B206" s="27" t="s">
        <v>4159</v>
      </c>
      <c r="C206" s="29"/>
      <c r="D206" s="267"/>
      <c r="E206" s="25">
        <v>1</v>
      </c>
      <c r="F206" s="26" t="s">
        <v>4063</v>
      </c>
      <c r="G206" s="25">
        <v>31350</v>
      </c>
      <c r="H206" s="25">
        <f t="shared" si="33"/>
        <v>29309.36727345</v>
      </c>
      <c r="I206" s="25">
        <f t="shared" si="34"/>
        <v>29309.36727345</v>
      </c>
      <c r="J206" s="30"/>
      <c r="K206" s="30"/>
      <c r="L206" s="30"/>
      <c r="M206" s="25">
        <f t="shared" si="35"/>
        <v>29309.36727345</v>
      </c>
      <c r="N206" s="26"/>
      <c r="O206" s="203">
        <v>0.93490804699999996</v>
      </c>
      <c r="Q206" s="25"/>
      <c r="R206" s="300"/>
    </row>
    <row r="207" spans="1:18" s="1" customFormat="1" ht="18.95" customHeight="1">
      <c r="A207" s="28">
        <v>5</v>
      </c>
      <c r="B207" s="27" t="s">
        <v>4160</v>
      </c>
      <c r="C207" s="29"/>
      <c r="D207" s="267"/>
      <c r="E207" s="25">
        <v>2</v>
      </c>
      <c r="F207" s="26" t="s">
        <v>1512</v>
      </c>
      <c r="G207" s="25">
        <v>23750</v>
      </c>
      <c r="H207" s="25">
        <f t="shared" si="33"/>
        <v>22204.06611625</v>
      </c>
      <c r="I207" s="25">
        <f t="shared" si="34"/>
        <v>44408.1322325</v>
      </c>
      <c r="J207" s="30"/>
      <c r="K207" s="30"/>
      <c r="L207" s="30"/>
      <c r="M207" s="25">
        <f t="shared" si="35"/>
        <v>44408.1322325</v>
      </c>
      <c r="N207" s="26"/>
      <c r="O207" s="203">
        <v>0.93490804699999996</v>
      </c>
      <c r="Q207" s="34"/>
      <c r="R207" s="300"/>
    </row>
    <row r="208" spans="1:18" ht="18.95" customHeight="1">
      <c r="A208" s="28">
        <v>6</v>
      </c>
      <c r="B208" s="27" t="s">
        <v>4161</v>
      </c>
      <c r="C208" s="29"/>
      <c r="D208" s="267"/>
      <c r="E208" s="25">
        <v>1</v>
      </c>
      <c r="F208" s="26" t="s">
        <v>349</v>
      </c>
      <c r="G208" s="25">
        <v>36100</v>
      </c>
      <c r="H208" s="25">
        <f t="shared" si="33"/>
        <v>33750.180496699999</v>
      </c>
      <c r="I208" s="25">
        <f t="shared" si="34"/>
        <v>33750.180496699999</v>
      </c>
      <c r="J208" s="30"/>
      <c r="K208" s="30"/>
      <c r="L208" s="30"/>
      <c r="M208" s="25">
        <f t="shared" si="35"/>
        <v>33750.180496699999</v>
      </c>
      <c r="N208" s="26"/>
      <c r="O208" s="203">
        <v>0.93490804699999996</v>
      </c>
      <c r="Q208" s="25"/>
      <c r="R208" s="300"/>
    </row>
    <row r="209" spans="1:18" ht="18.95" customHeight="1">
      <c r="A209" s="28">
        <v>7</v>
      </c>
      <c r="B209" s="27" t="s">
        <v>4162</v>
      </c>
      <c r="C209" s="29"/>
      <c r="D209" s="267"/>
      <c r="E209" s="25">
        <v>1</v>
      </c>
      <c r="F209" s="26" t="s">
        <v>349</v>
      </c>
      <c r="G209" s="25">
        <v>34200</v>
      </c>
      <c r="H209" s="25">
        <f t="shared" si="33"/>
        <v>31973.8552074</v>
      </c>
      <c r="I209" s="25">
        <f t="shared" si="34"/>
        <v>31973.8552074</v>
      </c>
      <c r="J209" s="30"/>
      <c r="K209" s="30"/>
      <c r="L209" s="30"/>
      <c r="M209" s="25">
        <f t="shared" si="35"/>
        <v>31973.8552074</v>
      </c>
      <c r="N209" s="35"/>
      <c r="O209" s="203">
        <v>0.93490804699999996</v>
      </c>
      <c r="Q209" s="25"/>
      <c r="R209" s="300"/>
    </row>
    <row r="210" spans="1:18" ht="18.95" customHeight="1">
      <c r="A210" s="28">
        <v>8</v>
      </c>
      <c r="B210" s="27" t="s">
        <v>4163</v>
      </c>
      <c r="C210" s="29"/>
      <c r="D210" s="267"/>
      <c r="E210" s="25">
        <v>1</v>
      </c>
      <c r="F210" s="26" t="s">
        <v>4063</v>
      </c>
      <c r="G210" s="25">
        <v>24700</v>
      </c>
      <c r="H210" s="25">
        <f t="shared" si="33"/>
        <v>23092.228760899998</v>
      </c>
      <c r="I210" s="25">
        <f t="shared" si="34"/>
        <v>23092.228760899998</v>
      </c>
      <c r="J210" s="30"/>
      <c r="K210" s="30"/>
      <c r="L210" s="30"/>
      <c r="M210" s="25">
        <f t="shared" si="35"/>
        <v>23092.228760899998</v>
      </c>
      <c r="N210" s="26"/>
      <c r="O210" s="203">
        <v>0.93490804699999996</v>
      </c>
      <c r="Q210" s="25"/>
      <c r="R210" s="300"/>
    </row>
    <row r="211" spans="1:18" ht="18.95" customHeight="1">
      <c r="A211" s="28">
        <v>9</v>
      </c>
      <c r="B211" s="27" t="s">
        <v>4187</v>
      </c>
      <c r="C211" s="29"/>
      <c r="D211" s="267"/>
      <c r="E211" s="25">
        <v>1</v>
      </c>
      <c r="F211" s="26" t="s">
        <v>4063</v>
      </c>
      <c r="G211" s="25">
        <v>170000</v>
      </c>
      <c r="H211" s="25">
        <f t="shared" si="33"/>
        <v>158934.36799</v>
      </c>
      <c r="I211" s="25">
        <f t="shared" si="34"/>
        <v>158934.36799</v>
      </c>
      <c r="J211" s="30"/>
      <c r="K211" s="30"/>
      <c r="L211" s="30"/>
      <c r="M211" s="25">
        <f t="shared" si="35"/>
        <v>158934.36799</v>
      </c>
      <c r="N211" s="26"/>
      <c r="O211" s="203">
        <v>0.93490804699999996</v>
      </c>
      <c r="Q211" s="25"/>
      <c r="R211" s="300"/>
    </row>
    <row r="212" spans="1:18" ht="18.95" customHeight="1">
      <c r="A212" s="28">
        <v>10</v>
      </c>
      <c r="B212" s="27" t="s">
        <v>4131</v>
      </c>
      <c r="C212" s="29"/>
      <c r="D212" s="267"/>
      <c r="E212" s="25">
        <v>1</v>
      </c>
      <c r="F212" s="26" t="s">
        <v>1512</v>
      </c>
      <c r="G212" s="25">
        <v>14250</v>
      </c>
      <c r="H212" s="25">
        <f t="shared" si="33"/>
        <v>13322.43966975</v>
      </c>
      <c r="I212" s="25">
        <f t="shared" si="34"/>
        <v>13322.43966975</v>
      </c>
      <c r="J212" s="30"/>
      <c r="K212" s="30"/>
      <c r="L212" s="30"/>
      <c r="M212" s="25">
        <f t="shared" ref="M212:M213" si="36">I212+L212</f>
        <v>13322.43966975</v>
      </c>
      <c r="N212" s="26"/>
      <c r="O212" s="203">
        <v>0.93490804699999996</v>
      </c>
      <c r="Q212" s="25"/>
      <c r="R212" s="300"/>
    </row>
    <row r="213" spans="1:18" ht="18.95" customHeight="1">
      <c r="A213" s="28">
        <v>11</v>
      </c>
      <c r="B213" s="27" t="s">
        <v>4117</v>
      </c>
      <c r="C213" s="29"/>
      <c r="D213" s="267"/>
      <c r="E213" s="25">
        <v>1</v>
      </c>
      <c r="F213" s="26" t="s">
        <v>788</v>
      </c>
      <c r="G213" s="25"/>
      <c r="H213" s="25"/>
      <c r="I213" s="25"/>
      <c r="J213" s="30">
        <v>60000</v>
      </c>
      <c r="K213" s="30">
        <f>J213*O213</f>
        <v>56094.482819999997</v>
      </c>
      <c r="L213" s="30">
        <f>K213*E213</f>
        <v>56094.482819999997</v>
      </c>
      <c r="M213" s="25">
        <f t="shared" si="36"/>
        <v>56094.482819999997</v>
      </c>
      <c r="N213" s="26"/>
      <c r="O213" s="203">
        <v>0.93490804699999996</v>
      </c>
      <c r="Q213" s="34"/>
      <c r="R213" s="300"/>
    </row>
    <row r="214" spans="1:18" ht="18.95" customHeight="1">
      <c r="A214" s="339"/>
      <c r="B214" s="1275" t="s">
        <v>4188</v>
      </c>
      <c r="C214" s="1276"/>
      <c r="D214" s="1277"/>
      <c r="E214" s="102"/>
      <c r="F214" s="35"/>
      <c r="G214" s="34"/>
      <c r="H214" s="34"/>
      <c r="I214" s="34">
        <f>SUM(I203:I213)</f>
        <v>499568.11491444992</v>
      </c>
      <c r="J214" s="34"/>
      <c r="K214" s="34"/>
      <c r="L214" s="34">
        <f>SUM(L203:L213)</f>
        <v>56094.482819999997</v>
      </c>
      <c r="M214" s="34">
        <f>SUM(M203:M213)</f>
        <v>555662.5977344499</v>
      </c>
      <c r="N214" s="35"/>
      <c r="O214" s="203">
        <v>0.93490804699999996</v>
      </c>
      <c r="Q214" s="25"/>
      <c r="R214" s="300"/>
    </row>
    <row r="215" spans="1:18" s="1" customFormat="1" ht="18.95" customHeight="1">
      <c r="A215" s="339"/>
      <c r="B215" s="1275" t="s">
        <v>4189</v>
      </c>
      <c r="C215" s="1276"/>
      <c r="D215" s="1277"/>
      <c r="E215" s="34"/>
      <c r="F215" s="126"/>
      <c r="G215" s="34"/>
      <c r="H215" s="34"/>
      <c r="I215" s="34">
        <f>I198+I214+I185</f>
        <v>994087.72637509985</v>
      </c>
      <c r="J215" s="34"/>
      <c r="K215" s="34"/>
      <c r="L215" s="34">
        <f>L198+L214+L185</f>
        <v>91620.988605999999</v>
      </c>
      <c r="M215" s="34">
        <f>M198+M214+M185</f>
        <v>1085708.7149810998</v>
      </c>
      <c r="N215" s="35"/>
      <c r="O215" s="203">
        <v>0.93490804699999996</v>
      </c>
      <c r="Q215" s="34"/>
      <c r="R215" s="300"/>
    </row>
    <row r="216" spans="1:18" s="1" customFormat="1" ht="18.95" customHeight="1">
      <c r="A216" s="339"/>
      <c r="B216" s="256"/>
      <c r="C216" s="257"/>
      <c r="D216" s="258"/>
      <c r="E216" s="34"/>
      <c r="F216" s="126"/>
      <c r="G216" s="34"/>
      <c r="H216" s="34"/>
      <c r="I216" s="34"/>
      <c r="J216" s="34"/>
      <c r="K216" s="34"/>
      <c r="L216" s="34"/>
      <c r="M216" s="34"/>
      <c r="N216" s="35"/>
      <c r="O216" s="203">
        <v>0.93490804699999996</v>
      </c>
      <c r="Q216" s="34"/>
      <c r="R216" s="300"/>
    </row>
    <row r="217" spans="1:18" ht="18.95" customHeight="1">
      <c r="A217" s="220">
        <v>5</v>
      </c>
      <c r="B217" s="302" t="s">
        <v>937</v>
      </c>
      <c r="C217" s="221"/>
      <c r="D217" s="49"/>
      <c r="E217" s="34"/>
      <c r="F217" s="34"/>
      <c r="G217" s="34"/>
      <c r="H217" s="34"/>
      <c r="I217" s="34"/>
      <c r="J217" s="34"/>
      <c r="K217" s="34"/>
      <c r="L217" s="34"/>
      <c r="M217" s="34"/>
      <c r="N217" s="35"/>
      <c r="O217" s="203">
        <v>0.93490804699999996</v>
      </c>
      <c r="Q217" s="25"/>
      <c r="R217" s="300"/>
    </row>
    <row r="218" spans="1:18" ht="18.95" customHeight="1">
      <c r="A218" s="220"/>
      <c r="B218" s="302" t="s">
        <v>4080</v>
      </c>
      <c r="C218" s="221"/>
      <c r="D218" s="267"/>
      <c r="E218" s="34"/>
      <c r="F218" s="34"/>
      <c r="G218" s="34"/>
      <c r="H218" s="34"/>
      <c r="I218" s="34"/>
      <c r="J218" s="34"/>
      <c r="K218" s="34"/>
      <c r="L218" s="34"/>
      <c r="M218" s="34"/>
      <c r="N218" s="35"/>
      <c r="O218" s="203">
        <v>0.93490804699999996</v>
      </c>
      <c r="Q218" s="25"/>
      <c r="R218" s="300"/>
    </row>
    <row r="219" spans="1:18" ht="18.95" customHeight="1">
      <c r="A219" s="28">
        <v>1</v>
      </c>
      <c r="B219" s="27" t="s">
        <v>4083</v>
      </c>
      <c r="C219" s="29"/>
      <c r="D219" s="267"/>
      <c r="E219" s="25">
        <v>2</v>
      </c>
      <c r="F219" s="26" t="s">
        <v>349</v>
      </c>
      <c r="G219" s="25">
        <v>24000</v>
      </c>
      <c r="H219" s="25">
        <f t="shared" ref="H219:H232" si="37">G219*O219</f>
        <v>22437.793127999998</v>
      </c>
      <c r="I219" s="25">
        <f>E219*H219</f>
        <v>44875.586255999995</v>
      </c>
      <c r="J219" s="30"/>
      <c r="K219" s="30"/>
      <c r="L219" s="30"/>
      <c r="M219" s="25">
        <f t="shared" ref="M219:M233" si="38">I219+L219</f>
        <v>44875.586255999995</v>
      </c>
      <c r="N219" s="26"/>
      <c r="O219" s="203">
        <v>0.93490804699999996</v>
      </c>
      <c r="Q219" s="25"/>
      <c r="R219" s="300"/>
    </row>
    <row r="220" spans="1:18" s="1" customFormat="1" ht="18.95" customHeight="1">
      <c r="A220" s="28">
        <v>2</v>
      </c>
      <c r="B220" s="27" t="s">
        <v>4134</v>
      </c>
      <c r="C220" s="29"/>
      <c r="D220" s="267"/>
      <c r="E220" s="25">
        <v>1</v>
      </c>
      <c r="F220" s="26" t="s">
        <v>349</v>
      </c>
      <c r="G220" s="25">
        <v>16340</v>
      </c>
      <c r="H220" s="25">
        <f t="shared" si="37"/>
        <v>15276.397487979999</v>
      </c>
      <c r="I220" s="25">
        <f t="shared" ref="I220:I232" si="39">E220*H220</f>
        <v>15276.397487979999</v>
      </c>
      <c r="J220" s="30"/>
      <c r="K220" s="30"/>
      <c r="L220" s="30"/>
      <c r="M220" s="25">
        <f t="shared" si="38"/>
        <v>15276.397487979999</v>
      </c>
      <c r="N220" s="26"/>
      <c r="O220" s="203">
        <v>0.93490804699999996</v>
      </c>
      <c r="Q220" s="34"/>
      <c r="R220" s="300"/>
    </row>
    <row r="221" spans="1:18" ht="18.95" customHeight="1">
      <c r="A221" s="28">
        <v>3</v>
      </c>
      <c r="B221" s="27" t="s">
        <v>4190</v>
      </c>
      <c r="C221" s="29"/>
      <c r="D221" s="267"/>
      <c r="E221" s="25">
        <v>1</v>
      </c>
      <c r="F221" s="26" t="s">
        <v>349</v>
      </c>
      <c r="G221" s="25">
        <v>380000</v>
      </c>
      <c r="H221" s="25">
        <f t="shared" si="37"/>
        <v>355265.05786</v>
      </c>
      <c r="I221" s="25">
        <f t="shared" si="39"/>
        <v>355265.05786</v>
      </c>
      <c r="J221" s="30"/>
      <c r="K221" s="30"/>
      <c r="L221" s="30"/>
      <c r="M221" s="25">
        <f t="shared" si="38"/>
        <v>355265.05786</v>
      </c>
      <c r="N221" s="26"/>
      <c r="O221" s="203">
        <v>0.93490804699999996</v>
      </c>
      <c r="Q221" s="25"/>
      <c r="R221" s="300"/>
    </row>
    <row r="222" spans="1:18" ht="18.95" customHeight="1">
      <c r="A222" s="28">
        <v>4</v>
      </c>
      <c r="B222" s="27" t="s">
        <v>4191</v>
      </c>
      <c r="C222" s="29"/>
      <c r="D222" s="267"/>
      <c r="E222" s="25">
        <v>1</v>
      </c>
      <c r="F222" s="26" t="s">
        <v>4063</v>
      </c>
      <c r="G222" s="25">
        <v>173850</v>
      </c>
      <c r="H222" s="25">
        <f t="shared" si="37"/>
        <v>162533.76397095001</v>
      </c>
      <c r="I222" s="25">
        <f t="shared" si="39"/>
        <v>162533.76397095001</v>
      </c>
      <c r="J222" s="30"/>
      <c r="K222" s="30"/>
      <c r="L222" s="30"/>
      <c r="M222" s="25">
        <f t="shared" si="38"/>
        <v>162533.76397095001</v>
      </c>
      <c r="N222" s="26"/>
      <c r="O222" s="203">
        <v>0.93490804699999996</v>
      </c>
      <c r="Q222" s="25"/>
      <c r="R222" s="300"/>
    </row>
    <row r="223" spans="1:18" ht="18.95" customHeight="1">
      <c r="A223" s="28">
        <v>5</v>
      </c>
      <c r="B223" s="27" t="s">
        <v>4192</v>
      </c>
      <c r="C223" s="29"/>
      <c r="D223" s="267"/>
      <c r="E223" s="25">
        <v>2</v>
      </c>
      <c r="F223" s="26" t="s">
        <v>4063</v>
      </c>
      <c r="G223" s="25">
        <v>70300</v>
      </c>
      <c r="H223" s="25">
        <f t="shared" si="37"/>
        <v>65724.035704099995</v>
      </c>
      <c r="I223" s="25">
        <f t="shared" si="39"/>
        <v>131448.07140819999</v>
      </c>
      <c r="J223" s="30"/>
      <c r="K223" s="30"/>
      <c r="L223" s="30"/>
      <c r="M223" s="25">
        <f t="shared" si="38"/>
        <v>131448.07140819999</v>
      </c>
      <c r="N223" s="26"/>
      <c r="O223" s="203">
        <v>0.93490804699999996</v>
      </c>
      <c r="Q223" s="25"/>
      <c r="R223" s="300"/>
    </row>
    <row r="224" spans="1:18" ht="18.95" customHeight="1">
      <c r="A224" s="28">
        <v>6</v>
      </c>
      <c r="B224" s="27" t="s">
        <v>4193</v>
      </c>
      <c r="C224" s="29"/>
      <c r="D224" s="267"/>
      <c r="E224" s="25">
        <v>2</v>
      </c>
      <c r="F224" s="26" t="s">
        <v>1512</v>
      </c>
      <c r="G224" s="25">
        <v>798000</v>
      </c>
      <c r="H224" s="25">
        <f t="shared" si="37"/>
        <v>746056.62150599994</v>
      </c>
      <c r="I224" s="25">
        <f t="shared" si="39"/>
        <v>1492113.2430119999</v>
      </c>
      <c r="J224" s="30"/>
      <c r="K224" s="30"/>
      <c r="L224" s="30"/>
      <c r="M224" s="25">
        <f t="shared" si="38"/>
        <v>1492113.2430119999</v>
      </c>
      <c r="N224" s="26"/>
      <c r="O224" s="203">
        <v>0.93490804699999996</v>
      </c>
      <c r="Q224" s="25"/>
      <c r="R224" s="300"/>
    </row>
    <row r="225" spans="1:18" s="325" customFormat="1" ht="18.95" customHeight="1">
      <c r="A225" s="28">
        <v>7</v>
      </c>
      <c r="B225" s="27" t="s">
        <v>4194</v>
      </c>
      <c r="C225" s="29"/>
      <c r="D225" s="267"/>
      <c r="E225" s="25">
        <v>2</v>
      </c>
      <c r="F225" s="26" t="s">
        <v>1512</v>
      </c>
      <c r="G225" s="25">
        <v>145350</v>
      </c>
      <c r="H225" s="25">
        <f t="shared" si="37"/>
        <v>135888.88463145</v>
      </c>
      <c r="I225" s="25">
        <f t="shared" si="39"/>
        <v>271777.76926289999</v>
      </c>
      <c r="J225" s="30"/>
      <c r="K225" s="30"/>
      <c r="L225" s="30"/>
      <c r="M225" s="25">
        <f t="shared" si="38"/>
        <v>271777.76926289999</v>
      </c>
      <c r="N225" s="26"/>
      <c r="O225" s="203">
        <v>0.93490804699999996</v>
      </c>
      <c r="Q225" s="34"/>
      <c r="R225" s="300"/>
    </row>
    <row r="226" spans="1:18" s="1" customFormat="1" ht="18.95" customHeight="1">
      <c r="A226" s="28">
        <v>8</v>
      </c>
      <c r="B226" s="27" t="s">
        <v>4195</v>
      </c>
      <c r="C226" s="29"/>
      <c r="D226" s="267"/>
      <c r="E226" s="25">
        <v>4</v>
      </c>
      <c r="F226" s="26" t="s">
        <v>1512</v>
      </c>
      <c r="G226" s="25">
        <v>27750</v>
      </c>
      <c r="H226" s="25">
        <f t="shared" si="37"/>
        <v>25943.69830425</v>
      </c>
      <c r="I226" s="25">
        <f t="shared" si="39"/>
        <v>103774.793217</v>
      </c>
      <c r="J226" s="30"/>
      <c r="K226" s="30"/>
      <c r="L226" s="30"/>
      <c r="M226" s="25">
        <f t="shared" si="38"/>
        <v>103774.793217</v>
      </c>
      <c r="N226" s="26"/>
      <c r="O226" s="203">
        <v>0.93490804699999996</v>
      </c>
      <c r="Q226" s="143"/>
      <c r="R226" s="300"/>
    </row>
    <row r="227" spans="1:18" ht="18.95" customHeight="1">
      <c r="A227" s="28">
        <v>9</v>
      </c>
      <c r="B227" s="27" t="s">
        <v>4196</v>
      </c>
      <c r="C227" s="29"/>
      <c r="D227" s="267"/>
      <c r="E227" s="25">
        <v>2</v>
      </c>
      <c r="F227" s="26" t="s">
        <v>1512</v>
      </c>
      <c r="G227" s="25">
        <v>47500</v>
      </c>
      <c r="H227" s="25">
        <f t="shared" si="37"/>
        <v>44408.1322325</v>
      </c>
      <c r="I227" s="25">
        <f t="shared" si="39"/>
        <v>88816.264465</v>
      </c>
      <c r="J227" s="30"/>
      <c r="K227" s="30"/>
      <c r="L227" s="30"/>
      <c r="M227" s="25">
        <f t="shared" si="38"/>
        <v>88816.264465</v>
      </c>
      <c r="N227" s="26"/>
      <c r="O227" s="203">
        <v>0.93490804699999996</v>
      </c>
      <c r="Q227" s="218"/>
      <c r="R227" s="300"/>
    </row>
    <row r="228" spans="1:18" s="1" customFormat="1" ht="18.95" customHeight="1">
      <c r="A228" s="28">
        <v>10</v>
      </c>
      <c r="B228" s="27" t="s">
        <v>4121</v>
      </c>
      <c r="C228" s="29"/>
      <c r="D228" s="267"/>
      <c r="E228" s="25">
        <v>2</v>
      </c>
      <c r="F228" s="26" t="s">
        <v>1512</v>
      </c>
      <c r="G228" s="25">
        <v>7600</v>
      </c>
      <c r="H228" s="25">
        <f t="shared" si="37"/>
        <v>7105.3011571999996</v>
      </c>
      <c r="I228" s="25">
        <f t="shared" si="39"/>
        <v>14210.602314399999</v>
      </c>
      <c r="J228" s="30"/>
      <c r="K228" s="30"/>
      <c r="L228" s="30"/>
      <c r="M228" s="25">
        <f t="shared" si="38"/>
        <v>14210.602314399999</v>
      </c>
      <c r="N228" s="26"/>
      <c r="O228" s="203">
        <v>0.93490804699999996</v>
      </c>
      <c r="Q228" s="34"/>
      <c r="R228" s="300"/>
    </row>
    <row r="229" spans="1:18" ht="18.95" customHeight="1">
      <c r="A229" s="28">
        <v>11</v>
      </c>
      <c r="B229" s="27" t="s">
        <v>4197</v>
      </c>
      <c r="C229" s="29"/>
      <c r="D229" s="267"/>
      <c r="E229" s="25">
        <v>3</v>
      </c>
      <c r="F229" s="26" t="s">
        <v>349</v>
      </c>
      <c r="G229" s="25">
        <v>4275</v>
      </c>
      <c r="H229" s="25">
        <f t="shared" si="37"/>
        <v>3996.731900925</v>
      </c>
      <c r="I229" s="25">
        <f t="shared" si="39"/>
        <v>11990.195702775</v>
      </c>
      <c r="J229" s="30"/>
      <c r="K229" s="30"/>
      <c r="L229" s="30"/>
      <c r="M229" s="25">
        <f t="shared" si="38"/>
        <v>11990.195702775</v>
      </c>
      <c r="N229" s="26"/>
      <c r="O229" s="203">
        <v>0.93490804699999996</v>
      </c>
      <c r="Q229" s="25"/>
      <c r="R229" s="300"/>
    </row>
    <row r="230" spans="1:18" ht="18.95" customHeight="1">
      <c r="A230" s="28">
        <v>12</v>
      </c>
      <c r="B230" s="27" t="s">
        <v>4198</v>
      </c>
      <c r="C230" s="29"/>
      <c r="D230" s="267"/>
      <c r="E230" s="25">
        <v>3</v>
      </c>
      <c r="F230" s="26" t="s">
        <v>4199</v>
      </c>
      <c r="G230" s="25">
        <v>1500</v>
      </c>
      <c r="H230" s="25">
        <f t="shared" si="37"/>
        <v>1402.3620704999998</v>
      </c>
      <c r="I230" s="25">
        <f t="shared" si="39"/>
        <v>4207.0862115</v>
      </c>
      <c r="J230" s="30"/>
      <c r="K230" s="30"/>
      <c r="L230" s="30"/>
      <c r="M230" s="25">
        <f t="shared" si="38"/>
        <v>4207.0862115</v>
      </c>
      <c r="N230" s="26"/>
      <c r="O230" s="203">
        <v>0.93490804699999996</v>
      </c>
      <c r="Q230" s="25"/>
      <c r="R230" s="300"/>
    </row>
    <row r="231" spans="1:18" ht="18.95" customHeight="1">
      <c r="A231" s="28">
        <v>13</v>
      </c>
      <c r="B231" s="27" t="s">
        <v>4200</v>
      </c>
      <c r="C231" s="29"/>
      <c r="D231" s="267"/>
      <c r="E231" s="25">
        <v>1</v>
      </c>
      <c r="F231" s="26" t="s">
        <v>349</v>
      </c>
      <c r="G231" s="25">
        <v>2850</v>
      </c>
      <c r="H231" s="25">
        <f t="shared" si="37"/>
        <v>2664.4879339499998</v>
      </c>
      <c r="I231" s="25">
        <f t="shared" si="39"/>
        <v>2664.4879339499998</v>
      </c>
      <c r="J231" s="30"/>
      <c r="K231" s="30"/>
      <c r="L231" s="30"/>
      <c r="M231" s="25">
        <f t="shared" si="38"/>
        <v>2664.4879339499998</v>
      </c>
      <c r="N231" s="26"/>
      <c r="O231" s="203">
        <v>0.93490804699999996</v>
      </c>
      <c r="Q231" s="25"/>
      <c r="R231" s="300"/>
    </row>
    <row r="232" spans="1:18" ht="18.95" customHeight="1">
      <c r="A232" s="28">
        <v>14</v>
      </c>
      <c r="B232" s="27" t="s">
        <v>4201</v>
      </c>
      <c r="C232" s="29"/>
      <c r="D232" s="267"/>
      <c r="E232" s="25">
        <v>1</v>
      </c>
      <c r="F232" s="26" t="s">
        <v>1512</v>
      </c>
      <c r="G232" s="25">
        <v>23750</v>
      </c>
      <c r="H232" s="25">
        <f t="shared" si="37"/>
        <v>22204.06611625</v>
      </c>
      <c r="I232" s="25">
        <f t="shared" si="39"/>
        <v>22204.06611625</v>
      </c>
      <c r="J232" s="30"/>
      <c r="K232" s="30"/>
      <c r="L232" s="30"/>
      <c r="M232" s="25">
        <f t="shared" si="38"/>
        <v>22204.06611625</v>
      </c>
      <c r="N232" s="26"/>
      <c r="O232" s="203">
        <v>0.93490804699999996</v>
      </c>
      <c r="Q232" s="25"/>
      <c r="R232" s="300"/>
    </row>
    <row r="233" spans="1:18" ht="18.95" customHeight="1">
      <c r="A233" s="28">
        <v>15</v>
      </c>
      <c r="B233" s="27" t="s">
        <v>4117</v>
      </c>
      <c r="C233" s="29"/>
      <c r="D233" s="267"/>
      <c r="E233" s="25">
        <v>1</v>
      </c>
      <c r="F233" s="26" t="s">
        <v>788</v>
      </c>
      <c r="G233" s="25"/>
      <c r="H233" s="25"/>
      <c r="I233" s="25"/>
      <c r="J233" s="30">
        <v>300000</v>
      </c>
      <c r="K233" s="30">
        <f>J233*O233</f>
        <v>280472.41409999999</v>
      </c>
      <c r="L233" s="30">
        <f>K233*E233</f>
        <v>280472.41409999999</v>
      </c>
      <c r="M233" s="25">
        <f t="shared" si="38"/>
        <v>280472.41409999999</v>
      </c>
      <c r="N233" s="26"/>
      <c r="O233" s="203">
        <v>0.93490804699999996</v>
      </c>
      <c r="Q233" s="25"/>
      <c r="R233" s="300"/>
    </row>
    <row r="234" spans="1:18" ht="18.95" customHeight="1">
      <c r="A234" s="220"/>
      <c r="B234" s="302" t="s">
        <v>4088</v>
      </c>
      <c r="C234" s="221"/>
      <c r="D234" s="267"/>
      <c r="E234" s="34"/>
      <c r="F234" s="34"/>
      <c r="G234" s="34"/>
      <c r="H234" s="34"/>
      <c r="I234" s="34"/>
      <c r="J234" s="34"/>
      <c r="K234" s="34"/>
      <c r="L234" s="34"/>
      <c r="M234" s="34"/>
      <c r="N234" s="35"/>
      <c r="O234" s="203">
        <v>0.93490804699999996</v>
      </c>
      <c r="Q234" s="25"/>
      <c r="R234" s="300"/>
    </row>
    <row r="235" spans="1:18" ht="18.95" customHeight="1">
      <c r="A235" s="28">
        <v>1</v>
      </c>
      <c r="B235" s="27" t="s">
        <v>4202</v>
      </c>
      <c r="C235" s="29"/>
      <c r="D235" s="267"/>
      <c r="E235" s="25">
        <v>3</v>
      </c>
      <c r="F235" s="26" t="s">
        <v>349</v>
      </c>
      <c r="G235" s="25">
        <v>23750</v>
      </c>
      <c r="H235" s="25">
        <f t="shared" ref="H235:H251" si="40">G235*O235</f>
        <v>22204.06611625</v>
      </c>
      <c r="I235" s="25">
        <f>E235*H235</f>
        <v>66612.198348749997</v>
      </c>
      <c r="J235" s="30"/>
      <c r="K235" s="30"/>
      <c r="L235" s="30"/>
      <c r="M235" s="25">
        <f t="shared" ref="M235:M252" si="41">I235+L235</f>
        <v>66612.198348749997</v>
      </c>
      <c r="N235" s="72"/>
      <c r="O235" s="203">
        <v>0.93490804699999996</v>
      </c>
      <c r="Q235" s="25"/>
      <c r="R235" s="300"/>
    </row>
    <row r="236" spans="1:18" ht="18.95" customHeight="1">
      <c r="A236" s="28">
        <v>2</v>
      </c>
      <c r="B236" s="27" t="s">
        <v>4203</v>
      </c>
      <c r="C236" s="29"/>
      <c r="D236" s="267"/>
      <c r="E236" s="25">
        <v>2</v>
      </c>
      <c r="F236" s="26" t="s">
        <v>4063</v>
      </c>
      <c r="G236" s="25">
        <v>43000</v>
      </c>
      <c r="H236" s="25">
        <f t="shared" si="40"/>
        <v>40201.046021000002</v>
      </c>
      <c r="I236" s="25">
        <f t="shared" ref="I236:I251" si="42">E236*H236</f>
        <v>80402.092042000004</v>
      </c>
      <c r="J236" s="30"/>
      <c r="K236" s="30"/>
      <c r="L236" s="30"/>
      <c r="M236" s="25">
        <f t="shared" si="41"/>
        <v>80402.092042000004</v>
      </c>
      <c r="N236" s="72"/>
      <c r="O236" s="203">
        <v>0.93490804699999996</v>
      </c>
      <c r="Q236" s="25"/>
      <c r="R236" s="300"/>
    </row>
    <row r="237" spans="1:18" ht="18.95" customHeight="1">
      <c r="A237" s="28">
        <v>3</v>
      </c>
      <c r="B237" s="27" t="s">
        <v>4204</v>
      </c>
      <c r="C237" s="29"/>
      <c r="D237" s="46"/>
      <c r="E237" s="25">
        <v>6</v>
      </c>
      <c r="F237" s="26" t="s">
        <v>4063</v>
      </c>
      <c r="G237" s="25">
        <v>41000</v>
      </c>
      <c r="H237" s="25">
        <f t="shared" si="40"/>
        <v>38331.229927</v>
      </c>
      <c r="I237" s="25">
        <f t="shared" si="42"/>
        <v>229987.37956199999</v>
      </c>
      <c r="J237" s="30"/>
      <c r="K237" s="30"/>
      <c r="L237" s="30"/>
      <c r="M237" s="25">
        <f t="shared" si="41"/>
        <v>229987.37956199999</v>
      </c>
      <c r="N237" s="72"/>
      <c r="O237" s="203">
        <v>0.93490804699999996</v>
      </c>
      <c r="Q237" s="25"/>
      <c r="R237" s="300"/>
    </row>
    <row r="238" spans="1:18" ht="18.95" customHeight="1">
      <c r="A238" s="28">
        <v>4</v>
      </c>
      <c r="B238" s="27" t="s">
        <v>4205</v>
      </c>
      <c r="C238" s="29"/>
      <c r="D238" s="267"/>
      <c r="E238" s="25">
        <v>8</v>
      </c>
      <c r="F238" s="26" t="s">
        <v>4063</v>
      </c>
      <c r="G238" s="25">
        <v>47500</v>
      </c>
      <c r="H238" s="25">
        <f t="shared" si="40"/>
        <v>44408.1322325</v>
      </c>
      <c r="I238" s="25">
        <f t="shared" si="42"/>
        <v>355265.05786</v>
      </c>
      <c r="J238" s="30"/>
      <c r="K238" s="30"/>
      <c r="L238" s="30"/>
      <c r="M238" s="25">
        <f t="shared" si="41"/>
        <v>355265.05786</v>
      </c>
      <c r="N238" s="72"/>
      <c r="O238" s="203">
        <v>0.93490804699999996</v>
      </c>
      <c r="Q238" s="25"/>
      <c r="R238" s="300"/>
    </row>
    <row r="239" spans="1:18" ht="18.95" customHeight="1">
      <c r="A239" s="28">
        <v>5</v>
      </c>
      <c r="B239" s="27" t="s">
        <v>4206</v>
      </c>
      <c r="C239" s="29"/>
      <c r="D239" s="267"/>
      <c r="E239" s="25">
        <v>1</v>
      </c>
      <c r="F239" s="26" t="s">
        <v>4063</v>
      </c>
      <c r="G239" s="25">
        <v>34500</v>
      </c>
      <c r="H239" s="25">
        <f t="shared" si="40"/>
        <v>32254.327621500001</v>
      </c>
      <c r="I239" s="25">
        <f t="shared" si="42"/>
        <v>32254.327621500001</v>
      </c>
      <c r="J239" s="30"/>
      <c r="K239" s="30"/>
      <c r="L239" s="30"/>
      <c r="M239" s="25">
        <f t="shared" si="41"/>
        <v>32254.327621500001</v>
      </c>
      <c r="N239" s="72"/>
      <c r="O239" s="203">
        <v>0.93490804699999996</v>
      </c>
      <c r="Q239" s="25"/>
      <c r="R239" s="300"/>
    </row>
    <row r="240" spans="1:18" ht="18.95" customHeight="1">
      <c r="A240" s="28">
        <v>6</v>
      </c>
      <c r="B240" s="27" t="s">
        <v>4207</v>
      </c>
      <c r="C240" s="29"/>
      <c r="D240" s="267"/>
      <c r="E240" s="25">
        <v>1</v>
      </c>
      <c r="F240" s="26" t="s">
        <v>4063</v>
      </c>
      <c r="G240" s="25">
        <v>598500</v>
      </c>
      <c r="H240" s="25">
        <f t="shared" si="40"/>
        <v>559542.46612949995</v>
      </c>
      <c r="I240" s="25">
        <f t="shared" si="42"/>
        <v>559542.46612949995</v>
      </c>
      <c r="J240" s="30"/>
      <c r="K240" s="30"/>
      <c r="L240" s="30"/>
      <c r="M240" s="25">
        <f t="shared" si="41"/>
        <v>559542.46612949995</v>
      </c>
      <c r="N240" s="26"/>
      <c r="O240" s="203">
        <v>0.93490804699999996</v>
      </c>
      <c r="Q240" s="25"/>
      <c r="R240" s="300"/>
    </row>
    <row r="241" spans="1:18" ht="18.95" customHeight="1">
      <c r="A241" s="28">
        <v>7</v>
      </c>
      <c r="B241" s="27" t="s">
        <v>4208</v>
      </c>
      <c r="C241" s="29"/>
      <c r="D241" s="267"/>
      <c r="E241" s="25">
        <v>1</v>
      </c>
      <c r="F241" s="26" t="s">
        <v>4063</v>
      </c>
      <c r="G241" s="25">
        <v>65000</v>
      </c>
      <c r="H241" s="25">
        <f t="shared" si="40"/>
        <v>60769.023054999998</v>
      </c>
      <c r="I241" s="25">
        <f t="shared" si="42"/>
        <v>60769.023054999998</v>
      </c>
      <c r="J241" s="30"/>
      <c r="K241" s="30"/>
      <c r="L241" s="30"/>
      <c r="M241" s="25">
        <f t="shared" si="41"/>
        <v>60769.023054999998</v>
      </c>
      <c r="N241" s="26"/>
      <c r="O241" s="203">
        <v>0.93490804699999996</v>
      </c>
      <c r="Q241" s="25"/>
      <c r="R241" s="300"/>
    </row>
    <row r="242" spans="1:18" ht="18.95" customHeight="1">
      <c r="A242" s="28">
        <v>8</v>
      </c>
      <c r="B242" s="27" t="s">
        <v>4209</v>
      </c>
      <c r="C242" s="29"/>
      <c r="D242" s="267"/>
      <c r="E242" s="25">
        <v>1</v>
      </c>
      <c r="F242" s="26" t="s">
        <v>349</v>
      </c>
      <c r="G242" s="25">
        <v>250800</v>
      </c>
      <c r="H242" s="25">
        <f t="shared" si="40"/>
        <v>234474.9381876</v>
      </c>
      <c r="I242" s="25">
        <f t="shared" si="42"/>
        <v>234474.9381876</v>
      </c>
      <c r="J242" s="30"/>
      <c r="K242" s="30"/>
      <c r="L242" s="30"/>
      <c r="M242" s="25">
        <f t="shared" si="41"/>
        <v>234474.9381876</v>
      </c>
      <c r="N242" s="26"/>
      <c r="O242" s="203">
        <v>0.93490804699999996</v>
      </c>
      <c r="Q242" s="25"/>
      <c r="R242" s="300"/>
    </row>
    <row r="243" spans="1:18" ht="18.95" customHeight="1">
      <c r="A243" s="28">
        <v>9</v>
      </c>
      <c r="B243" s="27" t="s">
        <v>4210</v>
      </c>
      <c r="C243" s="29"/>
      <c r="D243" s="267"/>
      <c r="E243" s="25">
        <v>2</v>
      </c>
      <c r="F243" s="26" t="s">
        <v>4063</v>
      </c>
      <c r="G243" s="25">
        <v>14250</v>
      </c>
      <c r="H243" s="25">
        <f t="shared" si="40"/>
        <v>13322.43966975</v>
      </c>
      <c r="I243" s="25">
        <f t="shared" si="42"/>
        <v>26644.879339499999</v>
      </c>
      <c r="J243" s="30"/>
      <c r="K243" s="30"/>
      <c r="L243" s="30"/>
      <c r="M243" s="25">
        <f t="shared" si="41"/>
        <v>26644.879339499999</v>
      </c>
      <c r="N243" s="26"/>
      <c r="O243" s="203">
        <v>0.93490804699999996</v>
      </c>
      <c r="Q243" s="25"/>
      <c r="R243" s="300"/>
    </row>
    <row r="244" spans="1:18" s="1" customFormat="1" ht="18.95" customHeight="1">
      <c r="A244" s="28">
        <v>10</v>
      </c>
      <c r="B244" s="27" t="s">
        <v>4211</v>
      </c>
      <c r="C244" s="29"/>
      <c r="D244" s="267"/>
      <c r="E244" s="25">
        <v>2</v>
      </c>
      <c r="F244" s="26" t="s">
        <v>4063</v>
      </c>
      <c r="G244" s="25">
        <v>6175</v>
      </c>
      <c r="H244" s="25">
        <f t="shared" si="40"/>
        <v>5773.0571902249994</v>
      </c>
      <c r="I244" s="25">
        <f t="shared" si="42"/>
        <v>11546.114380449999</v>
      </c>
      <c r="J244" s="30"/>
      <c r="K244" s="30"/>
      <c r="L244" s="30"/>
      <c r="M244" s="25">
        <f t="shared" si="41"/>
        <v>11546.114380449999</v>
      </c>
      <c r="N244" s="26"/>
      <c r="O244" s="203">
        <v>0.93490804699999996</v>
      </c>
      <c r="Q244" s="34"/>
      <c r="R244" s="300"/>
    </row>
    <row r="245" spans="1:18" ht="18.95" customHeight="1">
      <c r="A245" s="28">
        <v>11</v>
      </c>
      <c r="B245" s="27" t="s">
        <v>4212</v>
      </c>
      <c r="C245" s="29"/>
      <c r="D245" s="267"/>
      <c r="E245" s="25">
        <v>1</v>
      </c>
      <c r="F245" s="26" t="s">
        <v>4063</v>
      </c>
      <c r="G245" s="25">
        <v>57000</v>
      </c>
      <c r="H245" s="25">
        <f t="shared" si="40"/>
        <v>53289.758678999999</v>
      </c>
      <c r="I245" s="25">
        <f t="shared" si="42"/>
        <v>53289.758678999999</v>
      </c>
      <c r="J245" s="30"/>
      <c r="K245" s="30"/>
      <c r="L245" s="30"/>
      <c r="M245" s="25">
        <f t="shared" si="41"/>
        <v>53289.758678999999</v>
      </c>
      <c r="N245" s="26"/>
      <c r="O245" s="203">
        <v>0.93490804699999996</v>
      </c>
      <c r="Q245" s="25"/>
      <c r="R245" s="300"/>
    </row>
    <row r="246" spans="1:18" ht="18.95" customHeight="1">
      <c r="A246" s="28">
        <v>12</v>
      </c>
      <c r="B246" s="27" t="s">
        <v>4213</v>
      </c>
      <c r="C246" s="29"/>
      <c r="D246" s="267"/>
      <c r="E246" s="25">
        <v>3</v>
      </c>
      <c r="F246" s="26" t="s">
        <v>4063</v>
      </c>
      <c r="G246" s="25">
        <v>58400</v>
      </c>
      <c r="H246" s="25">
        <f t="shared" si="40"/>
        <v>54598.629944799999</v>
      </c>
      <c r="I246" s="25">
        <f t="shared" si="42"/>
        <v>163795.8898344</v>
      </c>
      <c r="J246" s="30"/>
      <c r="K246" s="30"/>
      <c r="L246" s="30"/>
      <c r="M246" s="25">
        <f t="shared" si="41"/>
        <v>163795.8898344</v>
      </c>
      <c r="N246" s="26"/>
      <c r="O246" s="203">
        <v>0.93490804699999996</v>
      </c>
      <c r="Q246" s="25"/>
      <c r="R246" s="300"/>
    </row>
    <row r="247" spans="1:18" ht="18.95" customHeight="1">
      <c r="A247" s="28">
        <v>13</v>
      </c>
      <c r="B247" s="27" t="s">
        <v>4214</v>
      </c>
      <c r="C247" s="29"/>
      <c r="D247" s="267"/>
      <c r="E247" s="25">
        <v>1</v>
      </c>
      <c r="F247" s="26" t="s">
        <v>4063</v>
      </c>
      <c r="G247" s="25">
        <v>20800</v>
      </c>
      <c r="H247" s="25">
        <f t="shared" si="40"/>
        <v>19446.087377600001</v>
      </c>
      <c r="I247" s="25">
        <f t="shared" si="42"/>
        <v>19446.087377600001</v>
      </c>
      <c r="J247" s="30"/>
      <c r="K247" s="30"/>
      <c r="L247" s="30"/>
      <c r="M247" s="25">
        <f t="shared" si="41"/>
        <v>19446.087377600001</v>
      </c>
      <c r="N247" s="26"/>
      <c r="O247" s="203">
        <v>0.93490804699999996</v>
      </c>
      <c r="Q247" s="25"/>
      <c r="R247" s="300"/>
    </row>
    <row r="248" spans="1:18" ht="18.95" customHeight="1">
      <c r="A248" s="28">
        <v>14</v>
      </c>
      <c r="B248" s="27" t="s">
        <v>4215</v>
      </c>
      <c r="C248" s="29"/>
      <c r="D248" s="267"/>
      <c r="E248" s="25">
        <v>1</v>
      </c>
      <c r="F248" s="26" t="s">
        <v>4063</v>
      </c>
      <c r="G248" s="25">
        <v>118750</v>
      </c>
      <c r="H248" s="25">
        <f t="shared" si="40"/>
        <v>111020.33058124999</v>
      </c>
      <c r="I248" s="25">
        <f t="shared" si="42"/>
        <v>111020.33058124999</v>
      </c>
      <c r="J248" s="30"/>
      <c r="K248" s="30"/>
      <c r="L248" s="30"/>
      <c r="M248" s="25">
        <f t="shared" si="41"/>
        <v>111020.33058124999</v>
      </c>
      <c r="N248" s="26"/>
      <c r="O248" s="203">
        <v>0.93490804699999996</v>
      </c>
      <c r="Q248" s="25"/>
      <c r="R248" s="300"/>
    </row>
    <row r="249" spans="1:18" ht="18.95" customHeight="1">
      <c r="A249" s="28">
        <v>15</v>
      </c>
      <c r="B249" s="27" t="s">
        <v>4216</v>
      </c>
      <c r="C249" s="29"/>
      <c r="D249" s="267"/>
      <c r="E249" s="25">
        <v>1</v>
      </c>
      <c r="F249" s="26" t="s">
        <v>4063</v>
      </c>
      <c r="G249" s="25">
        <v>332500</v>
      </c>
      <c r="H249" s="25">
        <f t="shared" si="40"/>
        <v>310856.92562749999</v>
      </c>
      <c r="I249" s="25">
        <f t="shared" si="42"/>
        <v>310856.92562749999</v>
      </c>
      <c r="J249" s="30"/>
      <c r="K249" s="30"/>
      <c r="L249" s="30"/>
      <c r="M249" s="25">
        <f t="shared" si="41"/>
        <v>310856.92562749999</v>
      </c>
      <c r="N249" s="26"/>
      <c r="O249" s="203">
        <v>0.93490804699999996</v>
      </c>
      <c r="Q249" s="25"/>
      <c r="R249" s="300"/>
    </row>
    <row r="250" spans="1:18" ht="18.95" customHeight="1">
      <c r="A250" s="28">
        <v>16</v>
      </c>
      <c r="B250" s="27" t="s">
        <v>4217</v>
      </c>
      <c r="C250" s="29"/>
      <c r="D250" s="267"/>
      <c r="E250" s="25">
        <v>1</v>
      </c>
      <c r="F250" s="26" t="s">
        <v>4063</v>
      </c>
      <c r="G250" s="25">
        <v>61750</v>
      </c>
      <c r="H250" s="25">
        <f t="shared" si="40"/>
        <v>57730.571902249998</v>
      </c>
      <c r="I250" s="25">
        <f t="shared" si="42"/>
        <v>57730.571902249998</v>
      </c>
      <c r="J250" s="30"/>
      <c r="K250" s="30"/>
      <c r="L250" s="30"/>
      <c r="M250" s="25">
        <f t="shared" si="41"/>
        <v>57730.571902249998</v>
      </c>
      <c r="N250" s="26"/>
      <c r="O250" s="203">
        <v>0.93490804699999996</v>
      </c>
      <c r="Q250" s="25"/>
      <c r="R250" s="300"/>
    </row>
    <row r="251" spans="1:18" ht="18.95" customHeight="1">
      <c r="A251" s="28">
        <v>17</v>
      </c>
      <c r="B251" s="27" t="s">
        <v>4201</v>
      </c>
      <c r="C251" s="29"/>
      <c r="D251" s="267"/>
      <c r="E251" s="25">
        <v>1</v>
      </c>
      <c r="F251" s="26" t="s">
        <v>1512</v>
      </c>
      <c r="G251" s="25">
        <v>23750</v>
      </c>
      <c r="H251" s="25">
        <f t="shared" si="40"/>
        <v>22204.06611625</v>
      </c>
      <c r="I251" s="25">
        <f t="shared" si="42"/>
        <v>22204.06611625</v>
      </c>
      <c r="J251" s="30"/>
      <c r="K251" s="30"/>
      <c r="L251" s="30"/>
      <c r="M251" s="25">
        <f t="shared" si="41"/>
        <v>22204.06611625</v>
      </c>
      <c r="N251" s="26"/>
      <c r="O251" s="203">
        <v>0.93490804699999996</v>
      </c>
      <c r="Q251" s="25"/>
      <c r="R251" s="300"/>
    </row>
    <row r="252" spans="1:18" ht="18.95" customHeight="1">
      <c r="A252" s="28">
        <v>18</v>
      </c>
      <c r="B252" s="27" t="s">
        <v>4117</v>
      </c>
      <c r="C252" s="29"/>
      <c r="D252" s="267"/>
      <c r="E252" s="25">
        <v>1</v>
      </c>
      <c r="F252" s="26" t="s">
        <v>788</v>
      </c>
      <c r="G252" s="25"/>
      <c r="H252" s="25"/>
      <c r="I252" s="25"/>
      <c r="J252" s="30">
        <v>250000</v>
      </c>
      <c r="K252" s="30">
        <f>J252*O252</f>
        <v>233727.01175000001</v>
      </c>
      <c r="L252" s="30">
        <f>K252*E252</f>
        <v>233727.01175000001</v>
      </c>
      <c r="M252" s="25">
        <f t="shared" si="41"/>
        <v>233727.01175000001</v>
      </c>
      <c r="N252" s="26"/>
      <c r="O252" s="203">
        <v>0.93490804699999996</v>
      </c>
      <c r="Q252" s="25"/>
      <c r="R252" s="300"/>
    </row>
    <row r="253" spans="1:18" ht="18.95" customHeight="1">
      <c r="A253" s="220"/>
      <c r="B253" s="302" t="s">
        <v>4218</v>
      </c>
      <c r="C253" s="221"/>
      <c r="D253" s="267"/>
      <c r="E253" s="34"/>
      <c r="F253" s="34"/>
      <c r="G253" s="25"/>
      <c r="H253" s="25"/>
      <c r="I253" s="25"/>
      <c r="J253" s="30"/>
      <c r="K253" s="30"/>
      <c r="L253" s="30"/>
      <c r="M253" s="25"/>
      <c r="N253" s="26"/>
      <c r="O253" s="203">
        <v>0.93490804699999996</v>
      </c>
      <c r="Q253" s="25"/>
      <c r="R253" s="300"/>
    </row>
    <row r="254" spans="1:18" ht="18.95" customHeight="1">
      <c r="A254" s="28">
        <v>1</v>
      </c>
      <c r="B254" s="27" t="s">
        <v>4219</v>
      </c>
      <c r="C254" s="29"/>
      <c r="D254" s="267"/>
      <c r="E254" s="25">
        <v>1</v>
      </c>
      <c r="F254" s="26" t="s">
        <v>4063</v>
      </c>
      <c r="G254" s="25">
        <v>38000</v>
      </c>
      <c r="H254" s="25">
        <f t="shared" ref="H254:H260" si="43">G254*O254</f>
        <v>35526.505786000002</v>
      </c>
      <c r="I254" s="25">
        <f>E254*H254</f>
        <v>35526.505786000002</v>
      </c>
      <c r="J254" s="30"/>
      <c r="K254" s="30"/>
      <c r="L254" s="30"/>
      <c r="M254" s="25">
        <f t="shared" ref="M254:M261" si="44">I254+L254</f>
        <v>35526.505786000002</v>
      </c>
      <c r="N254" s="26"/>
      <c r="O254" s="203">
        <v>0.93490804699999996</v>
      </c>
      <c r="Q254" s="54"/>
      <c r="R254" s="300"/>
    </row>
    <row r="255" spans="1:18" ht="18.95" customHeight="1">
      <c r="A255" s="28">
        <v>2</v>
      </c>
      <c r="B255" s="27" t="s">
        <v>4220</v>
      </c>
      <c r="C255" s="29"/>
      <c r="D255" s="267"/>
      <c r="E255" s="25">
        <v>1</v>
      </c>
      <c r="F255" s="26" t="s">
        <v>349</v>
      </c>
      <c r="G255" s="25">
        <v>23750</v>
      </c>
      <c r="H255" s="25">
        <f t="shared" si="43"/>
        <v>22204.06611625</v>
      </c>
      <c r="I255" s="25">
        <f t="shared" ref="I255:I260" si="45">E255*H255</f>
        <v>22204.06611625</v>
      </c>
      <c r="J255" s="30"/>
      <c r="K255" s="30"/>
      <c r="L255" s="30"/>
      <c r="M255" s="25">
        <f t="shared" si="44"/>
        <v>22204.06611625</v>
      </c>
      <c r="N255" s="26"/>
      <c r="O255" s="203">
        <v>0.93490804699999996</v>
      </c>
      <c r="Q255" s="18"/>
      <c r="R255" s="300"/>
    </row>
    <row r="256" spans="1:18" ht="18.95" customHeight="1">
      <c r="A256" s="28">
        <v>3</v>
      </c>
      <c r="B256" s="27" t="s">
        <v>4221</v>
      </c>
      <c r="C256" s="29"/>
      <c r="D256" s="267"/>
      <c r="E256" s="25">
        <v>1</v>
      </c>
      <c r="F256" s="26" t="s">
        <v>4063</v>
      </c>
      <c r="G256" s="25">
        <v>76950</v>
      </c>
      <c r="H256" s="25">
        <f t="shared" si="43"/>
        <v>71941.174216650004</v>
      </c>
      <c r="I256" s="25">
        <f t="shared" si="45"/>
        <v>71941.174216650004</v>
      </c>
      <c r="J256" s="30"/>
      <c r="K256" s="30"/>
      <c r="L256" s="30"/>
      <c r="M256" s="25">
        <f t="shared" si="44"/>
        <v>71941.174216650004</v>
      </c>
      <c r="N256" s="26"/>
      <c r="O256" s="203">
        <v>0.93490804699999996</v>
      </c>
      <c r="Q256" s="25"/>
      <c r="R256" s="300"/>
    </row>
    <row r="257" spans="1:18" ht="18.95" customHeight="1">
      <c r="A257" s="28">
        <v>4</v>
      </c>
      <c r="B257" s="27" t="s">
        <v>4222</v>
      </c>
      <c r="C257" s="29"/>
      <c r="D257" s="267"/>
      <c r="E257" s="25">
        <v>1</v>
      </c>
      <c r="F257" s="26" t="s">
        <v>4063</v>
      </c>
      <c r="G257" s="25">
        <v>71725</v>
      </c>
      <c r="H257" s="25">
        <f t="shared" si="43"/>
        <v>67056.279671074997</v>
      </c>
      <c r="I257" s="25">
        <f t="shared" si="45"/>
        <v>67056.279671074997</v>
      </c>
      <c r="J257" s="30"/>
      <c r="K257" s="30"/>
      <c r="L257" s="30"/>
      <c r="M257" s="25">
        <f t="shared" si="44"/>
        <v>67056.279671074997</v>
      </c>
      <c r="N257" s="72"/>
      <c r="O257" s="203">
        <v>0.93490804699999996</v>
      </c>
      <c r="Q257" s="25"/>
      <c r="R257" s="300"/>
    </row>
    <row r="258" spans="1:18" ht="18.95" customHeight="1">
      <c r="A258" s="28">
        <v>5</v>
      </c>
      <c r="B258" s="27" t="s">
        <v>4223</v>
      </c>
      <c r="C258" s="29"/>
      <c r="D258" s="267"/>
      <c r="E258" s="25">
        <v>1</v>
      </c>
      <c r="F258" s="26" t="s">
        <v>4063</v>
      </c>
      <c r="G258" s="25">
        <v>15000</v>
      </c>
      <c r="H258" s="25">
        <f t="shared" si="43"/>
        <v>14023.620704999999</v>
      </c>
      <c r="I258" s="25">
        <f t="shared" si="45"/>
        <v>14023.620704999999</v>
      </c>
      <c r="J258" s="30"/>
      <c r="K258" s="30"/>
      <c r="L258" s="30"/>
      <c r="M258" s="25">
        <f t="shared" si="44"/>
        <v>14023.620704999999</v>
      </c>
      <c r="N258" s="288"/>
      <c r="O258" s="203">
        <v>0.93490804699999996</v>
      </c>
      <c r="Q258" s="25"/>
      <c r="R258" s="300"/>
    </row>
    <row r="259" spans="1:18" ht="18.95" customHeight="1">
      <c r="A259" s="28">
        <v>6</v>
      </c>
      <c r="B259" s="27" t="s">
        <v>4224</v>
      </c>
      <c r="C259" s="29"/>
      <c r="D259" s="267"/>
      <c r="E259" s="25">
        <v>2</v>
      </c>
      <c r="F259" s="26" t="s">
        <v>4063</v>
      </c>
      <c r="G259" s="25">
        <v>5225</v>
      </c>
      <c r="H259" s="25">
        <f t="shared" si="43"/>
        <v>4884.8945455749999</v>
      </c>
      <c r="I259" s="25">
        <f t="shared" si="45"/>
        <v>9769.7890911499999</v>
      </c>
      <c r="J259" s="30"/>
      <c r="K259" s="30"/>
      <c r="L259" s="30"/>
      <c r="M259" s="25">
        <f t="shared" si="44"/>
        <v>9769.7890911499999</v>
      </c>
      <c r="N259" s="288"/>
      <c r="O259" s="203">
        <v>0.93490804699999996</v>
      </c>
      <c r="Q259" s="25"/>
      <c r="R259" s="300"/>
    </row>
    <row r="260" spans="1:18" ht="18.95" customHeight="1">
      <c r="A260" s="28">
        <v>7</v>
      </c>
      <c r="B260" s="27" t="s">
        <v>4115</v>
      </c>
      <c r="C260" s="29"/>
      <c r="D260" s="267"/>
      <c r="E260" s="25">
        <v>1</v>
      </c>
      <c r="F260" s="26" t="s">
        <v>4063</v>
      </c>
      <c r="G260" s="25">
        <v>61750</v>
      </c>
      <c r="H260" s="25">
        <f t="shared" si="43"/>
        <v>57730.571902249998</v>
      </c>
      <c r="I260" s="25">
        <f t="shared" si="45"/>
        <v>57730.571902249998</v>
      </c>
      <c r="J260" s="30"/>
      <c r="K260" s="30"/>
      <c r="L260" s="30"/>
      <c r="M260" s="25">
        <f t="shared" si="44"/>
        <v>57730.571902249998</v>
      </c>
      <c r="N260" s="350"/>
      <c r="O260" s="203">
        <v>0.93490804699999996</v>
      </c>
      <c r="Q260" s="25"/>
      <c r="R260" s="300"/>
    </row>
    <row r="261" spans="1:18" ht="18.95" customHeight="1">
      <c r="A261" s="28">
        <v>8</v>
      </c>
      <c r="B261" s="27" t="s">
        <v>4117</v>
      </c>
      <c r="C261" s="29"/>
      <c r="D261" s="267"/>
      <c r="E261" s="25">
        <v>1</v>
      </c>
      <c r="F261" s="26" t="s">
        <v>788</v>
      </c>
      <c r="G261" s="25"/>
      <c r="H261" s="25"/>
      <c r="I261" s="25"/>
      <c r="J261" s="30">
        <v>50000</v>
      </c>
      <c r="K261" s="30">
        <f>J261*O261</f>
        <v>46745.402349999997</v>
      </c>
      <c r="L261" s="30">
        <f>K261*E261</f>
        <v>46745.402349999997</v>
      </c>
      <c r="M261" s="25">
        <f t="shared" si="44"/>
        <v>46745.402349999997</v>
      </c>
      <c r="N261" s="26"/>
      <c r="O261" s="203">
        <v>0.93490804699999996</v>
      </c>
      <c r="Q261" s="25"/>
      <c r="R261" s="300"/>
    </row>
    <row r="262" spans="1:18" ht="18.95" customHeight="1">
      <c r="A262" s="220"/>
      <c r="B262" s="302" t="s">
        <v>4225</v>
      </c>
      <c r="C262" s="221"/>
      <c r="D262" s="267"/>
      <c r="E262" s="34"/>
      <c r="F262" s="34"/>
      <c r="G262" s="34"/>
      <c r="H262" s="34"/>
      <c r="I262" s="34"/>
      <c r="J262" s="34"/>
      <c r="K262" s="34"/>
      <c r="L262" s="34"/>
      <c r="M262" s="34"/>
      <c r="N262" s="35"/>
      <c r="O262" s="203">
        <v>0.93490804699999996</v>
      </c>
      <c r="Q262" s="25"/>
      <c r="R262" s="300"/>
    </row>
    <row r="263" spans="1:18" ht="18.95" customHeight="1">
      <c r="A263" s="28">
        <v>1</v>
      </c>
      <c r="B263" s="27" t="s">
        <v>4226</v>
      </c>
      <c r="C263" s="29"/>
      <c r="D263" s="267"/>
      <c r="E263" s="25">
        <v>1</v>
      </c>
      <c r="F263" s="26" t="s">
        <v>349</v>
      </c>
      <c r="G263" s="25">
        <v>209000</v>
      </c>
      <c r="H263" s="25">
        <f t="shared" ref="H263:H267" si="46">G263*O263</f>
        <v>195395.781823</v>
      </c>
      <c r="I263" s="25">
        <f t="shared" ref="I263:I267" si="47">E263*H263</f>
        <v>195395.781823</v>
      </c>
      <c r="J263" s="30"/>
      <c r="K263" s="30"/>
      <c r="L263" s="30"/>
      <c r="M263" s="25">
        <f t="shared" ref="M263:M265" si="48">I263+L263</f>
        <v>195395.781823</v>
      </c>
      <c r="N263" s="26"/>
      <c r="O263" s="203">
        <v>0.93490804699999996</v>
      </c>
      <c r="Q263" s="25"/>
      <c r="R263" s="300"/>
    </row>
    <row r="264" spans="1:18" ht="18.95" customHeight="1">
      <c r="A264" s="28">
        <v>2</v>
      </c>
      <c r="B264" s="27" t="s">
        <v>4227</v>
      </c>
      <c r="C264" s="29"/>
      <c r="D264" s="267"/>
      <c r="E264" s="25">
        <v>3</v>
      </c>
      <c r="F264" s="26" t="s">
        <v>4063</v>
      </c>
      <c r="G264" s="25">
        <v>11400</v>
      </c>
      <c r="H264" s="25">
        <f t="shared" si="46"/>
        <v>10657.951735799999</v>
      </c>
      <c r="I264" s="25">
        <f t="shared" si="47"/>
        <v>31973.855207399996</v>
      </c>
      <c r="J264" s="30"/>
      <c r="K264" s="30"/>
      <c r="L264" s="30"/>
      <c r="M264" s="25">
        <f t="shared" si="48"/>
        <v>31973.855207399996</v>
      </c>
      <c r="N264" s="288"/>
      <c r="O264" s="203">
        <v>0.93490804699999996</v>
      </c>
      <c r="Q264" s="25"/>
      <c r="R264" s="300"/>
    </row>
    <row r="265" spans="1:18" ht="18.95" customHeight="1">
      <c r="A265" s="28">
        <v>3</v>
      </c>
      <c r="B265" s="27" t="s">
        <v>4228</v>
      </c>
      <c r="C265" s="29"/>
      <c r="D265" s="267"/>
      <c r="E265" s="25">
        <v>4</v>
      </c>
      <c r="F265" s="26" t="s">
        <v>349</v>
      </c>
      <c r="G265" s="25">
        <v>85500</v>
      </c>
      <c r="H265" s="25">
        <f t="shared" si="46"/>
        <v>79934.638018500002</v>
      </c>
      <c r="I265" s="25">
        <f t="shared" si="47"/>
        <v>319738.55207400001</v>
      </c>
      <c r="J265" s="30"/>
      <c r="K265" s="30"/>
      <c r="L265" s="30"/>
      <c r="M265" s="25">
        <f t="shared" si="48"/>
        <v>319738.55207400001</v>
      </c>
      <c r="N265" s="26"/>
      <c r="O265" s="203">
        <v>0.93490804699999996</v>
      </c>
      <c r="Q265" s="25"/>
      <c r="R265" s="300"/>
    </row>
    <row r="266" spans="1:18" s="1" customFormat="1" ht="18.95" customHeight="1">
      <c r="A266" s="28">
        <v>4</v>
      </c>
      <c r="B266" s="27" t="s">
        <v>4229</v>
      </c>
      <c r="C266" s="29"/>
      <c r="D266" s="267"/>
      <c r="E266" s="25">
        <v>10</v>
      </c>
      <c r="F266" s="26" t="s">
        <v>349</v>
      </c>
      <c r="G266" s="25">
        <v>19950</v>
      </c>
      <c r="H266" s="25">
        <f t="shared" si="46"/>
        <v>18651.415537649998</v>
      </c>
      <c r="I266" s="25">
        <f t="shared" si="47"/>
        <v>186514.15537649998</v>
      </c>
      <c r="J266" s="30"/>
      <c r="K266" s="30"/>
      <c r="L266" s="30"/>
      <c r="M266" s="25">
        <f t="shared" ref="M266:M268" si="49">I266+L266</f>
        <v>186514.15537649998</v>
      </c>
      <c r="N266" s="26"/>
      <c r="O266" s="203">
        <v>0.93490804699999996</v>
      </c>
      <c r="Q266" s="25"/>
      <c r="R266" s="300"/>
    </row>
    <row r="267" spans="1:18" ht="18.95" customHeight="1">
      <c r="A267" s="28">
        <v>5</v>
      </c>
      <c r="B267" s="27" t="s">
        <v>4230</v>
      </c>
      <c r="C267" s="29"/>
      <c r="D267" s="267"/>
      <c r="E267" s="25">
        <v>2</v>
      </c>
      <c r="F267" s="26" t="s">
        <v>349</v>
      </c>
      <c r="G267" s="25">
        <v>20000</v>
      </c>
      <c r="H267" s="25">
        <f t="shared" si="46"/>
        <v>18698.160939999998</v>
      </c>
      <c r="I267" s="25">
        <f t="shared" si="47"/>
        <v>37396.321879999996</v>
      </c>
      <c r="J267" s="30"/>
      <c r="K267" s="30"/>
      <c r="L267" s="30"/>
      <c r="M267" s="25">
        <f t="shared" si="49"/>
        <v>37396.321879999996</v>
      </c>
      <c r="N267" s="288"/>
      <c r="O267" s="203">
        <v>0.93490804699999996</v>
      </c>
      <c r="Q267" s="25"/>
      <c r="R267" s="300"/>
    </row>
    <row r="268" spans="1:18" ht="18.95" customHeight="1">
      <c r="A268" s="28">
        <v>6</v>
      </c>
      <c r="B268" s="27" t="s">
        <v>4117</v>
      </c>
      <c r="C268" s="29"/>
      <c r="D268" s="267"/>
      <c r="E268" s="25">
        <v>1</v>
      </c>
      <c r="F268" s="26" t="s">
        <v>788</v>
      </c>
      <c r="G268" s="25"/>
      <c r="H268" s="25"/>
      <c r="I268" s="25"/>
      <c r="J268" s="30">
        <v>100000</v>
      </c>
      <c r="K268" s="30">
        <f>J268*O268</f>
        <v>93490.804699999993</v>
      </c>
      <c r="L268" s="30">
        <f>K268*E268</f>
        <v>93490.804699999993</v>
      </c>
      <c r="M268" s="25">
        <f t="shared" si="49"/>
        <v>93490.804699999993</v>
      </c>
      <c r="N268" s="26"/>
      <c r="O268" s="203">
        <v>0.93490804699999996</v>
      </c>
      <c r="Q268" s="25"/>
      <c r="R268" s="300"/>
    </row>
    <row r="269" spans="1:18" ht="18.95" customHeight="1">
      <c r="A269" s="339"/>
      <c r="B269" s="1275" t="s">
        <v>4231</v>
      </c>
      <c r="C269" s="1276"/>
      <c r="D269" s="1277"/>
      <c r="E269" s="34"/>
      <c r="F269" s="126"/>
      <c r="G269" s="34"/>
      <c r="H269" s="25"/>
      <c r="I269" s="34">
        <f>SUM(I219:I268)</f>
        <v>6166270.165712731</v>
      </c>
      <c r="J269" s="34"/>
      <c r="K269" s="34"/>
      <c r="L269" s="34">
        <f>SUM(L219:L268)</f>
        <v>654435.63289999997</v>
      </c>
      <c r="M269" s="34">
        <f>SUM(M219:M268)</f>
        <v>6820705.7986127324</v>
      </c>
      <c r="N269" s="35"/>
      <c r="O269" s="203">
        <v>0.93490804699999996</v>
      </c>
      <c r="Q269" s="25"/>
      <c r="R269" s="300"/>
    </row>
    <row r="270" spans="1:18" ht="18.95" customHeight="1">
      <c r="A270" s="339"/>
      <c r="B270" s="256"/>
      <c r="C270" s="257"/>
      <c r="D270" s="258"/>
      <c r="E270" s="34"/>
      <c r="F270" s="126"/>
      <c r="G270" s="34"/>
      <c r="H270" s="34"/>
      <c r="I270" s="34"/>
      <c r="J270" s="34"/>
      <c r="K270" s="34"/>
      <c r="L270" s="34"/>
      <c r="M270" s="34"/>
      <c r="N270" s="35"/>
      <c r="O270" s="203">
        <v>0.93490804699999996</v>
      </c>
      <c r="Q270" s="25"/>
      <c r="R270" s="300"/>
    </row>
    <row r="271" spans="1:18" ht="18.95" customHeight="1">
      <c r="A271" s="220">
        <v>6</v>
      </c>
      <c r="B271" s="302" t="s">
        <v>4056</v>
      </c>
      <c r="C271" s="221"/>
      <c r="D271" s="49"/>
      <c r="E271" s="25"/>
      <c r="F271" s="72"/>
      <c r="G271" s="25"/>
      <c r="H271" s="25"/>
      <c r="I271" s="25"/>
      <c r="J271" s="25"/>
      <c r="K271" s="25"/>
      <c r="L271" s="25"/>
      <c r="M271" s="25"/>
      <c r="N271" s="72"/>
      <c r="O271" s="203">
        <v>0.93490804699999996</v>
      </c>
      <c r="Q271" s="25"/>
      <c r="R271" s="300"/>
    </row>
    <row r="272" spans="1:18" ht="18.95" customHeight="1">
      <c r="A272" s="220"/>
      <c r="B272" s="302" t="s">
        <v>4225</v>
      </c>
      <c r="C272" s="221"/>
      <c r="D272" s="267"/>
      <c r="E272" s="34"/>
      <c r="F272" s="34"/>
      <c r="G272" s="34"/>
      <c r="H272" s="34"/>
      <c r="I272" s="34"/>
      <c r="J272" s="34"/>
      <c r="K272" s="34"/>
      <c r="L272" s="34"/>
      <c r="M272" s="34"/>
      <c r="N272" s="35"/>
      <c r="O272" s="203">
        <v>0.93490804699999996</v>
      </c>
      <c r="Q272" s="25"/>
      <c r="R272" s="300"/>
    </row>
    <row r="273" spans="1:18" ht="18.95" customHeight="1">
      <c r="A273" s="28">
        <v>1</v>
      </c>
      <c r="B273" s="27" t="s">
        <v>4232</v>
      </c>
      <c r="C273" s="29"/>
      <c r="D273" s="267"/>
      <c r="E273" s="25">
        <v>1</v>
      </c>
      <c r="F273" s="26" t="s">
        <v>349</v>
      </c>
      <c r="G273" s="25">
        <v>209000</v>
      </c>
      <c r="H273" s="25">
        <f t="shared" ref="H273:H279" si="50">G273*O273</f>
        <v>195395.781823</v>
      </c>
      <c r="I273" s="25">
        <f t="shared" ref="I273:I279" si="51">E273*H273</f>
        <v>195395.781823</v>
      </c>
      <c r="J273" s="30"/>
      <c r="K273" s="30"/>
      <c r="L273" s="30"/>
      <c r="M273" s="25">
        <f t="shared" ref="M273:M280" si="52">I273+L273</f>
        <v>195395.781823</v>
      </c>
      <c r="N273" s="288"/>
      <c r="O273" s="203">
        <v>0.93490804699999996</v>
      </c>
      <c r="Q273" s="25"/>
      <c r="R273" s="300"/>
    </row>
    <row r="274" spans="1:18" s="1" customFormat="1" ht="18.95" customHeight="1">
      <c r="A274" s="28">
        <v>2</v>
      </c>
      <c r="B274" s="27" t="s">
        <v>4233</v>
      </c>
      <c r="C274" s="29"/>
      <c r="D274" s="267"/>
      <c r="E274" s="25">
        <v>1</v>
      </c>
      <c r="F274" s="26" t="s">
        <v>349</v>
      </c>
      <c r="G274" s="25">
        <v>99000</v>
      </c>
      <c r="H274" s="25">
        <f t="shared" si="50"/>
        <v>92555.896653000003</v>
      </c>
      <c r="I274" s="25">
        <f t="shared" si="51"/>
        <v>92555.896653000003</v>
      </c>
      <c r="J274" s="30"/>
      <c r="K274" s="30"/>
      <c r="L274" s="30"/>
      <c r="M274" s="25">
        <f t="shared" si="52"/>
        <v>92555.896653000003</v>
      </c>
      <c r="N274" s="26"/>
      <c r="O274" s="203">
        <v>0.93490804699999996</v>
      </c>
      <c r="Q274" s="34"/>
      <c r="R274" s="300"/>
    </row>
    <row r="275" spans="1:18" ht="18.75" customHeight="1">
      <c r="A275" s="28">
        <v>3</v>
      </c>
      <c r="B275" s="27" t="s">
        <v>4234</v>
      </c>
      <c r="C275" s="29"/>
      <c r="D275" s="267"/>
      <c r="E275" s="25">
        <v>1</v>
      </c>
      <c r="F275" s="26" t="s">
        <v>4063</v>
      </c>
      <c r="G275" s="25">
        <v>20000</v>
      </c>
      <c r="H275" s="25">
        <f t="shared" si="50"/>
        <v>18698.160939999998</v>
      </c>
      <c r="I275" s="25">
        <f t="shared" si="51"/>
        <v>18698.160939999998</v>
      </c>
      <c r="J275" s="30"/>
      <c r="K275" s="30"/>
      <c r="L275" s="30"/>
      <c r="M275" s="25">
        <f t="shared" si="52"/>
        <v>18698.160939999998</v>
      </c>
      <c r="N275" s="26"/>
      <c r="O275" s="203">
        <v>0.93490804699999996</v>
      </c>
      <c r="Q275" s="25"/>
      <c r="R275" s="300"/>
    </row>
    <row r="276" spans="1:18" ht="18.95" customHeight="1">
      <c r="A276" s="28">
        <v>4</v>
      </c>
      <c r="B276" s="27" t="s">
        <v>4235</v>
      </c>
      <c r="C276" s="29"/>
      <c r="D276" s="267"/>
      <c r="E276" s="25">
        <v>1</v>
      </c>
      <c r="F276" s="26" t="s">
        <v>4063</v>
      </c>
      <c r="G276" s="25">
        <v>28000</v>
      </c>
      <c r="H276" s="25">
        <f t="shared" si="50"/>
        <v>26177.425316000001</v>
      </c>
      <c r="I276" s="25">
        <f t="shared" si="51"/>
        <v>26177.425316000001</v>
      </c>
      <c r="J276" s="30"/>
      <c r="K276" s="30"/>
      <c r="L276" s="30"/>
      <c r="M276" s="25">
        <f t="shared" si="52"/>
        <v>26177.425316000001</v>
      </c>
      <c r="N276" s="350"/>
      <c r="O276" s="203">
        <v>0.93490804699999996</v>
      </c>
      <c r="Q276" s="25"/>
      <c r="R276" s="300"/>
    </row>
    <row r="277" spans="1:18" ht="18.95" customHeight="1">
      <c r="A277" s="28">
        <v>5</v>
      </c>
      <c r="B277" s="27" t="s">
        <v>4236</v>
      </c>
      <c r="C277" s="29"/>
      <c r="D277" s="267"/>
      <c r="E277" s="25">
        <v>3</v>
      </c>
      <c r="F277" s="26" t="s">
        <v>4063</v>
      </c>
      <c r="G277" s="25">
        <v>22000</v>
      </c>
      <c r="H277" s="25">
        <f t="shared" si="50"/>
        <v>20567.977034</v>
      </c>
      <c r="I277" s="25">
        <f t="shared" si="51"/>
        <v>61703.931102000002</v>
      </c>
      <c r="J277" s="30"/>
      <c r="K277" s="30"/>
      <c r="L277" s="30"/>
      <c r="M277" s="25">
        <f t="shared" si="52"/>
        <v>61703.931102000002</v>
      </c>
      <c r="N277" s="26"/>
      <c r="O277" s="203">
        <v>0.93490804699999996</v>
      </c>
      <c r="Q277" s="25"/>
      <c r="R277" s="300"/>
    </row>
    <row r="278" spans="1:18" ht="18.95" customHeight="1">
      <c r="A278" s="28">
        <v>6</v>
      </c>
      <c r="B278" s="27" t="s">
        <v>4237</v>
      </c>
      <c r="C278" s="29"/>
      <c r="D278" s="267"/>
      <c r="E278" s="25">
        <v>10</v>
      </c>
      <c r="F278" s="26" t="s">
        <v>4063</v>
      </c>
      <c r="G278" s="25">
        <v>12500</v>
      </c>
      <c r="H278" s="25">
        <f t="shared" si="50"/>
        <v>11686.350587499999</v>
      </c>
      <c r="I278" s="25">
        <f t="shared" si="51"/>
        <v>116863.50587499999</v>
      </c>
      <c r="J278" s="30"/>
      <c r="K278" s="30"/>
      <c r="L278" s="30"/>
      <c r="M278" s="25">
        <f t="shared" si="52"/>
        <v>116863.50587499999</v>
      </c>
      <c r="N278" s="26"/>
      <c r="O278" s="203">
        <v>0.93490804699999996</v>
      </c>
      <c r="Q278" s="25"/>
      <c r="R278" s="300"/>
    </row>
    <row r="279" spans="1:18" ht="18.95" customHeight="1">
      <c r="A279" s="28">
        <v>7</v>
      </c>
      <c r="B279" s="27" t="s">
        <v>4238</v>
      </c>
      <c r="C279" s="29"/>
      <c r="D279" s="267"/>
      <c r="E279" s="25">
        <v>1</v>
      </c>
      <c r="F279" s="26" t="s">
        <v>1512</v>
      </c>
      <c r="G279" s="25">
        <v>14250</v>
      </c>
      <c r="H279" s="25">
        <f t="shared" si="50"/>
        <v>13322.43966975</v>
      </c>
      <c r="I279" s="25">
        <f t="shared" si="51"/>
        <v>13322.43966975</v>
      </c>
      <c r="J279" s="30"/>
      <c r="K279" s="30"/>
      <c r="L279" s="30"/>
      <c r="M279" s="25">
        <f t="shared" si="52"/>
        <v>13322.43966975</v>
      </c>
      <c r="N279" s="26"/>
      <c r="O279" s="203">
        <v>0.93490804699999996</v>
      </c>
      <c r="Q279" s="25"/>
      <c r="R279" s="300"/>
    </row>
    <row r="280" spans="1:18" ht="18.95" customHeight="1">
      <c r="A280" s="28">
        <v>8</v>
      </c>
      <c r="B280" s="27" t="s">
        <v>4117</v>
      </c>
      <c r="C280" s="29"/>
      <c r="D280" s="267"/>
      <c r="E280" s="25">
        <v>1</v>
      </c>
      <c r="F280" s="26" t="s">
        <v>788</v>
      </c>
      <c r="G280" s="25"/>
      <c r="H280" s="25"/>
      <c r="I280" s="25"/>
      <c r="J280" s="30">
        <v>380000</v>
      </c>
      <c r="K280" s="30">
        <f>J280*O280</f>
        <v>355265.05786</v>
      </c>
      <c r="L280" s="30">
        <f>K280*E280</f>
        <v>355265.05786</v>
      </c>
      <c r="M280" s="25">
        <f t="shared" si="52"/>
        <v>355265.05786</v>
      </c>
      <c r="N280" s="26"/>
      <c r="O280" s="203">
        <v>0.93490804699999996</v>
      </c>
      <c r="Q280" s="25"/>
      <c r="R280" s="300"/>
    </row>
    <row r="281" spans="1:18" ht="18.95" customHeight="1">
      <c r="A281" s="339"/>
      <c r="B281" s="1275" t="s">
        <v>4239</v>
      </c>
      <c r="C281" s="1276"/>
      <c r="D281" s="1277"/>
      <c r="E281" s="34"/>
      <c r="F281" s="126"/>
      <c r="G281" s="34"/>
      <c r="H281" s="34"/>
      <c r="I281" s="34">
        <f>SUM(I273:I279)</f>
        <v>524717.14137874998</v>
      </c>
      <c r="J281" s="34"/>
      <c r="K281" s="34"/>
      <c r="L281" s="34">
        <f>SUM(L273:L280)</f>
        <v>355265.05786</v>
      </c>
      <c r="M281" s="34">
        <f>SUM(M273:M280)</f>
        <v>879982.19923874992</v>
      </c>
      <c r="N281" s="35"/>
      <c r="O281" s="203">
        <v>0.93490804699999996</v>
      </c>
      <c r="Q281" s="25"/>
      <c r="R281" s="300"/>
    </row>
    <row r="282" spans="1:18" ht="18.95" customHeight="1">
      <c r="A282" s="339"/>
      <c r="B282" s="256"/>
      <c r="C282" s="257"/>
      <c r="D282" s="258"/>
      <c r="E282" s="34"/>
      <c r="F282" s="126"/>
      <c r="G282" s="34"/>
      <c r="H282" s="34"/>
      <c r="I282" s="34"/>
      <c r="J282" s="34"/>
      <c r="K282" s="34"/>
      <c r="L282" s="34"/>
      <c r="M282" s="34"/>
      <c r="N282" s="35"/>
      <c r="O282" s="203">
        <v>0.93490804699999996</v>
      </c>
      <c r="Q282" s="25"/>
      <c r="R282" s="300"/>
    </row>
    <row r="283" spans="1:18" ht="18.95" customHeight="1">
      <c r="A283" s="220">
        <v>7</v>
      </c>
      <c r="B283" s="302" t="s">
        <v>953</v>
      </c>
      <c r="C283" s="221"/>
      <c r="D283" s="49"/>
      <c r="E283" s="25"/>
      <c r="F283" s="72"/>
      <c r="G283" s="25"/>
      <c r="H283" s="25"/>
      <c r="I283" s="25"/>
      <c r="J283" s="25"/>
      <c r="K283" s="25"/>
      <c r="L283" s="25"/>
      <c r="M283" s="25"/>
      <c r="N283" s="72"/>
      <c r="O283" s="203">
        <v>0.93490804699999996</v>
      </c>
      <c r="Q283" s="25"/>
      <c r="R283" s="300"/>
    </row>
    <row r="284" spans="1:18" ht="18.95" customHeight="1">
      <c r="A284" s="220"/>
      <c r="B284" s="302" t="s">
        <v>4080</v>
      </c>
      <c r="C284" s="221"/>
      <c r="D284" s="267"/>
      <c r="E284" s="34"/>
      <c r="F284" s="34"/>
      <c r="G284" s="34"/>
      <c r="H284" s="34"/>
      <c r="I284" s="34"/>
      <c r="J284" s="34"/>
      <c r="K284" s="34"/>
      <c r="L284" s="34"/>
      <c r="M284" s="34"/>
      <c r="N284" s="35"/>
      <c r="O284" s="203">
        <v>0.93490804699999996</v>
      </c>
      <c r="Q284" s="25"/>
      <c r="R284" s="300"/>
    </row>
    <row r="285" spans="1:18" ht="18.95" customHeight="1">
      <c r="A285" s="28">
        <v>1</v>
      </c>
      <c r="B285" s="27" t="s">
        <v>4083</v>
      </c>
      <c r="C285" s="29"/>
      <c r="D285" s="267"/>
      <c r="E285" s="25">
        <v>2</v>
      </c>
      <c r="F285" s="26" t="s">
        <v>349</v>
      </c>
      <c r="G285" s="25">
        <v>24000</v>
      </c>
      <c r="H285" s="25">
        <f t="shared" ref="H285:H291" si="53">G285*O285</f>
        <v>22437.793127999998</v>
      </c>
      <c r="I285" s="25">
        <f t="shared" ref="I285:I291" si="54">E285*H285</f>
        <v>44875.586255999995</v>
      </c>
      <c r="J285" s="30">
        <v>0</v>
      </c>
      <c r="K285" s="30"/>
      <c r="L285" s="30">
        <v>0</v>
      </c>
      <c r="M285" s="25">
        <f t="shared" ref="M285:M291" si="55">I285+L285</f>
        <v>44875.586255999995</v>
      </c>
      <c r="N285" s="26"/>
      <c r="O285" s="203">
        <v>0.93490804699999996</v>
      </c>
      <c r="Q285" s="25"/>
      <c r="R285" s="300"/>
    </row>
    <row r="286" spans="1:18" ht="18.95" customHeight="1">
      <c r="A286" s="28">
        <v>2</v>
      </c>
      <c r="B286" s="27" t="s">
        <v>4157</v>
      </c>
      <c r="C286" s="29"/>
      <c r="D286" s="267"/>
      <c r="E286" s="25">
        <v>1</v>
      </c>
      <c r="F286" s="26" t="s">
        <v>4063</v>
      </c>
      <c r="G286" s="25">
        <v>14250</v>
      </c>
      <c r="H286" s="25">
        <f t="shared" si="53"/>
        <v>13322.43966975</v>
      </c>
      <c r="I286" s="25">
        <f t="shared" si="54"/>
        <v>13322.43966975</v>
      </c>
      <c r="J286" s="30">
        <v>0</v>
      </c>
      <c r="K286" s="30"/>
      <c r="L286" s="30">
        <v>0</v>
      </c>
      <c r="M286" s="25">
        <f t="shared" si="55"/>
        <v>13322.43966975</v>
      </c>
      <c r="N286" s="26"/>
      <c r="O286" s="203">
        <v>0.93490804699999996</v>
      </c>
      <c r="Q286" s="25"/>
      <c r="R286" s="300"/>
    </row>
    <row r="287" spans="1:18" ht="18.95" customHeight="1">
      <c r="A287" s="28">
        <v>3</v>
      </c>
      <c r="B287" s="27" t="s">
        <v>4172</v>
      </c>
      <c r="C287" s="29"/>
      <c r="D287" s="267"/>
      <c r="E287" s="25">
        <v>2</v>
      </c>
      <c r="F287" s="26" t="s">
        <v>349</v>
      </c>
      <c r="G287" s="25">
        <v>46500</v>
      </c>
      <c r="H287" s="25">
        <f t="shared" si="53"/>
        <v>43473.224185499996</v>
      </c>
      <c r="I287" s="25">
        <f t="shared" si="54"/>
        <v>86946.448370999991</v>
      </c>
      <c r="J287" s="30">
        <v>0</v>
      </c>
      <c r="K287" s="30"/>
      <c r="L287" s="30">
        <v>0</v>
      </c>
      <c r="M287" s="25">
        <f t="shared" si="55"/>
        <v>86946.448370999991</v>
      </c>
      <c r="N287" s="26"/>
      <c r="O287" s="203">
        <v>0.93490804699999996</v>
      </c>
      <c r="Q287" s="25"/>
      <c r="R287" s="300"/>
    </row>
    <row r="288" spans="1:18" ht="18.95" customHeight="1">
      <c r="A288" s="28">
        <v>4</v>
      </c>
      <c r="B288" s="27" t="s">
        <v>4173</v>
      </c>
      <c r="C288" s="29"/>
      <c r="D288" s="267"/>
      <c r="E288" s="25">
        <v>2</v>
      </c>
      <c r="F288" s="26" t="s">
        <v>349</v>
      </c>
      <c r="G288" s="25">
        <v>9500</v>
      </c>
      <c r="H288" s="25">
        <f t="shared" si="53"/>
        <v>8881.6264465000004</v>
      </c>
      <c r="I288" s="25">
        <f t="shared" si="54"/>
        <v>17763.252893000001</v>
      </c>
      <c r="J288" s="30">
        <v>0</v>
      </c>
      <c r="K288" s="30"/>
      <c r="L288" s="30">
        <v>0</v>
      </c>
      <c r="M288" s="25">
        <f t="shared" si="55"/>
        <v>17763.252893000001</v>
      </c>
      <c r="N288" s="351"/>
      <c r="O288" s="203">
        <v>0.93490804699999996</v>
      </c>
      <c r="Q288" s="25"/>
      <c r="R288" s="300"/>
    </row>
    <row r="289" spans="1:18" ht="18.95" customHeight="1">
      <c r="A289" s="28">
        <v>5</v>
      </c>
      <c r="B289" s="27" t="s">
        <v>4240</v>
      </c>
      <c r="C289" s="29"/>
      <c r="D289" s="267"/>
      <c r="E289" s="25">
        <v>1</v>
      </c>
      <c r="F289" s="26" t="s">
        <v>4063</v>
      </c>
      <c r="G289" s="25">
        <v>81500</v>
      </c>
      <c r="H289" s="25">
        <f t="shared" si="53"/>
        <v>76195.005830499998</v>
      </c>
      <c r="I289" s="25">
        <f t="shared" si="54"/>
        <v>76195.005830499998</v>
      </c>
      <c r="J289" s="30">
        <v>0</v>
      </c>
      <c r="K289" s="30"/>
      <c r="L289" s="30">
        <v>0</v>
      </c>
      <c r="M289" s="25">
        <f t="shared" si="55"/>
        <v>76195.005830499998</v>
      </c>
      <c r="N289" s="350"/>
      <c r="O289" s="203">
        <v>0.93490804699999996</v>
      </c>
      <c r="Q289" s="25"/>
      <c r="R289" s="300"/>
    </row>
    <row r="290" spans="1:18" s="1" customFormat="1" ht="18.95" customHeight="1">
      <c r="A290" s="28">
        <v>6</v>
      </c>
      <c r="B290" s="27" t="s">
        <v>4241</v>
      </c>
      <c r="C290" s="29"/>
      <c r="D290" s="267"/>
      <c r="E290" s="25">
        <v>1</v>
      </c>
      <c r="F290" s="26" t="s">
        <v>1512</v>
      </c>
      <c r="G290" s="25">
        <v>14250</v>
      </c>
      <c r="H290" s="25">
        <f t="shared" si="53"/>
        <v>13322.43966975</v>
      </c>
      <c r="I290" s="25">
        <f t="shared" si="54"/>
        <v>13322.43966975</v>
      </c>
      <c r="J290" s="30">
        <v>0</v>
      </c>
      <c r="K290" s="30"/>
      <c r="L290" s="30">
        <v>0</v>
      </c>
      <c r="M290" s="25">
        <f t="shared" si="55"/>
        <v>13322.43966975</v>
      </c>
      <c r="N290" s="26"/>
      <c r="O290" s="203">
        <v>0.93490804699999996</v>
      </c>
      <c r="Q290" s="34"/>
      <c r="R290" s="300"/>
    </row>
    <row r="291" spans="1:18" s="1" customFormat="1" ht="18.95" customHeight="1">
      <c r="A291" s="28">
        <v>7</v>
      </c>
      <c r="B291" s="27" t="s">
        <v>4117</v>
      </c>
      <c r="C291" s="29"/>
      <c r="D291" s="267"/>
      <c r="E291" s="25">
        <v>1</v>
      </c>
      <c r="F291" s="26" t="s">
        <v>788</v>
      </c>
      <c r="G291" s="25"/>
      <c r="H291" s="25">
        <f t="shared" si="53"/>
        <v>0</v>
      </c>
      <c r="I291" s="25">
        <f t="shared" si="54"/>
        <v>0</v>
      </c>
      <c r="J291" s="30">
        <v>20000</v>
      </c>
      <c r="K291" s="30">
        <f>J291*O291</f>
        <v>18698.160939999998</v>
      </c>
      <c r="L291" s="30">
        <f>K291*E291</f>
        <v>18698.160939999998</v>
      </c>
      <c r="M291" s="25">
        <f t="shared" si="55"/>
        <v>18698.160939999998</v>
      </c>
      <c r="N291" s="26"/>
      <c r="O291" s="203">
        <v>0.93490804699999996</v>
      </c>
      <c r="Q291" s="143"/>
      <c r="R291" s="300"/>
    </row>
    <row r="292" spans="1:18" ht="18.95" customHeight="1">
      <c r="A292" s="28"/>
      <c r="B292" s="27"/>
      <c r="C292" s="29"/>
      <c r="D292" s="267"/>
      <c r="E292" s="25"/>
      <c r="F292" s="26"/>
      <c r="G292" s="25"/>
      <c r="H292" s="25"/>
      <c r="I292" s="25"/>
      <c r="J292" s="30"/>
      <c r="K292" s="30"/>
      <c r="L292" s="30"/>
      <c r="M292" s="25"/>
      <c r="N292" s="26"/>
      <c r="O292" s="203">
        <v>0.93490804699999996</v>
      </c>
      <c r="Q292" s="18"/>
      <c r="R292" s="300"/>
    </row>
    <row r="293" spans="1:18" s="1" customFormat="1" ht="18.95" customHeight="1">
      <c r="A293" s="339"/>
      <c r="B293" s="1275" t="s">
        <v>4242</v>
      </c>
      <c r="C293" s="1276"/>
      <c r="D293" s="1277"/>
      <c r="E293" s="34"/>
      <c r="F293" s="126"/>
      <c r="G293" s="34"/>
      <c r="H293" s="34"/>
      <c r="I293" s="34">
        <f>SUM(I285:I292)</f>
        <v>252425.17268999998</v>
      </c>
      <c r="J293" s="34"/>
      <c r="K293" s="34"/>
      <c r="L293" s="34">
        <f>SUM(L285:L292)</f>
        <v>18698.160939999998</v>
      </c>
      <c r="M293" s="34">
        <f>SUM(M285:M292)</f>
        <v>271123.33362999995</v>
      </c>
      <c r="N293" s="35"/>
      <c r="O293" s="203">
        <v>0.93490804699999996</v>
      </c>
      <c r="Q293" s="34"/>
      <c r="R293" s="300"/>
    </row>
    <row r="294" spans="1:18" ht="18.95" customHeight="1">
      <c r="A294" s="220">
        <v>8</v>
      </c>
      <c r="B294" s="302" t="s">
        <v>1591</v>
      </c>
      <c r="C294" s="221"/>
      <c r="D294" s="49"/>
      <c r="E294" s="25"/>
      <c r="F294" s="72"/>
      <c r="G294" s="25"/>
      <c r="H294" s="25"/>
      <c r="I294" s="25"/>
      <c r="J294" s="25"/>
      <c r="K294" s="25"/>
      <c r="L294" s="25"/>
      <c r="M294" s="25"/>
      <c r="N294" s="72"/>
      <c r="O294" s="203">
        <v>0.93490804699999996</v>
      </c>
      <c r="Q294" s="25"/>
      <c r="R294" s="300"/>
    </row>
    <row r="295" spans="1:18" ht="18.95" customHeight="1">
      <c r="A295" s="220"/>
      <c r="B295" s="302" t="s">
        <v>4243</v>
      </c>
      <c r="C295" s="221"/>
      <c r="D295" s="267"/>
      <c r="E295" s="34"/>
      <c r="F295" s="34"/>
      <c r="G295" s="34"/>
      <c r="H295" s="34"/>
      <c r="I295" s="34"/>
      <c r="J295" s="34"/>
      <c r="K295" s="34"/>
      <c r="L295" s="34"/>
      <c r="M295" s="34"/>
      <c r="N295" s="35"/>
      <c r="O295" s="203">
        <v>0.93490804699999996</v>
      </c>
      <c r="Q295" s="25"/>
      <c r="R295" s="300"/>
    </row>
    <row r="296" spans="1:18" ht="18.95" customHeight="1">
      <c r="A296" s="28">
        <v>1</v>
      </c>
      <c r="B296" s="27" t="s">
        <v>4244</v>
      </c>
      <c r="C296" s="29"/>
      <c r="D296" s="267"/>
      <c r="E296" s="25">
        <v>5</v>
      </c>
      <c r="F296" s="26" t="s">
        <v>4063</v>
      </c>
      <c r="G296" s="25">
        <v>2375</v>
      </c>
      <c r="H296" s="25">
        <f t="shared" ref="H296:H299" si="56">G296*O296</f>
        <v>2220.4066116250001</v>
      </c>
      <c r="I296" s="25">
        <f t="shared" ref="I296:I299" si="57">E296*H296</f>
        <v>11102.033058125</v>
      </c>
      <c r="J296" s="30">
        <v>0</v>
      </c>
      <c r="K296" s="30"/>
      <c r="L296" s="30">
        <v>0</v>
      </c>
      <c r="M296" s="25">
        <f>I296+L296</f>
        <v>11102.033058125</v>
      </c>
      <c r="N296" s="26"/>
      <c r="O296" s="203">
        <v>0.93490804699999996</v>
      </c>
      <c r="Q296" s="25"/>
      <c r="R296" s="300"/>
    </row>
    <row r="297" spans="1:18" ht="18.95" customHeight="1">
      <c r="A297" s="28">
        <v>2</v>
      </c>
      <c r="B297" s="27" t="s">
        <v>4245</v>
      </c>
      <c r="C297" s="29"/>
      <c r="D297" s="267"/>
      <c r="E297" s="25">
        <v>5</v>
      </c>
      <c r="F297" s="26" t="s">
        <v>4063</v>
      </c>
      <c r="G297" s="25">
        <v>17575</v>
      </c>
      <c r="H297" s="25">
        <f t="shared" si="56"/>
        <v>16431.008926024999</v>
      </c>
      <c r="I297" s="25">
        <f t="shared" si="57"/>
        <v>82155.04463012499</v>
      </c>
      <c r="J297" s="30">
        <v>0</v>
      </c>
      <c r="K297" s="30"/>
      <c r="L297" s="30">
        <v>0</v>
      </c>
      <c r="M297" s="25">
        <f>I297+L297</f>
        <v>82155.04463012499</v>
      </c>
      <c r="N297" s="26"/>
      <c r="O297" s="203">
        <v>0.93490804699999996</v>
      </c>
      <c r="Q297" s="25"/>
      <c r="R297" s="300"/>
    </row>
    <row r="298" spans="1:18" ht="18.95" customHeight="1">
      <c r="A298" s="28">
        <v>3</v>
      </c>
      <c r="B298" s="27" t="s">
        <v>4246</v>
      </c>
      <c r="C298" s="29"/>
      <c r="D298" s="267"/>
      <c r="E298" s="25">
        <v>8</v>
      </c>
      <c r="F298" s="26" t="s">
        <v>349</v>
      </c>
      <c r="G298" s="25">
        <v>2850</v>
      </c>
      <c r="H298" s="25">
        <f t="shared" si="56"/>
        <v>2664.4879339499998</v>
      </c>
      <c r="I298" s="25">
        <f t="shared" si="57"/>
        <v>21315.903471599999</v>
      </c>
      <c r="J298" s="30">
        <v>0</v>
      </c>
      <c r="K298" s="30"/>
      <c r="L298" s="30">
        <v>0</v>
      </c>
      <c r="M298" s="25">
        <f>I298+L298</f>
        <v>21315.903471599999</v>
      </c>
      <c r="N298" s="26"/>
      <c r="O298" s="203">
        <v>0.93490804699999996</v>
      </c>
      <c r="Q298" s="25"/>
      <c r="R298" s="300"/>
    </row>
    <row r="299" spans="1:18" ht="18.95" customHeight="1">
      <c r="A299" s="28">
        <v>4</v>
      </c>
      <c r="B299" s="27" t="s">
        <v>4247</v>
      </c>
      <c r="C299" s="29"/>
      <c r="D299" s="267"/>
      <c r="E299" s="25">
        <v>1</v>
      </c>
      <c r="F299" s="26" t="s">
        <v>4063</v>
      </c>
      <c r="G299" s="25">
        <v>38000</v>
      </c>
      <c r="H299" s="25">
        <f t="shared" si="56"/>
        <v>35526.505786000002</v>
      </c>
      <c r="I299" s="25">
        <f t="shared" si="57"/>
        <v>35526.505786000002</v>
      </c>
      <c r="J299" s="30">
        <v>0</v>
      </c>
      <c r="K299" s="30"/>
      <c r="L299" s="30">
        <v>0</v>
      </c>
      <c r="M299" s="25">
        <f>I299+L299</f>
        <v>35526.505786000002</v>
      </c>
      <c r="N299" s="26"/>
      <c r="O299" s="203">
        <v>0.93490804699999996</v>
      </c>
      <c r="Q299" s="25"/>
      <c r="R299" s="300"/>
    </row>
    <row r="300" spans="1:18" ht="18.95" customHeight="1">
      <c r="A300" s="28">
        <v>5</v>
      </c>
      <c r="B300" s="27" t="s">
        <v>4117</v>
      </c>
      <c r="C300" s="29"/>
      <c r="D300" s="267"/>
      <c r="E300" s="25">
        <v>1</v>
      </c>
      <c r="F300" s="26" t="s">
        <v>788</v>
      </c>
      <c r="G300" s="25"/>
      <c r="H300" s="25"/>
      <c r="I300" s="25">
        <f>E300*G300</f>
        <v>0</v>
      </c>
      <c r="J300" s="30">
        <v>10000</v>
      </c>
      <c r="K300" s="30">
        <f>J300*O300</f>
        <v>9349.080469999999</v>
      </c>
      <c r="L300" s="30">
        <f>K300*E300</f>
        <v>9349.080469999999</v>
      </c>
      <c r="M300" s="25">
        <f>I300+L300</f>
        <v>9349.080469999999</v>
      </c>
      <c r="N300" s="26"/>
      <c r="O300" s="203">
        <v>0.93490804699999996</v>
      </c>
      <c r="Q300" s="25"/>
      <c r="R300" s="300"/>
    </row>
    <row r="301" spans="1:18" s="1" customFormat="1" ht="18.95" customHeight="1">
      <c r="A301" s="339"/>
      <c r="B301" s="1275" t="s">
        <v>4248</v>
      </c>
      <c r="C301" s="1276"/>
      <c r="D301" s="1277"/>
      <c r="E301" s="34"/>
      <c r="F301" s="126"/>
      <c r="G301" s="34"/>
      <c r="H301" s="34"/>
      <c r="I301" s="34">
        <f>SUM(I296:I300)</f>
        <v>150099.48694584999</v>
      </c>
      <c r="J301" s="34"/>
      <c r="K301" s="34"/>
      <c r="L301" s="34">
        <f>SUM(L296:L300)</f>
        <v>9349.080469999999</v>
      </c>
      <c r="M301" s="34">
        <f>SUM(M296:M300)</f>
        <v>159448.56741584998</v>
      </c>
      <c r="N301" s="35"/>
      <c r="O301" s="203">
        <v>0.93490804699999996</v>
      </c>
      <c r="Q301" s="34"/>
      <c r="R301" s="300"/>
    </row>
    <row r="302" spans="1:18" s="1" customFormat="1" ht="18.95" customHeight="1">
      <c r="A302" s="339"/>
      <c r="B302" s="256"/>
      <c r="C302" s="257"/>
      <c r="D302" s="258"/>
      <c r="E302" s="34"/>
      <c r="F302" s="126"/>
      <c r="G302" s="34"/>
      <c r="H302" s="34"/>
      <c r="I302" s="34"/>
      <c r="J302" s="34"/>
      <c r="K302" s="34"/>
      <c r="L302" s="34"/>
      <c r="M302" s="34"/>
      <c r="N302" s="35"/>
      <c r="O302" s="203">
        <v>0.93490804699999996</v>
      </c>
      <c r="Q302" s="292"/>
      <c r="R302" s="300"/>
    </row>
    <row r="303" spans="1:18" ht="18.95" customHeight="1">
      <c r="A303" s="220">
        <v>9</v>
      </c>
      <c r="B303" s="302" t="s">
        <v>4249</v>
      </c>
      <c r="C303" s="221"/>
      <c r="D303" s="49"/>
      <c r="E303" s="25"/>
      <c r="F303" s="72"/>
      <c r="G303" s="25"/>
      <c r="H303" s="25"/>
      <c r="I303" s="25"/>
      <c r="J303" s="25"/>
      <c r="K303" s="25"/>
      <c r="L303" s="25"/>
      <c r="M303" s="25"/>
      <c r="N303" s="72"/>
      <c r="O303" s="203">
        <v>0.93490804699999996</v>
      </c>
      <c r="Q303" s="18"/>
      <c r="R303" s="300"/>
    </row>
    <row r="304" spans="1:18" s="1" customFormat="1" ht="18.95" customHeight="1">
      <c r="A304" s="220"/>
      <c r="B304" s="302" t="s">
        <v>4250</v>
      </c>
      <c r="C304" s="221"/>
      <c r="D304" s="346"/>
      <c r="E304" s="34"/>
      <c r="F304" s="126"/>
      <c r="G304" s="34"/>
      <c r="H304" s="34"/>
      <c r="I304" s="34"/>
      <c r="J304" s="34"/>
      <c r="K304" s="34"/>
      <c r="L304" s="34"/>
      <c r="M304" s="34"/>
      <c r="N304" s="126"/>
      <c r="O304" s="203">
        <v>0.93490804699999996</v>
      </c>
      <c r="Q304" s="34"/>
      <c r="R304" s="300"/>
    </row>
    <row r="305" spans="1:18" ht="18.95" customHeight="1">
      <c r="A305" s="220"/>
      <c r="B305" s="302" t="s">
        <v>4080</v>
      </c>
      <c r="C305" s="221"/>
      <c r="D305" s="267"/>
      <c r="E305" s="34"/>
      <c r="F305" s="34"/>
      <c r="G305" s="34"/>
      <c r="H305" s="34"/>
      <c r="I305" s="34"/>
      <c r="J305" s="34"/>
      <c r="K305" s="34"/>
      <c r="L305" s="34"/>
      <c r="M305" s="34"/>
      <c r="N305" s="35"/>
      <c r="O305" s="203">
        <v>0.93490804699999996</v>
      </c>
      <c r="Q305" s="25"/>
      <c r="R305" s="300"/>
    </row>
    <row r="306" spans="1:18" ht="18.95" customHeight="1">
      <c r="A306" s="28">
        <v>1</v>
      </c>
      <c r="B306" s="27" t="s">
        <v>4083</v>
      </c>
      <c r="C306" s="29"/>
      <c r="D306" s="267"/>
      <c r="E306" s="25">
        <v>2</v>
      </c>
      <c r="F306" s="26" t="s">
        <v>349</v>
      </c>
      <c r="G306" s="25">
        <v>24000</v>
      </c>
      <c r="H306" s="25">
        <f t="shared" ref="H306:H316" si="58">G306*O306</f>
        <v>22437.793127999998</v>
      </c>
      <c r="I306" s="25">
        <f t="shared" ref="I306:I316" si="59">E306*H306</f>
        <v>44875.586255999995</v>
      </c>
      <c r="J306" s="30">
        <v>0</v>
      </c>
      <c r="K306" s="30"/>
      <c r="L306" s="30">
        <v>0</v>
      </c>
      <c r="M306" s="25">
        <f t="shared" ref="M306:M336" si="60">I306+L306</f>
        <v>44875.586255999995</v>
      </c>
      <c r="N306" s="26"/>
      <c r="O306" s="203">
        <v>0.93490804699999996</v>
      </c>
      <c r="Q306" s="25"/>
      <c r="R306" s="300"/>
    </row>
    <row r="307" spans="1:18" ht="18.95" customHeight="1">
      <c r="A307" s="28">
        <v>2</v>
      </c>
      <c r="B307" s="27" t="s">
        <v>4251</v>
      </c>
      <c r="C307" s="29"/>
      <c r="D307" s="267"/>
      <c r="E307" s="25">
        <v>1</v>
      </c>
      <c r="F307" s="26" t="s">
        <v>349</v>
      </c>
      <c r="G307" s="25">
        <v>18000</v>
      </c>
      <c r="H307" s="25">
        <f t="shared" si="58"/>
        <v>16828.344846</v>
      </c>
      <c r="I307" s="25">
        <f t="shared" si="59"/>
        <v>16828.344846</v>
      </c>
      <c r="J307" s="30">
        <v>0</v>
      </c>
      <c r="K307" s="30"/>
      <c r="L307" s="30">
        <v>0</v>
      </c>
      <c r="M307" s="25">
        <f t="shared" si="60"/>
        <v>16828.344846</v>
      </c>
      <c r="N307" s="26"/>
      <c r="O307" s="203">
        <v>0.93490804699999996</v>
      </c>
      <c r="Q307" s="25"/>
      <c r="R307" s="300"/>
    </row>
    <row r="308" spans="1:18" ht="18.95" customHeight="1">
      <c r="A308" s="28">
        <v>3</v>
      </c>
      <c r="B308" s="27" t="s">
        <v>4252</v>
      </c>
      <c r="C308" s="29"/>
      <c r="D308" s="267"/>
      <c r="E308" s="25">
        <v>14</v>
      </c>
      <c r="F308" s="26" t="s">
        <v>349</v>
      </c>
      <c r="G308" s="25">
        <v>16150</v>
      </c>
      <c r="H308" s="25">
        <f t="shared" si="58"/>
        <v>15098.764959049999</v>
      </c>
      <c r="I308" s="25">
        <f t="shared" si="59"/>
        <v>211382.70942669999</v>
      </c>
      <c r="J308" s="30">
        <v>0</v>
      </c>
      <c r="K308" s="30"/>
      <c r="L308" s="30">
        <v>0</v>
      </c>
      <c r="M308" s="25">
        <f t="shared" si="60"/>
        <v>211382.70942669999</v>
      </c>
      <c r="N308" s="26"/>
      <c r="O308" s="203">
        <v>0.93490804699999996</v>
      </c>
      <c r="Q308" s="25"/>
      <c r="R308" s="300"/>
    </row>
    <row r="309" spans="1:18" ht="18.95" customHeight="1">
      <c r="A309" s="28">
        <v>4</v>
      </c>
      <c r="B309" s="27" t="s">
        <v>4253</v>
      </c>
      <c r="C309" s="29"/>
      <c r="D309" s="267"/>
      <c r="E309" s="25">
        <v>1</v>
      </c>
      <c r="F309" s="26" t="s">
        <v>4063</v>
      </c>
      <c r="G309" s="25">
        <v>52250</v>
      </c>
      <c r="H309" s="25">
        <f t="shared" si="58"/>
        <v>48848.945455749999</v>
      </c>
      <c r="I309" s="25">
        <f t="shared" si="59"/>
        <v>48848.945455749999</v>
      </c>
      <c r="J309" s="30">
        <v>0</v>
      </c>
      <c r="K309" s="30"/>
      <c r="L309" s="30">
        <v>0</v>
      </c>
      <c r="M309" s="25">
        <f t="shared" si="60"/>
        <v>48848.945455749999</v>
      </c>
      <c r="N309" s="26"/>
      <c r="O309" s="203">
        <v>0.93490804699999996</v>
      </c>
      <c r="Q309" s="25"/>
      <c r="R309" s="300"/>
    </row>
    <row r="310" spans="1:18" ht="18.95" customHeight="1">
      <c r="A310" s="28">
        <v>5</v>
      </c>
      <c r="B310" s="27" t="s">
        <v>4120</v>
      </c>
      <c r="C310" s="29"/>
      <c r="D310" s="267"/>
      <c r="E310" s="25">
        <v>1</v>
      </c>
      <c r="F310" s="26" t="s">
        <v>4063</v>
      </c>
      <c r="G310" s="25">
        <v>62700</v>
      </c>
      <c r="H310" s="25">
        <f t="shared" si="58"/>
        <v>58618.734546899999</v>
      </c>
      <c r="I310" s="25">
        <f t="shared" si="59"/>
        <v>58618.734546899999</v>
      </c>
      <c r="J310" s="30">
        <v>0</v>
      </c>
      <c r="K310" s="30"/>
      <c r="L310" s="30">
        <v>0</v>
      </c>
      <c r="M310" s="25">
        <f t="shared" si="60"/>
        <v>58618.734546899999</v>
      </c>
      <c r="N310" s="26"/>
      <c r="O310" s="203">
        <v>0.93490804699999996</v>
      </c>
      <c r="Q310" s="25"/>
      <c r="R310" s="300"/>
    </row>
    <row r="311" spans="1:18" ht="18.95" customHeight="1">
      <c r="A311" s="28">
        <v>6</v>
      </c>
      <c r="B311" s="27" t="s">
        <v>4191</v>
      </c>
      <c r="C311" s="29"/>
      <c r="D311" s="267"/>
      <c r="E311" s="25">
        <v>1</v>
      </c>
      <c r="F311" s="26" t="s">
        <v>4063</v>
      </c>
      <c r="G311" s="25">
        <v>173850</v>
      </c>
      <c r="H311" s="25">
        <f t="shared" si="58"/>
        <v>162533.76397095001</v>
      </c>
      <c r="I311" s="25">
        <f t="shared" si="59"/>
        <v>162533.76397095001</v>
      </c>
      <c r="J311" s="30">
        <v>0</v>
      </c>
      <c r="K311" s="30"/>
      <c r="L311" s="30">
        <v>0</v>
      </c>
      <c r="M311" s="25">
        <f t="shared" si="60"/>
        <v>162533.76397095001</v>
      </c>
      <c r="N311" s="26"/>
      <c r="O311" s="203">
        <v>0.93490804699999996</v>
      </c>
      <c r="Q311" s="25"/>
      <c r="R311" s="300"/>
    </row>
    <row r="312" spans="1:18" ht="18.95" customHeight="1">
      <c r="A312" s="28">
        <v>7</v>
      </c>
      <c r="B312" s="27" t="s">
        <v>4254</v>
      </c>
      <c r="C312" s="29"/>
      <c r="D312" s="267"/>
      <c r="E312" s="25">
        <v>1</v>
      </c>
      <c r="F312" s="26" t="s">
        <v>4063</v>
      </c>
      <c r="G312" s="25">
        <v>28500</v>
      </c>
      <c r="H312" s="25">
        <f t="shared" si="58"/>
        <v>26644.879339499999</v>
      </c>
      <c r="I312" s="25">
        <f t="shared" si="59"/>
        <v>26644.879339499999</v>
      </c>
      <c r="J312" s="30">
        <v>0</v>
      </c>
      <c r="K312" s="30"/>
      <c r="L312" s="30">
        <v>0</v>
      </c>
      <c r="M312" s="25">
        <f t="shared" si="60"/>
        <v>26644.879339499999</v>
      </c>
      <c r="N312" s="26"/>
      <c r="O312" s="203">
        <v>0.93490804699999996</v>
      </c>
      <c r="Q312" s="25"/>
      <c r="R312" s="300"/>
    </row>
    <row r="313" spans="1:18" s="1" customFormat="1" ht="18.95" customHeight="1">
      <c r="A313" s="28">
        <v>8</v>
      </c>
      <c r="B313" s="27" t="s">
        <v>4159</v>
      </c>
      <c r="C313" s="29"/>
      <c r="D313" s="267"/>
      <c r="E313" s="25">
        <v>1</v>
      </c>
      <c r="F313" s="26" t="s">
        <v>4063</v>
      </c>
      <c r="G313" s="25">
        <v>31350</v>
      </c>
      <c r="H313" s="25">
        <f t="shared" si="58"/>
        <v>29309.36727345</v>
      </c>
      <c r="I313" s="25">
        <f t="shared" si="59"/>
        <v>29309.36727345</v>
      </c>
      <c r="J313" s="30">
        <v>0</v>
      </c>
      <c r="K313" s="30"/>
      <c r="L313" s="30">
        <v>0</v>
      </c>
      <c r="M313" s="25">
        <f t="shared" si="60"/>
        <v>29309.36727345</v>
      </c>
      <c r="N313" s="26"/>
      <c r="O313" s="203">
        <v>0.93490804699999996</v>
      </c>
      <c r="Q313" s="34"/>
      <c r="R313" s="300"/>
    </row>
    <row r="314" spans="1:18" ht="18.95" customHeight="1">
      <c r="A314" s="28">
        <v>9</v>
      </c>
      <c r="B314" s="27" t="s">
        <v>4160</v>
      </c>
      <c r="C314" s="29"/>
      <c r="D314" s="267"/>
      <c r="E314" s="25">
        <v>2</v>
      </c>
      <c r="F314" s="26" t="s">
        <v>1512</v>
      </c>
      <c r="G314" s="25">
        <v>23750</v>
      </c>
      <c r="H314" s="25">
        <f t="shared" si="58"/>
        <v>22204.06611625</v>
      </c>
      <c r="I314" s="25">
        <f t="shared" si="59"/>
        <v>44408.1322325</v>
      </c>
      <c r="J314" s="30">
        <v>0</v>
      </c>
      <c r="K314" s="30"/>
      <c r="L314" s="30">
        <v>0</v>
      </c>
      <c r="M314" s="25">
        <f t="shared" si="60"/>
        <v>44408.1322325</v>
      </c>
      <c r="N314" s="26"/>
      <c r="O314" s="203">
        <v>0.93490804699999996</v>
      </c>
      <c r="Q314" s="25"/>
      <c r="R314" s="300"/>
    </row>
    <row r="315" spans="1:18" s="1" customFormat="1" ht="18.95" customHeight="1">
      <c r="A315" s="28">
        <v>10</v>
      </c>
      <c r="B315" s="27" t="s">
        <v>4255</v>
      </c>
      <c r="C315" s="29"/>
      <c r="D315" s="267"/>
      <c r="E315" s="25">
        <v>6</v>
      </c>
      <c r="F315" s="26" t="s">
        <v>349</v>
      </c>
      <c r="G315" s="25">
        <v>5800</v>
      </c>
      <c r="H315" s="25">
        <f t="shared" si="58"/>
        <v>5422.4666725999996</v>
      </c>
      <c r="I315" s="25">
        <f t="shared" si="59"/>
        <v>32534.800035599997</v>
      </c>
      <c r="J315" s="30">
        <v>0</v>
      </c>
      <c r="K315" s="30"/>
      <c r="L315" s="30">
        <v>0</v>
      </c>
      <c r="M315" s="25">
        <f t="shared" si="60"/>
        <v>32534.800035599997</v>
      </c>
      <c r="N315" s="26"/>
      <c r="O315" s="203">
        <v>0.93490804699999996</v>
      </c>
      <c r="Q315" s="34"/>
      <c r="R315" s="300"/>
    </row>
    <row r="316" spans="1:18" ht="18.95" customHeight="1">
      <c r="A316" s="28">
        <v>11</v>
      </c>
      <c r="B316" s="27" t="s">
        <v>4238</v>
      </c>
      <c r="C316" s="29"/>
      <c r="D316" s="267"/>
      <c r="E316" s="25">
        <v>1</v>
      </c>
      <c r="F316" s="26" t="s">
        <v>1512</v>
      </c>
      <c r="G316" s="25">
        <v>19000</v>
      </c>
      <c r="H316" s="25">
        <f t="shared" si="58"/>
        <v>17763.252893000001</v>
      </c>
      <c r="I316" s="25">
        <f t="shared" si="59"/>
        <v>17763.252893000001</v>
      </c>
      <c r="J316" s="30">
        <v>0</v>
      </c>
      <c r="K316" s="30"/>
      <c r="L316" s="30">
        <v>0</v>
      </c>
      <c r="M316" s="25">
        <f t="shared" si="60"/>
        <v>17763.252893000001</v>
      </c>
      <c r="N316" s="26"/>
      <c r="O316" s="203">
        <v>0.93490804699999996</v>
      </c>
      <c r="Q316" s="25"/>
      <c r="R316" s="300"/>
    </row>
    <row r="317" spans="1:18" ht="18.95" customHeight="1">
      <c r="A317" s="28">
        <v>11</v>
      </c>
      <c r="B317" s="27" t="s">
        <v>4117</v>
      </c>
      <c r="C317" s="29"/>
      <c r="D317" s="267"/>
      <c r="E317" s="25">
        <v>1</v>
      </c>
      <c r="F317" s="26" t="s">
        <v>788</v>
      </c>
      <c r="G317" s="25"/>
      <c r="H317" s="25"/>
      <c r="I317" s="25">
        <f t="shared" ref="I317" si="61">E317*G317</f>
        <v>0</v>
      </c>
      <c r="J317" s="30">
        <v>60000</v>
      </c>
      <c r="K317" s="30">
        <f>J317*O317</f>
        <v>56094.482819999997</v>
      </c>
      <c r="L317" s="30">
        <f>K317*E317</f>
        <v>56094.482819999997</v>
      </c>
      <c r="M317" s="25">
        <f t="shared" si="60"/>
        <v>56094.482819999997</v>
      </c>
      <c r="N317" s="26"/>
      <c r="O317" s="203">
        <v>0.93490804699999996</v>
      </c>
      <c r="Q317" s="25"/>
      <c r="R317" s="300"/>
    </row>
    <row r="318" spans="1:18" ht="18.95" customHeight="1">
      <c r="A318" s="220"/>
      <c r="B318" s="302" t="s">
        <v>4256</v>
      </c>
      <c r="C318" s="221"/>
      <c r="D318" s="267"/>
      <c r="E318" s="34"/>
      <c r="F318" s="34"/>
      <c r="G318" s="34"/>
      <c r="H318" s="34"/>
      <c r="I318" s="34"/>
      <c r="J318" s="34">
        <v>0</v>
      </c>
      <c r="K318" s="34"/>
      <c r="L318" s="34">
        <v>0</v>
      </c>
      <c r="M318" s="34">
        <f t="shared" si="60"/>
        <v>0</v>
      </c>
      <c r="N318" s="35"/>
      <c r="O318" s="203">
        <v>0.93490804699999996</v>
      </c>
      <c r="Q318" s="25"/>
      <c r="R318" s="300"/>
    </row>
    <row r="319" spans="1:18" ht="18.95" customHeight="1">
      <c r="A319" s="28">
        <v>1</v>
      </c>
      <c r="B319" s="27" t="s">
        <v>4257</v>
      </c>
      <c r="C319" s="29"/>
      <c r="D319" s="267"/>
      <c r="E319" s="25">
        <v>2</v>
      </c>
      <c r="F319" s="26" t="s">
        <v>349</v>
      </c>
      <c r="G319" s="25">
        <v>36100</v>
      </c>
      <c r="H319" s="25">
        <f t="shared" ref="H319:H335" si="62">G319*O319</f>
        <v>33750.180496699999</v>
      </c>
      <c r="I319" s="25">
        <f t="shared" ref="I319:I328" si="63">E319*H319</f>
        <v>67500.360993399998</v>
      </c>
      <c r="J319" s="30">
        <v>0</v>
      </c>
      <c r="K319" s="30"/>
      <c r="L319" s="30">
        <v>0</v>
      </c>
      <c r="M319" s="25">
        <f t="shared" si="60"/>
        <v>67500.360993399998</v>
      </c>
      <c r="N319" s="26"/>
      <c r="O319" s="203">
        <v>0.93490804699999996</v>
      </c>
      <c r="Q319" s="25"/>
      <c r="R319" s="300"/>
    </row>
    <row r="320" spans="1:18" ht="18.95" customHeight="1">
      <c r="A320" s="28">
        <v>2</v>
      </c>
      <c r="B320" s="27" t="s">
        <v>4202</v>
      </c>
      <c r="C320" s="29"/>
      <c r="D320" s="267"/>
      <c r="E320" s="25">
        <v>4</v>
      </c>
      <c r="F320" s="26" t="s">
        <v>349</v>
      </c>
      <c r="G320" s="25">
        <v>23750</v>
      </c>
      <c r="H320" s="25">
        <f t="shared" si="62"/>
        <v>22204.06611625</v>
      </c>
      <c r="I320" s="25">
        <f t="shared" si="63"/>
        <v>88816.264465</v>
      </c>
      <c r="J320" s="30">
        <v>0</v>
      </c>
      <c r="K320" s="30"/>
      <c r="L320" s="30">
        <v>0</v>
      </c>
      <c r="M320" s="25">
        <f t="shared" si="60"/>
        <v>88816.264465</v>
      </c>
      <c r="N320" s="26"/>
      <c r="O320" s="203">
        <v>0.93490804699999996</v>
      </c>
      <c r="Q320" s="25"/>
      <c r="R320" s="300"/>
    </row>
    <row r="321" spans="1:18" s="1" customFormat="1" ht="18.95" customHeight="1">
      <c r="A321" s="28">
        <v>3</v>
      </c>
      <c r="B321" s="27" t="s">
        <v>4258</v>
      </c>
      <c r="C321" s="29"/>
      <c r="D321" s="267"/>
      <c r="E321" s="25">
        <v>1</v>
      </c>
      <c r="F321" s="26" t="s">
        <v>4063</v>
      </c>
      <c r="G321" s="25">
        <v>109250</v>
      </c>
      <c r="H321" s="25">
        <f t="shared" si="62"/>
        <v>102138.70413474999</v>
      </c>
      <c r="I321" s="25">
        <f t="shared" si="63"/>
        <v>102138.70413474999</v>
      </c>
      <c r="J321" s="30">
        <v>0</v>
      </c>
      <c r="K321" s="30"/>
      <c r="L321" s="30">
        <v>0</v>
      </c>
      <c r="M321" s="25">
        <f t="shared" si="60"/>
        <v>102138.70413474999</v>
      </c>
      <c r="N321" s="26"/>
      <c r="O321" s="203">
        <v>0.93490804699999996</v>
      </c>
      <c r="Q321" s="34"/>
      <c r="R321" s="300"/>
    </row>
    <row r="322" spans="1:18" s="1" customFormat="1" ht="18.95" customHeight="1">
      <c r="A322" s="28">
        <v>4</v>
      </c>
      <c r="B322" s="27" t="s">
        <v>4187</v>
      </c>
      <c r="C322" s="29"/>
      <c r="D322" s="267"/>
      <c r="E322" s="25">
        <v>1</v>
      </c>
      <c r="F322" s="26" t="s">
        <v>4061</v>
      </c>
      <c r="G322" s="25">
        <v>170000</v>
      </c>
      <c r="H322" s="25">
        <f t="shared" si="62"/>
        <v>158934.36799</v>
      </c>
      <c r="I322" s="25">
        <f t="shared" si="63"/>
        <v>158934.36799</v>
      </c>
      <c r="J322" s="30">
        <v>0</v>
      </c>
      <c r="K322" s="30"/>
      <c r="L322" s="30">
        <v>0</v>
      </c>
      <c r="M322" s="25">
        <f t="shared" si="60"/>
        <v>158934.36799</v>
      </c>
      <c r="N322" s="26"/>
      <c r="O322" s="203">
        <v>0.93490804699999996</v>
      </c>
      <c r="Q322" s="34"/>
      <c r="R322" s="300"/>
    </row>
    <row r="323" spans="1:18" ht="18.95" customHeight="1">
      <c r="A323" s="28">
        <v>5</v>
      </c>
      <c r="B323" s="27" t="s">
        <v>4212</v>
      </c>
      <c r="C323" s="29"/>
      <c r="D323" s="267"/>
      <c r="E323" s="25">
        <v>1</v>
      </c>
      <c r="F323" s="26" t="s">
        <v>4063</v>
      </c>
      <c r="G323" s="25">
        <v>57000</v>
      </c>
      <c r="H323" s="25">
        <f t="shared" si="62"/>
        <v>53289.758678999999</v>
      </c>
      <c r="I323" s="25">
        <f t="shared" si="63"/>
        <v>53289.758678999999</v>
      </c>
      <c r="J323" s="30">
        <v>0</v>
      </c>
      <c r="K323" s="30"/>
      <c r="L323" s="30">
        <v>0</v>
      </c>
      <c r="M323" s="25">
        <f t="shared" si="60"/>
        <v>53289.758678999999</v>
      </c>
      <c r="N323" s="26"/>
      <c r="O323" s="203">
        <v>0.93490804699999996</v>
      </c>
      <c r="Q323" s="25"/>
      <c r="R323" s="300"/>
    </row>
    <row r="324" spans="1:18" s="1" customFormat="1" ht="18.95" customHeight="1">
      <c r="A324" s="28">
        <v>6</v>
      </c>
      <c r="B324" s="27" t="s">
        <v>4259</v>
      </c>
      <c r="C324" s="29"/>
      <c r="D324" s="267"/>
      <c r="E324" s="25">
        <v>3</v>
      </c>
      <c r="F324" s="26" t="s">
        <v>349</v>
      </c>
      <c r="G324" s="25">
        <v>34200</v>
      </c>
      <c r="H324" s="25">
        <f t="shared" si="62"/>
        <v>31973.8552074</v>
      </c>
      <c r="I324" s="25">
        <f t="shared" si="63"/>
        <v>95921.565622199996</v>
      </c>
      <c r="J324" s="30">
        <v>0</v>
      </c>
      <c r="K324" s="30"/>
      <c r="L324" s="30">
        <v>0</v>
      </c>
      <c r="M324" s="25">
        <f t="shared" si="60"/>
        <v>95921.565622199996</v>
      </c>
      <c r="N324" s="26"/>
      <c r="O324" s="203">
        <v>0.93490804699999996</v>
      </c>
      <c r="Q324" s="34"/>
      <c r="R324" s="300"/>
    </row>
    <row r="325" spans="1:18" s="1" customFormat="1" ht="18.95" customHeight="1">
      <c r="A325" s="28">
        <v>7</v>
      </c>
      <c r="B325" s="27" t="s">
        <v>4214</v>
      </c>
      <c r="C325" s="29"/>
      <c r="D325" s="46"/>
      <c r="E325" s="25">
        <v>1</v>
      </c>
      <c r="F325" s="26" t="s">
        <v>349</v>
      </c>
      <c r="G325" s="25">
        <v>20800</v>
      </c>
      <c r="H325" s="25">
        <f t="shared" si="62"/>
        <v>19446.087377600001</v>
      </c>
      <c r="I325" s="25">
        <f t="shared" si="63"/>
        <v>19446.087377600001</v>
      </c>
      <c r="J325" s="30">
        <v>0</v>
      </c>
      <c r="K325" s="30"/>
      <c r="L325" s="30">
        <v>0</v>
      </c>
      <c r="M325" s="25">
        <f t="shared" si="60"/>
        <v>19446.087377600001</v>
      </c>
      <c r="N325" s="26"/>
      <c r="O325" s="203">
        <v>0.93490804699999996</v>
      </c>
      <c r="Q325" s="34"/>
      <c r="R325" s="300"/>
    </row>
    <row r="326" spans="1:18" ht="18.95" customHeight="1">
      <c r="A326" s="28">
        <v>8</v>
      </c>
      <c r="B326" s="27" t="s">
        <v>4215</v>
      </c>
      <c r="C326" s="29"/>
      <c r="D326" s="267"/>
      <c r="E326" s="25">
        <v>1</v>
      </c>
      <c r="F326" s="26" t="s">
        <v>4063</v>
      </c>
      <c r="G326" s="25">
        <v>118750</v>
      </c>
      <c r="H326" s="25">
        <f t="shared" si="62"/>
        <v>111020.33058124999</v>
      </c>
      <c r="I326" s="25">
        <f t="shared" si="63"/>
        <v>111020.33058124999</v>
      </c>
      <c r="J326" s="30">
        <v>0</v>
      </c>
      <c r="K326" s="30"/>
      <c r="L326" s="30">
        <v>0</v>
      </c>
      <c r="M326" s="25">
        <f t="shared" si="60"/>
        <v>111020.33058124999</v>
      </c>
      <c r="N326" s="26"/>
      <c r="O326" s="203">
        <v>0.93490804699999996</v>
      </c>
      <c r="Q326" s="25"/>
      <c r="R326" s="300"/>
    </row>
    <row r="327" spans="1:18" ht="18.95" customHeight="1">
      <c r="A327" s="28">
        <v>9</v>
      </c>
      <c r="B327" s="27" t="s">
        <v>4260</v>
      </c>
      <c r="C327" s="29"/>
      <c r="D327" s="267"/>
      <c r="E327" s="25">
        <v>1</v>
      </c>
      <c r="F327" s="26" t="s">
        <v>4063</v>
      </c>
      <c r="G327" s="25">
        <v>31350</v>
      </c>
      <c r="H327" s="25">
        <f t="shared" si="62"/>
        <v>29309.36727345</v>
      </c>
      <c r="I327" s="25">
        <f t="shared" si="63"/>
        <v>29309.36727345</v>
      </c>
      <c r="J327" s="30">
        <v>0</v>
      </c>
      <c r="K327" s="30"/>
      <c r="L327" s="30">
        <v>0</v>
      </c>
      <c r="M327" s="25">
        <f t="shared" si="60"/>
        <v>29309.36727345</v>
      </c>
      <c r="N327" s="26"/>
      <c r="O327" s="203">
        <v>0.93490804699999996</v>
      </c>
      <c r="Q327" s="25"/>
      <c r="R327" s="300"/>
    </row>
    <row r="328" spans="1:18" ht="18.95" customHeight="1">
      <c r="A328" s="28">
        <v>10</v>
      </c>
      <c r="B328" s="27" t="s">
        <v>4261</v>
      </c>
      <c r="C328" s="29"/>
      <c r="D328" s="267"/>
      <c r="E328" s="25">
        <v>1</v>
      </c>
      <c r="F328" s="26" t="s">
        <v>4063</v>
      </c>
      <c r="G328" s="25">
        <v>38000</v>
      </c>
      <c r="H328" s="25">
        <f t="shared" si="62"/>
        <v>35526.505786000002</v>
      </c>
      <c r="I328" s="25">
        <f t="shared" si="63"/>
        <v>35526.505786000002</v>
      </c>
      <c r="J328" s="30">
        <v>0</v>
      </c>
      <c r="K328" s="30"/>
      <c r="L328" s="30">
        <v>0</v>
      </c>
      <c r="M328" s="25">
        <f t="shared" si="60"/>
        <v>35526.505786000002</v>
      </c>
      <c r="N328" s="26"/>
      <c r="O328" s="203">
        <v>0.93490804699999996</v>
      </c>
      <c r="Q328" s="54"/>
      <c r="R328" s="300"/>
    </row>
    <row r="329" spans="1:18" ht="18.95" customHeight="1">
      <c r="A329" s="28">
        <v>11</v>
      </c>
      <c r="B329" s="27" t="s">
        <v>4117</v>
      </c>
      <c r="C329" s="29"/>
      <c r="D329" s="267"/>
      <c r="E329" s="25">
        <v>1</v>
      </c>
      <c r="F329" s="26" t="s">
        <v>788</v>
      </c>
      <c r="G329" s="25"/>
      <c r="H329" s="25" t="s">
        <v>151</v>
      </c>
      <c r="I329" s="25">
        <f t="shared" ref="I329" si="64">E329*G329</f>
        <v>0</v>
      </c>
      <c r="J329" s="30">
        <v>90000</v>
      </c>
      <c r="K329" s="30">
        <f>J329*O329</f>
        <v>84141.724229999993</v>
      </c>
      <c r="L329" s="30">
        <f>K329*E329</f>
        <v>84141.724229999993</v>
      </c>
      <c r="M329" s="25">
        <f t="shared" si="60"/>
        <v>84141.724229999993</v>
      </c>
      <c r="N329" s="26"/>
      <c r="O329" s="203">
        <v>0.93490804699999996</v>
      </c>
      <c r="Q329" s="18"/>
      <c r="R329" s="300"/>
    </row>
    <row r="330" spans="1:18" ht="18.95" customHeight="1">
      <c r="A330" s="220"/>
      <c r="B330" s="302" t="s">
        <v>4218</v>
      </c>
      <c r="C330" s="221"/>
      <c r="D330" s="267"/>
      <c r="E330" s="34"/>
      <c r="F330" s="34"/>
      <c r="G330" s="34" t="s">
        <v>151</v>
      </c>
      <c r="H330" s="34"/>
      <c r="I330" s="34"/>
      <c r="J330" s="34">
        <v>0</v>
      </c>
      <c r="K330" s="34"/>
      <c r="L330" s="34">
        <v>0</v>
      </c>
      <c r="M330" s="34">
        <f t="shared" si="60"/>
        <v>0</v>
      </c>
      <c r="N330" s="35"/>
      <c r="O330" s="203">
        <v>0.93490804699999996</v>
      </c>
      <c r="Q330" s="25"/>
      <c r="R330" s="300"/>
    </row>
    <row r="331" spans="1:18" ht="18.95" customHeight="1">
      <c r="A331" s="28">
        <v>1</v>
      </c>
      <c r="B331" s="27" t="s">
        <v>4220</v>
      </c>
      <c r="C331" s="29"/>
      <c r="D331" s="267"/>
      <c r="E331" s="25">
        <v>1</v>
      </c>
      <c r="F331" s="26" t="s">
        <v>349</v>
      </c>
      <c r="G331" s="25">
        <v>23750</v>
      </c>
      <c r="H331" s="25">
        <f t="shared" si="62"/>
        <v>22204.06611625</v>
      </c>
      <c r="I331" s="25">
        <f t="shared" ref="I331:I335" si="65">E331*H331</f>
        <v>22204.06611625</v>
      </c>
      <c r="J331" s="30">
        <v>0</v>
      </c>
      <c r="K331" s="30"/>
      <c r="L331" s="30">
        <v>0</v>
      </c>
      <c r="M331" s="25">
        <f t="shared" si="60"/>
        <v>22204.06611625</v>
      </c>
      <c r="N331" s="26"/>
      <c r="O331" s="203">
        <v>0.93490804699999996</v>
      </c>
      <c r="Q331" s="25"/>
      <c r="R331" s="300"/>
    </row>
    <row r="332" spans="1:18" ht="18.95" customHeight="1">
      <c r="A332" s="28">
        <v>2</v>
      </c>
      <c r="B332" s="27" t="s">
        <v>4221</v>
      </c>
      <c r="C332" s="29"/>
      <c r="D332" s="267"/>
      <c r="E332" s="25">
        <v>1</v>
      </c>
      <c r="F332" s="26" t="s">
        <v>4063</v>
      </c>
      <c r="G332" s="25">
        <v>77000</v>
      </c>
      <c r="H332" s="25">
        <f t="shared" si="62"/>
        <v>71987.919618999993</v>
      </c>
      <c r="I332" s="25">
        <f t="shared" si="65"/>
        <v>71987.919618999993</v>
      </c>
      <c r="J332" s="30">
        <v>0</v>
      </c>
      <c r="K332" s="30"/>
      <c r="L332" s="30">
        <v>0</v>
      </c>
      <c r="M332" s="25">
        <f t="shared" si="60"/>
        <v>71987.919618999993</v>
      </c>
      <c r="N332" s="26"/>
      <c r="O332" s="203">
        <v>0.93490804699999996</v>
      </c>
      <c r="Q332" s="25"/>
      <c r="R332" s="300"/>
    </row>
    <row r="333" spans="1:18" ht="18.95" customHeight="1">
      <c r="A333" s="28">
        <v>3</v>
      </c>
      <c r="B333" s="27" t="s">
        <v>4222</v>
      </c>
      <c r="C333" s="29"/>
      <c r="D333" s="267"/>
      <c r="E333" s="25">
        <v>1</v>
      </c>
      <c r="F333" s="26" t="s">
        <v>4063</v>
      </c>
      <c r="G333" s="25">
        <v>71725</v>
      </c>
      <c r="H333" s="25">
        <f t="shared" si="62"/>
        <v>67056.279671074997</v>
      </c>
      <c r="I333" s="25">
        <f t="shared" si="65"/>
        <v>67056.279671074997</v>
      </c>
      <c r="J333" s="30">
        <v>0</v>
      </c>
      <c r="K333" s="30"/>
      <c r="L333" s="30">
        <v>0</v>
      </c>
      <c r="M333" s="25">
        <f t="shared" si="60"/>
        <v>67056.279671074997</v>
      </c>
      <c r="N333" s="26"/>
      <c r="O333" s="203">
        <v>0.93490804699999996</v>
      </c>
      <c r="Q333" s="25"/>
      <c r="R333" s="300"/>
    </row>
    <row r="334" spans="1:18" ht="18.95" customHeight="1">
      <c r="A334" s="28">
        <v>4</v>
      </c>
      <c r="B334" s="27" t="s">
        <v>4224</v>
      </c>
      <c r="C334" s="29"/>
      <c r="D334" s="267"/>
      <c r="E334" s="25">
        <v>1</v>
      </c>
      <c r="F334" s="26" t="s">
        <v>4063</v>
      </c>
      <c r="G334" s="25">
        <v>15000</v>
      </c>
      <c r="H334" s="25">
        <f t="shared" si="62"/>
        <v>14023.620704999999</v>
      </c>
      <c r="I334" s="25">
        <f t="shared" si="65"/>
        <v>14023.620704999999</v>
      </c>
      <c r="J334" s="30">
        <v>0</v>
      </c>
      <c r="K334" s="30"/>
      <c r="L334" s="30">
        <v>0</v>
      </c>
      <c r="M334" s="25">
        <f t="shared" si="60"/>
        <v>14023.620704999999</v>
      </c>
      <c r="N334" s="26"/>
      <c r="O334" s="203">
        <v>0.93490804699999996</v>
      </c>
      <c r="Q334" s="25"/>
      <c r="R334" s="300"/>
    </row>
    <row r="335" spans="1:18" ht="18.95" customHeight="1">
      <c r="A335" s="28">
        <v>5</v>
      </c>
      <c r="B335" s="27" t="s">
        <v>4223</v>
      </c>
      <c r="C335" s="29"/>
      <c r="D335" s="267"/>
      <c r="E335" s="25">
        <v>2</v>
      </c>
      <c r="F335" s="26" t="s">
        <v>4063</v>
      </c>
      <c r="G335" s="25">
        <v>5225</v>
      </c>
      <c r="H335" s="25">
        <f t="shared" si="62"/>
        <v>4884.8945455749999</v>
      </c>
      <c r="I335" s="25">
        <f t="shared" si="65"/>
        <v>9769.7890911499999</v>
      </c>
      <c r="J335" s="30">
        <v>0</v>
      </c>
      <c r="K335" s="30"/>
      <c r="L335" s="30">
        <v>0</v>
      </c>
      <c r="M335" s="25">
        <f t="shared" si="60"/>
        <v>9769.7890911499999</v>
      </c>
      <c r="N335" s="288"/>
      <c r="O335" s="203">
        <v>0.93490804699999996</v>
      </c>
      <c r="Q335" s="25"/>
      <c r="R335" s="300"/>
    </row>
    <row r="336" spans="1:18" ht="18.95" customHeight="1">
      <c r="A336" s="28">
        <v>6</v>
      </c>
      <c r="B336" s="27" t="s">
        <v>4117</v>
      </c>
      <c r="C336" s="29"/>
      <c r="D336" s="267"/>
      <c r="E336" s="25">
        <v>1</v>
      </c>
      <c r="F336" s="26" t="s">
        <v>788</v>
      </c>
      <c r="G336" s="25"/>
      <c r="H336" s="25"/>
      <c r="I336" s="25">
        <f t="shared" ref="I336" si="66">E336*G336</f>
        <v>0</v>
      </c>
      <c r="J336" s="30">
        <v>30000</v>
      </c>
      <c r="K336" s="30">
        <f>J336*O336</f>
        <v>28047.241409999999</v>
      </c>
      <c r="L336" s="30">
        <f>K336*E336</f>
        <v>28047.241409999999</v>
      </c>
      <c r="M336" s="25">
        <f t="shared" si="60"/>
        <v>28047.241409999999</v>
      </c>
      <c r="N336" s="26"/>
      <c r="O336" s="203">
        <v>0.93490804699999996</v>
      </c>
      <c r="Q336" s="25"/>
      <c r="R336" s="300"/>
    </row>
    <row r="337" spans="1:18" ht="18.95" customHeight="1">
      <c r="A337" s="28"/>
      <c r="B337" s="27"/>
      <c r="C337" s="29"/>
      <c r="D337" s="267"/>
      <c r="E337" s="25"/>
      <c r="F337" s="26"/>
      <c r="G337" s="25"/>
      <c r="H337" s="25"/>
      <c r="I337" s="25"/>
      <c r="J337" s="30"/>
      <c r="K337" s="30"/>
      <c r="L337" s="30"/>
      <c r="M337" s="25"/>
      <c r="N337" s="26"/>
      <c r="O337" s="203">
        <v>0.93490804699999996</v>
      </c>
      <c r="Q337" s="25"/>
      <c r="R337" s="300"/>
    </row>
    <row r="338" spans="1:18" ht="18.95" customHeight="1">
      <c r="A338" s="339"/>
      <c r="B338" s="1275" t="s">
        <v>4262</v>
      </c>
      <c r="C338" s="1276"/>
      <c r="D338" s="1277"/>
      <c r="E338" s="34"/>
      <c r="F338" s="126"/>
      <c r="G338" s="34"/>
      <c r="H338" s="34"/>
      <c r="I338" s="34">
        <f>SUM(I306:I336)</f>
        <v>1640693.5043814746</v>
      </c>
      <c r="J338" s="34"/>
      <c r="K338" s="34"/>
      <c r="L338" s="34">
        <f>SUM(L306:L336)</f>
        <v>168283.44845999999</v>
      </c>
      <c r="M338" s="34">
        <f>SUM(M306:M336)</f>
        <v>1808976.9528414747</v>
      </c>
      <c r="N338" s="35"/>
      <c r="O338" s="203">
        <v>0.93490804699999996</v>
      </c>
      <c r="Q338" s="25"/>
      <c r="R338" s="300"/>
    </row>
    <row r="339" spans="1:18" s="1" customFormat="1" ht="18.95" customHeight="1">
      <c r="A339" s="339"/>
      <c r="B339" s="256"/>
      <c r="C339" s="257"/>
      <c r="D339" s="258"/>
      <c r="E339" s="34"/>
      <c r="F339" s="126"/>
      <c r="G339" s="34"/>
      <c r="H339" s="34"/>
      <c r="I339" s="34"/>
      <c r="J339" s="34"/>
      <c r="K339" s="34"/>
      <c r="L339" s="34"/>
      <c r="M339" s="34"/>
      <c r="N339" s="35"/>
      <c r="O339" s="203">
        <v>0.93490804699999996</v>
      </c>
      <c r="Q339" s="34"/>
      <c r="R339" s="300"/>
    </row>
    <row r="340" spans="1:18" ht="18.95" customHeight="1">
      <c r="A340" s="220"/>
      <c r="B340" s="302" t="s">
        <v>4263</v>
      </c>
      <c r="C340" s="221"/>
      <c r="D340" s="346"/>
      <c r="E340" s="34"/>
      <c r="F340" s="126"/>
      <c r="G340" s="34"/>
      <c r="H340" s="34"/>
      <c r="I340" s="34"/>
      <c r="J340" s="34"/>
      <c r="K340" s="34"/>
      <c r="L340" s="34"/>
      <c r="M340" s="34"/>
      <c r="N340" s="126"/>
      <c r="O340" s="203">
        <v>0.93490804699999996</v>
      </c>
      <c r="Q340" s="25"/>
      <c r="R340" s="300"/>
    </row>
    <row r="341" spans="1:18" ht="18.95" customHeight="1">
      <c r="A341" s="220"/>
      <c r="B341" s="302" t="s">
        <v>4264</v>
      </c>
      <c r="C341" s="221"/>
      <c r="D341" s="267"/>
      <c r="E341" s="34"/>
      <c r="F341" s="34"/>
      <c r="G341" s="34"/>
      <c r="H341" s="34"/>
      <c r="I341" s="34"/>
      <c r="J341" s="34"/>
      <c r="K341" s="34"/>
      <c r="L341" s="34"/>
      <c r="M341" s="34"/>
      <c r="N341" s="35"/>
      <c r="O341" s="203">
        <v>0.93490804699999996</v>
      </c>
      <c r="Q341" s="25"/>
      <c r="R341" s="300"/>
    </row>
    <row r="342" spans="1:18" ht="18.95" customHeight="1">
      <c r="A342" s="28">
        <v>1</v>
      </c>
      <c r="B342" s="352" t="s">
        <v>4265</v>
      </c>
      <c r="C342" s="29"/>
      <c r="D342" s="49"/>
      <c r="E342" s="25">
        <v>1</v>
      </c>
      <c r="F342" s="26" t="s">
        <v>349</v>
      </c>
      <c r="G342" s="25">
        <v>5700</v>
      </c>
      <c r="H342" s="25">
        <f t="shared" ref="H342:H345" si="67">G342*O342</f>
        <v>5328.9758678999997</v>
      </c>
      <c r="I342" s="25">
        <f t="shared" ref="I342:I345" si="68">E342*H342</f>
        <v>5328.9758678999997</v>
      </c>
      <c r="J342" s="30">
        <v>0</v>
      </c>
      <c r="K342" s="30"/>
      <c r="L342" s="30">
        <v>0</v>
      </c>
      <c r="M342" s="25">
        <f>I342+L342</f>
        <v>5328.9758678999997</v>
      </c>
      <c r="N342" s="26"/>
      <c r="O342" s="203">
        <v>0.93490804699999996</v>
      </c>
      <c r="Q342" s="25"/>
      <c r="R342" s="300"/>
    </row>
    <row r="343" spans="1:18" ht="18.95" customHeight="1">
      <c r="A343" s="28">
        <v>2</v>
      </c>
      <c r="B343" s="27" t="s">
        <v>4266</v>
      </c>
      <c r="C343" s="29"/>
      <c r="D343" s="267"/>
      <c r="E343" s="25">
        <v>1</v>
      </c>
      <c r="F343" s="26" t="s">
        <v>349</v>
      </c>
      <c r="G343" s="25">
        <v>26315</v>
      </c>
      <c r="H343" s="25">
        <f t="shared" si="67"/>
        <v>24602.105256805</v>
      </c>
      <c r="I343" s="25">
        <f t="shared" si="68"/>
        <v>24602.105256805</v>
      </c>
      <c r="J343" s="30">
        <v>0</v>
      </c>
      <c r="K343" s="30"/>
      <c r="L343" s="30">
        <v>0</v>
      </c>
      <c r="M343" s="25">
        <f>I343+L343</f>
        <v>24602.105256805</v>
      </c>
      <c r="N343" s="26"/>
      <c r="O343" s="203">
        <v>0.93490804699999996</v>
      </c>
      <c r="Q343" s="25"/>
      <c r="R343" s="300"/>
    </row>
    <row r="344" spans="1:18" ht="18.95" customHeight="1">
      <c r="A344" s="28">
        <v>3</v>
      </c>
      <c r="B344" s="27" t="s">
        <v>4267</v>
      </c>
      <c r="C344" s="29"/>
      <c r="D344" s="267"/>
      <c r="E344" s="25">
        <v>1</v>
      </c>
      <c r="F344" s="26" t="s">
        <v>4063</v>
      </c>
      <c r="G344" s="25">
        <v>26600</v>
      </c>
      <c r="H344" s="25">
        <f t="shared" si="67"/>
        <v>24868.5540502</v>
      </c>
      <c r="I344" s="25">
        <f t="shared" si="68"/>
        <v>24868.5540502</v>
      </c>
      <c r="J344" s="30">
        <v>0</v>
      </c>
      <c r="K344" s="30"/>
      <c r="L344" s="30">
        <v>0</v>
      </c>
      <c r="M344" s="25">
        <f>I344+L344</f>
        <v>24868.5540502</v>
      </c>
      <c r="N344" s="26"/>
      <c r="O344" s="203">
        <v>0.93490804699999996</v>
      </c>
      <c r="Q344" s="25"/>
      <c r="R344" s="300"/>
    </row>
    <row r="345" spans="1:18" ht="18.95" customHeight="1">
      <c r="A345" s="28">
        <v>4</v>
      </c>
      <c r="B345" s="27" t="s">
        <v>4268</v>
      </c>
      <c r="C345" s="29"/>
      <c r="D345" s="267"/>
      <c r="E345" s="25">
        <v>1</v>
      </c>
      <c r="F345" s="26" t="s">
        <v>4063</v>
      </c>
      <c r="G345" s="25">
        <v>1500</v>
      </c>
      <c r="H345" s="25">
        <f t="shared" si="67"/>
        <v>1402.3620704999998</v>
      </c>
      <c r="I345" s="25">
        <f t="shared" si="68"/>
        <v>1402.3620704999998</v>
      </c>
      <c r="J345" s="30">
        <v>0</v>
      </c>
      <c r="K345" s="30"/>
      <c r="L345" s="30">
        <v>0</v>
      </c>
      <c r="M345" s="25">
        <f>I345+L345</f>
        <v>1402.3620704999998</v>
      </c>
      <c r="N345" s="26"/>
      <c r="O345" s="203">
        <v>0.93490804699999996</v>
      </c>
      <c r="Q345" s="25"/>
      <c r="R345" s="300"/>
    </row>
    <row r="346" spans="1:18" ht="18.95" customHeight="1">
      <c r="A346" s="28">
        <v>5</v>
      </c>
      <c r="B346" s="27" t="s">
        <v>4117</v>
      </c>
      <c r="C346" s="29"/>
      <c r="D346" s="267"/>
      <c r="E346" s="25">
        <v>1</v>
      </c>
      <c r="F346" s="26" t="s">
        <v>788</v>
      </c>
      <c r="G346" s="25"/>
      <c r="H346" s="25" t="s">
        <v>151</v>
      </c>
      <c r="I346" s="25">
        <f>E346*G346</f>
        <v>0</v>
      </c>
      <c r="J346" s="30">
        <v>15000</v>
      </c>
      <c r="K346" s="30">
        <f>J346*O346</f>
        <v>14023.620704999999</v>
      </c>
      <c r="L346" s="30">
        <f>K346*E346</f>
        <v>14023.620704999999</v>
      </c>
      <c r="M346" s="25">
        <f>I346+L346</f>
        <v>14023.620704999999</v>
      </c>
      <c r="N346" s="26"/>
      <c r="O346" s="203">
        <v>0.93490804699999996</v>
      </c>
      <c r="Q346" s="25"/>
      <c r="R346" s="300"/>
    </row>
    <row r="347" spans="1:18" ht="18.95" customHeight="1">
      <c r="A347" s="28"/>
      <c r="B347" s="27"/>
      <c r="C347" s="29"/>
      <c r="D347" s="267"/>
      <c r="E347" s="25"/>
      <c r="F347" s="26"/>
      <c r="G347" s="25"/>
      <c r="H347" s="25"/>
      <c r="I347" s="25"/>
      <c r="J347" s="30"/>
      <c r="K347" s="30"/>
      <c r="L347" s="30"/>
      <c r="M347" s="25"/>
      <c r="N347" s="26"/>
      <c r="O347" s="203">
        <v>0.93490804699999996</v>
      </c>
      <c r="Q347" s="25"/>
      <c r="R347" s="300"/>
    </row>
    <row r="348" spans="1:18" ht="18.95" customHeight="1">
      <c r="A348" s="339"/>
      <c r="B348" s="1275" t="s">
        <v>4269</v>
      </c>
      <c r="C348" s="1276"/>
      <c r="D348" s="1277"/>
      <c r="E348" s="34"/>
      <c r="F348" s="126"/>
      <c r="G348" s="34"/>
      <c r="H348" s="34"/>
      <c r="I348" s="34">
        <f>SUM(I342:I346)</f>
        <v>56201.997245405</v>
      </c>
      <c r="J348" s="34"/>
      <c r="K348" s="34"/>
      <c r="L348" s="34">
        <f>SUM(L342:L346)</f>
        <v>14023.620704999999</v>
      </c>
      <c r="M348" s="34">
        <f>SUM(M342:M346)</f>
        <v>70225.617950404994</v>
      </c>
      <c r="N348" s="35"/>
      <c r="O348" s="203">
        <v>0.93490804699999996</v>
      </c>
      <c r="Q348" s="25"/>
      <c r="R348" s="300"/>
    </row>
    <row r="349" spans="1:18" ht="18.95" customHeight="1">
      <c r="A349" s="28"/>
      <c r="B349" s="27"/>
      <c r="C349" s="29"/>
      <c r="D349" s="267"/>
      <c r="E349" s="25"/>
      <c r="F349" s="26"/>
      <c r="G349" s="25"/>
      <c r="H349" s="25"/>
      <c r="I349" s="25"/>
      <c r="J349" s="30"/>
      <c r="K349" s="30"/>
      <c r="L349" s="30"/>
      <c r="M349" s="25"/>
      <c r="N349" s="26"/>
      <c r="O349" s="203">
        <v>0.93490804699999996</v>
      </c>
      <c r="Q349" s="25"/>
      <c r="R349" s="300"/>
    </row>
    <row r="350" spans="1:18" ht="18.95" customHeight="1">
      <c r="A350" s="220"/>
      <c r="B350" s="302" t="s">
        <v>4270</v>
      </c>
      <c r="C350" s="221"/>
      <c r="D350" s="346"/>
      <c r="E350" s="34"/>
      <c r="F350" s="126"/>
      <c r="G350" s="34"/>
      <c r="H350" s="34"/>
      <c r="I350" s="34"/>
      <c r="J350" s="34"/>
      <c r="K350" s="34"/>
      <c r="L350" s="34"/>
      <c r="M350" s="34"/>
      <c r="N350" s="126"/>
      <c r="O350" s="203">
        <v>0.93490804699999996</v>
      </c>
      <c r="Q350" s="25"/>
      <c r="R350" s="300"/>
    </row>
    <row r="351" spans="1:18" ht="18.95" customHeight="1">
      <c r="A351" s="220"/>
      <c r="B351" s="302" t="s">
        <v>4264</v>
      </c>
      <c r="C351" s="221"/>
      <c r="D351" s="267"/>
      <c r="E351" s="34"/>
      <c r="F351" s="34"/>
      <c r="G351" s="34"/>
      <c r="H351" s="34"/>
      <c r="I351" s="34"/>
      <c r="J351" s="34"/>
      <c r="K351" s="34"/>
      <c r="L351" s="34"/>
      <c r="M351" s="34"/>
      <c r="N351" s="35"/>
      <c r="O351" s="203">
        <v>0.93490804699999996</v>
      </c>
      <c r="Q351" s="25"/>
      <c r="R351" s="300"/>
    </row>
    <row r="352" spans="1:18" ht="18.95" customHeight="1">
      <c r="A352" s="28">
        <v>1</v>
      </c>
      <c r="B352" s="352" t="s">
        <v>4265</v>
      </c>
      <c r="C352" s="29"/>
      <c r="D352" s="49"/>
      <c r="E352" s="25">
        <v>1</v>
      </c>
      <c r="F352" s="26" t="s">
        <v>349</v>
      </c>
      <c r="G352" s="25">
        <v>5700</v>
      </c>
      <c r="H352" s="25">
        <f t="shared" ref="H352:H355" si="69">G352*O352</f>
        <v>5328.9758678999997</v>
      </c>
      <c r="I352" s="25">
        <f t="shared" ref="I352:I355" si="70">E352*H352</f>
        <v>5328.9758678999997</v>
      </c>
      <c r="J352" s="30">
        <v>0</v>
      </c>
      <c r="K352" s="30"/>
      <c r="L352" s="30">
        <v>0</v>
      </c>
      <c r="M352" s="25">
        <f>I352+L352</f>
        <v>5328.9758678999997</v>
      </c>
      <c r="N352" s="26"/>
      <c r="O352" s="203">
        <v>0.93490804699999996</v>
      </c>
      <c r="Q352" s="25"/>
      <c r="R352" s="300"/>
    </row>
    <row r="353" spans="1:18" ht="18.95" customHeight="1">
      <c r="A353" s="28">
        <v>2</v>
      </c>
      <c r="B353" s="27" t="s">
        <v>4266</v>
      </c>
      <c r="C353" s="29"/>
      <c r="D353" s="267"/>
      <c r="E353" s="25">
        <v>1</v>
      </c>
      <c r="F353" s="26" t="s">
        <v>349</v>
      </c>
      <c r="G353" s="25">
        <v>26315</v>
      </c>
      <c r="H353" s="25">
        <f t="shared" si="69"/>
        <v>24602.105256805</v>
      </c>
      <c r="I353" s="25">
        <f t="shared" si="70"/>
        <v>24602.105256805</v>
      </c>
      <c r="J353" s="30">
        <v>0</v>
      </c>
      <c r="K353" s="30"/>
      <c r="L353" s="30">
        <v>0</v>
      </c>
      <c r="M353" s="25">
        <f>I353+L353</f>
        <v>24602.105256805</v>
      </c>
      <c r="N353" s="26"/>
      <c r="O353" s="203">
        <v>0.93490804699999996</v>
      </c>
      <c r="Q353" s="25"/>
      <c r="R353" s="300"/>
    </row>
    <row r="354" spans="1:18" s="1" customFormat="1" ht="18.95" customHeight="1">
      <c r="A354" s="28">
        <v>3</v>
      </c>
      <c r="B354" s="27" t="s">
        <v>4267</v>
      </c>
      <c r="C354" s="29"/>
      <c r="D354" s="267"/>
      <c r="E354" s="25">
        <v>1</v>
      </c>
      <c r="F354" s="26" t="s">
        <v>4063</v>
      </c>
      <c r="G354" s="25">
        <v>26600</v>
      </c>
      <c r="H354" s="25">
        <f t="shared" si="69"/>
        <v>24868.5540502</v>
      </c>
      <c r="I354" s="25">
        <f t="shared" si="70"/>
        <v>24868.5540502</v>
      </c>
      <c r="J354" s="30">
        <v>0</v>
      </c>
      <c r="K354" s="30"/>
      <c r="L354" s="30">
        <v>0</v>
      </c>
      <c r="M354" s="25">
        <f>I354+L354</f>
        <v>24868.5540502</v>
      </c>
      <c r="N354" s="26"/>
      <c r="O354" s="203">
        <v>0.93490804699999996</v>
      </c>
      <c r="Q354" s="34"/>
      <c r="R354" s="300"/>
    </row>
    <row r="355" spans="1:18" ht="18.95" customHeight="1">
      <c r="A355" s="28">
        <v>4</v>
      </c>
      <c r="B355" s="27" t="s">
        <v>4268</v>
      </c>
      <c r="C355" s="29"/>
      <c r="D355" s="267"/>
      <c r="E355" s="25">
        <v>1</v>
      </c>
      <c r="F355" s="26" t="s">
        <v>4063</v>
      </c>
      <c r="G355" s="25">
        <v>1500</v>
      </c>
      <c r="H355" s="25">
        <f t="shared" si="69"/>
        <v>1402.3620704999998</v>
      </c>
      <c r="I355" s="25">
        <f t="shared" si="70"/>
        <v>1402.3620704999998</v>
      </c>
      <c r="J355" s="30">
        <v>0</v>
      </c>
      <c r="K355" s="30"/>
      <c r="L355" s="30">
        <v>0</v>
      </c>
      <c r="M355" s="25">
        <f>I355+L355</f>
        <v>1402.3620704999998</v>
      </c>
      <c r="N355" s="26"/>
      <c r="O355" s="203">
        <v>0.93490804699999996</v>
      </c>
      <c r="Q355" s="25"/>
      <c r="R355" s="300"/>
    </row>
    <row r="356" spans="1:18" ht="18.95" customHeight="1">
      <c r="A356" s="28">
        <v>5</v>
      </c>
      <c r="B356" s="27" t="s">
        <v>4117</v>
      </c>
      <c r="C356" s="29"/>
      <c r="D356" s="267"/>
      <c r="E356" s="25">
        <v>1</v>
      </c>
      <c r="F356" s="26" t="s">
        <v>788</v>
      </c>
      <c r="G356" s="25"/>
      <c r="H356" s="25"/>
      <c r="I356" s="25">
        <f>E356*G356</f>
        <v>0</v>
      </c>
      <c r="J356" s="30">
        <v>15000</v>
      </c>
      <c r="K356" s="30">
        <f>J356*O356</f>
        <v>14023.620704999999</v>
      </c>
      <c r="L356" s="30">
        <f>K356*E356</f>
        <v>14023.620704999999</v>
      </c>
      <c r="M356" s="25">
        <f>I356+L356</f>
        <v>14023.620704999999</v>
      </c>
      <c r="N356" s="26"/>
      <c r="O356" s="203">
        <v>0.93490804699999996</v>
      </c>
      <c r="Q356" s="25"/>
      <c r="R356" s="300"/>
    </row>
    <row r="357" spans="1:18" ht="18.95" customHeight="1">
      <c r="A357" s="28"/>
      <c r="B357" s="352"/>
      <c r="C357" s="29"/>
      <c r="D357" s="49"/>
      <c r="E357" s="25"/>
      <c r="F357" s="26"/>
      <c r="G357" s="25"/>
      <c r="H357" s="25"/>
      <c r="I357" s="25"/>
      <c r="J357" s="30"/>
      <c r="K357" s="30"/>
      <c r="L357" s="30"/>
      <c r="M357" s="25"/>
      <c r="N357" s="26"/>
      <c r="O357" s="203">
        <v>0.93490804699999996</v>
      </c>
      <c r="Q357" s="25"/>
      <c r="R357" s="300"/>
    </row>
    <row r="358" spans="1:18" ht="18.95" customHeight="1">
      <c r="A358" s="339"/>
      <c r="B358" s="1275" t="s">
        <v>4271</v>
      </c>
      <c r="C358" s="1276"/>
      <c r="D358" s="1277"/>
      <c r="E358" s="34"/>
      <c r="F358" s="126"/>
      <c r="G358" s="34"/>
      <c r="H358" s="34"/>
      <c r="I358" s="34">
        <f>SUM(I352:I357)</f>
        <v>56201.997245405</v>
      </c>
      <c r="J358" s="34"/>
      <c r="K358" s="34"/>
      <c r="L358" s="34">
        <f>SUM(L352:L357)</f>
        <v>14023.620704999999</v>
      </c>
      <c r="M358" s="34">
        <f>SUM(M352:M357)</f>
        <v>70225.617950404994</v>
      </c>
      <c r="N358" s="35"/>
      <c r="O358" s="203">
        <v>0.93490804699999996</v>
      </c>
      <c r="Q358" s="25"/>
      <c r="R358" s="300"/>
    </row>
    <row r="359" spans="1:18" ht="18.95" customHeight="1">
      <c r="A359" s="28"/>
      <c r="B359" s="352"/>
      <c r="C359" s="29"/>
      <c r="D359" s="49"/>
      <c r="E359" s="25"/>
      <c r="F359" s="26"/>
      <c r="G359" s="25"/>
      <c r="H359" s="25"/>
      <c r="I359" s="25"/>
      <c r="J359" s="30"/>
      <c r="K359" s="30"/>
      <c r="L359" s="30"/>
      <c r="M359" s="25"/>
      <c r="N359" s="26"/>
      <c r="O359" s="203">
        <v>0.93490804699999996</v>
      </c>
      <c r="Q359" s="25"/>
      <c r="R359" s="300"/>
    </row>
    <row r="360" spans="1:18" ht="18.95" customHeight="1">
      <c r="A360" s="220"/>
      <c r="B360" s="302" t="s">
        <v>4272</v>
      </c>
      <c r="C360" s="221"/>
      <c r="D360" s="346"/>
      <c r="E360" s="34"/>
      <c r="F360" s="126"/>
      <c r="G360" s="34"/>
      <c r="H360" s="34"/>
      <c r="I360" s="34"/>
      <c r="J360" s="34"/>
      <c r="K360" s="34"/>
      <c r="L360" s="34"/>
      <c r="M360" s="34"/>
      <c r="N360" s="126"/>
      <c r="O360" s="203">
        <v>0.93490804699999996</v>
      </c>
      <c r="Q360" s="25"/>
      <c r="R360" s="300"/>
    </row>
    <row r="361" spans="1:18" ht="18.95" customHeight="1">
      <c r="A361" s="220"/>
      <c r="B361" s="302" t="s">
        <v>4264</v>
      </c>
      <c r="C361" s="221"/>
      <c r="D361" s="267"/>
      <c r="E361" s="34"/>
      <c r="F361" s="34"/>
      <c r="G361" s="34"/>
      <c r="H361" s="34"/>
      <c r="I361" s="34"/>
      <c r="J361" s="34"/>
      <c r="K361" s="34"/>
      <c r="L361" s="34"/>
      <c r="M361" s="34"/>
      <c r="N361" s="35"/>
      <c r="O361" s="203">
        <v>0.93490804699999996</v>
      </c>
      <c r="Q361" s="252"/>
      <c r="R361" s="300"/>
    </row>
    <row r="362" spans="1:18" ht="18.95" customHeight="1">
      <c r="A362" s="28">
        <v>1</v>
      </c>
      <c r="B362" s="352" t="s">
        <v>4265</v>
      </c>
      <c r="C362" s="29"/>
      <c r="D362" s="49"/>
      <c r="E362" s="25">
        <v>1</v>
      </c>
      <c r="F362" s="26" t="s">
        <v>349</v>
      </c>
      <c r="G362" s="25">
        <v>5700</v>
      </c>
      <c r="H362" s="25">
        <f t="shared" ref="H362:H365" si="71">G362*O362</f>
        <v>5328.9758678999997</v>
      </c>
      <c r="I362" s="25">
        <f t="shared" ref="I362:I365" si="72">E362*H362</f>
        <v>5328.9758678999997</v>
      </c>
      <c r="J362" s="30">
        <v>0</v>
      </c>
      <c r="K362" s="30"/>
      <c r="L362" s="30">
        <v>0</v>
      </c>
      <c r="M362" s="25">
        <f>I362+L362</f>
        <v>5328.9758678999997</v>
      </c>
      <c r="N362" s="26"/>
      <c r="O362" s="203">
        <v>0.93490804699999996</v>
      </c>
      <c r="Q362" s="143"/>
      <c r="R362" s="300"/>
    </row>
    <row r="363" spans="1:18" ht="18.95" customHeight="1">
      <c r="A363" s="28">
        <v>2</v>
      </c>
      <c r="B363" s="27" t="s">
        <v>4266</v>
      </c>
      <c r="C363" s="29"/>
      <c r="D363" s="267"/>
      <c r="E363" s="25">
        <v>1</v>
      </c>
      <c r="F363" s="26" t="s">
        <v>349</v>
      </c>
      <c r="G363" s="25">
        <v>26315</v>
      </c>
      <c r="H363" s="25">
        <f t="shared" si="71"/>
        <v>24602.105256805</v>
      </c>
      <c r="I363" s="25">
        <f t="shared" si="72"/>
        <v>24602.105256805</v>
      </c>
      <c r="J363" s="30">
        <v>0</v>
      </c>
      <c r="K363" s="30"/>
      <c r="L363" s="30">
        <v>0</v>
      </c>
      <c r="M363" s="25">
        <f>I363+L363</f>
        <v>24602.105256805</v>
      </c>
      <c r="N363" s="26"/>
      <c r="O363" s="203">
        <v>0.93490804699999996</v>
      </c>
      <c r="Q363" s="353"/>
      <c r="R363" s="300"/>
    </row>
    <row r="364" spans="1:18" s="1" customFormat="1" ht="18.75" customHeight="1">
      <c r="A364" s="28">
        <v>3</v>
      </c>
      <c r="B364" s="27" t="s">
        <v>4267</v>
      </c>
      <c r="C364" s="29"/>
      <c r="D364" s="267"/>
      <c r="E364" s="25">
        <v>1</v>
      </c>
      <c r="F364" s="26" t="s">
        <v>4063</v>
      </c>
      <c r="G364" s="25">
        <v>26600</v>
      </c>
      <c r="H364" s="25">
        <f t="shared" si="71"/>
        <v>24868.5540502</v>
      </c>
      <c r="I364" s="25">
        <f t="shared" si="72"/>
        <v>24868.5540502</v>
      </c>
      <c r="J364" s="30">
        <v>0</v>
      </c>
      <c r="K364" s="30"/>
      <c r="L364" s="30">
        <v>0</v>
      </c>
      <c r="M364" s="25">
        <f>I364+L364</f>
        <v>24868.5540502</v>
      </c>
      <c r="N364" s="26"/>
      <c r="O364" s="203">
        <v>0.93490804699999996</v>
      </c>
      <c r="Q364" s="218"/>
      <c r="R364" s="300"/>
    </row>
    <row r="365" spans="1:18" ht="18.95" customHeight="1">
      <c r="A365" s="28">
        <v>4</v>
      </c>
      <c r="B365" s="27" t="s">
        <v>4268</v>
      </c>
      <c r="C365" s="29"/>
      <c r="D365" s="267"/>
      <c r="E365" s="25">
        <v>1</v>
      </c>
      <c r="F365" s="26" t="s">
        <v>4063</v>
      </c>
      <c r="G365" s="25">
        <v>1500</v>
      </c>
      <c r="H365" s="25">
        <f t="shared" si="71"/>
        <v>1402.3620704999998</v>
      </c>
      <c r="I365" s="25">
        <f t="shared" si="72"/>
        <v>1402.3620704999998</v>
      </c>
      <c r="J365" s="30">
        <v>0</v>
      </c>
      <c r="K365" s="30"/>
      <c r="L365" s="30">
        <v>0</v>
      </c>
      <c r="M365" s="25">
        <f>I365+L365</f>
        <v>1402.3620704999998</v>
      </c>
      <c r="N365" s="26"/>
      <c r="O365" s="203">
        <v>0.93490804699999996</v>
      </c>
      <c r="Q365" s="25"/>
      <c r="R365" s="300"/>
    </row>
    <row r="366" spans="1:18" s="1" customFormat="1" ht="18.95" customHeight="1">
      <c r="A366" s="28">
        <v>5</v>
      </c>
      <c r="B366" s="27" t="s">
        <v>4117</v>
      </c>
      <c r="C366" s="29"/>
      <c r="D366" s="267"/>
      <c r="E366" s="25">
        <v>1</v>
      </c>
      <c r="F366" s="26" t="s">
        <v>788</v>
      </c>
      <c r="G366" s="25"/>
      <c r="H366" s="25"/>
      <c r="I366" s="25">
        <f>E366*G366</f>
        <v>0</v>
      </c>
      <c r="J366" s="30">
        <v>15000</v>
      </c>
      <c r="K366" s="30">
        <f>J366*O366</f>
        <v>14023.620704999999</v>
      </c>
      <c r="L366" s="30">
        <f>K366*E366</f>
        <v>14023.620704999999</v>
      </c>
      <c r="M366" s="25">
        <f>I366+L366</f>
        <v>14023.620704999999</v>
      </c>
      <c r="N366" s="26"/>
      <c r="O366" s="203">
        <v>0.93490804699999996</v>
      </c>
      <c r="Q366" s="34"/>
      <c r="R366" s="300"/>
    </row>
    <row r="367" spans="1:18" ht="18.95" customHeight="1">
      <c r="A367" s="28"/>
      <c r="B367" s="352"/>
      <c r="C367" s="29"/>
      <c r="D367" s="49"/>
      <c r="E367" s="25"/>
      <c r="F367" s="26"/>
      <c r="G367" s="25"/>
      <c r="H367" s="25"/>
      <c r="I367" s="25"/>
      <c r="J367" s="30"/>
      <c r="K367" s="30"/>
      <c r="L367" s="30"/>
      <c r="M367" s="25"/>
      <c r="N367" s="26"/>
      <c r="Q367" s="25"/>
      <c r="R367" s="300"/>
    </row>
    <row r="368" spans="1:18" ht="18.95" customHeight="1">
      <c r="A368" s="339"/>
      <c r="B368" s="1275" t="s">
        <v>4273</v>
      </c>
      <c r="C368" s="1276"/>
      <c r="D368" s="1277"/>
      <c r="E368" s="34"/>
      <c r="F368" s="126"/>
      <c r="G368" s="34"/>
      <c r="H368" s="34"/>
      <c r="I368" s="34">
        <f>SUM(I362:I367)</f>
        <v>56201.997245405</v>
      </c>
      <c r="J368" s="34"/>
      <c r="K368" s="34"/>
      <c r="L368" s="34">
        <f>SUM(L362:L367)</f>
        <v>14023.620704999999</v>
      </c>
      <c r="M368" s="34">
        <f>SUM(M362:M367)</f>
        <v>70225.617950404994</v>
      </c>
      <c r="N368" s="35"/>
      <c r="Q368" s="25"/>
      <c r="R368" s="300"/>
    </row>
    <row r="369" spans="1:18" ht="18.95" customHeight="1">
      <c r="A369" s="28"/>
      <c r="B369" s="352"/>
      <c r="C369" s="29"/>
      <c r="D369" s="49"/>
      <c r="E369" s="25"/>
      <c r="F369" s="26"/>
      <c r="G369" s="25"/>
      <c r="H369" s="25"/>
      <c r="I369" s="25"/>
      <c r="J369" s="30"/>
      <c r="K369" s="30"/>
      <c r="L369" s="30"/>
      <c r="M369" s="25"/>
      <c r="N369" s="26"/>
      <c r="Q369" s="25"/>
      <c r="R369" s="300"/>
    </row>
    <row r="370" spans="1:18" ht="18.95" customHeight="1">
      <c r="A370" s="339"/>
      <c r="B370" s="1275" t="s">
        <v>4274</v>
      </c>
      <c r="C370" s="1276"/>
      <c r="D370" s="1277"/>
      <c r="E370" s="34"/>
      <c r="F370" s="126"/>
      <c r="G370" s="34"/>
      <c r="H370" s="34"/>
      <c r="I370" s="34">
        <f>I368+I358+I348+I338</f>
        <v>1809299.4961176896</v>
      </c>
      <c r="J370" s="34"/>
      <c r="K370" s="34"/>
      <c r="L370" s="34">
        <f>L368+L358+L348+L338</f>
        <v>210354.31057499998</v>
      </c>
      <c r="M370" s="34">
        <f>M368+M358+M348+M338</f>
        <v>2019653.8066926897</v>
      </c>
      <c r="N370" s="35"/>
      <c r="Q370" s="25"/>
      <c r="R370" s="300"/>
    </row>
    <row r="371" spans="1:18" ht="18.95" customHeight="1">
      <c r="A371" s="233"/>
      <c r="B371" s="321"/>
      <c r="C371" s="322"/>
      <c r="D371" s="323"/>
      <c r="E371" s="54"/>
      <c r="F371" s="55"/>
      <c r="G371" s="54"/>
      <c r="H371" s="54"/>
      <c r="I371" s="54"/>
      <c r="J371" s="146"/>
      <c r="K371" s="146"/>
      <c r="L371" s="146"/>
      <c r="M371" s="54"/>
      <c r="N371" s="55"/>
      <c r="Q371" s="25"/>
      <c r="R371" s="300"/>
    </row>
  </sheetData>
  <mergeCells count="36">
    <mergeCell ref="B370:D370"/>
    <mergeCell ref="A5:A6"/>
    <mergeCell ref="E5:E6"/>
    <mergeCell ref="F5:F6"/>
    <mergeCell ref="N5:N6"/>
    <mergeCell ref="B5:D6"/>
    <mergeCell ref="B301:D301"/>
    <mergeCell ref="B338:D338"/>
    <mergeCell ref="B348:D348"/>
    <mergeCell ref="B358:D358"/>
    <mergeCell ref="B368:D368"/>
    <mergeCell ref="B214:D214"/>
    <mergeCell ref="B215:D215"/>
    <mergeCell ref="B269:D269"/>
    <mergeCell ref="B281:D281"/>
    <mergeCell ref="B293:D293"/>
    <mergeCell ref="B168:D168"/>
    <mergeCell ref="B170:D170"/>
    <mergeCell ref="B184:D184"/>
    <mergeCell ref="B185:D185"/>
    <mergeCell ref="B198:D198"/>
    <mergeCell ref="B100:D100"/>
    <mergeCell ref="B119:D119"/>
    <mergeCell ref="B134:D134"/>
    <mergeCell ref="B142:D142"/>
    <mergeCell ref="B152:D152"/>
    <mergeCell ref="G5:I5"/>
    <mergeCell ref="J5:L5"/>
    <mergeCell ref="B20:D20"/>
    <mergeCell ref="B58:D58"/>
    <mergeCell ref="B72:D72"/>
    <mergeCell ref="A1:C1"/>
    <mergeCell ref="D1:I1"/>
    <mergeCell ref="L1:M1"/>
    <mergeCell ref="A2:C2"/>
    <mergeCell ref="A3:C3"/>
  </mergeCells>
  <printOptions horizontalCentered="1"/>
  <pageMargins left="0.39370078740157499" right="0.39370078740157499" top="1.1811023622047201" bottom="0" header="0.78740157480314998" footer="0"/>
  <pageSetup paperSize="9" scale="82" firstPageNumber="18" fitToHeight="1000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New,Regular"&amp;14แบบปร.4(ข) แผ่นที่ &amp;P/44</oddHeader>
  </headerFooter>
  <rowBreaks count="11" manualBreakCount="11">
    <brk id="30" max="13" man="1"/>
    <brk id="59" max="13" man="1"/>
    <brk id="120" max="13" man="1"/>
    <brk id="144" max="13" man="1"/>
    <brk id="171" max="13" man="1"/>
    <brk id="200" max="13" man="1"/>
    <brk id="261" max="13" man="1"/>
    <brk id="293" max="13" man="1"/>
    <brk id="317" max="13" man="1"/>
    <brk id="339" max="13" man="1"/>
    <brk id="359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Q143"/>
  <sheetViews>
    <sheetView view="pageBreakPreview" topLeftCell="A133" zoomScaleNormal="70" workbookViewId="0">
      <selection activeCell="D27" sqref="D27"/>
    </sheetView>
  </sheetViews>
  <sheetFormatPr defaultColWidth="10.453125" defaultRowHeight="18.95" customHeight="1"/>
  <cols>
    <col min="1" max="1" width="6.7265625" style="203" customWidth="1"/>
    <col min="2" max="2" width="12.453125" style="204" customWidth="1"/>
    <col min="3" max="3" width="24.453125" style="205" customWidth="1"/>
    <col min="4" max="4" width="31.1796875" style="203" customWidth="1"/>
    <col min="5" max="5" width="11.453125" style="157" customWidth="1"/>
    <col min="6" max="6" width="9.54296875" style="154" customWidth="1"/>
    <col min="7" max="7" width="15.7265625" style="157" hidden="1" customWidth="1"/>
    <col min="8" max="12" width="15.7265625" style="157" customWidth="1"/>
    <col min="13" max="13" width="17.1796875" style="157" customWidth="1"/>
    <col min="14" max="14" width="17.54296875" style="203" customWidth="1"/>
    <col min="15" max="15" width="12.7265625" style="203" customWidth="1"/>
    <col min="16" max="16" width="10.7265625" style="300" customWidth="1"/>
    <col min="17" max="16384" width="10.453125" style="203"/>
  </cols>
  <sheetData>
    <row r="1" spans="1:16" s="1" customFormat="1" ht="18.95" customHeight="1">
      <c r="A1" s="1229" t="s">
        <v>181</v>
      </c>
      <c r="B1" s="1229"/>
      <c r="C1" s="1229"/>
      <c r="D1" s="1367" t="str">
        <f>+'แบบ ปร.5(ข)'!C4</f>
        <v>โครงการจัดตั้งศูนย์การเรียนรู้แห่งชาติ OKMD : OKMD National Knowledge Center (Ratchadamnoen Center 1 และ 2)</v>
      </c>
      <c r="E1" s="1367"/>
      <c r="F1" s="1367"/>
      <c r="G1" s="1367"/>
      <c r="H1" s="1367"/>
      <c r="I1" s="1367"/>
      <c r="J1" s="95" t="s">
        <v>182</v>
      </c>
      <c r="K1" s="1230" t="s">
        <v>4275</v>
      </c>
      <c r="L1" s="1230"/>
      <c r="M1" s="304"/>
      <c r="P1" s="305"/>
    </row>
    <row r="2" spans="1:16" s="1" customFormat="1" ht="18.95" customHeight="1">
      <c r="A2" s="1231" t="s">
        <v>125</v>
      </c>
      <c r="B2" s="1231"/>
      <c r="C2" s="1231"/>
      <c r="D2" s="7" t="str">
        <f>+'แบบ ปร.5(ข)'!C5</f>
        <v>แขวงตลาดยอด เขตพระนคร กรุงเทพมหานคร</v>
      </c>
      <c r="E2" s="8"/>
      <c r="F2" s="8"/>
      <c r="G2" s="8"/>
      <c r="H2" s="8"/>
      <c r="I2" s="8"/>
      <c r="J2" s="96" t="s">
        <v>184</v>
      </c>
      <c r="K2" s="97" t="str">
        <f>+'แบบ ปร.5(ข)'!C10</f>
        <v xml:space="preserve">  16 กรกฎาคม 2568</v>
      </c>
      <c r="L2" s="8"/>
      <c r="M2" s="8"/>
      <c r="P2" s="305"/>
    </row>
    <row r="3" spans="1:16" s="1" customFormat="1" ht="18.95" customHeight="1">
      <c r="A3" s="1231" t="s">
        <v>185</v>
      </c>
      <c r="B3" s="1231"/>
      <c r="C3" s="1231"/>
      <c r="D3" s="9" t="str">
        <f>+'แบบ ปร.5(ข)'!C9</f>
        <v>คณะกรรมการกำหนดราคากลาง</v>
      </c>
      <c r="E3" s="8"/>
      <c r="F3" s="8"/>
      <c r="G3" s="8"/>
      <c r="H3" s="8"/>
      <c r="I3" s="96"/>
      <c r="J3" s="96"/>
      <c r="K3" s="97"/>
      <c r="L3" s="8"/>
      <c r="M3" s="8"/>
      <c r="P3" s="305"/>
    </row>
    <row r="4" spans="1:16" s="1" customFormat="1" ht="18.95" customHeight="1">
      <c r="B4" s="206"/>
      <c r="C4" s="2"/>
      <c r="E4" s="3"/>
      <c r="F4" s="169"/>
      <c r="G4" s="3"/>
      <c r="H4" s="3"/>
      <c r="I4" s="3"/>
      <c r="J4" s="3"/>
      <c r="K4" s="3"/>
      <c r="L4" s="3"/>
      <c r="M4" s="3"/>
      <c r="P4" s="305"/>
    </row>
    <row r="5" spans="1:16" ht="18.95" customHeight="1">
      <c r="A5" s="1270" t="s">
        <v>186</v>
      </c>
      <c r="B5" s="1235" t="s">
        <v>138</v>
      </c>
      <c r="C5" s="1287"/>
      <c r="D5" s="1288"/>
      <c r="E5" s="1237" t="s">
        <v>187</v>
      </c>
      <c r="F5" s="1237" t="s">
        <v>188</v>
      </c>
      <c r="G5" s="1369" t="s">
        <v>189</v>
      </c>
      <c r="H5" s="1369"/>
      <c r="I5" s="1369"/>
      <c r="J5" s="1369" t="s">
        <v>190</v>
      </c>
      <c r="K5" s="1369"/>
      <c r="L5" s="10" t="s">
        <v>191</v>
      </c>
      <c r="M5" s="1237" t="s">
        <v>140</v>
      </c>
    </row>
    <row r="6" spans="1:16" ht="18.95" customHeight="1">
      <c r="A6" s="1271"/>
      <c r="B6" s="1236"/>
      <c r="C6" s="1289"/>
      <c r="D6" s="1290"/>
      <c r="E6" s="1238"/>
      <c r="F6" s="1238"/>
      <c r="G6" s="12" t="s">
        <v>192</v>
      </c>
      <c r="H6" s="12" t="s">
        <v>192</v>
      </c>
      <c r="I6" s="12" t="s">
        <v>193</v>
      </c>
      <c r="J6" s="12" t="s">
        <v>192</v>
      </c>
      <c r="K6" s="12" t="s">
        <v>193</v>
      </c>
      <c r="L6" s="12" t="s">
        <v>194</v>
      </c>
      <c r="M6" s="1238"/>
    </row>
    <row r="7" spans="1:16" ht="18.95" customHeight="1">
      <c r="A7" s="14"/>
      <c r="B7" s="216" t="s">
        <v>4276</v>
      </c>
      <c r="C7" s="15"/>
      <c r="D7" s="17"/>
      <c r="E7" s="18"/>
      <c r="F7" s="19"/>
      <c r="G7" s="18"/>
      <c r="H7" s="18"/>
      <c r="I7" s="18"/>
      <c r="J7" s="20"/>
      <c r="K7" s="218"/>
      <c r="L7" s="19"/>
      <c r="M7" s="19"/>
    </row>
    <row r="8" spans="1:16" ht="18.95" customHeight="1">
      <c r="A8" s="207"/>
      <c r="B8" s="22" t="s">
        <v>162</v>
      </c>
      <c r="C8" s="208"/>
      <c r="D8" s="24"/>
      <c r="E8" s="25"/>
      <c r="F8" s="26"/>
      <c r="G8" s="25"/>
      <c r="H8" s="25"/>
      <c r="I8" s="25"/>
      <c r="J8" s="30"/>
      <c r="K8" s="30"/>
      <c r="L8" s="72"/>
      <c r="M8" s="26"/>
    </row>
    <row r="9" spans="1:16" ht="18.95" customHeight="1">
      <c r="A9" s="207"/>
      <c r="B9" s="22"/>
      <c r="C9" s="208"/>
      <c r="D9" s="24"/>
      <c r="E9" s="25"/>
      <c r="F9" s="26"/>
      <c r="G9" s="25"/>
      <c r="H9" s="25"/>
      <c r="I9" s="25"/>
      <c r="J9" s="30"/>
      <c r="K9" s="30"/>
      <c r="L9" s="72"/>
      <c r="M9" s="26"/>
    </row>
    <row r="10" spans="1:16" ht="18.95" customHeight="1">
      <c r="A10" s="28">
        <v>1</v>
      </c>
      <c r="B10" s="27" t="s">
        <v>4277</v>
      </c>
      <c r="C10" s="29"/>
      <c r="D10" s="301"/>
      <c r="E10" s="25">
        <f>E141</f>
        <v>362</v>
      </c>
      <c r="F10" s="26" t="s">
        <v>349</v>
      </c>
      <c r="G10" s="25"/>
      <c r="H10" s="25"/>
      <c r="I10" s="25">
        <f>I141</f>
        <v>5895882.2639548415</v>
      </c>
      <c r="J10" s="25">
        <f>J141</f>
        <v>0</v>
      </c>
      <c r="K10" s="25">
        <f>K141</f>
        <v>0</v>
      </c>
      <c r="L10" s="25">
        <f>L141</f>
        <v>5895882.2639548415</v>
      </c>
      <c r="M10" s="26"/>
      <c r="N10" s="306">
        <f>O10*0.934908047</f>
        <v>5895882.2681488218</v>
      </c>
      <c r="O10" s="307">
        <v>6306376.6399999997</v>
      </c>
      <c r="P10" s="308"/>
    </row>
    <row r="11" spans="1:16" ht="18.95" customHeight="1">
      <c r="A11" s="28"/>
      <c r="B11" s="27"/>
      <c r="C11" s="29"/>
      <c r="D11" s="301"/>
      <c r="E11" s="25"/>
      <c r="F11" s="26"/>
      <c r="G11" s="26"/>
      <c r="H11" s="26"/>
      <c r="I11" s="26"/>
      <c r="J11" s="26"/>
      <c r="K11" s="26"/>
      <c r="L11" s="26"/>
      <c r="M11" s="26"/>
      <c r="N11" s="309"/>
      <c r="O11" s="310"/>
      <c r="P11" s="308"/>
    </row>
    <row r="12" spans="1:16" s="1" customFormat="1" ht="18.600000000000001" customHeight="1">
      <c r="A12" s="58"/>
      <c r="B12" s="1272" t="s">
        <v>4278</v>
      </c>
      <c r="C12" s="1273"/>
      <c r="D12" s="1274"/>
      <c r="E12" s="34">
        <f>E10</f>
        <v>362</v>
      </c>
      <c r="F12" s="30" t="s">
        <v>349</v>
      </c>
      <c r="G12" s="34"/>
      <c r="H12" s="34"/>
      <c r="I12" s="34">
        <f>SUM(I10:I10)</f>
        <v>5895882.2639548415</v>
      </c>
      <c r="J12" s="34">
        <f>SUM(J10:J10)</f>
        <v>0</v>
      </c>
      <c r="K12" s="34">
        <f>SUM(K10:K10)</f>
        <v>0</v>
      </c>
      <c r="L12" s="34">
        <f>SUM(L10:L10)</f>
        <v>5895882.2639548415</v>
      </c>
      <c r="M12" s="35"/>
      <c r="N12" s="311"/>
      <c r="O12" s="312"/>
      <c r="P12" s="313"/>
    </row>
    <row r="13" spans="1:16" s="1" customFormat="1" ht="18.600000000000001" customHeight="1">
      <c r="A13" s="58"/>
      <c r="B13" s="31"/>
      <c r="C13" s="32"/>
      <c r="D13" s="33"/>
      <c r="E13" s="34"/>
      <c r="F13" s="30"/>
      <c r="G13" s="34"/>
      <c r="H13" s="34"/>
      <c r="I13" s="34"/>
      <c r="J13" s="34"/>
      <c r="K13" s="34"/>
      <c r="L13" s="34"/>
      <c r="M13" s="35"/>
      <c r="N13" s="311"/>
      <c r="O13" s="312"/>
      <c r="P13" s="313"/>
    </row>
    <row r="14" spans="1:16" s="1" customFormat="1" ht="18.600000000000001" customHeight="1">
      <c r="A14" s="58"/>
      <c r="B14" s="31"/>
      <c r="C14" s="32"/>
      <c r="D14" s="33"/>
      <c r="E14" s="34"/>
      <c r="F14" s="30"/>
      <c r="G14" s="34"/>
      <c r="H14" s="34"/>
      <c r="I14" s="34"/>
      <c r="J14" s="34"/>
      <c r="K14" s="34"/>
      <c r="L14" s="34"/>
      <c r="M14" s="35"/>
      <c r="N14" s="311"/>
      <c r="O14" s="312"/>
      <c r="P14" s="313"/>
    </row>
    <row r="15" spans="1:16" s="1" customFormat="1" ht="18.600000000000001" customHeight="1">
      <c r="A15" s="58"/>
      <c r="B15" s="31"/>
      <c r="C15" s="32"/>
      <c r="D15" s="33"/>
      <c r="E15" s="34"/>
      <c r="F15" s="30"/>
      <c r="G15" s="34"/>
      <c r="H15" s="34"/>
      <c r="I15" s="34"/>
      <c r="J15" s="34"/>
      <c r="K15" s="34"/>
      <c r="L15" s="34"/>
      <c r="M15" s="35"/>
      <c r="N15" s="311"/>
      <c r="O15" s="312"/>
      <c r="P15" s="313"/>
    </row>
    <row r="16" spans="1:16" s="1" customFormat="1" ht="18.95" customHeight="1">
      <c r="A16" s="58"/>
      <c r="B16" s="31"/>
      <c r="C16" s="32"/>
      <c r="D16" s="33"/>
      <c r="E16" s="34"/>
      <c r="F16" s="30"/>
      <c r="G16" s="34"/>
      <c r="H16" s="34"/>
      <c r="I16" s="34"/>
      <c r="J16" s="34"/>
      <c r="K16" s="34"/>
      <c r="L16" s="34"/>
      <c r="M16" s="35"/>
      <c r="N16" s="311"/>
      <c r="O16" s="312"/>
      <c r="P16" s="313"/>
    </row>
    <row r="17" spans="1:17" s="1" customFormat="1" ht="18.95" customHeight="1">
      <c r="A17" s="58"/>
      <c r="B17" s="31"/>
      <c r="C17" s="32"/>
      <c r="D17" s="33"/>
      <c r="E17" s="34"/>
      <c r="F17" s="30"/>
      <c r="G17" s="34"/>
      <c r="H17" s="34"/>
      <c r="I17" s="34"/>
      <c r="J17" s="34"/>
      <c r="K17" s="34"/>
      <c r="L17" s="34"/>
      <c r="M17" s="35"/>
      <c r="N17" s="311"/>
      <c r="O17" s="312"/>
      <c r="P17" s="313"/>
    </row>
    <row r="18" spans="1:17" s="1" customFormat="1" ht="18.95" customHeight="1">
      <c r="A18" s="58"/>
      <c r="B18" s="31"/>
      <c r="C18" s="32"/>
      <c r="D18" s="33"/>
      <c r="E18" s="34"/>
      <c r="F18" s="30"/>
      <c r="G18" s="34"/>
      <c r="H18" s="34"/>
      <c r="I18" s="34"/>
      <c r="J18" s="34"/>
      <c r="K18" s="34"/>
      <c r="L18" s="34"/>
      <c r="M18" s="35"/>
      <c r="N18" s="311"/>
      <c r="O18" s="312"/>
      <c r="P18" s="313"/>
    </row>
    <row r="19" spans="1:17" s="1" customFormat="1" ht="18.95" customHeight="1">
      <c r="A19" s="58"/>
      <c r="B19" s="31"/>
      <c r="C19" s="32"/>
      <c r="D19" s="33"/>
      <c r="E19" s="34"/>
      <c r="F19" s="30"/>
      <c r="G19" s="34"/>
      <c r="H19" s="34"/>
      <c r="I19" s="34"/>
      <c r="J19" s="34"/>
      <c r="K19" s="34"/>
      <c r="L19" s="34"/>
      <c r="M19" s="35"/>
      <c r="N19" s="311"/>
      <c r="O19" s="312"/>
      <c r="P19" s="313"/>
    </row>
    <row r="20" spans="1:17" s="1" customFormat="1" ht="18.95" customHeight="1">
      <c r="A20" s="58"/>
      <c r="B20" s="31"/>
      <c r="C20" s="32"/>
      <c r="D20" s="33"/>
      <c r="E20" s="34"/>
      <c r="F20" s="30"/>
      <c r="G20" s="34"/>
      <c r="H20" s="34"/>
      <c r="I20" s="34"/>
      <c r="J20" s="34"/>
      <c r="K20" s="34"/>
      <c r="L20" s="34"/>
      <c r="M20" s="35"/>
      <c r="N20" s="311"/>
      <c r="O20" s="312"/>
      <c r="P20" s="313"/>
    </row>
    <row r="21" spans="1:17" s="1" customFormat="1" ht="18.95" customHeight="1">
      <c r="A21" s="58"/>
      <c r="B21" s="31"/>
      <c r="C21" s="32"/>
      <c r="D21" s="33"/>
      <c r="E21" s="34"/>
      <c r="F21" s="30"/>
      <c r="G21" s="34"/>
      <c r="H21" s="34"/>
      <c r="I21" s="34"/>
      <c r="J21" s="34"/>
      <c r="K21" s="34"/>
      <c r="L21" s="34"/>
      <c r="M21" s="35"/>
      <c r="N21" s="311"/>
      <c r="O21" s="312"/>
      <c r="P21" s="313"/>
    </row>
    <row r="22" spans="1:17" ht="18.95" customHeight="1">
      <c r="A22" s="28"/>
      <c r="B22" s="229"/>
      <c r="C22" s="208"/>
      <c r="D22" s="24"/>
      <c r="E22" s="25"/>
      <c r="F22" s="26"/>
      <c r="G22" s="25"/>
      <c r="H22" s="25"/>
      <c r="I22" s="25"/>
      <c r="J22" s="25"/>
      <c r="K22" s="30"/>
      <c r="L22" s="72"/>
      <c r="M22" s="26"/>
    </row>
    <row r="23" spans="1:17" ht="18.95" customHeight="1">
      <c r="A23" s="21"/>
      <c r="B23" s="227"/>
      <c r="C23" s="226"/>
      <c r="D23" s="49"/>
      <c r="E23" s="25"/>
      <c r="F23" s="26"/>
      <c r="G23" s="25"/>
      <c r="H23" s="25"/>
      <c r="I23" s="25"/>
      <c r="J23" s="25"/>
      <c r="K23" s="30"/>
      <c r="L23" s="25"/>
      <c r="M23" s="26"/>
    </row>
    <row r="24" spans="1:17" ht="18.95" customHeight="1">
      <c r="A24" s="21"/>
      <c r="B24" s="227"/>
      <c r="C24" s="226"/>
      <c r="D24" s="49"/>
      <c r="E24" s="25"/>
      <c r="F24" s="26"/>
      <c r="G24" s="25"/>
      <c r="H24" s="25"/>
      <c r="I24" s="25"/>
      <c r="J24" s="25"/>
      <c r="K24" s="30"/>
      <c r="L24" s="25"/>
      <c r="M24" s="26"/>
    </row>
    <row r="25" spans="1:17" ht="18.95" customHeight="1">
      <c r="A25" s="21"/>
      <c r="B25" s="227"/>
      <c r="C25" s="226"/>
      <c r="D25" s="49"/>
      <c r="E25" s="25"/>
      <c r="F25" s="26"/>
      <c r="G25" s="25"/>
      <c r="H25" s="25"/>
      <c r="I25" s="25"/>
      <c r="J25" s="25"/>
      <c r="K25" s="30"/>
      <c r="L25" s="25"/>
      <c r="M25" s="26"/>
    </row>
    <row r="26" spans="1:17" ht="18.95" customHeight="1">
      <c r="A26" s="21"/>
      <c r="B26" s="227"/>
      <c r="C26" s="226"/>
      <c r="D26" s="49"/>
      <c r="E26" s="25"/>
      <c r="F26" s="26"/>
      <c r="G26" s="25"/>
      <c r="H26" s="25"/>
      <c r="I26" s="25"/>
      <c r="J26" s="25"/>
      <c r="K26" s="30"/>
      <c r="L26" s="25"/>
      <c r="M26" s="26"/>
    </row>
    <row r="27" spans="1:17" ht="18.95" customHeight="1">
      <c r="A27" s="21"/>
      <c r="B27" s="227"/>
      <c r="C27" s="226"/>
      <c r="D27" s="49"/>
      <c r="E27" s="25"/>
      <c r="F27" s="26"/>
      <c r="G27" s="25"/>
      <c r="H27" s="25"/>
      <c r="I27" s="25"/>
      <c r="J27" s="25"/>
      <c r="K27" s="30"/>
      <c r="L27" s="25"/>
      <c r="M27" s="26"/>
    </row>
    <row r="28" spans="1:17" ht="18.95" customHeight="1">
      <c r="A28" s="21"/>
      <c r="B28" s="227"/>
      <c r="C28" s="226"/>
      <c r="D28" s="49"/>
      <c r="E28" s="25"/>
      <c r="F28" s="26"/>
      <c r="G28" s="25"/>
      <c r="H28" s="25"/>
      <c r="I28" s="25"/>
      <c r="J28" s="25"/>
      <c r="K28" s="30"/>
      <c r="L28" s="25"/>
      <c r="M28" s="26"/>
    </row>
    <row r="29" spans="1:17" ht="18.95" customHeight="1">
      <c r="A29" s="21"/>
      <c r="B29" s="1275"/>
      <c r="C29" s="1276"/>
      <c r="D29" s="1277"/>
      <c r="E29" s="25"/>
      <c r="F29" s="26"/>
      <c r="G29" s="25"/>
      <c r="H29" s="25"/>
      <c r="I29" s="25"/>
      <c r="J29" s="25"/>
      <c r="K29" s="30"/>
      <c r="L29" s="25"/>
      <c r="M29" s="26"/>
    </row>
    <row r="30" spans="1:17" ht="18.95" customHeight="1">
      <c r="A30" s="21"/>
      <c r="B30" s="287"/>
      <c r="C30" s="48"/>
      <c r="D30" s="49"/>
      <c r="E30" s="25"/>
      <c r="F30" s="26"/>
      <c r="G30" s="25"/>
      <c r="H30" s="25"/>
      <c r="I30" s="25"/>
      <c r="J30" s="25"/>
      <c r="K30" s="30"/>
      <c r="L30" s="25"/>
      <c r="M30" s="26"/>
    </row>
    <row r="31" spans="1:17" s="1" customFormat="1" ht="19.350000000000001" customHeight="1">
      <c r="A31" s="220">
        <v>1</v>
      </c>
      <c r="B31" s="302" t="s">
        <v>4277</v>
      </c>
      <c r="C31" s="221"/>
      <c r="D31" s="303"/>
      <c r="E31" s="34"/>
      <c r="F31" s="35"/>
      <c r="G31" s="34"/>
      <c r="H31" s="34"/>
      <c r="I31" s="34"/>
      <c r="J31" s="102"/>
      <c r="K31" s="34"/>
      <c r="L31" s="35"/>
      <c r="M31" s="72"/>
      <c r="P31" s="305"/>
    </row>
    <row r="32" spans="1:17" ht="18.95" customHeight="1">
      <c r="A32" s="28"/>
      <c r="B32" s="27" t="s">
        <v>4279</v>
      </c>
      <c r="C32" s="29" t="s">
        <v>4280</v>
      </c>
      <c r="D32" s="301"/>
      <c r="E32" s="25">
        <v>1</v>
      </c>
      <c r="F32" s="30" t="s">
        <v>349</v>
      </c>
      <c r="G32" s="25">
        <f t="shared" ref="G32:G38" si="0">3438/1.07</f>
        <v>3213.0841121495323</v>
      </c>
      <c r="H32" s="25">
        <f>G32*N32</f>
        <v>3003.9381921364479</v>
      </c>
      <c r="I32" s="25">
        <f>E32*H32</f>
        <v>3003.9381921364479</v>
      </c>
      <c r="J32" s="25">
        <v>0</v>
      </c>
      <c r="K32" s="25">
        <v>0</v>
      </c>
      <c r="L32" s="25">
        <f t="shared" ref="L32:L96" si="1">I32+K32</f>
        <v>3003.9381921364479</v>
      </c>
      <c r="M32" s="26"/>
      <c r="N32" s="314">
        <v>0.93490804699999996</v>
      </c>
      <c r="O32" s="310"/>
      <c r="P32" s="308"/>
      <c r="Q32" s="300"/>
    </row>
    <row r="33" spans="1:17" ht="18.95" customHeight="1">
      <c r="A33" s="28"/>
      <c r="B33" s="27" t="s">
        <v>4281</v>
      </c>
      <c r="C33" s="29" t="s">
        <v>4280</v>
      </c>
      <c r="D33" s="301"/>
      <c r="E33" s="25">
        <v>2</v>
      </c>
      <c r="F33" s="30" t="s">
        <v>349</v>
      </c>
      <c r="G33" s="25">
        <f t="shared" si="0"/>
        <v>3213.0841121495323</v>
      </c>
      <c r="H33" s="25">
        <f t="shared" ref="H33:H96" si="2">G33*N33</f>
        <v>3003.9381921364479</v>
      </c>
      <c r="I33" s="25">
        <f t="shared" ref="I33:I96" si="3">E33*H33</f>
        <v>6007.8763842728958</v>
      </c>
      <c r="J33" s="25">
        <v>0</v>
      </c>
      <c r="K33" s="25">
        <v>0</v>
      </c>
      <c r="L33" s="25">
        <f t="shared" si="1"/>
        <v>6007.8763842728958</v>
      </c>
      <c r="M33" s="26"/>
      <c r="N33" s="314">
        <v>0.93490804699999996</v>
      </c>
      <c r="O33" s="310"/>
      <c r="P33" s="308"/>
      <c r="Q33" s="300"/>
    </row>
    <row r="34" spans="1:17" ht="18.95" customHeight="1">
      <c r="A34" s="28"/>
      <c r="B34" s="27" t="s">
        <v>4282</v>
      </c>
      <c r="C34" s="29" t="s">
        <v>4280</v>
      </c>
      <c r="D34" s="301"/>
      <c r="E34" s="25">
        <v>1</v>
      </c>
      <c r="F34" s="30" t="s">
        <v>349</v>
      </c>
      <c r="G34" s="25">
        <f t="shared" si="0"/>
        <v>3213.0841121495323</v>
      </c>
      <c r="H34" s="25">
        <f t="shared" si="2"/>
        <v>3003.9381921364479</v>
      </c>
      <c r="I34" s="25">
        <f t="shared" si="3"/>
        <v>3003.9381921364479</v>
      </c>
      <c r="J34" s="25">
        <v>0</v>
      </c>
      <c r="K34" s="25">
        <v>0</v>
      </c>
      <c r="L34" s="25">
        <f t="shared" si="1"/>
        <v>3003.9381921364479</v>
      </c>
      <c r="M34" s="26"/>
      <c r="N34" s="314">
        <v>0.93490804699999996</v>
      </c>
      <c r="O34" s="310"/>
      <c r="P34" s="308"/>
      <c r="Q34" s="300"/>
    </row>
    <row r="35" spans="1:17" ht="18.95" customHeight="1">
      <c r="A35" s="28"/>
      <c r="B35" s="27" t="s">
        <v>4283</v>
      </c>
      <c r="C35" s="29" t="s">
        <v>4280</v>
      </c>
      <c r="D35" s="301"/>
      <c r="E35" s="25">
        <v>1</v>
      </c>
      <c r="F35" s="30" t="s">
        <v>349</v>
      </c>
      <c r="G35" s="25">
        <f t="shared" si="0"/>
        <v>3213.0841121495323</v>
      </c>
      <c r="H35" s="25">
        <f t="shared" si="2"/>
        <v>3003.9381921364479</v>
      </c>
      <c r="I35" s="25">
        <f t="shared" si="3"/>
        <v>3003.9381921364479</v>
      </c>
      <c r="J35" s="25">
        <v>0</v>
      </c>
      <c r="K35" s="25">
        <v>0</v>
      </c>
      <c r="L35" s="25">
        <f t="shared" si="1"/>
        <v>3003.9381921364479</v>
      </c>
      <c r="M35" s="26"/>
      <c r="N35" s="314">
        <v>0.93490804699999996</v>
      </c>
      <c r="O35" s="310"/>
      <c r="P35" s="308"/>
      <c r="Q35" s="300"/>
    </row>
    <row r="36" spans="1:17" ht="18.95" customHeight="1">
      <c r="A36" s="28"/>
      <c r="B36" s="27" t="s">
        <v>4284</v>
      </c>
      <c r="C36" s="29" t="s">
        <v>4280</v>
      </c>
      <c r="D36" s="301"/>
      <c r="E36" s="25">
        <v>1</v>
      </c>
      <c r="F36" s="30" t="s">
        <v>349</v>
      </c>
      <c r="G36" s="25">
        <f t="shared" si="0"/>
        <v>3213.0841121495323</v>
      </c>
      <c r="H36" s="25">
        <f t="shared" si="2"/>
        <v>3003.9381921364479</v>
      </c>
      <c r="I36" s="25">
        <f t="shared" si="3"/>
        <v>3003.9381921364479</v>
      </c>
      <c r="J36" s="25">
        <v>0</v>
      </c>
      <c r="K36" s="25">
        <v>0</v>
      </c>
      <c r="L36" s="25">
        <f t="shared" si="1"/>
        <v>3003.9381921364479</v>
      </c>
      <c r="M36" s="26"/>
      <c r="N36" s="314">
        <v>0.93490804699999996</v>
      </c>
      <c r="O36" s="310"/>
      <c r="P36" s="308"/>
      <c r="Q36" s="300"/>
    </row>
    <row r="37" spans="1:17" ht="18.95" customHeight="1">
      <c r="A37" s="28"/>
      <c r="B37" s="27" t="s">
        <v>4285</v>
      </c>
      <c r="C37" s="29" t="s">
        <v>4280</v>
      </c>
      <c r="D37" s="301"/>
      <c r="E37" s="25">
        <v>1</v>
      </c>
      <c r="F37" s="30" t="s">
        <v>349</v>
      </c>
      <c r="G37" s="25">
        <f t="shared" si="0"/>
        <v>3213.0841121495323</v>
      </c>
      <c r="H37" s="25">
        <f t="shared" si="2"/>
        <v>3003.9381921364479</v>
      </c>
      <c r="I37" s="25">
        <f t="shared" si="3"/>
        <v>3003.9381921364479</v>
      </c>
      <c r="J37" s="25">
        <v>0</v>
      </c>
      <c r="K37" s="25">
        <v>0</v>
      </c>
      <c r="L37" s="25">
        <f t="shared" si="1"/>
        <v>3003.9381921364479</v>
      </c>
      <c r="M37" s="26"/>
      <c r="N37" s="314">
        <v>0.93490804699999996</v>
      </c>
      <c r="O37" s="310"/>
      <c r="P37" s="308"/>
      <c r="Q37" s="300"/>
    </row>
    <row r="38" spans="1:17" ht="18.95" customHeight="1">
      <c r="A38" s="28"/>
      <c r="B38" s="27" t="s">
        <v>4286</v>
      </c>
      <c r="C38" s="29" t="s">
        <v>4280</v>
      </c>
      <c r="D38" s="301"/>
      <c r="E38" s="25">
        <v>1</v>
      </c>
      <c r="F38" s="30" t="s">
        <v>349</v>
      </c>
      <c r="G38" s="25">
        <f t="shared" si="0"/>
        <v>3213.0841121495323</v>
      </c>
      <c r="H38" s="25">
        <f t="shared" si="2"/>
        <v>3003.9381921364479</v>
      </c>
      <c r="I38" s="25">
        <f t="shared" si="3"/>
        <v>3003.9381921364479</v>
      </c>
      <c r="J38" s="25">
        <v>0</v>
      </c>
      <c r="K38" s="25">
        <v>0</v>
      </c>
      <c r="L38" s="25">
        <f t="shared" si="1"/>
        <v>3003.9381921364479</v>
      </c>
      <c r="M38" s="26"/>
      <c r="N38" s="314">
        <v>0.93490804699999996</v>
      </c>
      <c r="O38" s="310"/>
      <c r="P38" s="308"/>
      <c r="Q38" s="300"/>
    </row>
    <row r="39" spans="1:17" ht="18.95" customHeight="1">
      <c r="A39" s="28"/>
      <c r="B39" s="27" t="s">
        <v>4287</v>
      </c>
      <c r="C39" s="29" t="s">
        <v>4280</v>
      </c>
      <c r="D39" s="301"/>
      <c r="E39" s="25">
        <v>2</v>
      </c>
      <c r="F39" s="30" t="s">
        <v>349</v>
      </c>
      <c r="G39" s="25">
        <f>7508/1.07</f>
        <v>7016.8224299065414</v>
      </c>
      <c r="H39" s="25">
        <f t="shared" si="2"/>
        <v>6560.0837540897192</v>
      </c>
      <c r="I39" s="25">
        <f t="shared" si="3"/>
        <v>13120.167508179438</v>
      </c>
      <c r="J39" s="25">
        <v>0</v>
      </c>
      <c r="K39" s="25">
        <v>0</v>
      </c>
      <c r="L39" s="25">
        <f t="shared" si="1"/>
        <v>13120.167508179438</v>
      </c>
      <c r="M39" s="26"/>
      <c r="N39" s="314">
        <v>0.93490804699999996</v>
      </c>
      <c r="O39" s="310"/>
      <c r="P39" s="308"/>
      <c r="Q39" s="300"/>
    </row>
    <row r="40" spans="1:17" ht="18.95" customHeight="1">
      <c r="A40" s="28"/>
      <c r="B40" s="27" t="s">
        <v>4288</v>
      </c>
      <c r="C40" s="29" t="s">
        <v>4280</v>
      </c>
      <c r="D40" s="301"/>
      <c r="E40" s="25">
        <v>1</v>
      </c>
      <c r="F40" s="30" t="s">
        <v>349</v>
      </c>
      <c r="G40" s="25">
        <f>6435/1.07</f>
        <v>6014.0186915887843</v>
      </c>
      <c r="H40" s="25">
        <f t="shared" si="2"/>
        <v>5622.5544695747658</v>
      </c>
      <c r="I40" s="25">
        <f t="shared" si="3"/>
        <v>5622.5544695747658</v>
      </c>
      <c r="J40" s="25">
        <v>0</v>
      </c>
      <c r="K40" s="25">
        <v>0</v>
      </c>
      <c r="L40" s="25">
        <f t="shared" si="1"/>
        <v>5622.5544695747658</v>
      </c>
      <c r="M40" s="26"/>
      <c r="N40" s="314">
        <v>0.93490804699999996</v>
      </c>
      <c r="O40" s="310"/>
      <c r="P40" s="308"/>
      <c r="Q40" s="300"/>
    </row>
    <row r="41" spans="1:17" ht="18.95" customHeight="1">
      <c r="A41" s="28"/>
      <c r="B41" s="27" t="s">
        <v>4287</v>
      </c>
      <c r="C41" s="29" t="s">
        <v>4280</v>
      </c>
      <c r="D41" s="301"/>
      <c r="E41" s="25">
        <v>1</v>
      </c>
      <c r="F41" s="30" t="s">
        <v>349</v>
      </c>
      <c r="G41" s="25">
        <f>3575/1.07</f>
        <v>3341.1214953271028</v>
      </c>
      <c r="H41" s="25">
        <f t="shared" si="2"/>
        <v>3123.6413719859811</v>
      </c>
      <c r="I41" s="25">
        <f t="shared" si="3"/>
        <v>3123.6413719859811</v>
      </c>
      <c r="J41" s="25">
        <v>0</v>
      </c>
      <c r="K41" s="25">
        <v>0</v>
      </c>
      <c r="L41" s="25">
        <f t="shared" si="1"/>
        <v>3123.6413719859811</v>
      </c>
      <c r="M41" s="26"/>
      <c r="N41" s="314">
        <v>0.93490804699999996</v>
      </c>
      <c r="O41" s="310"/>
      <c r="P41" s="308"/>
      <c r="Q41" s="300"/>
    </row>
    <row r="42" spans="1:17" ht="18.95" customHeight="1">
      <c r="A42" s="28"/>
      <c r="B42" s="27" t="s">
        <v>4289</v>
      </c>
      <c r="C42" s="29" t="s">
        <v>4280</v>
      </c>
      <c r="D42" s="301"/>
      <c r="E42" s="25">
        <v>1</v>
      </c>
      <c r="F42" s="30" t="s">
        <v>349</v>
      </c>
      <c r="G42" s="25">
        <f>6006/1.07</f>
        <v>5613.0841121495323</v>
      </c>
      <c r="H42" s="25">
        <f t="shared" si="2"/>
        <v>5247.7175049364478</v>
      </c>
      <c r="I42" s="25">
        <f t="shared" si="3"/>
        <v>5247.7175049364478</v>
      </c>
      <c r="J42" s="25">
        <v>0</v>
      </c>
      <c r="K42" s="25">
        <v>0</v>
      </c>
      <c r="L42" s="25">
        <f t="shared" si="1"/>
        <v>5247.7175049364478</v>
      </c>
      <c r="M42" s="26"/>
      <c r="N42" s="314">
        <v>0.93490804699999996</v>
      </c>
      <c r="O42" s="310"/>
      <c r="P42" s="308"/>
      <c r="Q42" s="300"/>
    </row>
    <row r="43" spans="1:17" ht="18.95" customHeight="1">
      <c r="A43" s="28"/>
      <c r="B43" s="27" t="s">
        <v>4290</v>
      </c>
      <c r="C43" s="29" t="s">
        <v>4280</v>
      </c>
      <c r="D43" s="301"/>
      <c r="E43" s="25">
        <v>1</v>
      </c>
      <c r="F43" s="30" t="s">
        <v>349</v>
      </c>
      <c r="G43" s="25">
        <f>3438/1.07</f>
        <v>3213.0841121495323</v>
      </c>
      <c r="H43" s="25">
        <f t="shared" si="2"/>
        <v>3003.9381921364479</v>
      </c>
      <c r="I43" s="25">
        <f t="shared" si="3"/>
        <v>3003.9381921364479</v>
      </c>
      <c r="J43" s="25">
        <v>0</v>
      </c>
      <c r="K43" s="25">
        <v>0</v>
      </c>
      <c r="L43" s="25">
        <f t="shared" si="1"/>
        <v>3003.9381921364479</v>
      </c>
      <c r="M43" s="26"/>
      <c r="N43" s="314">
        <v>0.93490804699999996</v>
      </c>
      <c r="O43" s="310"/>
      <c r="P43" s="308"/>
      <c r="Q43" s="300"/>
    </row>
    <row r="44" spans="1:17" ht="18.95" customHeight="1">
      <c r="A44" s="28"/>
      <c r="B44" s="27" t="s">
        <v>4291</v>
      </c>
      <c r="C44" s="29" t="s">
        <v>4280</v>
      </c>
      <c r="D44" s="301"/>
      <c r="E44" s="25">
        <v>2</v>
      </c>
      <c r="F44" s="30" t="s">
        <v>349</v>
      </c>
      <c r="G44" s="25">
        <f>4648/1.07</f>
        <v>4343.9252336448599</v>
      </c>
      <c r="H44" s="25">
        <f t="shared" si="2"/>
        <v>4061.1706565009345</v>
      </c>
      <c r="I44" s="25">
        <f t="shared" si="3"/>
        <v>8122.3413130018689</v>
      </c>
      <c r="J44" s="25">
        <v>0</v>
      </c>
      <c r="K44" s="25">
        <v>0</v>
      </c>
      <c r="L44" s="25">
        <f t="shared" si="1"/>
        <v>8122.3413130018689</v>
      </c>
      <c r="M44" s="26"/>
      <c r="N44" s="314">
        <v>0.93490804699999996</v>
      </c>
      <c r="O44" s="310"/>
      <c r="P44" s="308"/>
      <c r="Q44" s="300"/>
    </row>
    <row r="45" spans="1:17" ht="18.95" customHeight="1">
      <c r="A45" s="28"/>
      <c r="B45" s="27" t="s">
        <v>4292</v>
      </c>
      <c r="C45" s="29" t="s">
        <v>4280</v>
      </c>
      <c r="D45" s="301"/>
      <c r="E45" s="25">
        <v>1</v>
      </c>
      <c r="F45" s="30" t="s">
        <v>349</v>
      </c>
      <c r="G45" s="25">
        <f>4111/1.07</f>
        <v>3842.0560747663549</v>
      </c>
      <c r="H45" s="25">
        <f t="shared" si="2"/>
        <v>3591.9691413242986</v>
      </c>
      <c r="I45" s="25">
        <f t="shared" si="3"/>
        <v>3591.9691413242986</v>
      </c>
      <c r="J45" s="25">
        <v>0</v>
      </c>
      <c r="K45" s="25">
        <v>0</v>
      </c>
      <c r="L45" s="25">
        <f t="shared" si="1"/>
        <v>3591.9691413242986</v>
      </c>
      <c r="M45" s="26"/>
      <c r="N45" s="314">
        <v>0.93490804699999996</v>
      </c>
      <c r="O45" s="310"/>
      <c r="P45" s="308"/>
      <c r="Q45" s="300"/>
    </row>
    <row r="46" spans="1:17" ht="18.95" customHeight="1">
      <c r="A46" s="28"/>
      <c r="B46" s="27" t="s">
        <v>4293</v>
      </c>
      <c r="C46" s="29" t="s">
        <v>4280</v>
      </c>
      <c r="D46" s="301"/>
      <c r="E46" s="25">
        <v>1</v>
      </c>
      <c r="F46" s="30" t="s">
        <v>349</v>
      </c>
      <c r="G46" s="25">
        <f>3438/1.07</f>
        <v>3213.0841121495323</v>
      </c>
      <c r="H46" s="25">
        <f t="shared" si="2"/>
        <v>3003.9381921364479</v>
      </c>
      <c r="I46" s="25">
        <f t="shared" si="3"/>
        <v>3003.9381921364479</v>
      </c>
      <c r="J46" s="25">
        <v>0</v>
      </c>
      <c r="K46" s="25">
        <v>0</v>
      </c>
      <c r="L46" s="25">
        <f t="shared" si="1"/>
        <v>3003.9381921364479</v>
      </c>
      <c r="M46" s="26"/>
      <c r="N46" s="314">
        <v>0.93490804699999996</v>
      </c>
      <c r="O46" s="310"/>
      <c r="P46" s="308"/>
      <c r="Q46" s="300"/>
    </row>
    <row r="47" spans="1:17" ht="18.95" customHeight="1">
      <c r="A47" s="28"/>
      <c r="B47" s="27" t="s">
        <v>4294</v>
      </c>
      <c r="C47" s="29" t="s">
        <v>4295</v>
      </c>
      <c r="D47" s="301"/>
      <c r="E47" s="25">
        <v>3</v>
      </c>
      <c r="F47" s="30" t="s">
        <v>349</v>
      </c>
      <c r="G47" s="25">
        <f>67536/1.07</f>
        <v>63117.757009345791</v>
      </c>
      <c r="H47" s="25">
        <f t="shared" si="2"/>
        <v>59009.298936628031</v>
      </c>
      <c r="I47" s="25">
        <f t="shared" si="3"/>
        <v>177027.89680988409</v>
      </c>
      <c r="J47" s="25">
        <v>0</v>
      </c>
      <c r="K47" s="25">
        <v>0</v>
      </c>
      <c r="L47" s="25">
        <f t="shared" si="1"/>
        <v>177027.89680988409</v>
      </c>
      <c r="M47" s="26"/>
      <c r="N47" s="314">
        <v>0.93490804699999996</v>
      </c>
      <c r="O47" s="310"/>
      <c r="P47" s="308"/>
      <c r="Q47" s="300"/>
    </row>
    <row r="48" spans="1:17" ht="18.95" customHeight="1">
      <c r="A48" s="28"/>
      <c r="B48" s="27" t="s">
        <v>4296</v>
      </c>
      <c r="C48" s="29" t="s">
        <v>4295</v>
      </c>
      <c r="D48" s="301"/>
      <c r="E48" s="25">
        <v>1</v>
      </c>
      <c r="F48" s="30" t="s">
        <v>349</v>
      </c>
      <c r="G48" s="25">
        <f>10074/1.07</f>
        <v>9414.9532710280364</v>
      </c>
      <c r="H48" s="25">
        <f t="shared" si="2"/>
        <v>8802.1155752130835</v>
      </c>
      <c r="I48" s="25">
        <f t="shared" si="3"/>
        <v>8802.1155752130835</v>
      </c>
      <c r="J48" s="25">
        <v>0</v>
      </c>
      <c r="K48" s="25">
        <v>0</v>
      </c>
      <c r="L48" s="25">
        <f t="shared" si="1"/>
        <v>8802.1155752130835</v>
      </c>
      <c r="M48" s="26"/>
      <c r="N48" s="314">
        <v>0.93490804699999996</v>
      </c>
      <c r="O48" s="310"/>
      <c r="P48" s="308"/>
      <c r="Q48" s="300"/>
    </row>
    <row r="49" spans="1:17" ht="18.95" customHeight="1">
      <c r="A49" s="28"/>
      <c r="B49" s="27" t="s">
        <v>4297</v>
      </c>
      <c r="C49" s="29" t="s">
        <v>4295</v>
      </c>
      <c r="D49" s="301"/>
      <c r="E49" s="25">
        <v>11</v>
      </c>
      <c r="F49" s="30" t="s">
        <v>349</v>
      </c>
      <c r="G49" s="25">
        <f>92536/1.07</f>
        <v>86482.242990654195</v>
      </c>
      <c r="H49" s="25">
        <f t="shared" si="2"/>
        <v>80852.944894571949</v>
      </c>
      <c r="I49" s="25">
        <f t="shared" si="3"/>
        <v>889382.39384029142</v>
      </c>
      <c r="J49" s="25">
        <v>0</v>
      </c>
      <c r="K49" s="25">
        <v>0</v>
      </c>
      <c r="L49" s="25">
        <f t="shared" si="1"/>
        <v>889382.39384029142</v>
      </c>
      <c r="M49" s="26"/>
      <c r="N49" s="314">
        <v>0.93490804699999996</v>
      </c>
      <c r="O49" s="310"/>
      <c r="P49" s="308"/>
      <c r="Q49" s="300"/>
    </row>
    <row r="50" spans="1:17" ht="18.95" customHeight="1">
      <c r="A50" s="28"/>
      <c r="B50" s="27" t="s">
        <v>4298</v>
      </c>
      <c r="C50" s="29" t="s">
        <v>4295</v>
      </c>
      <c r="D50" s="301"/>
      <c r="E50" s="25">
        <v>1</v>
      </c>
      <c r="F50" s="30" t="s">
        <v>349</v>
      </c>
      <c r="G50" s="25">
        <f>65858/1.07</f>
        <v>61549.532710280371</v>
      </c>
      <c r="H50" s="25">
        <f t="shared" si="2"/>
        <v>57543.153419930837</v>
      </c>
      <c r="I50" s="25">
        <f t="shared" si="3"/>
        <v>57543.153419930837</v>
      </c>
      <c r="J50" s="25">
        <v>0</v>
      </c>
      <c r="K50" s="25">
        <v>0</v>
      </c>
      <c r="L50" s="25">
        <f t="shared" si="1"/>
        <v>57543.153419930837</v>
      </c>
      <c r="M50" s="26"/>
      <c r="N50" s="314">
        <v>0.93490804699999996</v>
      </c>
      <c r="O50" s="310"/>
      <c r="P50" s="308"/>
      <c r="Q50" s="300"/>
    </row>
    <row r="51" spans="1:17" ht="18.95" customHeight="1">
      <c r="A51" s="28"/>
      <c r="B51" s="27" t="s">
        <v>4299</v>
      </c>
      <c r="C51" s="29" t="s">
        <v>4295</v>
      </c>
      <c r="D51" s="301"/>
      <c r="E51" s="25">
        <v>23</v>
      </c>
      <c r="F51" s="30" t="s">
        <v>349</v>
      </c>
      <c r="G51" s="25">
        <f>19355/1.07</f>
        <v>18088.785046728972</v>
      </c>
      <c r="H51" s="25">
        <f t="shared" si="2"/>
        <v>16911.350700640185</v>
      </c>
      <c r="I51" s="25">
        <f t="shared" si="3"/>
        <v>388961.06611472426</v>
      </c>
      <c r="J51" s="25">
        <v>0</v>
      </c>
      <c r="K51" s="25">
        <v>0</v>
      </c>
      <c r="L51" s="25">
        <f t="shared" si="1"/>
        <v>388961.06611472426</v>
      </c>
      <c r="M51" s="26"/>
      <c r="N51" s="314">
        <v>0.93490804699999996</v>
      </c>
      <c r="O51" s="310"/>
      <c r="P51" s="308"/>
      <c r="Q51" s="300"/>
    </row>
    <row r="52" spans="1:17" ht="18.95" customHeight="1">
      <c r="A52" s="28"/>
      <c r="B52" s="27" t="s">
        <v>4300</v>
      </c>
      <c r="C52" s="29" t="s">
        <v>4301</v>
      </c>
      <c r="D52" s="301"/>
      <c r="E52" s="25">
        <v>4</v>
      </c>
      <c r="F52" s="30" t="s">
        <v>349</v>
      </c>
      <c r="G52" s="25">
        <f>10457/1.07</f>
        <v>9772.8971962616815</v>
      </c>
      <c r="H52" s="25">
        <f t="shared" si="2"/>
        <v>9136.7602312887848</v>
      </c>
      <c r="I52" s="25">
        <f t="shared" si="3"/>
        <v>36547.040925155139</v>
      </c>
      <c r="J52" s="25">
        <v>0</v>
      </c>
      <c r="K52" s="25">
        <v>0</v>
      </c>
      <c r="L52" s="25">
        <f t="shared" si="1"/>
        <v>36547.040925155139</v>
      </c>
      <c r="M52" s="26"/>
      <c r="N52" s="314">
        <v>0.93490804699999996</v>
      </c>
      <c r="O52" s="310"/>
      <c r="P52" s="308"/>
      <c r="Q52" s="300"/>
    </row>
    <row r="53" spans="1:17" ht="18.95" customHeight="1">
      <c r="A53" s="28"/>
      <c r="B53" s="27" t="s">
        <v>4302</v>
      </c>
      <c r="C53" s="29" t="s">
        <v>4301</v>
      </c>
      <c r="D53" s="301"/>
      <c r="E53" s="25">
        <v>8</v>
      </c>
      <c r="F53" s="30" t="s">
        <v>349</v>
      </c>
      <c r="G53" s="25">
        <f>8580/1.07</f>
        <v>8018.6915887850464</v>
      </c>
      <c r="H53" s="25">
        <f t="shared" si="2"/>
        <v>7496.739292766355</v>
      </c>
      <c r="I53" s="25">
        <f t="shared" si="3"/>
        <v>59973.91434213084</v>
      </c>
      <c r="J53" s="25">
        <v>0</v>
      </c>
      <c r="K53" s="25">
        <v>0</v>
      </c>
      <c r="L53" s="25">
        <f t="shared" si="1"/>
        <v>59973.91434213084</v>
      </c>
      <c r="M53" s="26"/>
      <c r="N53" s="314">
        <v>0.93490804699999996</v>
      </c>
      <c r="O53" s="310"/>
      <c r="P53" s="308"/>
      <c r="Q53" s="300"/>
    </row>
    <row r="54" spans="1:17" ht="18.95" customHeight="1">
      <c r="A54" s="28"/>
      <c r="B54" s="27" t="s">
        <v>4303</v>
      </c>
      <c r="C54" s="29" t="s">
        <v>4301</v>
      </c>
      <c r="D54" s="301"/>
      <c r="E54" s="25">
        <v>1</v>
      </c>
      <c r="F54" s="30" t="s">
        <v>349</v>
      </c>
      <c r="G54" s="25">
        <f>3438/1.07</f>
        <v>3213.0841121495323</v>
      </c>
      <c r="H54" s="25">
        <f t="shared" si="2"/>
        <v>3003.9381921364479</v>
      </c>
      <c r="I54" s="25">
        <f t="shared" si="3"/>
        <v>3003.9381921364479</v>
      </c>
      <c r="J54" s="25">
        <v>0</v>
      </c>
      <c r="K54" s="25">
        <v>0</v>
      </c>
      <c r="L54" s="25">
        <f t="shared" si="1"/>
        <v>3003.9381921364479</v>
      </c>
      <c r="M54" s="26"/>
      <c r="N54" s="314">
        <v>0.93490804699999996</v>
      </c>
      <c r="O54" s="310"/>
      <c r="P54" s="308"/>
      <c r="Q54" s="300"/>
    </row>
    <row r="55" spans="1:17" ht="18.95" customHeight="1">
      <c r="A55" s="28"/>
      <c r="B55" s="27" t="s">
        <v>4304</v>
      </c>
      <c r="C55" s="29" t="s">
        <v>4301</v>
      </c>
      <c r="D55" s="301"/>
      <c r="E55" s="25">
        <v>1</v>
      </c>
      <c r="F55" s="30" t="s">
        <v>349</v>
      </c>
      <c r="G55" s="25">
        <f>3438/1.07</f>
        <v>3213.0841121495323</v>
      </c>
      <c r="H55" s="25">
        <f t="shared" si="2"/>
        <v>3003.9381921364479</v>
      </c>
      <c r="I55" s="25">
        <f t="shared" si="3"/>
        <v>3003.9381921364479</v>
      </c>
      <c r="J55" s="25">
        <v>0</v>
      </c>
      <c r="K55" s="25">
        <v>0</v>
      </c>
      <c r="L55" s="25">
        <f t="shared" si="1"/>
        <v>3003.9381921364479</v>
      </c>
      <c r="M55" s="26"/>
      <c r="N55" s="314">
        <v>0.93490804699999996</v>
      </c>
      <c r="O55" s="310"/>
      <c r="P55" s="308"/>
      <c r="Q55" s="300"/>
    </row>
    <row r="56" spans="1:17" ht="18.95" customHeight="1">
      <c r="A56" s="28"/>
      <c r="B56" s="27" t="s">
        <v>4305</v>
      </c>
      <c r="C56" s="29" t="s">
        <v>4301</v>
      </c>
      <c r="D56" s="301"/>
      <c r="E56" s="25">
        <v>1</v>
      </c>
      <c r="F56" s="30" t="s">
        <v>349</v>
      </c>
      <c r="G56" s="25">
        <f>4290/1.07</f>
        <v>4009.3457943925232</v>
      </c>
      <c r="H56" s="25">
        <f t="shared" si="2"/>
        <v>3748.3696463831775</v>
      </c>
      <c r="I56" s="25">
        <f t="shared" si="3"/>
        <v>3748.3696463831775</v>
      </c>
      <c r="J56" s="25">
        <v>0</v>
      </c>
      <c r="K56" s="25">
        <v>0</v>
      </c>
      <c r="L56" s="25">
        <f t="shared" si="1"/>
        <v>3748.3696463831775</v>
      </c>
      <c r="M56" s="26"/>
      <c r="N56" s="314">
        <v>0.93490804699999996</v>
      </c>
      <c r="O56" s="310"/>
      <c r="P56" s="308"/>
      <c r="Q56" s="300"/>
    </row>
    <row r="57" spans="1:17" ht="18.95" customHeight="1">
      <c r="A57" s="28"/>
      <c r="B57" s="27" t="s">
        <v>4306</v>
      </c>
      <c r="C57" s="29" t="s">
        <v>4301</v>
      </c>
      <c r="D57" s="301"/>
      <c r="E57" s="25">
        <v>1</v>
      </c>
      <c r="F57" s="30" t="s">
        <v>349</v>
      </c>
      <c r="G57" s="25">
        <f>6435/1.07</f>
        <v>6014.0186915887843</v>
      </c>
      <c r="H57" s="25">
        <f t="shared" si="2"/>
        <v>5622.5544695747658</v>
      </c>
      <c r="I57" s="25">
        <f t="shared" si="3"/>
        <v>5622.5544695747658</v>
      </c>
      <c r="J57" s="25">
        <v>0</v>
      </c>
      <c r="K57" s="25">
        <v>0</v>
      </c>
      <c r="L57" s="25">
        <f t="shared" si="1"/>
        <v>5622.5544695747658</v>
      </c>
      <c r="M57" s="26"/>
      <c r="N57" s="314">
        <v>0.93490804699999996</v>
      </c>
      <c r="O57" s="310"/>
      <c r="P57" s="308"/>
      <c r="Q57" s="300"/>
    </row>
    <row r="58" spans="1:17" ht="18.95" customHeight="1">
      <c r="A58" s="28"/>
      <c r="B58" s="27" t="s">
        <v>4307</v>
      </c>
      <c r="C58" s="29" t="s">
        <v>4301</v>
      </c>
      <c r="D58" s="301"/>
      <c r="E58" s="25">
        <v>1</v>
      </c>
      <c r="F58" s="30" t="s">
        <v>349</v>
      </c>
      <c r="G58" s="25">
        <f>4826/1.07</f>
        <v>4510.2803738317753</v>
      </c>
      <c r="H58" s="25">
        <f t="shared" si="2"/>
        <v>4216.6974157214945</v>
      </c>
      <c r="I58" s="25">
        <f t="shared" si="3"/>
        <v>4216.6974157214945</v>
      </c>
      <c r="J58" s="25">
        <v>0</v>
      </c>
      <c r="K58" s="25">
        <v>0</v>
      </c>
      <c r="L58" s="25">
        <f t="shared" si="1"/>
        <v>4216.6974157214945</v>
      </c>
      <c r="M58" s="26"/>
      <c r="N58" s="314">
        <v>0.93490804699999996</v>
      </c>
      <c r="O58" s="310"/>
      <c r="P58" s="308"/>
      <c r="Q58" s="300"/>
    </row>
    <row r="59" spans="1:17" ht="18.95" customHeight="1">
      <c r="A59" s="28"/>
      <c r="B59" s="27" t="s">
        <v>4308</v>
      </c>
      <c r="C59" s="29" t="s">
        <v>4295</v>
      </c>
      <c r="D59" s="301"/>
      <c r="E59" s="25">
        <v>1</v>
      </c>
      <c r="F59" s="30" t="s">
        <v>349</v>
      </c>
      <c r="G59" s="25">
        <f>26708/1.07</f>
        <v>24960.747663551399</v>
      </c>
      <c r="H59" s="25">
        <f t="shared" si="2"/>
        <v>23336.00384979065</v>
      </c>
      <c r="I59" s="25">
        <f t="shared" si="3"/>
        <v>23336.00384979065</v>
      </c>
      <c r="J59" s="25">
        <v>0</v>
      </c>
      <c r="K59" s="25">
        <v>0</v>
      </c>
      <c r="L59" s="25">
        <f t="shared" si="1"/>
        <v>23336.00384979065</v>
      </c>
      <c r="M59" s="26"/>
      <c r="N59" s="314">
        <v>0.93490804699999996</v>
      </c>
      <c r="O59" s="310"/>
      <c r="P59" s="308"/>
      <c r="Q59" s="300"/>
    </row>
    <row r="60" spans="1:17" ht="18.95" customHeight="1">
      <c r="A60" s="28"/>
      <c r="B60" s="27" t="s">
        <v>4309</v>
      </c>
      <c r="C60" s="29" t="s">
        <v>4295</v>
      </c>
      <c r="D60" s="301"/>
      <c r="E60" s="25">
        <v>19</v>
      </c>
      <c r="F60" s="30" t="s">
        <v>349</v>
      </c>
      <c r="G60" s="25">
        <f>17405/1.07</f>
        <v>16266.355140186915</v>
      </c>
      <c r="H60" s="25">
        <f t="shared" si="2"/>
        <v>15207.546315920559</v>
      </c>
      <c r="I60" s="25">
        <f t="shared" si="3"/>
        <v>288943.38000249065</v>
      </c>
      <c r="J60" s="25">
        <v>0</v>
      </c>
      <c r="K60" s="25">
        <v>0</v>
      </c>
      <c r="L60" s="25">
        <f t="shared" si="1"/>
        <v>288943.38000249065</v>
      </c>
      <c r="M60" s="26"/>
      <c r="N60" s="314">
        <v>0.93490804699999996</v>
      </c>
      <c r="O60" s="310"/>
      <c r="P60" s="308"/>
      <c r="Q60" s="300"/>
    </row>
    <row r="61" spans="1:17" ht="18.95" customHeight="1">
      <c r="A61" s="28"/>
      <c r="B61" s="27" t="s">
        <v>4310</v>
      </c>
      <c r="C61" s="29" t="s">
        <v>4311</v>
      </c>
      <c r="D61" s="301"/>
      <c r="E61" s="25">
        <v>12</v>
      </c>
      <c r="F61" s="30" t="s">
        <v>349</v>
      </c>
      <c r="G61" s="25">
        <f>15188/1.07</f>
        <v>14194.392523364486</v>
      </c>
      <c r="H61" s="25">
        <f t="shared" si="2"/>
        <v>13270.451792370093</v>
      </c>
      <c r="I61" s="25">
        <f t="shared" si="3"/>
        <v>159245.42150844113</v>
      </c>
      <c r="J61" s="25">
        <v>0</v>
      </c>
      <c r="K61" s="25">
        <v>0</v>
      </c>
      <c r="L61" s="25">
        <f t="shared" si="1"/>
        <v>159245.42150844113</v>
      </c>
      <c r="M61" s="26"/>
      <c r="N61" s="314">
        <v>0.93490804699999996</v>
      </c>
      <c r="O61" s="310"/>
      <c r="P61" s="308"/>
      <c r="Q61" s="300"/>
    </row>
    <row r="62" spans="1:17" ht="18.95" customHeight="1">
      <c r="A62" s="28"/>
      <c r="B62" s="27" t="s">
        <v>4312</v>
      </c>
      <c r="C62" s="29" t="s">
        <v>4280</v>
      </c>
      <c r="D62" s="301"/>
      <c r="E62" s="25">
        <v>12</v>
      </c>
      <c r="F62" s="30" t="s">
        <v>349</v>
      </c>
      <c r="G62" s="25">
        <f>5569/1.07</f>
        <v>5204.6728971962611</v>
      </c>
      <c r="H62" s="25">
        <f t="shared" si="2"/>
        <v>4865.8905735915878</v>
      </c>
      <c r="I62" s="25">
        <f t="shared" si="3"/>
        <v>58390.686883099057</v>
      </c>
      <c r="J62" s="25">
        <v>0</v>
      </c>
      <c r="K62" s="25">
        <v>0</v>
      </c>
      <c r="L62" s="25">
        <f t="shared" si="1"/>
        <v>58390.686883099057</v>
      </c>
      <c r="M62" s="26"/>
      <c r="N62" s="314">
        <v>0.93490804699999996</v>
      </c>
      <c r="O62" s="310"/>
      <c r="P62" s="308"/>
      <c r="Q62" s="300"/>
    </row>
    <row r="63" spans="1:17" ht="18.95" customHeight="1">
      <c r="A63" s="28"/>
      <c r="B63" s="27" t="s">
        <v>4313</v>
      </c>
      <c r="C63" s="29" t="s">
        <v>4311</v>
      </c>
      <c r="D63" s="301"/>
      <c r="E63" s="25">
        <v>6</v>
      </c>
      <c r="F63" s="30" t="s">
        <v>349</v>
      </c>
      <c r="G63" s="25">
        <f>16875/1.07</f>
        <v>15771.028037383177</v>
      </c>
      <c r="H63" s="25">
        <f t="shared" si="2"/>
        <v>14744.461021612149</v>
      </c>
      <c r="I63" s="25">
        <f t="shared" si="3"/>
        <v>88466.766129672891</v>
      </c>
      <c r="J63" s="25">
        <v>0</v>
      </c>
      <c r="K63" s="25">
        <v>0</v>
      </c>
      <c r="L63" s="25">
        <f t="shared" si="1"/>
        <v>88466.766129672891</v>
      </c>
      <c r="M63" s="26"/>
      <c r="N63" s="314">
        <v>0.93490804699999996</v>
      </c>
      <c r="O63" s="310"/>
      <c r="P63" s="308"/>
      <c r="Q63" s="300"/>
    </row>
    <row r="64" spans="1:17" ht="18.95" customHeight="1">
      <c r="A64" s="28"/>
      <c r="B64" s="27" t="s">
        <v>4314</v>
      </c>
      <c r="C64" s="29" t="s">
        <v>4280</v>
      </c>
      <c r="D64" s="301"/>
      <c r="E64" s="25">
        <v>6</v>
      </c>
      <c r="F64" s="30" t="s">
        <v>349</v>
      </c>
      <c r="G64" s="25">
        <f>6188/1.07</f>
        <v>5783.1775700934577</v>
      </c>
      <c r="H64" s="25">
        <f t="shared" si="2"/>
        <v>5406.7392475102797</v>
      </c>
      <c r="I64" s="25">
        <f t="shared" si="3"/>
        <v>32440.43548506168</v>
      </c>
      <c r="J64" s="25">
        <v>0</v>
      </c>
      <c r="K64" s="25">
        <v>0</v>
      </c>
      <c r="L64" s="25">
        <f t="shared" si="1"/>
        <v>32440.43548506168</v>
      </c>
      <c r="M64" s="26"/>
      <c r="N64" s="314">
        <v>0.93490804699999996</v>
      </c>
      <c r="O64" s="310"/>
      <c r="P64" s="308"/>
      <c r="Q64" s="300"/>
    </row>
    <row r="65" spans="1:17" ht="18.95" customHeight="1">
      <c r="A65" s="28"/>
      <c r="B65" s="27" t="s">
        <v>4315</v>
      </c>
      <c r="C65" s="29" t="s">
        <v>4280</v>
      </c>
      <c r="D65" s="301"/>
      <c r="E65" s="25">
        <v>2</v>
      </c>
      <c r="F65" s="30" t="s">
        <v>349</v>
      </c>
      <c r="G65" s="25">
        <f>11138/1.07</f>
        <v>10409.345794392522</v>
      </c>
      <c r="H65" s="25">
        <f t="shared" si="2"/>
        <v>9731.7811471831756</v>
      </c>
      <c r="I65" s="25">
        <f t="shared" si="3"/>
        <v>19463.562294366351</v>
      </c>
      <c r="J65" s="25">
        <v>0</v>
      </c>
      <c r="K65" s="25">
        <v>0</v>
      </c>
      <c r="L65" s="25">
        <f t="shared" si="1"/>
        <v>19463.562294366351</v>
      </c>
      <c r="M65" s="26"/>
      <c r="N65" s="314">
        <v>0.93490804699999996</v>
      </c>
      <c r="O65" s="310"/>
      <c r="P65" s="308"/>
      <c r="Q65" s="300"/>
    </row>
    <row r="66" spans="1:17" ht="18.95" customHeight="1">
      <c r="A66" s="28"/>
      <c r="B66" s="27" t="s">
        <v>4316</v>
      </c>
      <c r="C66" s="29" t="s">
        <v>4295</v>
      </c>
      <c r="D66" s="301"/>
      <c r="E66" s="25">
        <v>3</v>
      </c>
      <c r="F66" s="30" t="s">
        <v>349</v>
      </c>
      <c r="G66" s="25">
        <f>28793/1.07</f>
        <v>26909.34579439252</v>
      </c>
      <c r="H66" s="25">
        <f t="shared" si="2"/>
        <v>25157.763922683174</v>
      </c>
      <c r="I66" s="25">
        <f t="shared" si="3"/>
        <v>75473.29176804953</v>
      </c>
      <c r="J66" s="25">
        <v>0</v>
      </c>
      <c r="K66" s="25">
        <v>0</v>
      </c>
      <c r="L66" s="25">
        <f t="shared" si="1"/>
        <v>75473.29176804953</v>
      </c>
      <c r="M66" s="26"/>
      <c r="N66" s="314">
        <v>0.93490804699999996</v>
      </c>
      <c r="O66" s="310"/>
      <c r="P66" s="308"/>
      <c r="Q66" s="300"/>
    </row>
    <row r="67" spans="1:17" ht="18.95" customHeight="1">
      <c r="A67" s="28"/>
      <c r="B67" s="27" t="s">
        <v>4317</v>
      </c>
      <c r="C67" s="29" t="s">
        <v>4295</v>
      </c>
      <c r="D67" s="301"/>
      <c r="E67" s="25">
        <v>3</v>
      </c>
      <c r="F67" s="30" t="s">
        <v>349</v>
      </c>
      <c r="G67" s="25">
        <f>27522/1.07</f>
        <v>25721.495327102803</v>
      </c>
      <c r="H67" s="25">
        <f t="shared" si="2"/>
        <v>24047.232962181308</v>
      </c>
      <c r="I67" s="25">
        <f t="shared" si="3"/>
        <v>72141.69888654392</v>
      </c>
      <c r="J67" s="25">
        <v>0</v>
      </c>
      <c r="K67" s="25">
        <v>0</v>
      </c>
      <c r="L67" s="25">
        <f t="shared" si="1"/>
        <v>72141.69888654392</v>
      </c>
      <c r="M67" s="26"/>
      <c r="N67" s="314">
        <v>0.93490804699999996</v>
      </c>
      <c r="O67" s="310"/>
      <c r="P67" s="308"/>
      <c r="Q67" s="300"/>
    </row>
    <row r="68" spans="1:17" ht="18.95" customHeight="1">
      <c r="A68" s="28"/>
      <c r="B68" s="27" t="s">
        <v>4318</v>
      </c>
      <c r="C68" s="29" t="s">
        <v>4295</v>
      </c>
      <c r="D68" s="301"/>
      <c r="E68" s="25">
        <v>3</v>
      </c>
      <c r="F68" s="30" t="s">
        <v>349</v>
      </c>
      <c r="G68" s="25">
        <f>25674/1.07</f>
        <v>23994.392523364484</v>
      </c>
      <c r="H68" s="25">
        <f t="shared" si="2"/>
        <v>22432.550652970091</v>
      </c>
      <c r="I68" s="25">
        <f t="shared" si="3"/>
        <v>67297.651958910268</v>
      </c>
      <c r="J68" s="25">
        <v>0</v>
      </c>
      <c r="K68" s="25">
        <v>0</v>
      </c>
      <c r="L68" s="25">
        <f t="shared" si="1"/>
        <v>67297.651958910268</v>
      </c>
      <c r="M68" s="26"/>
      <c r="N68" s="314">
        <v>0.93490804699999996</v>
      </c>
      <c r="O68" s="310"/>
      <c r="P68" s="308"/>
      <c r="Q68" s="300"/>
    </row>
    <row r="69" spans="1:17" ht="18.95" customHeight="1">
      <c r="A69" s="28"/>
      <c r="B69" s="27" t="s">
        <v>4319</v>
      </c>
      <c r="C69" s="29" t="s">
        <v>4295</v>
      </c>
      <c r="D69" s="301"/>
      <c r="E69" s="25">
        <v>3</v>
      </c>
      <c r="F69" s="30" t="s">
        <v>349</v>
      </c>
      <c r="G69" s="25">
        <f>24115/1.07</f>
        <v>22537.383177570093</v>
      </c>
      <c r="H69" s="25">
        <f t="shared" si="2"/>
        <v>21070.38089103271</v>
      </c>
      <c r="I69" s="25">
        <f t="shared" si="3"/>
        <v>63211.142673098133</v>
      </c>
      <c r="J69" s="25">
        <v>0</v>
      </c>
      <c r="K69" s="25">
        <v>0</v>
      </c>
      <c r="L69" s="25">
        <f t="shared" si="1"/>
        <v>63211.142673098133</v>
      </c>
      <c r="M69" s="26"/>
      <c r="N69" s="314">
        <v>0.93490804699999996</v>
      </c>
      <c r="O69" s="310"/>
      <c r="P69" s="308"/>
      <c r="Q69" s="300"/>
    </row>
    <row r="70" spans="1:17" ht="18.95" customHeight="1">
      <c r="A70" s="28"/>
      <c r="B70" s="27" t="s">
        <v>4320</v>
      </c>
      <c r="C70" s="29" t="s">
        <v>4295</v>
      </c>
      <c r="D70" s="301"/>
      <c r="E70" s="25">
        <v>3</v>
      </c>
      <c r="F70" s="30" t="s">
        <v>349</v>
      </c>
      <c r="G70" s="25">
        <f>21670/1.07</f>
        <v>20252.336448598129</v>
      </c>
      <c r="H70" s="25">
        <f t="shared" si="2"/>
        <v>18934.072316345791</v>
      </c>
      <c r="I70" s="25">
        <f t="shared" si="3"/>
        <v>56802.216949037378</v>
      </c>
      <c r="J70" s="25">
        <v>0</v>
      </c>
      <c r="K70" s="25">
        <v>0</v>
      </c>
      <c r="L70" s="25">
        <f t="shared" si="1"/>
        <v>56802.216949037378</v>
      </c>
      <c r="M70" s="26"/>
      <c r="N70" s="314">
        <v>0.93490804699999996</v>
      </c>
      <c r="O70" s="310"/>
      <c r="P70" s="308"/>
      <c r="Q70" s="300"/>
    </row>
    <row r="71" spans="1:17" ht="18.95" customHeight="1">
      <c r="A71" s="28"/>
      <c r="B71" s="27" t="s">
        <v>4321</v>
      </c>
      <c r="C71" s="29" t="s">
        <v>4295</v>
      </c>
      <c r="D71" s="301"/>
      <c r="E71" s="25">
        <v>3</v>
      </c>
      <c r="F71" s="30" t="s">
        <v>349</v>
      </c>
      <c r="G71" s="25">
        <f>20460/1.07</f>
        <v>19121.495327102803</v>
      </c>
      <c r="H71" s="25">
        <f t="shared" si="2"/>
        <v>17876.839851981305</v>
      </c>
      <c r="I71" s="25">
        <f t="shared" si="3"/>
        <v>53630.519555943916</v>
      </c>
      <c r="J71" s="25">
        <v>0</v>
      </c>
      <c r="K71" s="25">
        <v>0</v>
      </c>
      <c r="L71" s="25">
        <f t="shared" si="1"/>
        <v>53630.519555943916</v>
      </c>
      <c r="M71" s="26"/>
      <c r="N71" s="314">
        <v>0.93490804699999996</v>
      </c>
      <c r="O71" s="310"/>
      <c r="P71" s="308"/>
      <c r="Q71" s="300"/>
    </row>
    <row r="72" spans="1:17" ht="18.95" customHeight="1">
      <c r="A72" s="28"/>
      <c r="B72" s="27" t="s">
        <v>4322</v>
      </c>
      <c r="C72" s="29" t="s">
        <v>4295</v>
      </c>
      <c r="D72" s="301"/>
      <c r="E72" s="25">
        <v>3</v>
      </c>
      <c r="F72" s="30" t="s">
        <v>349</v>
      </c>
      <c r="G72" s="25">
        <f>19360/1.07</f>
        <v>18093.457943925234</v>
      </c>
      <c r="H72" s="25">
        <f t="shared" si="2"/>
        <v>16915.719429831774</v>
      </c>
      <c r="I72" s="25">
        <f t="shared" si="3"/>
        <v>50747.158289495317</v>
      </c>
      <c r="J72" s="25">
        <v>0</v>
      </c>
      <c r="K72" s="25">
        <v>0</v>
      </c>
      <c r="L72" s="25">
        <f t="shared" si="1"/>
        <v>50747.158289495317</v>
      </c>
      <c r="M72" s="26"/>
      <c r="N72" s="314">
        <v>0.93490804699999996</v>
      </c>
      <c r="O72" s="310"/>
      <c r="P72" s="308"/>
      <c r="Q72" s="300"/>
    </row>
    <row r="73" spans="1:17" ht="18.95" customHeight="1">
      <c r="A73" s="28"/>
      <c r="B73" s="27" t="s">
        <v>4323</v>
      </c>
      <c r="C73" s="29" t="s">
        <v>4295</v>
      </c>
      <c r="D73" s="301"/>
      <c r="E73" s="25">
        <v>2</v>
      </c>
      <c r="F73" s="30" t="s">
        <v>349</v>
      </c>
      <c r="G73" s="25">
        <f>17797/1.07</f>
        <v>16632.710280373831</v>
      </c>
      <c r="H73" s="25">
        <f t="shared" si="2"/>
        <v>15550.054684541119</v>
      </c>
      <c r="I73" s="25">
        <f t="shared" si="3"/>
        <v>31100.109369082238</v>
      </c>
      <c r="J73" s="25">
        <v>0</v>
      </c>
      <c r="K73" s="25">
        <v>0</v>
      </c>
      <c r="L73" s="25">
        <f t="shared" si="1"/>
        <v>31100.109369082238</v>
      </c>
      <c r="M73" s="26"/>
      <c r="N73" s="314">
        <v>0.93490804699999996</v>
      </c>
      <c r="O73" s="310"/>
      <c r="P73" s="308"/>
      <c r="Q73" s="300"/>
    </row>
    <row r="74" spans="1:17" ht="18.95" customHeight="1">
      <c r="A74" s="28"/>
      <c r="B74" s="27" t="s">
        <v>4324</v>
      </c>
      <c r="C74" s="29" t="s">
        <v>4295</v>
      </c>
      <c r="D74" s="301"/>
      <c r="E74" s="25">
        <v>4</v>
      </c>
      <c r="F74" s="30" t="s">
        <v>349</v>
      </c>
      <c r="G74" s="25">
        <f>47050/1.07</f>
        <v>43971.962616822428</v>
      </c>
      <c r="H74" s="25">
        <f t="shared" si="2"/>
        <v>41109.741692850461</v>
      </c>
      <c r="I74" s="25">
        <f t="shared" si="3"/>
        <v>164438.96677140184</v>
      </c>
      <c r="J74" s="25">
        <v>0</v>
      </c>
      <c r="K74" s="25">
        <v>0</v>
      </c>
      <c r="L74" s="25">
        <f t="shared" si="1"/>
        <v>164438.96677140184</v>
      </c>
      <c r="M74" s="26"/>
      <c r="N74" s="314">
        <v>0.93490804699999996</v>
      </c>
      <c r="O74" s="310"/>
      <c r="P74" s="308"/>
      <c r="Q74" s="300"/>
    </row>
    <row r="75" spans="1:17" ht="18.95" customHeight="1">
      <c r="A75" s="28"/>
      <c r="B75" s="27"/>
      <c r="C75" s="29" t="s">
        <v>4325</v>
      </c>
      <c r="D75" s="301"/>
      <c r="E75" s="25">
        <v>1</v>
      </c>
      <c r="F75" s="30" t="s">
        <v>349</v>
      </c>
      <c r="G75" s="25">
        <f>8750/1.07</f>
        <v>8177.5700934579436</v>
      </c>
      <c r="H75" s="25">
        <f t="shared" si="2"/>
        <v>7645.2760852803731</v>
      </c>
      <c r="I75" s="25">
        <f t="shared" si="3"/>
        <v>7645.2760852803731</v>
      </c>
      <c r="J75" s="25">
        <v>0</v>
      </c>
      <c r="K75" s="25">
        <v>0</v>
      </c>
      <c r="L75" s="25">
        <f t="shared" si="1"/>
        <v>7645.2760852803731</v>
      </c>
      <c r="M75" s="26"/>
      <c r="N75" s="314">
        <v>0.93490804699999996</v>
      </c>
      <c r="O75" s="310"/>
      <c r="P75" s="308"/>
      <c r="Q75" s="300"/>
    </row>
    <row r="76" spans="1:17" ht="18.95" customHeight="1">
      <c r="A76" s="28"/>
      <c r="B76" s="27" t="s">
        <v>4326</v>
      </c>
      <c r="C76" s="29" t="s">
        <v>4295</v>
      </c>
      <c r="D76" s="301"/>
      <c r="E76" s="25">
        <v>3</v>
      </c>
      <c r="F76" s="30" t="s">
        <v>349</v>
      </c>
      <c r="G76" s="25">
        <f>19163/1.07</f>
        <v>17909.345794392524</v>
      </c>
      <c r="H76" s="25">
        <f t="shared" si="2"/>
        <v>16743.591499683178</v>
      </c>
      <c r="I76" s="25">
        <f t="shared" si="3"/>
        <v>50230.774499049534</v>
      </c>
      <c r="J76" s="25">
        <v>0</v>
      </c>
      <c r="K76" s="25">
        <v>0</v>
      </c>
      <c r="L76" s="25">
        <f t="shared" si="1"/>
        <v>50230.774499049534</v>
      </c>
      <c r="M76" s="26"/>
      <c r="N76" s="314">
        <v>0.93490804699999996</v>
      </c>
      <c r="O76" s="310"/>
      <c r="P76" s="308"/>
      <c r="Q76" s="300"/>
    </row>
    <row r="77" spans="1:17" ht="18.95" customHeight="1">
      <c r="A77" s="28"/>
      <c r="B77" s="27" t="s">
        <v>4327</v>
      </c>
      <c r="C77" s="29" t="s">
        <v>4328</v>
      </c>
      <c r="D77" s="301"/>
      <c r="E77" s="25">
        <v>3</v>
      </c>
      <c r="F77" s="30" t="s">
        <v>349</v>
      </c>
      <c r="G77" s="25">
        <f>19566/1.07</f>
        <v>18285.981308411214</v>
      </c>
      <c r="H77" s="25">
        <f t="shared" si="2"/>
        <v>17095.711072525231</v>
      </c>
      <c r="I77" s="25">
        <f t="shared" si="3"/>
        <v>51287.133217575698</v>
      </c>
      <c r="J77" s="25">
        <v>0</v>
      </c>
      <c r="K77" s="25">
        <v>0</v>
      </c>
      <c r="L77" s="25">
        <f t="shared" si="1"/>
        <v>51287.133217575698</v>
      </c>
      <c r="M77" s="26"/>
      <c r="N77" s="314">
        <v>0.93490804699999996</v>
      </c>
      <c r="O77" s="310"/>
      <c r="P77" s="308"/>
      <c r="Q77" s="300"/>
    </row>
    <row r="78" spans="1:17" ht="18.95" customHeight="1">
      <c r="A78" s="28"/>
      <c r="B78" s="27" t="s">
        <v>4329</v>
      </c>
      <c r="C78" s="29" t="s">
        <v>4328</v>
      </c>
      <c r="D78" s="301"/>
      <c r="E78" s="25">
        <v>3</v>
      </c>
      <c r="F78" s="30" t="s">
        <v>349</v>
      </c>
      <c r="G78" s="25">
        <f>20236/1.07</f>
        <v>18912.149532710278</v>
      </c>
      <c r="H78" s="25">
        <f t="shared" si="2"/>
        <v>17681.120784198127</v>
      </c>
      <c r="I78" s="25">
        <f t="shared" si="3"/>
        <v>53043.362352594384</v>
      </c>
      <c r="J78" s="25">
        <v>0</v>
      </c>
      <c r="K78" s="25">
        <v>0</v>
      </c>
      <c r="L78" s="25">
        <f t="shared" si="1"/>
        <v>53043.362352594384</v>
      </c>
      <c r="M78" s="26"/>
      <c r="N78" s="314">
        <v>0.93490804699999996</v>
      </c>
      <c r="O78" s="310"/>
      <c r="P78" s="308"/>
      <c r="Q78" s="300"/>
    </row>
    <row r="79" spans="1:17" ht="18.95" customHeight="1">
      <c r="A79" s="28"/>
      <c r="B79" s="27" t="s">
        <v>4330</v>
      </c>
      <c r="C79" s="29" t="s">
        <v>4328</v>
      </c>
      <c r="D79" s="301"/>
      <c r="E79" s="25">
        <v>3</v>
      </c>
      <c r="F79" s="30" t="s">
        <v>349</v>
      </c>
      <c r="G79" s="25">
        <f>20906/1.07</f>
        <v>19538.317757009343</v>
      </c>
      <c r="H79" s="25">
        <f t="shared" si="2"/>
        <v>18266.530495871026</v>
      </c>
      <c r="I79" s="25">
        <f t="shared" si="3"/>
        <v>54799.591487613077</v>
      </c>
      <c r="J79" s="25">
        <v>0</v>
      </c>
      <c r="K79" s="25">
        <v>0</v>
      </c>
      <c r="L79" s="25">
        <f t="shared" si="1"/>
        <v>54799.591487613077</v>
      </c>
      <c r="M79" s="26"/>
      <c r="N79" s="314">
        <v>0.93490804699999996</v>
      </c>
      <c r="O79" s="310"/>
      <c r="P79" s="308"/>
      <c r="Q79" s="300"/>
    </row>
    <row r="80" spans="1:17" ht="18.95" customHeight="1">
      <c r="A80" s="28"/>
      <c r="B80" s="27" t="s">
        <v>4331</v>
      </c>
      <c r="C80" s="29" t="s">
        <v>4328</v>
      </c>
      <c r="D80" s="301"/>
      <c r="E80" s="25">
        <v>3</v>
      </c>
      <c r="F80" s="30" t="s">
        <v>349</v>
      </c>
      <c r="G80" s="25">
        <f>21711/1.07</f>
        <v>20290.654205607476</v>
      </c>
      <c r="H80" s="25">
        <f t="shared" si="2"/>
        <v>18969.895895716822</v>
      </c>
      <c r="I80" s="25">
        <f t="shared" si="3"/>
        <v>56909.687687150465</v>
      </c>
      <c r="J80" s="25">
        <v>0</v>
      </c>
      <c r="K80" s="25">
        <v>0</v>
      </c>
      <c r="L80" s="25">
        <f t="shared" si="1"/>
        <v>56909.687687150465</v>
      </c>
      <c r="M80" s="26"/>
      <c r="N80" s="314">
        <v>0.93490804699999996</v>
      </c>
      <c r="O80" s="310"/>
      <c r="P80" s="308"/>
      <c r="Q80" s="300"/>
    </row>
    <row r="81" spans="1:17" ht="18.95" customHeight="1">
      <c r="A81" s="28"/>
      <c r="B81" s="27" t="s">
        <v>4332</v>
      </c>
      <c r="C81" s="29" t="s">
        <v>4328</v>
      </c>
      <c r="D81" s="301"/>
      <c r="E81" s="25">
        <v>3</v>
      </c>
      <c r="F81" s="30" t="s">
        <v>349</v>
      </c>
      <c r="G81" s="25">
        <f>22783/1.07</f>
        <v>21292.52336448598</v>
      </c>
      <c r="H81" s="25">
        <f t="shared" si="2"/>
        <v>19906.551434393456</v>
      </c>
      <c r="I81" s="25">
        <f t="shared" si="3"/>
        <v>59719.654303180367</v>
      </c>
      <c r="J81" s="25">
        <v>0</v>
      </c>
      <c r="K81" s="25">
        <v>0</v>
      </c>
      <c r="L81" s="25">
        <f t="shared" si="1"/>
        <v>59719.654303180367</v>
      </c>
      <c r="M81" s="26"/>
      <c r="N81" s="314">
        <v>0.93490804699999996</v>
      </c>
      <c r="O81" s="310"/>
      <c r="P81" s="308"/>
      <c r="Q81" s="300"/>
    </row>
    <row r="82" spans="1:17" ht="18.95" customHeight="1">
      <c r="A82" s="28"/>
      <c r="B82" s="27" t="s">
        <v>4333</v>
      </c>
      <c r="C82" s="29" t="s">
        <v>4328</v>
      </c>
      <c r="D82" s="301"/>
      <c r="E82" s="25">
        <v>3</v>
      </c>
      <c r="F82" s="30" t="s">
        <v>349</v>
      </c>
      <c r="G82" s="25">
        <f>23856/1.07</f>
        <v>22295.327102803738</v>
      </c>
      <c r="H82" s="25">
        <f t="shared" si="2"/>
        <v>20844.080718908412</v>
      </c>
      <c r="I82" s="25">
        <f t="shared" si="3"/>
        <v>62532.242156725231</v>
      </c>
      <c r="J82" s="25">
        <v>0</v>
      </c>
      <c r="K82" s="25">
        <v>0</v>
      </c>
      <c r="L82" s="25">
        <f t="shared" si="1"/>
        <v>62532.242156725231</v>
      </c>
      <c r="M82" s="26"/>
      <c r="N82" s="314">
        <v>0.93490804699999996</v>
      </c>
      <c r="O82" s="310"/>
      <c r="P82" s="308"/>
      <c r="Q82" s="300"/>
    </row>
    <row r="83" spans="1:17" ht="18.95" customHeight="1">
      <c r="A83" s="28"/>
      <c r="B83" s="27" t="s">
        <v>4334</v>
      </c>
      <c r="C83" s="29" t="s">
        <v>4328</v>
      </c>
      <c r="D83" s="301"/>
      <c r="E83" s="25">
        <v>3</v>
      </c>
      <c r="F83" s="30" t="s">
        <v>349</v>
      </c>
      <c r="G83" s="25">
        <f>24928/1.07</f>
        <v>23297.196261682242</v>
      </c>
      <c r="H83" s="25">
        <f t="shared" si="2"/>
        <v>21780.736257585046</v>
      </c>
      <c r="I83" s="25">
        <f t="shared" si="3"/>
        <v>65342.208772755141</v>
      </c>
      <c r="J83" s="25">
        <v>0</v>
      </c>
      <c r="K83" s="25">
        <v>0</v>
      </c>
      <c r="L83" s="25">
        <f t="shared" si="1"/>
        <v>65342.208772755141</v>
      </c>
      <c r="M83" s="26"/>
      <c r="N83" s="314">
        <v>0.93490804699999996</v>
      </c>
      <c r="O83" s="310"/>
      <c r="P83" s="308"/>
      <c r="Q83" s="300"/>
    </row>
    <row r="84" spans="1:17" ht="18.95" customHeight="1">
      <c r="A84" s="28"/>
      <c r="B84" s="27" t="s">
        <v>4335</v>
      </c>
      <c r="C84" s="29" t="s">
        <v>4328</v>
      </c>
      <c r="D84" s="301"/>
      <c r="E84" s="25">
        <v>1</v>
      </c>
      <c r="F84" s="30" t="s">
        <v>349</v>
      </c>
      <c r="G84" s="25">
        <f>40733/1.07</f>
        <v>38068.224299065419</v>
      </c>
      <c r="H84" s="25">
        <f t="shared" si="2"/>
        <v>35590.289232197196</v>
      </c>
      <c r="I84" s="25">
        <f t="shared" si="3"/>
        <v>35590.289232197196</v>
      </c>
      <c r="J84" s="25">
        <v>0</v>
      </c>
      <c r="K84" s="25">
        <v>0</v>
      </c>
      <c r="L84" s="25">
        <f t="shared" si="1"/>
        <v>35590.289232197196</v>
      </c>
      <c r="M84" s="26"/>
      <c r="N84" s="314">
        <v>0.93490804699999996</v>
      </c>
      <c r="O84" s="310"/>
      <c r="P84" s="308"/>
      <c r="Q84" s="300"/>
    </row>
    <row r="85" spans="1:17" ht="18.95" customHeight="1">
      <c r="A85" s="28"/>
      <c r="B85" s="27" t="s">
        <v>4336</v>
      </c>
      <c r="C85" s="29" t="s">
        <v>4328</v>
      </c>
      <c r="D85" s="301"/>
      <c r="E85" s="25">
        <v>1</v>
      </c>
      <c r="F85" s="30" t="s">
        <v>349</v>
      </c>
      <c r="G85" s="25">
        <f>31850/1.07</f>
        <v>29766.355140186915</v>
      </c>
      <c r="H85" s="25">
        <f t="shared" si="2"/>
        <v>27828.804950420559</v>
      </c>
      <c r="I85" s="25">
        <f t="shared" si="3"/>
        <v>27828.804950420559</v>
      </c>
      <c r="J85" s="25">
        <v>0</v>
      </c>
      <c r="K85" s="25">
        <v>0</v>
      </c>
      <c r="L85" s="25">
        <f t="shared" si="1"/>
        <v>27828.804950420559</v>
      </c>
      <c r="M85" s="26"/>
      <c r="N85" s="314">
        <v>0.93490804699999996</v>
      </c>
      <c r="O85" s="310"/>
      <c r="P85" s="308"/>
      <c r="Q85" s="300"/>
    </row>
    <row r="86" spans="1:17" ht="18.95" customHeight="1">
      <c r="A86" s="28"/>
      <c r="B86" s="27" t="s">
        <v>4337</v>
      </c>
      <c r="C86" s="29" t="s">
        <v>4328</v>
      </c>
      <c r="D86" s="301"/>
      <c r="E86" s="25">
        <v>1</v>
      </c>
      <c r="F86" s="30" t="s">
        <v>349</v>
      </c>
      <c r="G86" s="242">
        <f>47878/1.07</f>
        <v>44745.794392523363</v>
      </c>
      <c r="H86" s="25">
        <f t="shared" si="2"/>
        <v>41833.203246977566</v>
      </c>
      <c r="I86" s="25">
        <f t="shared" si="3"/>
        <v>41833.203246977566</v>
      </c>
      <c r="J86" s="25">
        <v>0</v>
      </c>
      <c r="K86" s="25">
        <v>0</v>
      </c>
      <c r="L86" s="242">
        <f t="shared" si="1"/>
        <v>41833.203246977566</v>
      </c>
      <c r="M86" s="26"/>
      <c r="N86" s="314">
        <v>0.93490804699999996</v>
      </c>
      <c r="O86" s="310"/>
      <c r="P86" s="308"/>
      <c r="Q86" s="300"/>
    </row>
    <row r="87" spans="1:17" ht="18.95" customHeight="1">
      <c r="A87" s="28"/>
      <c r="B87" s="27" t="s">
        <v>4338</v>
      </c>
      <c r="C87" s="29" t="s">
        <v>4328</v>
      </c>
      <c r="D87" s="301"/>
      <c r="E87" s="25">
        <v>1</v>
      </c>
      <c r="F87" s="30" t="s">
        <v>349</v>
      </c>
      <c r="G87" s="25">
        <f>38395/1.07</f>
        <v>35883.177570093452</v>
      </c>
      <c r="H87" s="25">
        <f t="shared" si="2"/>
        <v>33547.471462210277</v>
      </c>
      <c r="I87" s="25">
        <f t="shared" si="3"/>
        <v>33547.471462210277</v>
      </c>
      <c r="J87" s="25">
        <v>0</v>
      </c>
      <c r="K87" s="25">
        <v>0</v>
      </c>
      <c r="L87" s="25">
        <f t="shared" si="1"/>
        <v>33547.471462210277</v>
      </c>
      <c r="M87" s="26"/>
      <c r="N87" s="314">
        <v>0.93490804699999996</v>
      </c>
      <c r="O87" s="310"/>
      <c r="P87" s="308"/>
      <c r="Q87" s="300"/>
    </row>
    <row r="88" spans="1:17" ht="18.95" customHeight="1">
      <c r="A88" s="28"/>
      <c r="B88" s="27" t="s">
        <v>4339</v>
      </c>
      <c r="C88" s="29" t="s">
        <v>4328</v>
      </c>
      <c r="D88" s="301"/>
      <c r="E88" s="25">
        <v>6</v>
      </c>
      <c r="F88" s="30" t="s">
        <v>349</v>
      </c>
      <c r="G88" s="25">
        <f>29950/1.07</f>
        <v>27990.654205607476</v>
      </c>
      <c r="H88" s="25">
        <f t="shared" si="2"/>
        <v>26168.68785761682</v>
      </c>
      <c r="I88" s="25">
        <f t="shared" si="3"/>
        <v>157012.12714570091</v>
      </c>
      <c r="J88" s="25">
        <v>0</v>
      </c>
      <c r="K88" s="25">
        <v>0</v>
      </c>
      <c r="L88" s="25">
        <f t="shared" si="1"/>
        <v>157012.12714570091</v>
      </c>
      <c r="M88" s="26"/>
      <c r="N88" s="314">
        <v>0.93490804699999996</v>
      </c>
      <c r="O88" s="310"/>
      <c r="P88" s="308"/>
      <c r="Q88" s="300"/>
    </row>
    <row r="89" spans="1:17" ht="18.95" customHeight="1">
      <c r="A89" s="28"/>
      <c r="B89" s="27" t="s">
        <v>4340</v>
      </c>
      <c r="C89" s="29" t="s">
        <v>4341</v>
      </c>
      <c r="D89" s="301"/>
      <c r="E89" s="25">
        <v>2</v>
      </c>
      <c r="F89" s="30" t="s">
        <v>349</v>
      </c>
      <c r="G89" s="25">
        <f>3438/1.07</f>
        <v>3213.0841121495323</v>
      </c>
      <c r="H89" s="25">
        <f t="shared" si="2"/>
        <v>3003.9381921364479</v>
      </c>
      <c r="I89" s="25">
        <f t="shared" si="3"/>
        <v>6007.8763842728958</v>
      </c>
      <c r="J89" s="25">
        <v>0</v>
      </c>
      <c r="K89" s="25">
        <v>0</v>
      </c>
      <c r="L89" s="25">
        <f t="shared" si="1"/>
        <v>6007.8763842728958</v>
      </c>
      <c r="M89" s="26"/>
      <c r="N89" s="314">
        <v>0.93490804699999996</v>
      </c>
      <c r="O89" s="310"/>
      <c r="P89" s="308"/>
      <c r="Q89" s="300"/>
    </row>
    <row r="90" spans="1:17" ht="18.95" customHeight="1">
      <c r="A90" s="28"/>
      <c r="B90" s="27" t="s">
        <v>4342</v>
      </c>
      <c r="C90" s="29" t="s">
        <v>4341</v>
      </c>
      <c r="D90" s="301"/>
      <c r="E90" s="25">
        <v>2</v>
      </c>
      <c r="F90" s="30" t="s">
        <v>349</v>
      </c>
      <c r="G90" s="25">
        <f>3438/1.07</f>
        <v>3213.0841121495323</v>
      </c>
      <c r="H90" s="25">
        <f t="shared" si="2"/>
        <v>3003.9381921364479</v>
      </c>
      <c r="I90" s="25">
        <f t="shared" si="3"/>
        <v>6007.8763842728958</v>
      </c>
      <c r="J90" s="25">
        <v>0</v>
      </c>
      <c r="K90" s="25">
        <v>0</v>
      </c>
      <c r="L90" s="25">
        <f t="shared" si="1"/>
        <v>6007.8763842728958</v>
      </c>
      <c r="M90" s="26"/>
      <c r="N90" s="314">
        <v>0.93490804699999996</v>
      </c>
      <c r="O90" s="310"/>
      <c r="P90" s="308"/>
      <c r="Q90" s="300"/>
    </row>
    <row r="91" spans="1:17" ht="18.95" customHeight="1">
      <c r="A91" s="28"/>
      <c r="B91" s="27" t="s">
        <v>4343</v>
      </c>
      <c r="C91" s="29" t="s">
        <v>4341</v>
      </c>
      <c r="D91" s="301"/>
      <c r="E91" s="25">
        <v>2</v>
      </c>
      <c r="F91" s="30" t="s">
        <v>349</v>
      </c>
      <c r="G91" s="25">
        <f>3438/1.07</f>
        <v>3213.0841121495323</v>
      </c>
      <c r="H91" s="25">
        <f t="shared" si="2"/>
        <v>3003.9381921364479</v>
      </c>
      <c r="I91" s="25">
        <f t="shared" si="3"/>
        <v>6007.8763842728958</v>
      </c>
      <c r="J91" s="25">
        <v>0</v>
      </c>
      <c r="K91" s="25">
        <v>0</v>
      </c>
      <c r="L91" s="25">
        <f t="shared" si="1"/>
        <v>6007.8763842728958</v>
      </c>
      <c r="M91" s="26"/>
      <c r="N91" s="314">
        <v>0.93490804699999996</v>
      </c>
      <c r="O91" s="310"/>
      <c r="P91" s="308"/>
      <c r="Q91" s="300"/>
    </row>
    <row r="92" spans="1:17" ht="18.95" customHeight="1">
      <c r="A92" s="28"/>
      <c r="B92" s="27" t="s">
        <v>4344</v>
      </c>
      <c r="C92" s="29" t="s">
        <v>4295</v>
      </c>
      <c r="D92" s="301"/>
      <c r="E92" s="25">
        <v>9</v>
      </c>
      <c r="F92" s="30" t="s">
        <v>349</v>
      </c>
      <c r="G92" s="25">
        <f>14202/1.07</f>
        <v>13272.897196261682</v>
      </c>
      <c r="H92" s="25">
        <f t="shared" si="2"/>
        <v>12408.938395788784</v>
      </c>
      <c r="I92" s="25">
        <f t="shared" si="3"/>
        <v>111680.44556209905</v>
      </c>
      <c r="J92" s="25">
        <v>0</v>
      </c>
      <c r="K92" s="25">
        <v>0</v>
      </c>
      <c r="L92" s="25">
        <f t="shared" si="1"/>
        <v>111680.44556209905</v>
      </c>
      <c r="M92" s="26"/>
      <c r="N92" s="314">
        <v>0.93490804699999996</v>
      </c>
      <c r="O92" s="310"/>
      <c r="P92" s="308"/>
      <c r="Q92" s="300"/>
    </row>
    <row r="93" spans="1:17" ht="18.95" customHeight="1">
      <c r="A93" s="28"/>
      <c r="B93" s="27" t="s">
        <v>4345</v>
      </c>
      <c r="C93" s="29" t="s">
        <v>4295</v>
      </c>
      <c r="D93" s="301"/>
      <c r="E93" s="25">
        <v>1</v>
      </c>
      <c r="F93" s="30" t="s">
        <v>349</v>
      </c>
      <c r="G93" s="25">
        <f>20719/1.07</f>
        <v>19363.551401869157</v>
      </c>
      <c r="H93" s="25">
        <f t="shared" si="2"/>
        <v>18103.140024105607</v>
      </c>
      <c r="I93" s="25">
        <f t="shared" si="3"/>
        <v>18103.140024105607</v>
      </c>
      <c r="J93" s="25">
        <v>0</v>
      </c>
      <c r="K93" s="25">
        <v>0</v>
      </c>
      <c r="L93" s="25">
        <f t="shared" si="1"/>
        <v>18103.140024105607</v>
      </c>
      <c r="M93" s="26"/>
      <c r="N93" s="314">
        <v>0.93490804699999996</v>
      </c>
      <c r="O93" s="310"/>
      <c r="P93" s="308"/>
      <c r="Q93" s="300"/>
    </row>
    <row r="94" spans="1:17" ht="18.95" customHeight="1">
      <c r="A94" s="28"/>
      <c r="B94" s="27" t="s">
        <v>4346</v>
      </c>
      <c r="C94" s="29" t="s">
        <v>4295</v>
      </c>
      <c r="D94" s="301"/>
      <c r="E94" s="25">
        <v>3</v>
      </c>
      <c r="F94" s="30" t="s">
        <v>349</v>
      </c>
      <c r="G94" s="25">
        <f>14719/1.07</f>
        <v>13756.074766355139</v>
      </c>
      <c r="H94" s="25">
        <f t="shared" si="2"/>
        <v>12860.664994199064</v>
      </c>
      <c r="I94" s="25">
        <f t="shared" si="3"/>
        <v>38581.994982597193</v>
      </c>
      <c r="J94" s="25">
        <v>0</v>
      </c>
      <c r="K94" s="25">
        <v>0</v>
      </c>
      <c r="L94" s="25">
        <f t="shared" si="1"/>
        <v>38581.994982597193</v>
      </c>
      <c r="M94" s="26"/>
      <c r="N94" s="314">
        <v>0.93490804699999996</v>
      </c>
      <c r="O94" s="310"/>
      <c r="P94" s="308"/>
      <c r="Q94" s="300"/>
    </row>
    <row r="95" spans="1:17" ht="18.95" customHeight="1">
      <c r="A95" s="28"/>
      <c r="B95" s="27" t="s">
        <v>4347</v>
      </c>
      <c r="C95" s="29" t="s">
        <v>4295</v>
      </c>
      <c r="D95" s="301"/>
      <c r="E95" s="25">
        <v>3</v>
      </c>
      <c r="F95" s="30" t="s">
        <v>349</v>
      </c>
      <c r="G95" s="25">
        <f>16596/1.07</f>
        <v>15510.280373831774</v>
      </c>
      <c r="H95" s="25">
        <f t="shared" si="2"/>
        <v>14500.685932721493</v>
      </c>
      <c r="I95" s="25">
        <f t="shared" si="3"/>
        <v>43502.057798164482</v>
      </c>
      <c r="J95" s="25">
        <v>0</v>
      </c>
      <c r="K95" s="25">
        <v>0</v>
      </c>
      <c r="L95" s="25">
        <f t="shared" si="1"/>
        <v>43502.057798164482</v>
      </c>
      <c r="M95" s="26"/>
      <c r="N95" s="314">
        <v>0.93490804699999996</v>
      </c>
      <c r="O95" s="310"/>
      <c r="P95" s="308"/>
      <c r="Q95" s="300"/>
    </row>
    <row r="96" spans="1:17" ht="18.95" customHeight="1">
      <c r="A96" s="28"/>
      <c r="B96" s="27" t="s">
        <v>4348</v>
      </c>
      <c r="C96" s="29" t="s">
        <v>4295</v>
      </c>
      <c r="D96" s="301"/>
      <c r="E96" s="25">
        <v>3</v>
      </c>
      <c r="F96" s="30" t="s">
        <v>349</v>
      </c>
      <c r="G96" s="25">
        <f>17895/1.07</f>
        <v>16724.299065420561</v>
      </c>
      <c r="H96" s="25">
        <f t="shared" si="2"/>
        <v>15635.681776696261</v>
      </c>
      <c r="I96" s="25">
        <f t="shared" si="3"/>
        <v>46907.045330088782</v>
      </c>
      <c r="J96" s="25">
        <v>0</v>
      </c>
      <c r="K96" s="25">
        <v>0</v>
      </c>
      <c r="L96" s="25">
        <f t="shared" si="1"/>
        <v>46907.045330088782</v>
      </c>
      <c r="M96" s="26"/>
      <c r="N96" s="314">
        <v>0.93490804699999996</v>
      </c>
      <c r="O96" s="310"/>
      <c r="P96" s="308"/>
      <c r="Q96" s="300"/>
    </row>
    <row r="97" spans="1:17" ht="18.95" customHeight="1">
      <c r="A97" s="28"/>
      <c r="B97" s="27" t="s">
        <v>4349</v>
      </c>
      <c r="C97" s="29" t="s">
        <v>4295</v>
      </c>
      <c r="D97" s="301"/>
      <c r="E97" s="25">
        <v>3</v>
      </c>
      <c r="F97" s="30" t="s">
        <v>349</v>
      </c>
      <c r="G97" s="25">
        <f>19297/1.07</f>
        <v>18034.579439252335</v>
      </c>
      <c r="H97" s="25">
        <f t="shared" ref="H97:H139" si="4">G97*N97</f>
        <v>16860.673442017756</v>
      </c>
      <c r="I97" s="25">
        <f t="shared" ref="I97:I139" si="5">E97*H97</f>
        <v>50582.020326053273</v>
      </c>
      <c r="J97" s="25">
        <v>0</v>
      </c>
      <c r="K97" s="25">
        <v>0</v>
      </c>
      <c r="L97" s="25">
        <f t="shared" ref="L97:L139" si="6">I97+K97</f>
        <v>50582.020326053273</v>
      </c>
      <c r="M97" s="26"/>
      <c r="N97" s="314">
        <v>0.93490804699999996</v>
      </c>
      <c r="O97" s="310"/>
      <c r="P97" s="308"/>
      <c r="Q97" s="300"/>
    </row>
    <row r="98" spans="1:17" ht="18.95" customHeight="1">
      <c r="A98" s="28"/>
      <c r="B98" s="27" t="s">
        <v>4350</v>
      </c>
      <c r="C98" s="29" t="s">
        <v>4295</v>
      </c>
      <c r="D98" s="301"/>
      <c r="E98" s="25">
        <v>3</v>
      </c>
      <c r="F98" s="30" t="s">
        <v>349</v>
      </c>
      <c r="G98" s="25">
        <f>20700/1.07</f>
        <v>19345.794392523363</v>
      </c>
      <c r="H98" s="25">
        <f t="shared" si="4"/>
        <v>18086.538853177568</v>
      </c>
      <c r="I98" s="25">
        <f t="shared" si="5"/>
        <v>54259.616559532704</v>
      </c>
      <c r="J98" s="25">
        <v>0</v>
      </c>
      <c r="K98" s="25">
        <v>0</v>
      </c>
      <c r="L98" s="25">
        <f t="shared" si="6"/>
        <v>54259.616559532704</v>
      </c>
      <c r="M98" s="26"/>
      <c r="N98" s="314">
        <v>0.93490804699999996</v>
      </c>
      <c r="O98" s="310"/>
      <c r="P98" s="308"/>
      <c r="Q98" s="300"/>
    </row>
    <row r="99" spans="1:17" ht="18.95" customHeight="1">
      <c r="A99" s="28"/>
      <c r="B99" s="27" t="s">
        <v>4351</v>
      </c>
      <c r="C99" s="29" t="s">
        <v>4295</v>
      </c>
      <c r="D99" s="301"/>
      <c r="E99" s="25">
        <v>3</v>
      </c>
      <c r="F99" s="30" t="s">
        <v>349</v>
      </c>
      <c r="G99" s="25">
        <f>21800/1.07</f>
        <v>20373.831775700932</v>
      </c>
      <c r="H99" s="25">
        <f t="shared" si="4"/>
        <v>19047.6592753271</v>
      </c>
      <c r="I99" s="25">
        <f t="shared" si="5"/>
        <v>57142.977825981303</v>
      </c>
      <c r="J99" s="25">
        <v>0</v>
      </c>
      <c r="K99" s="25">
        <v>0</v>
      </c>
      <c r="L99" s="25">
        <f t="shared" si="6"/>
        <v>57142.977825981303</v>
      </c>
      <c r="M99" s="26"/>
      <c r="N99" s="314">
        <v>0.93490804699999996</v>
      </c>
      <c r="O99" s="310"/>
      <c r="P99" s="308"/>
      <c r="Q99" s="300"/>
    </row>
    <row r="100" spans="1:17" ht="18.95" customHeight="1">
      <c r="A100" s="28"/>
      <c r="B100" s="27" t="s">
        <v>4352</v>
      </c>
      <c r="C100" s="29" t="s">
        <v>4295</v>
      </c>
      <c r="D100" s="301"/>
      <c r="E100" s="25">
        <v>3</v>
      </c>
      <c r="F100" s="30" t="s">
        <v>349</v>
      </c>
      <c r="G100" s="25">
        <f>22515/1.07</f>
        <v>21042.056074766355</v>
      </c>
      <c r="H100" s="25">
        <f t="shared" si="4"/>
        <v>19672.387549724299</v>
      </c>
      <c r="I100" s="25">
        <f t="shared" si="5"/>
        <v>59017.162649172897</v>
      </c>
      <c r="J100" s="25">
        <v>0</v>
      </c>
      <c r="K100" s="25">
        <v>0</v>
      </c>
      <c r="L100" s="25">
        <f t="shared" si="6"/>
        <v>59017.162649172897</v>
      </c>
      <c r="M100" s="26"/>
      <c r="N100" s="314">
        <v>0.93490804699999996</v>
      </c>
      <c r="O100" s="310"/>
      <c r="P100" s="308"/>
      <c r="Q100" s="300"/>
    </row>
    <row r="101" spans="1:17" ht="18.95" customHeight="1">
      <c r="A101" s="28"/>
      <c r="B101" s="27" t="s">
        <v>4353</v>
      </c>
      <c r="C101" s="29" t="s">
        <v>4295</v>
      </c>
      <c r="D101" s="301"/>
      <c r="E101" s="25">
        <v>3</v>
      </c>
      <c r="F101" s="30" t="s">
        <v>349</v>
      </c>
      <c r="G101" s="25">
        <f>23319/1.07</f>
        <v>21793.457943925234</v>
      </c>
      <c r="H101" s="25">
        <f t="shared" si="4"/>
        <v>20374.879203731776</v>
      </c>
      <c r="I101" s="25">
        <f t="shared" si="5"/>
        <v>61124.637611195329</v>
      </c>
      <c r="J101" s="25">
        <v>0</v>
      </c>
      <c r="K101" s="25">
        <v>0</v>
      </c>
      <c r="L101" s="25">
        <f t="shared" si="6"/>
        <v>61124.637611195329</v>
      </c>
      <c r="M101" s="26"/>
      <c r="N101" s="314">
        <v>0.93490804699999996</v>
      </c>
      <c r="O101" s="310"/>
      <c r="P101" s="308"/>
      <c r="Q101" s="300"/>
    </row>
    <row r="102" spans="1:17" ht="18.95" customHeight="1">
      <c r="A102" s="28"/>
      <c r="B102" s="27" t="s">
        <v>4354</v>
      </c>
      <c r="C102" s="29" t="s">
        <v>4295</v>
      </c>
      <c r="D102" s="301"/>
      <c r="E102" s="25">
        <v>3</v>
      </c>
      <c r="F102" s="30" t="s">
        <v>349</v>
      </c>
      <c r="G102" s="25">
        <f>24124/1.07</f>
        <v>22545.794392523363</v>
      </c>
      <c r="H102" s="25">
        <f t="shared" si="4"/>
        <v>21078.244603577568</v>
      </c>
      <c r="I102" s="25">
        <f t="shared" si="5"/>
        <v>63234.733810732709</v>
      </c>
      <c r="J102" s="25">
        <v>0</v>
      </c>
      <c r="K102" s="25">
        <v>0</v>
      </c>
      <c r="L102" s="25">
        <f t="shared" si="6"/>
        <v>63234.733810732709</v>
      </c>
      <c r="M102" s="26"/>
      <c r="N102" s="314">
        <v>0.93490804699999996</v>
      </c>
      <c r="O102" s="310"/>
      <c r="P102" s="308"/>
      <c r="Q102" s="300"/>
    </row>
    <row r="103" spans="1:17" ht="18.95" customHeight="1">
      <c r="A103" s="28"/>
      <c r="B103" s="27" t="s">
        <v>4355</v>
      </c>
      <c r="C103" s="29" t="s">
        <v>4295</v>
      </c>
      <c r="D103" s="301"/>
      <c r="E103" s="25">
        <v>3</v>
      </c>
      <c r="F103" s="30" t="s">
        <v>349</v>
      </c>
      <c r="G103" s="25">
        <f>24660/1.07</f>
        <v>23046.728971962617</v>
      </c>
      <c r="H103" s="25">
        <f t="shared" si="4"/>
        <v>21546.572372915885</v>
      </c>
      <c r="I103" s="25">
        <f t="shared" si="5"/>
        <v>64639.717118747656</v>
      </c>
      <c r="J103" s="25">
        <v>0</v>
      </c>
      <c r="K103" s="25">
        <v>0</v>
      </c>
      <c r="L103" s="25">
        <f t="shared" si="6"/>
        <v>64639.717118747656</v>
      </c>
      <c r="M103" s="26"/>
      <c r="N103" s="314">
        <v>0.93490804699999996</v>
      </c>
      <c r="O103" s="310"/>
      <c r="P103" s="308"/>
      <c r="Q103" s="300"/>
    </row>
    <row r="104" spans="1:17" ht="18.95" customHeight="1">
      <c r="A104" s="28"/>
      <c r="B104" s="27" t="s">
        <v>4356</v>
      </c>
      <c r="C104" s="29" t="s">
        <v>4295</v>
      </c>
      <c r="D104" s="301"/>
      <c r="E104" s="25">
        <v>3</v>
      </c>
      <c r="F104" s="30" t="s">
        <v>349</v>
      </c>
      <c r="G104" s="25">
        <f>25196/1.07</f>
        <v>23547.663551401867</v>
      </c>
      <c r="H104" s="25">
        <f t="shared" si="4"/>
        <v>22014.900142254202</v>
      </c>
      <c r="I104" s="25">
        <f t="shared" si="5"/>
        <v>66044.700426762603</v>
      </c>
      <c r="J104" s="25">
        <v>0</v>
      </c>
      <c r="K104" s="25">
        <v>0</v>
      </c>
      <c r="L104" s="25">
        <f t="shared" si="6"/>
        <v>66044.700426762603</v>
      </c>
      <c r="M104" s="26"/>
      <c r="N104" s="314">
        <v>0.93490804699999996</v>
      </c>
      <c r="O104" s="310"/>
      <c r="P104" s="308"/>
      <c r="Q104" s="300"/>
    </row>
    <row r="105" spans="1:17" ht="18.95" customHeight="1">
      <c r="A105" s="28"/>
      <c r="B105" s="27" t="s">
        <v>4357</v>
      </c>
      <c r="C105" s="29" t="s">
        <v>4295</v>
      </c>
      <c r="D105" s="301"/>
      <c r="E105" s="25">
        <v>3</v>
      </c>
      <c r="F105" s="30" t="s">
        <v>349</v>
      </c>
      <c r="G105" s="25">
        <f>25464/1.07</f>
        <v>23798.130841121492</v>
      </c>
      <c r="H105" s="25">
        <f t="shared" si="4"/>
        <v>22249.064026923359</v>
      </c>
      <c r="I105" s="25">
        <f t="shared" si="5"/>
        <v>66747.192080770081</v>
      </c>
      <c r="J105" s="25">
        <v>0</v>
      </c>
      <c r="K105" s="25">
        <v>0</v>
      </c>
      <c r="L105" s="25">
        <f t="shared" si="6"/>
        <v>66747.192080770081</v>
      </c>
      <c r="M105" s="26"/>
      <c r="N105" s="314">
        <v>0.93490804699999996</v>
      </c>
      <c r="O105" s="310"/>
      <c r="P105" s="308"/>
      <c r="Q105" s="300"/>
    </row>
    <row r="106" spans="1:17" ht="18.95" customHeight="1">
      <c r="A106" s="28"/>
      <c r="B106" s="27" t="s">
        <v>4358</v>
      </c>
      <c r="C106" s="29" t="s">
        <v>4295</v>
      </c>
      <c r="D106" s="301"/>
      <c r="E106" s="25">
        <v>3</v>
      </c>
      <c r="F106" s="30" t="s">
        <v>349</v>
      </c>
      <c r="G106" s="25">
        <f>25196/1.07</f>
        <v>23547.663551401867</v>
      </c>
      <c r="H106" s="25">
        <f t="shared" si="4"/>
        <v>22014.900142254202</v>
      </c>
      <c r="I106" s="25">
        <f t="shared" si="5"/>
        <v>66044.700426762603</v>
      </c>
      <c r="J106" s="25">
        <v>0</v>
      </c>
      <c r="K106" s="25">
        <v>0</v>
      </c>
      <c r="L106" s="25">
        <f t="shared" si="6"/>
        <v>66044.700426762603</v>
      </c>
      <c r="M106" s="26"/>
      <c r="N106" s="314">
        <v>0.93490804699999996</v>
      </c>
      <c r="O106" s="310"/>
      <c r="P106" s="308"/>
      <c r="Q106" s="300"/>
    </row>
    <row r="107" spans="1:17" ht="18.95" customHeight="1">
      <c r="A107" s="28"/>
      <c r="B107" s="27" t="s">
        <v>4359</v>
      </c>
      <c r="C107" s="29" t="s">
        <v>4295</v>
      </c>
      <c r="D107" s="301"/>
      <c r="E107" s="25">
        <v>3</v>
      </c>
      <c r="F107" s="30" t="s">
        <v>349</v>
      </c>
      <c r="G107" s="25">
        <f>25196/1.07</f>
        <v>23547.663551401867</v>
      </c>
      <c r="H107" s="25">
        <f t="shared" si="4"/>
        <v>22014.900142254202</v>
      </c>
      <c r="I107" s="25">
        <f t="shared" si="5"/>
        <v>66044.700426762603</v>
      </c>
      <c r="J107" s="25">
        <v>0</v>
      </c>
      <c r="K107" s="25">
        <v>0</v>
      </c>
      <c r="L107" s="25">
        <f t="shared" si="6"/>
        <v>66044.700426762603</v>
      </c>
      <c r="M107" s="26"/>
      <c r="N107" s="314">
        <v>0.93490804699999996</v>
      </c>
      <c r="O107" s="310"/>
      <c r="P107" s="308"/>
      <c r="Q107" s="300"/>
    </row>
    <row r="108" spans="1:17" ht="18.95" customHeight="1">
      <c r="A108" s="28"/>
      <c r="B108" s="27" t="s">
        <v>4360</v>
      </c>
      <c r="C108" s="29" t="s">
        <v>4295</v>
      </c>
      <c r="D108" s="301"/>
      <c r="E108" s="25">
        <v>3</v>
      </c>
      <c r="F108" s="30" t="s">
        <v>349</v>
      </c>
      <c r="G108" s="25">
        <f>24660/1.07</f>
        <v>23046.728971962617</v>
      </c>
      <c r="H108" s="25">
        <f t="shared" si="4"/>
        <v>21546.572372915885</v>
      </c>
      <c r="I108" s="25">
        <f t="shared" si="5"/>
        <v>64639.717118747656</v>
      </c>
      <c r="J108" s="25">
        <v>0</v>
      </c>
      <c r="K108" s="25">
        <v>0</v>
      </c>
      <c r="L108" s="25">
        <f t="shared" si="6"/>
        <v>64639.717118747656</v>
      </c>
      <c r="M108" s="26"/>
      <c r="N108" s="314">
        <v>0.93490804699999996</v>
      </c>
      <c r="O108" s="310"/>
      <c r="P108" s="308"/>
      <c r="Q108" s="300"/>
    </row>
    <row r="109" spans="1:17" ht="18.95" customHeight="1">
      <c r="A109" s="28"/>
      <c r="B109" s="27" t="s">
        <v>4361</v>
      </c>
      <c r="C109" s="29" t="s">
        <v>4295</v>
      </c>
      <c r="D109" s="301"/>
      <c r="E109" s="25">
        <v>3</v>
      </c>
      <c r="F109" s="30" t="s">
        <v>349</v>
      </c>
      <c r="G109" s="25">
        <f>24392/1.07</f>
        <v>22796.261682242988</v>
      </c>
      <c r="H109" s="25">
        <f t="shared" si="4"/>
        <v>21312.408488246725</v>
      </c>
      <c r="I109" s="25">
        <f t="shared" si="5"/>
        <v>63937.225464740171</v>
      </c>
      <c r="J109" s="25">
        <v>0</v>
      </c>
      <c r="K109" s="25">
        <v>0</v>
      </c>
      <c r="L109" s="25">
        <f t="shared" si="6"/>
        <v>63937.225464740171</v>
      </c>
      <c r="M109" s="26"/>
      <c r="N109" s="314">
        <v>0.93490804699999996</v>
      </c>
      <c r="O109" s="310"/>
      <c r="P109" s="308"/>
      <c r="Q109" s="300"/>
    </row>
    <row r="110" spans="1:17" ht="18.95" customHeight="1">
      <c r="A110" s="28"/>
      <c r="B110" s="27" t="s">
        <v>4362</v>
      </c>
      <c r="C110" s="29" t="s">
        <v>4295</v>
      </c>
      <c r="D110" s="301"/>
      <c r="E110" s="25">
        <v>3</v>
      </c>
      <c r="F110" s="30" t="s">
        <v>349</v>
      </c>
      <c r="G110" s="25">
        <f>23721/1.07</f>
        <v>22169.158878504673</v>
      </c>
      <c r="H110" s="25">
        <f t="shared" si="4"/>
        <v>20726.125030735515</v>
      </c>
      <c r="I110" s="25">
        <f t="shared" si="5"/>
        <v>62178.375092206545</v>
      </c>
      <c r="J110" s="25">
        <v>0</v>
      </c>
      <c r="K110" s="25">
        <v>0</v>
      </c>
      <c r="L110" s="25">
        <f t="shared" si="6"/>
        <v>62178.375092206545</v>
      </c>
      <c r="M110" s="26"/>
      <c r="N110" s="314">
        <v>0.93490804699999996</v>
      </c>
      <c r="O110" s="310"/>
      <c r="P110" s="308"/>
      <c r="Q110" s="300"/>
    </row>
    <row r="111" spans="1:17" ht="18.95" customHeight="1">
      <c r="A111" s="28"/>
      <c r="B111" s="27" t="s">
        <v>4363</v>
      </c>
      <c r="C111" s="29" t="s">
        <v>4295</v>
      </c>
      <c r="D111" s="301"/>
      <c r="E111" s="25">
        <v>3</v>
      </c>
      <c r="F111" s="30" t="s">
        <v>349</v>
      </c>
      <c r="G111" s="25">
        <f>23051/1.07</f>
        <v>21542.990654205605</v>
      </c>
      <c r="H111" s="25">
        <f t="shared" si="4"/>
        <v>20140.715319062612</v>
      </c>
      <c r="I111" s="25">
        <f t="shared" si="5"/>
        <v>60422.145957187837</v>
      </c>
      <c r="J111" s="25">
        <v>0</v>
      </c>
      <c r="K111" s="25">
        <v>0</v>
      </c>
      <c r="L111" s="25">
        <f t="shared" si="6"/>
        <v>60422.145957187837</v>
      </c>
      <c r="M111" s="26"/>
      <c r="N111" s="314">
        <v>0.93490804699999996</v>
      </c>
      <c r="O111" s="310"/>
      <c r="P111" s="308"/>
      <c r="Q111" s="300"/>
    </row>
    <row r="112" spans="1:17" ht="18.95" customHeight="1">
      <c r="A112" s="28"/>
      <c r="B112" s="27" t="s">
        <v>4364</v>
      </c>
      <c r="C112" s="29" t="s">
        <v>4295</v>
      </c>
      <c r="D112" s="301"/>
      <c r="E112" s="25">
        <v>3</v>
      </c>
      <c r="F112" s="30" t="s">
        <v>349</v>
      </c>
      <c r="G112" s="25">
        <f>21979/1.07</f>
        <v>20541.121495327101</v>
      </c>
      <c r="H112" s="25">
        <f t="shared" si="4"/>
        <v>19204.059780385978</v>
      </c>
      <c r="I112" s="25">
        <f t="shared" si="5"/>
        <v>57612.179341157935</v>
      </c>
      <c r="J112" s="25">
        <v>0</v>
      </c>
      <c r="K112" s="25">
        <v>0</v>
      </c>
      <c r="L112" s="25">
        <f t="shared" si="6"/>
        <v>57612.179341157935</v>
      </c>
      <c r="M112" s="26"/>
      <c r="N112" s="314">
        <v>0.93490804699999996</v>
      </c>
      <c r="O112" s="310"/>
      <c r="P112" s="308"/>
      <c r="Q112" s="300"/>
    </row>
    <row r="113" spans="1:17" ht="18.95" customHeight="1">
      <c r="A113" s="28"/>
      <c r="B113" s="27" t="s">
        <v>4365</v>
      </c>
      <c r="C113" s="29" t="s">
        <v>4295</v>
      </c>
      <c r="D113" s="301"/>
      <c r="E113" s="25">
        <v>3</v>
      </c>
      <c r="F113" s="30" t="s">
        <v>349</v>
      </c>
      <c r="G113" s="25">
        <f>21174/1.07</f>
        <v>19788.785046728972</v>
      </c>
      <c r="H113" s="25">
        <f t="shared" si="4"/>
        <v>18500.694380540186</v>
      </c>
      <c r="I113" s="25">
        <f t="shared" si="5"/>
        <v>55502.083141620562</v>
      </c>
      <c r="J113" s="25">
        <v>0</v>
      </c>
      <c r="K113" s="25">
        <v>0</v>
      </c>
      <c r="L113" s="25">
        <f t="shared" si="6"/>
        <v>55502.083141620562</v>
      </c>
      <c r="M113" s="26"/>
      <c r="N113" s="314">
        <v>0.93490804699999996</v>
      </c>
      <c r="O113" s="310"/>
      <c r="P113" s="308"/>
      <c r="Q113" s="300"/>
    </row>
    <row r="114" spans="1:17" ht="18.95" customHeight="1">
      <c r="A114" s="28"/>
      <c r="B114" s="27" t="s">
        <v>4366</v>
      </c>
      <c r="C114" s="29" t="s">
        <v>4295</v>
      </c>
      <c r="D114" s="301"/>
      <c r="E114" s="25">
        <v>3</v>
      </c>
      <c r="F114" s="30" t="s">
        <v>349</v>
      </c>
      <c r="G114" s="25">
        <f>20102/1.07</f>
        <v>18786.915887850468</v>
      </c>
      <c r="H114" s="25">
        <f t="shared" si="4"/>
        <v>17564.038841863552</v>
      </c>
      <c r="I114" s="25">
        <f t="shared" si="5"/>
        <v>52692.116525590653</v>
      </c>
      <c r="J114" s="25">
        <v>0</v>
      </c>
      <c r="K114" s="25">
        <v>0</v>
      </c>
      <c r="L114" s="25">
        <f t="shared" si="6"/>
        <v>52692.116525590653</v>
      </c>
      <c r="M114" s="26"/>
      <c r="N114" s="314">
        <v>0.93490804699999996</v>
      </c>
      <c r="O114" s="310"/>
      <c r="P114" s="308"/>
      <c r="Q114" s="300"/>
    </row>
    <row r="115" spans="1:17" ht="18.95" customHeight="1">
      <c r="A115" s="28"/>
      <c r="B115" s="27" t="s">
        <v>4367</v>
      </c>
      <c r="C115" s="29" t="s">
        <v>4295</v>
      </c>
      <c r="D115" s="301"/>
      <c r="E115" s="25">
        <v>3</v>
      </c>
      <c r="F115" s="30" t="s">
        <v>349</v>
      </c>
      <c r="G115" s="25">
        <f>18761/1.07</f>
        <v>17533.644859813085</v>
      </c>
      <c r="H115" s="25">
        <f t="shared" si="4"/>
        <v>16392.345672679439</v>
      </c>
      <c r="I115" s="25">
        <f t="shared" si="5"/>
        <v>49177.037018038318</v>
      </c>
      <c r="J115" s="25">
        <v>0</v>
      </c>
      <c r="K115" s="25">
        <v>0</v>
      </c>
      <c r="L115" s="25">
        <f t="shared" si="6"/>
        <v>49177.037018038318</v>
      </c>
      <c r="M115" s="26"/>
      <c r="N115" s="314">
        <v>0.93490804699999996</v>
      </c>
      <c r="O115" s="310"/>
      <c r="P115" s="308"/>
      <c r="Q115" s="300"/>
    </row>
    <row r="116" spans="1:17" ht="18.95" customHeight="1">
      <c r="A116" s="28"/>
      <c r="B116" s="27" t="s">
        <v>4368</v>
      </c>
      <c r="C116" s="29" t="s">
        <v>4295</v>
      </c>
      <c r="D116" s="301"/>
      <c r="E116" s="25">
        <v>3</v>
      </c>
      <c r="F116" s="30" t="s">
        <v>349</v>
      </c>
      <c r="G116" s="25">
        <f>17421/1.07</f>
        <v>16281.308411214952</v>
      </c>
      <c r="H116" s="25">
        <f t="shared" si="4"/>
        <v>15221.526249333643</v>
      </c>
      <c r="I116" s="25">
        <f t="shared" si="5"/>
        <v>45664.578748000931</v>
      </c>
      <c r="J116" s="25">
        <v>0</v>
      </c>
      <c r="K116" s="25">
        <v>0</v>
      </c>
      <c r="L116" s="25">
        <f t="shared" si="6"/>
        <v>45664.578748000931</v>
      </c>
      <c r="M116" s="26"/>
      <c r="N116" s="314">
        <v>0.93490804699999996</v>
      </c>
      <c r="O116" s="310"/>
      <c r="P116" s="308"/>
      <c r="Q116" s="300"/>
    </row>
    <row r="117" spans="1:17" ht="18.95" customHeight="1">
      <c r="A117" s="28"/>
      <c r="B117" s="27" t="s">
        <v>4369</v>
      </c>
      <c r="C117" s="29" t="s">
        <v>4295</v>
      </c>
      <c r="D117" s="301"/>
      <c r="E117" s="25">
        <v>1</v>
      </c>
      <c r="F117" s="30" t="s">
        <v>349</v>
      </c>
      <c r="G117" s="25">
        <f>31556/1.07</f>
        <v>29491.588785046726</v>
      </c>
      <c r="H117" s="25">
        <f t="shared" si="4"/>
        <v>27571.923673955138</v>
      </c>
      <c r="I117" s="25">
        <f t="shared" si="5"/>
        <v>27571.923673955138</v>
      </c>
      <c r="J117" s="25">
        <v>0</v>
      </c>
      <c r="K117" s="25">
        <v>0</v>
      </c>
      <c r="L117" s="25">
        <f t="shared" si="6"/>
        <v>27571.923673955138</v>
      </c>
      <c r="M117" s="26"/>
      <c r="N117" s="314">
        <v>0.93490804699999996</v>
      </c>
      <c r="O117" s="310"/>
      <c r="P117" s="308"/>
      <c r="Q117" s="300"/>
    </row>
    <row r="118" spans="1:17" ht="18.95" customHeight="1">
      <c r="A118" s="28"/>
      <c r="B118" s="27" t="s">
        <v>4370</v>
      </c>
      <c r="C118" s="29" t="s">
        <v>4295</v>
      </c>
      <c r="D118" s="301"/>
      <c r="E118" s="25">
        <v>8</v>
      </c>
      <c r="F118" s="30" t="s">
        <v>349</v>
      </c>
      <c r="G118" s="25">
        <f>18358/1.07</f>
        <v>17157.009345794391</v>
      </c>
      <c r="H118" s="25">
        <f t="shared" si="4"/>
        <v>16040.226099837382</v>
      </c>
      <c r="I118" s="25">
        <f t="shared" si="5"/>
        <v>128321.80879869906</v>
      </c>
      <c r="J118" s="25">
        <v>0</v>
      </c>
      <c r="K118" s="25">
        <v>0</v>
      </c>
      <c r="L118" s="25">
        <f t="shared" si="6"/>
        <v>128321.80879869906</v>
      </c>
      <c r="M118" s="26"/>
      <c r="N118" s="314">
        <v>0.93490804699999996</v>
      </c>
      <c r="O118" s="310"/>
      <c r="P118" s="308"/>
      <c r="Q118" s="300"/>
    </row>
    <row r="119" spans="1:17" ht="18.95" customHeight="1">
      <c r="A119" s="28"/>
      <c r="B119" s="27"/>
      <c r="C119" s="29" t="s">
        <v>4325</v>
      </c>
      <c r="D119" s="301"/>
      <c r="E119" s="25">
        <v>2</v>
      </c>
      <c r="F119" s="30" t="s">
        <v>349</v>
      </c>
      <c r="G119" s="25">
        <f>8750/1.07</f>
        <v>8177.5700934579436</v>
      </c>
      <c r="H119" s="25">
        <f t="shared" si="4"/>
        <v>7645.2760852803731</v>
      </c>
      <c r="I119" s="25">
        <f t="shared" si="5"/>
        <v>15290.552170560746</v>
      </c>
      <c r="J119" s="25">
        <v>0</v>
      </c>
      <c r="K119" s="25">
        <v>0</v>
      </c>
      <c r="L119" s="25">
        <f t="shared" si="6"/>
        <v>15290.552170560746</v>
      </c>
      <c r="M119" s="26"/>
      <c r="N119" s="314">
        <v>0.93490804699999996</v>
      </c>
      <c r="O119" s="310"/>
      <c r="P119" s="308"/>
      <c r="Q119" s="300"/>
    </row>
    <row r="120" spans="1:17" ht="18.95" customHeight="1">
      <c r="A120" s="28"/>
      <c r="B120" s="27" t="s">
        <v>4371</v>
      </c>
      <c r="C120" s="29" t="s">
        <v>4341</v>
      </c>
      <c r="D120" s="301"/>
      <c r="E120" s="25">
        <v>1</v>
      </c>
      <c r="F120" s="30" t="s">
        <v>349</v>
      </c>
      <c r="G120" s="25">
        <f>4675/1.07</f>
        <v>4369.1588785046724</v>
      </c>
      <c r="H120" s="25">
        <f t="shared" si="4"/>
        <v>4084.7617941355134</v>
      </c>
      <c r="I120" s="25">
        <f t="shared" si="5"/>
        <v>4084.7617941355134</v>
      </c>
      <c r="J120" s="25">
        <v>0</v>
      </c>
      <c r="K120" s="25">
        <v>0</v>
      </c>
      <c r="L120" s="25">
        <f t="shared" si="6"/>
        <v>4084.7617941355134</v>
      </c>
      <c r="M120" s="26"/>
      <c r="N120" s="314">
        <v>0.93490804699999996</v>
      </c>
      <c r="O120" s="310"/>
      <c r="P120" s="308"/>
      <c r="Q120" s="300"/>
    </row>
    <row r="121" spans="1:17" ht="18.95" customHeight="1">
      <c r="A121" s="28"/>
      <c r="B121" s="27" t="s">
        <v>4372</v>
      </c>
      <c r="C121" s="29" t="s">
        <v>4341</v>
      </c>
      <c r="D121" s="301"/>
      <c r="E121" s="25">
        <v>2</v>
      </c>
      <c r="F121" s="30" t="s">
        <v>349</v>
      </c>
      <c r="G121" s="25">
        <f>10285/1.07</f>
        <v>9612.1495327102803</v>
      </c>
      <c r="H121" s="25">
        <f t="shared" si="4"/>
        <v>8986.4759470981298</v>
      </c>
      <c r="I121" s="25">
        <f t="shared" si="5"/>
        <v>17972.95189419626</v>
      </c>
      <c r="J121" s="25">
        <v>0</v>
      </c>
      <c r="K121" s="25">
        <v>0</v>
      </c>
      <c r="L121" s="25">
        <f t="shared" si="6"/>
        <v>17972.95189419626</v>
      </c>
      <c r="M121" s="26"/>
      <c r="N121" s="314">
        <v>0.93490804699999996</v>
      </c>
      <c r="O121" s="310"/>
      <c r="P121" s="308"/>
      <c r="Q121" s="300"/>
    </row>
    <row r="122" spans="1:17" ht="18.95" customHeight="1">
      <c r="A122" s="28"/>
      <c r="B122" s="27" t="s">
        <v>4373</v>
      </c>
      <c r="C122" s="29" t="s">
        <v>4341</v>
      </c>
      <c r="D122" s="301"/>
      <c r="E122" s="25">
        <v>2</v>
      </c>
      <c r="F122" s="30" t="s">
        <v>349</v>
      </c>
      <c r="G122" s="25">
        <f>5363/1.07</f>
        <v>5012.1495327102803</v>
      </c>
      <c r="H122" s="25">
        <f t="shared" si="4"/>
        <v>4685.8989308981309</v>
      </c>
      <c r="I122" s="25">
        <f t="shared" si="5"/>
        <v>9371.7978617962617</v>
      </c>
      <c r="J122" s="25">
        <v>0</v>
      </c>
      <c r="K122" s="25">
        <v>0</v>
      </c>
      <c r="L122" s="25">
        <f t="shared" si="6"/>
        <v>9371.7978617962617</v>
      </c>
      <c r="M122" s="26"/>
      <c r="N122" s="314">
        <v>0.93490804699999996</v>
      </c>
      <c r="O122" s="310"/>
      <c r="P122" s="308"/>
      <c r="Q122" s="300"/>
    </row>
    <row r="123" spans="1:17" ht="18.95" customHeight="1">
      <c r="A123" s="28"/>
      <c r="B123" s="27" t="s">
        <v>4374</v>
      </c>
      <c r="C123" s="29" t="s">
        <v>4341</v>
      </c>
      <c r="D123" s="301"/>
      <c r="E123" s="25">
        <v>1</v>
      </c>
      <c r="F123" s="30" t="s">
        <v>349</v>
      </c>
      <c r="G123" s="25">
        <f>4125/1.07</f>
        <v>3855.1401869158876</v>
      </c>
      <c r="H123" s="25">
        <f t="shared" si="4"/>
        <v>3604.2015830607475</v>
      </c>
      <c r="I123" s="25">
        <f t="shared" si="5"/>
        <v>3604.2015830607475</v>
      </c>
      <c r="J123" s="25">
        <v>0</v>
      </c>
      <c r="K123" s="25">
        <v>0</v>
      </c>
      <c r="L123" s="25">
        <f t="shared" si="6"/>
        <v>3604.2015830607475</v>
      </c>
      <c r="M123" s="26"/>
      <c r="N123" s="314">
        <v>0.93490804699999996</v>
      </c>
      <c r="O123" s="310"/>
      <c r="P123" s="308"/>
      <c r="Q123" s="300"/>
    </row>
    <row r="124" spans="1:17" ht="18.95" customHeight="1">
      <c r="A124" s="28"/>
      <c r="B124" s="27" t="s">
        <v>4375</v>
      </c>
      <c r="C124" s="29" t="s">
        <v>4341</v>
      </c>
      <c r="D124" s="301"/>
      <c r="E124" s="25">
        <v>10</v>
      </c>
      <c r="F124" s="30" t="s">
        <v>349</v>
      </c>
      <c r="G124" s="25">
        <f>4707/1.07</f>
        <v>4399.065420560747</v>
      </c>
      <c r="H124" s="25">
        <f t="shared" si="4"/>
        <v>4112.7216609616817</v>
      </c>
      <c r="I124" s="25">
        <f t="shared" si="5"/>
        <v>41127.216609616815</v>
      </c>
      <c r="J124" s="25">
        <v>0</v>
      </c>
      <c r="K124" s="25">
        <v>0</v>
      </c>
      <c r="L124" s="25">
        <f t="shared" si="6"/>
        <v>41127.216609616815</v>
      </c>
      <c r="M124" s="26"/>
      <c r="N124" s="314">
        <v>0.93490804699999996</v>
      </c>
      <c r="O124" s="310"/>
      <c r="P124" s="308"/>
      <c r="Q124" s="300"/>
    </row>
    <row r="125" spans="1:17" ht="18.95" customHeight="1">
      <c r="A125" s="28"/>
      <c r="B125" s="27" t="s">
        <v>4376</v>
      </c>
      <c r="C125" s="29" t="s">
        <v>4341</v>
      </c>
      <c r="D125" s="301"/>
      <c r="E125" s="25">
        <v>5</v>
      </c>
      <c r="F125" s="30" t="s">
        <v>349</v>
      </c>
      <c r="G125" s="25">
        <f>5497/1.07</f>
        <v>5137.3831775700928</v>
      </c>
      <c r="H125" s="25">
        <f t="shared" si="4"/>
        <v>4802.9808732327092</v>
      </c>
      <c r="I125" s="25">
        <f t="shared" si="5"/>
        <v>24014.904366163544</v>
      </c>
      <c r="J125" s="25">
        <v>0</v>
      </c>
      <c r="K125" s="25">
        <v>0</v>
      </c>
      <c r="L125" s="25">
        <f t="shared" si="6"/>
        <v>24014.904366163544</v>
      </c>
      <c r="M125" s="26"/>
      <c r="N125" s="314">
        <v>0.93490804699999996</v>
      </c>
      <c r="O125" s="310"/>
      <c r="P125" s="308"/>
      <c r="Q125" s="300"/>
    </row>
    <row r="126" spans="1:17" ht="18.95" customHeight="1">
      <c r="A126" s="28"/>
      <c r="B126" s="27" t="s">
        <v>4377</v>
      </c>
      <c r="C126" s="29" t="s">
        <v>4341</v>
      </c>
      <c r="D126" s="301"/>
      <c r="E126" s="25">
        <v>1</v>
      </c>
      <c r="F126" s="30" t="s">
        <v>349</v>
      </c>
      <c r="G126" s="25">
        <f>3438/1.07</f>
        <v>3213.0841121495323</v>
      </c>
      <c r="H126" s="25">
        <f t="shared" si="4"/>
        <v>3003.9381921364479</v>
      </c>
      <c r="I126" s="25">
        <f t="shared" si="5"/>
        <v>3003.9381921364479</v>
      </c>
      <c r="J126" s="25">
        <v>0</v>
      </c>
      <c r="K126" s="25">
        <v>0</v>
      </c>
      <c r="L126" s="25">
        <f t="shared" si="6"/>
        <v>3003.9381921364479</v>
      </c>
      <c r="M126" s="26"/>
      <c r="N126" s="314">
        <v>0.93490804699999996</v>
      </c>
      <c r="O126" s="310"/>
      <c r="P126" s="308"/>
      <c r="Q126" s="300"/>
    </row>
    <row r="127" spans="1:17" ht="18.95" customHeight="1">
      <c r="A127" s="28"/>
      <c r="B127" s="27" t="s">
        <v>4378</v>
      </c>
      <c r="C127" s="29" t="s">
        <v>4341</v>
      </c>
      <c r="D127" s="301"/>
      <c r="E127" s="25">
        <v>1</v>
      </c>
      <c r="F127" s="30" t="s">
        <v>349</v>
      </c>
      <c r="G127" s="25">
        <f>5184/1.07</f>
        <v>4844.8598130841119</v>
      </c>
      <c r="H127" s="25">
        <f t="shared" si="4"/>
        <v>4529.4984258392524</v>
      </c>
      <c r="I127" s="25">
        <f t="shared" si="5"/>
        <v>4529.4984258392524</v>
      </c>
      <c r="J127" s="25">
        <v>0</v>
      </c>
      <c r="K127" s="25">
        <v>0</v>
      </c>
      <c r="L127" s="25">
        <f t="shared" si="6"/>
        <v>4529.4984258392524</v>
      </c>
      <c r="M127" s="26"/>
      <c r="N127" s="314">
        <v>0.93490804699999996</v>
      </c>
      <c r="O127" s="310"/>
      <c r="P127" s="308"/>
      <c r="Q127" s="300"/>
    </row>
    <row r="128" spans="1:17" ht="18.95" customHeight="1">
      <c r="A128" s="28"/>
      <c r="B128" s="27" t="s">
        <v>4379</v>
      </c>
      <c r="C128" s="29" t="s">
        <v>4341</v>
      </c>
      <c r="D128" s="301"/>
      <c r="E128" s="25">
        <v>2</v>
      </c>
      <c r="F128" s="30" t="s">
        <v>349</v>
      </c>
      <c r="G128" s="242">
        <f>6435/1.07</f>
        <v>6014.0186915887843</v>
      </c>
      <c r="H128" s="25">
        <f t="shared" si="4"/>
        <v>5622.5544695747658</v>
      </c>
      <c r="I128" s="25">
        <f t="shared" si="5"/>
        <v>11245.108939149532</v>
      </c>
      <c r="J128" s="25">
        <v>0</v>
      </c>
      <c r="K128" s="25">
        <v>0</v>
      </c>
      <c r="L128" s="25">
        <f t="shared" si="6"/>
        <v>11245.108939149532</v>
      </c>
      <c r="M128" s="26"/>
      <c r="N128" s="314">
        <v>0.93490804699999996</v>
      </c>
      <c r="O128" s="310"/>
      <c r="P128" s="308"/>
      <c r="Q128" s="300"/>
    </row>
    <row r="129" spans="1:17" ht="18.95" customHeight="1">
      <c r="A129" s="28"/>
      <c r="B129" s="27" t="s">
        <v>4380</v>
      </c>
      <c r="C129" s="29" t="s">
        <v>4341</v>
      </c>
      <c r="D129" s="301"/>
      <c r="E129" s="25">
        <v>2</v>
      </c>
      <c r="F129" s="30" t="s">
        <v>349</v>
      </c>
      <c r="G129" s="242">
        <f>5290/1.07</f>
        <v>4943.9252336448599</v>
      </c>
      <c r="H129" s="25">
        <f t="shared" si="4"/>
        <v>4622.1154847009348</v>
      </c>
      <c r="I129" s="25">
        <f t="shared" si="5"/>
        <v>9244.2309694018695</v>
      </c>
      <c r="J129" s="25">
        <v>0</v>
      </c>
      <c r="K129" s="25">
        <v>0</v>
      </c>
      <c r="L129" s="25">
        <f t="shared" si="6"/>
        <v>9244.2309694018695</v>
      </c>
      <c r="M129" s="26"/>
      <c r="N129" s="314">
        <v>0.93490804699999996</v>
      </c>
      <c r="O129" s="310"/>
      <c r="P129" s="308"/>
      <c r="Q129" s="300"/>
    </row>
    <row r="130" spans="1:17" ht="18.95" customHeight="1">
      <c r="A130" s="28"/>
      <c r="B130" s="27" t="s">
        <v>4381</v>
      </c>
      <c r="C130" s="29" t="s">
        <v>4341</v>
      </c>
      <c r="D130" s="301"/>
      <c r="E130" s="25">
        <v>2</v>
      </c>
      <c r="F130" s="30" t="s">
        <v>349</v>
      </c>
      <c r="G130" s="242">
        <f>5900/1.07</f>
        <v>5514.0186915887843</v>
      </c>
      <c r="H130" s="25">
        <f t="shared" si="4"/>
        <v>5155.1004460747654</v>
      </c>
      <c r="I130" s="25">
        <f t="shared" si="5"/>
        <v>10310.200892149531</v>
      </c>
      <c r="J130" s="25">
        <v>0</v>
      </c>
      <c r="K130" s="25">
        <v>0</v>
      </c>
      <c r="L130" s="25">
        <f t="shared" si="6"/>
        <v>10310.200892149531</v>
      </c>
      <c r="M130" s="26"/>
      <c r="N130" s="314">
        <v>0.93490804699999996</v>
      </c>
      <c r="O130" s="310"/>
      <c r="P130" s="308"/>
      <c r="Q130" s="300"/>
    </row>
    <row r="131" spans="1:17" ht="18.95" customHeight="1">
      <c r="A131" s="28"/>
      <c r="B131" s="27" t="s">
        <v>4382</v>
      </c>
      <c r="C131" s="29" t="s">
        <v>4341</v>
      </c>
      <c r="D131" s="301"/>
      <c r="E131" s="25">
        <v>1</v>
      </c>
      <c r="F131" s="30" t="s">
        <v>349</v>
      </c>
      <c r="G131" s="242">
        <f>6920/1.07</f>
        <v>6467.2897196261674</v>
      </c>
      <c r="H131" s="25">
        <f t="shared" si="4"/>
        <v>6046.3212011588776</v>
      </c>
      <c r="I131" s="25">
        <f t="shared" si="5"/>
        <v>6046.3212011588776</v>
      </c>
      <c r="J131" s="25">
        <v>0</v>
      </c>
      <c r="K131" s="25">
        <v>0</v>
      </c>
      <c r="L131" s="25">
        <f t="shared" si="6"/>
        <v>6046.3212011588776</v>
      </c>
      <c r="M131" s="26"/>
      <c r="N131" s="314">
        <v>0.93490804699999996</v>
      </c>
      <c r="O131" s="310"/>
      <c r="P131" s="308"/>
      <c r="Q131" s="300"/>
    </row>
    <row r="132" spans="1:17" ht="18.95" customHeight="1">
      <c r="A132" s="28"/>
      <c r="B132" s="27" t="s">
        <v>4383</v>
      </c>
      <c r="C132" s="29" t="s">
        <v>4341</v>
      </c>
      <c r="D132" s="301"/>
      <c r="E132" s="25">
        <v>6</v>
      </c>
      <c r="F132" s="30" t="s">
        <v>349</v>
      </c>
      <c r="G132" s="242">
        <f>6531/1.07</f>
        <v>6103.7383177570091</v>
      </c>
      <c r="H132" s="25">
        <f t="shared" si="4"/>
        <v>5706.4340700532703</v>
      </c>
      <c r="I132" s="25">
        <f t="shared" si="5"/>
        <v>34238.604420319622</v>
      </c>
      <c r="J132" s="25">
        <v>0</v>
      </c>
      <c r="K132" s="25">
        <v>0</v>
      </c>
      <c r="L132" s="25">
        <f t="shared" si="6"/>
        <v>34238.604420319622</v>
      </c>
      <c r="M132" s="26"/>
      <c r="N132" s="314">
        <v>0.93490804699999996</v>
      </c>
      <c r="O132" s="310"/>
      <c r="P132" s="308"/>
      <c r="Q132" s="300"/>
    </row>
    <row r="133" spans="1:17" ht="18.95" customHeight="1">
      <c r="A133" s="28"/>
      <c r="B133" s="27" t="s">
        <v>4384</v>
      </c>
      <c r="C133" s="29" t="s">
        <v>4341</v>
      </c>
      <c r="D133" s="301"/>
      <c r="E133" s="25">
        <v>6</v>
      </c>
      <c r="F133" s="30" t="s">
        <v>349</v>
      </c>
      <c r="G133" s="242">
        <f>6875/1.07</f>
        <v>6425.2336448598126</v>
      </c>
      <c r="H133" s="25">
        <f t="shared" si="4"/>
        <v>6007.0026384345783</v>
      </c>
      <c r="I133" s="25">
        <f t="shared" si="5"/>
        <v>36042.015830607474</v>
      </c>
      <c r="J133" s="25">
        <v>0</v>
      </c>
      <c r="K133" s="25">
        <v>0</v>
      </c>
      <c r="L133" s="25">
        <f t="shared" si="6"/>
        <v>36042.015830607474</v>
      </c>
      <c r="M133" s="26"/>
      <c r="N133" s="314">
        <v>0.93490804699999996</v>
      </c>
      <c r="O133" s="310"/>
      <c r="P133" s="308"/>
      <c r="Q133" s="300"/>
    </row>
    <row r="134" spans="1:17" ht="18.95" customHeight="1">
      <c r="A134" s="28"/>
      <c r="B134" s="27" t="s">
        <v>4385</v>
      </c>
      <c r="C134" s="29" t="s">
        <v>4341</v>
      </c>
      <c r="D134" s="301"/>
      <c r="E134" s="25">
        <v>6</v>
      </c>
      <c r="F134" s="30" t="s">
        <v>349</v>
      </c>
      <c r="G134" s="242">
        <f>5500/1.07</f>
        <v>5140.1869158878499</v>
      </c>
      <c r="H134" s="25">
        <f t="shared" si="4"/>
        <v>4805.6021107476627</v>
      </c>
      <c r="I134" s="25">
        <f t="shared" si="5"/>
        <v>28833.612664485976</v>
      </c>
      <c r="J134" s="25">
        <v>0</v>
      </c>
      <c r="K134" s="25">
        <v>0</v>
      </c>
      <c r="L134" s="25">
        <f t="shared" si="6"/>
        <v>28833.612664485976</v>
      </c>
      <c r="M134" s="26"/>
      <c r="N134" s="314">
        <v>0.93490804699999996</v>
      </c>
      <c r="O134" s="310"/>
      <c r="P134" s="308"/>
      <c r="Q134" s="300"/>
    </row>
    <row r="135" spans="1:17" ht="18.95" customHeight="1">
      <c r="A135" s="28"/>
      <c r="B135" s="27" t="s">
        <v>4386</v>
      </c>
      <c r="C135" s="29" t="s">
        <v>4341</v>
      </c>
      <c r="D135" s="301"/>
      <c r="E135" s="25">
        <v>4</v>
      </c>
      <c r="F135" s="30" t="s">
        <v>349</v>
      </c>
      <c r="G135" s="242">
        <f>6531/1.07</f>
        <v>6103.7383177570091</v>
      </c>
      <c r="H135" s="25">
        <f t="shared" si="4"/>
        <v>5706.4340700532703</v>
      </c>
      <c r="I135" s="25">
        <f t="shared" si="5"/>
        <v>22825.736280213081</v>
      </c>
      <c r="J135" s="25">
        <v>0</v>
      </c>
      <c r="K135" s="25">
        <v>0</v>
      </c>
      <c r="L135" s="25">
        <f t="shared" si="6"/>
        <v>22825.736280213081</v>
      </c>
      <c r="M135" s="26"/>
      <c r="N135" s="314">
        <v>0.93490804699999996</v>
      </c>
      <c r="O135" s="310"/>
      <c r="P135" s="308"/>
      <c r="Q135" s="300"/>
    </row>
    <row r="136" spans="1:17" ht="18.95" customHeight="1">
      <c r="A136" s="28"/>
      <c r="B136" s="27" t="s">
        <v>4387</v>
      </c>
      <c r="C136" s="29" t="s">
        <v>4341</v>
      </c>
      <c r="D136" s="301"/>
      <c r="E136" s="25">
        <v>4</v>
      </c>
      <c r="F136" s="30" t="s">
        <v>349</v>
      </c>
      <c r="G136" s="242">
        <f>6875/1.07</f>
        <v>6425.2336448598126</v>
      </c>
      <c r="H136" s="25">
        <f t="shared" si="4"/>
        <v>6007.0026384345783</v>
      </c>
      <c r="I136" s="25">
        <f t="shared" si="5"/>
        <v>24028.010553738313</v>
      </c>
      <c r="J136" s="25">
        <v>0</v>
      </c>
      <c r="K136" s="25">
        <v>0</v>
      </c>
      <c r="L136" s="25">
        <f t="shared" si="6"/>
        <v>24028.010553738313</v>
      </c>
      <c r="M136" s="26"/>
      <c r="N136" s="314">
        <v>0.93490804699999996</v>
      </c>
      <c r="O136" s="310"/>
      <c r="P136" s="308"/>
      <c r="Q136" s="300"/>
    </row>
    <row r="137" spans="1:17" ht="18.95" customHeight="1">
      <c r="A137" s="28"/>
      <c r="B137" s="27" t="s">
        <v>4388</v>
      </c>
      <c r="C137" s="29" t="s">
        <v>4341</v>
      </c>
      <c r="D137" s="301"/>
      <c r="E137" s="25">
        <v>4</v>
      </c>
      <c r="F137" s="30" t="s">
        <v>349</v>
      </c>
      <c r="G137" s="242">
        <f>5500/1.07</f>
        <v>5140.1869158878499</v>
      </c>
      <c r="H137" s="25">
        <f t="shared" si="4"/>
        <v>4805.6021107476627</v>
      </c>
      <c r="I137" s="25">
        <f t="shared" si="5"/>
        <v>19222.408442990651</v>
      </c>
      <c r="J137" s="25">
        <v>0</v>
      </c>
      <c r="K137" s="25">
        <v>0</v>
      </c>
      <c r="L137" s="25">
        <f t="shared" si="6"/>
        <v>19222.408442990651</v>
      </c>
      <c r="M137" s="26"/>
      <c r="N137" s="314">
        <v>0.93490804699999996</v>
      </c>
      <c r="O137" s="310"/>
      <c r="P137" s="308"/>
      <c r="Q137" s="300"/>
    </row>
    <row r="138" spans="1:17" ht="18.95" customHeight="1">
      <c r="A138" s="28"/>
      <c r="B138" s="27" t="s">
        <v>4389</v>
      </c>
      <c r="C138" s="29" t="s">
        <v>4295</v>
      </c>
      <c r="D138" s="301"/>
      <c r="E138" s="25">
        <v>8</v>
      </c>
      <c r="F138" s="30" t="s">
        <v>349</v>
      </c>
      <c r="G138" s="242">
        <f>16466/1.07</f>
        <v>15388.785046728972</v>
      </c>
      <c r="H138" s="25">
        <f t="shared" si="4"/>
        <v>14387.098973740187</v>
      </c>
      <c r="I138" s="25">
        <f t="shared" si="5"/>
        <v>115096.7917899215</v>
      </c>
      <c r="J138" s="25">
        <v>0</v>
      </c>
      <c r="K138" s="25">
        <v>0</v>
      </c>
      <c r="L138" s="25">
        <f t="shared" si="6"/>
        <v>115096.7917899215</v>
      </c>
      <c r="M138" s="26"/>
      <c r="N138" s="314">
        <v>0.93490804699999996</v>
      </c>
    </row>
    <row r="139" spans="1:17" ht="18.95" customHeight="1">
      <c r="A139" s="28"/>
      <c r="B139" s="27" t="s">
        <v>4390</v>
      </c>
      <c r="C139" s="29" t="s">
        <v>4295</v>
      </c>
      <c r="D139" s="301"/>
      <c r="E139" s="25">
        <v>4</v>
      </c>
      <c r="F139" s="30" t="s">
        <v>349</v>
      </c>
      <c r="G139" s="242">
        <f>19227/1.07</f>
        <v>17969.158878504673</v>
      </c>
      <c r="H139" s="25">
        <f t="shared" si="4"/>
        <v>16799.511233335514</v>
      </c>
      <c r="I139" s="25">
        <f t="shared" si="5"/>
        <v>67198.044933342055</v>
      </c>
      <c r="J139" s="25">
        <v>0</v>
      </c>
      <c r="K139" s="25">
        <v>0</v>
      </c>
      <c r="L139" s="25">
        <f t="shared" si="6"/>
        <v>67198.044933342055</v>
      </c>
      <c r="M139" s="26"/>
      <c r="N139" s="314">
        <v>0.93490804699999996</v>
      </c>
    </row>
    <row r="140" spans="1:17" ht="19.350000000000001" customHeight="1">
      <c r="A140" s="115"/>
      <c r="B140" s="315"/>
      <c r="C140" s="316"/>
      <c r="D140" s="40"/>
      <c r="E140" s="72"/>
      <c r="F140" s="26"/>
      <c r="G140" s="242"/>
      <c r="H140" s="242"/>
      <c r="I140" s="72"/>
      <c r="J140" s="72"/>
      <c r="K140" s="72"/>
      <c r="L140" s="26"/>
      <c r="M140" s="26"/>
      <c r="N140" s="324"/>
    </row>
    <row r="141" spans="1:17" ht="19.350000000000001" customHeight="1">
      <c r="A141" s="115"/>
      <c r="B141" s="1248" t="s">
        <v>4391</v>
      </c>
      <c r="C141" s="1249"/>
      <c r="D141" s="1250"/>
      <c r="E141" s="35">
        <f>SUM(E32:E140)</f>
        <v>362</v>
      </c>
      <c r="F141" s="30" t="s">
        <v>349</v>
      </c>
      <c r="G141" s="35"/>
      <c r="H141" s="35"/>
      <c r="I141" s="35">
        <f>SUM(I32:I140)</f>
        <v>5895882.2639548415</v>
      </c>
      <c r="J141" s="35">
        <f>SUM(J32:J140)</f>
        <v>0</v>
      </c>
      <c r="K141" s="35">
        <f>SUM(K32:K140)</f>
        <v>0</v>
      </c>
      <c r="L141" s="35">
        <f>SUM(L32:L140)</f>
        <v>5895882.2639548415</v>
      </c>
      <c r="M141" s="26"/>
      <c r="N141" s="324"/>
    </row>
    <row r="142" spans="1:17" ht="19.350000000000001" customHeight="1">
      <c r="A142" s="320"/>
      <c r="B142" s="321"/>
      <c r="C142" s="322"/>
      <c r="D142" s="323"/>
      <c r="E142" s="54"/>
      <c r="F142" s="55"/>
      <c r="G142" s="54"/>
      <c r="H142" s="54"/>
      <c r="I142" s="54"/>
      <c r="J142" s="54"/>
      <c r="K142" s="146"/>
      <c r="L142" s="107"/>
      <c r="M142" s="55"/>
      <c r="N142" s="324"/>
    </row>
    <row r="143" spans="1:17" ht="18.95" customHeight="1">
      <c r="N143" s="324"/>
    </row>
  </sheetData>
  <mergeCells count="15">
    <mergeCell ref="M5:M6"/>
    <mergeCell ref="B5:D6"/>
    <mergeCell ref="G5:I5"/>
    <mergeCell ref="J5:K5"/>
    <mergeCell ref="B141:D141"/>
    <mergeCell ref="K1:L1"/>
    <mergeCell ref="A2:C2"/>
    <mergeCell ref="A3:C3"/>
    <mergeCell ref="B12:D12"/>
    <mergeCell ref="B29:D29"/>
    <mergeCell ref="A1:C1"/>
    <mergeCell ref="D1:I1"/>
    <mergeCell ref="A5:A6"/>
    <mergeCell ref="E5:E6"/>
    <mergeCell ref="F5:F6"/>
  </mergeCells>
  <printOptions horizontalCentered="1"/>
  <pageMargins left="0.39370078740157499" right="0.39370078740157499" top="1.1811023622047201" bottom="0" header="0.78740157480314998" footer="0"/>
  <pageSetup paperSize="9" scale="83" firstPageNumber="32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New,Regular"&amp;14แบบปร.4(ข) แผ่นที่ &amp;P/44</oddHeader>
  </headerFooter>
  <rowBreaks count="4" manualBreakCount="4">
    <brk id="30" max="11" man="1"/>
    <brk id="58" max="11" man="1"/>
    <brk id="86" max="11" man="1"/>
    <brk id="11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Q198"/>
  <sheetViews>
    <sheetView view="pageBreakPreview" topLeftCell="A64" zoomScaleNormal="70" workbookViewId="0">
      <selection activeCell="D27" sqref="D27"/>
    </sheetView>
  </sheetViews>
  <sheetFormatPr defaultColWidth="10.453125" defaultRowHeight="18.95" customHeight="1"/>
  <cols>
    <col min="1" max="1" width="6.7265625" style="203" customWidth="1"/>
    <col min="2" max="2" width="6.453125" style="204" customWidth="1"/>
    <col min="3" max="3" width="24.453125" style="205" customWidth="1"/>
    <col min="4" max="4" width="37.1796875" style="203" customWidth="1"/>
    <col min="5" max="5" width="11.453125" style="157" customWidth="1"/>
    <col min="6" max="6" width="9.54296875" style="154" customWidth="1"/>
    <col min="7" max="7" width="15.7265625" style="157" hidden="1" customWidth="1"/>
    <col min="8" max="9" width="15.7265625" style="157" customWidth="1"/>
    <col min="10" max="10" width="15.7265625" style="157" hidden="1" customWidth="1"/>
    <col min="11" max="13" width="15.7265625" style="157" customWidth="1"/>
    <col min="14" max="14" width="17.453125" style="203" customWidth="1"/>
    <col min="15" max="15" width="13.7265625" style="203" customWidth="1"/>
    <col min="16" max="16" width="12.7265625" style="203" customWidth="1"/>
    <col min="17" max="16384" width="10.453125" style="203"/>
  </cols>
  <sheetData>
    <row r="1" spans="1:17" s="1" customFormat="1" ht="18.95" customHeight="1">
      <c r="A1" s="1229" t="s">
        <v>181</v>
      </c>
      <c r="B1" s="1229"/>
      <c r="C1" s="1229"/>
      <c r="D1" s="1367" t="str">
        <f>+'แบบ ปร.5(ข)'!C4</f>
        <v>โครงการจัดตั้งศูนย์การเรียนรู้แห่งชาติ OKMD : OKMD National Knowledge Center (Ratchadamnoen Center 1 และ 2)</v>
      </c>
      <c r="E1" s="1367"/>
      <c r="F1" s="1367"/>
      <c r="G1" s="1367"/>
      <c r="H1" s="1367"/>
      <c r="I1" s="1367"/>
      <c r="J1" s="95" t="s">
        <v>182</v>
      </c>
      <c r="K1" s="95" t="s">
        <v>182</v>
      </c>
      <c r="L1" s="1230" t="s">
        <v>4392</v>
      </c>
      <c r="M1" s="1230"/>
      <c r="N1" s="7"/>
    </row>
    <row r="2" spans="1:17" s="1" customFormat="1" ht="18.95" customHeight="1">
      <c r="A2" s="1231" t="s">
        <v>125</v>
      </c>
      <c r="B2" s="1231"/>
      <c r="C2" s="1231"/>
      <c r="D2" s="7" t="str">
        <f>+'แบบ ปร.5(ข)'!C5</f>
        <v>แขวงตลาดยอด เขตพระนคร กรุงเทพมหานคร</v>
      </c>
      <c r="E2" s="8"/>
      <c r="F2" s="8"/>
      <c r="G2" s="8"/>
      <c r="H2" s="8"/>
      <c r="I2" s="8"/>
      <c r="J2" s="96" t="s">
        <v>184</v>
      </c>
      <c r="K2" s="96" t="s">
        <v>184</v>
      </c>
      <c r="L2" s="97" t="str">
        <f>+'แบบ ปร.5(ข)'!C10</f>
        <v xml:space="preserve">  16 กรกฎาคม 2568</v>
      </c>
      <c r="M2" s="8"/>
      <c r="N2" s="9"/>
    </row>
    <row r="3" spans="1:17" s="1" customFormat="1" ht="18.95" customHeight="1">
      <c r="A3" s="1231" t="s">
        <v>185</v>
      </c>
      <c r="B3" s="1231"/>
      <c r="C3" s="1231"/>
      <c r="D3" s="9" t="str">
        <f>+'แบบ ปร.5(ข)'!C9</f>
        <v>คณะกรรมการกำหนดราคากลาง</v>
      </c>
      <c r="E3" s="8"/>
      <c r="F3" s="8"/>
      <c r="G3" s="8"/>
      <c r="H3" s="8"/>
      <c r="I3" s="96"/>
      <c r="J3" s="96"/>
      <c r="K3" s="96"/>
      <c r="L3" s="97"/>
      <c r="M3" s="8"/>
      <c r="N3" s="9"/>
    </row>
    <row r="4" spans="1:17" s="1" customFormat="1" ht="18.95" customHeight="1">
      <c r="B4" s="206"/>
      <c r="C4" s="2"/>
      <c r="E4" s="3"/>
      <c r="F4" s="169"/>
      <c r="G4" s="3"/>
      <c r="H4" s="3"/>
      <c r="I4" s="3"/>
      <c r="J4" s="3"/>
      <c r="K4" s="3"/>
      <c r="L4" s="3"/>
      <c r="M4" s="3"/>
    </row>
    <row r="5" spans="1:17" ht="18.95" customHeight="1">
      <c r="A5" s="1270" t="s">
        <v>186</v>
      </c>
      <c r="B5" s="1235" t="s">
        <v>138</v>
      </c>
      <c r="C5" s="1287"/>
      <c r="D5" s="1288"/>
      <c r="E5" s="1237" t="s">
        <v>187</v>
      </c>
      <c r="F5" s="1237" t="s">
        <v>188</v>
      </c>
      <c r="G5" s="1269" t="s">
        <v>189</v>
      </c>
      <c r="H5" s="1233"/>
      <c r="I5" s="1234"/>
      <c r="J5" s="1269" t="s">
        <v>190</v>
      </c>
      <c r="K5" s="1233"/>
      <c r="L5" s="1234"/>
      <c r="M5" s="10" t="s">
        <v>191</v>
      </c>
      <c r="N5" s="1270" t="s">
        <v>140</v>
      </c>
    </row>
    <row r="6" spans="1:17" ht="18.95" customHeight="1">
      <c r="A6" s="1271"/>
      <c r="B6" s="1236"/>
      <c r="C6" s="1289"/>
      <c r="D6" s="1290"/>
      <c r="E6" s="1238"/>
      <c r="F6" s="1238"/>
      <c r="G6" s="12" t="s">
        <v>192</v>
      </c>
      <c r="H6" s="12" t="s">
        <v>192</v>
      </c>
      <c r="I6" s="12" t="s">
        <v>193</v>
      </c>
      <c r="J6" s="12" t="s">
        <v>192</v>
      </c>
      <c r="K6" s="12" t="s">
        <v>192</v>
      </c>
      <c r="L6" s="12" t="s">
        <v>193</v>
      </c>
      <c r="M6" s="12" t="s">
        <v>194</v>
      </c>
      <c r="N6" s="1271"/>
    </row>
    <row r="7" spans="1:17" ht="18.95" customHeight="1">
      <c r="A7" s="14"/>
      <c r="B7" s="15" t="s">
        <v>4393</v>
      </c>
      <c r="C7" s="15"/>
      <c r="D7" s="17"/>
      <c r="E7" s="18"/>
      <c r="F7" s="19"/>
      <c r="G7" s="18"/>
      <c r="H7" s="18"/>
      <c r="I7" s="18"/>
      <c r="J7" s="20"/>
      <c r="K7" s="20"/>
      <c r="L7" s="218"/>
      <c r="M7" s="19"/>
      <c r="N7" s="19"/>
    </row>
    <row r="8" spans="1:17" ht="18.95" customHeight="1">
      <c r="A8" s="207"/>
      <c r="B8" s="22" t="s">
        <v>162</v>
      </c>
      <c r="C8" s="208"/>
      <c r="D8" s="24"/>
      <c r="E8" s="25"/>
      <c r="F8" s="26"/>
      <c r="G8" s="25"/>
      <c r="H8" s="25"/>
      <c r="I8" s="25"/>
      <c r="J8" s="30"/>
      <c r="K8" s="30"/>
      <c r="L8" s="30"/>
      <c r="M8" s="72"/>
      <c r="N8" s="26"/>
    </row>
    <row r="9" spans="1:17" ht="18.95" customHeight="1">
      <c r="A9" s="207"/>
      <c r="B9" s="22"/>
      <c r="C9" s="208"/>
      <c r="D9" s="209"/>
      <c r="E9" s="25"/>
      <c r="F9" s="26"/>
      <c r="G9" s="25"/>
      <c r="H9" s="25"/>
      <c r="I9" s="25"/>
      <c r="J9" s="30"/>
      <c r="K9" s="30"/>
      <c r="L9" s="30"/>
      <c r="M9" s="72"/>
      <c r="N9" s="26"/>
    </row>
    <row r="10" spans="1:17" ht="18.95" customHeight="1">
      <c r="A10" s="28">
        <v>1</v>
      </c>
      <c r="B10" s="27" t="s">
        <v>4394</v>
      </c>
      <c r="C10" s="29"/>
      <c r="D10" s="210"/>
      <c r="E10" s="25">
        <f>E77</f>
        <v>2778</v>
      </c>
      <c r="F10" s="26" t="s">
        <v>349</v>
      </c>
      <c r="G10" s="25"/>
      <c r="H10" s="25"/>
      <c r="I10" s="25">
        <f>I77</f>
        <v>5230249.5781367999</v>
      </c>
      <c r="J10" s="25" t="s">
        <v>151</v>
      </c>
      <c r="K10" s="25"/>
      <c r="L10" s="242">
        <f>L77</f>
        <v>420708.62114999996</v>
      </c>
      <c r="M10" s="25">
        <f>M77</f>
        <v>5650958.1992867999</v>
      </c>
      <c r="N10" s="26"/>
      <c r="O10" s="154">
        <f>P10*0.934908047</f>
        <v>5650958.1992867999</v>
      </c>
      <c r="P10" s="157">
        <v>6044400</v>
      </c>
      <c r="Q10" s="157"/>
    </row>
    <row r="11" spans="1:17" ht="18.95" customHeight="1">
      <c r="A11" s="28"/>
      <c r="B11" s="27"/>
      <c r="C11" s="29"/>
      <c r="D11" s="210"/>
      <c r="E11" s="25"/>
      <c r="F11" s="26"/>
      <c r="G11" s="30"/>
      <c r="H11" s="30"/>
      <c r="I11" s="30"/>
      <c r="J11" s="30"/>
      <c r="K11" s="30"/>
      <c r="L11" s="242"/>
      <c r="M11" s="26"/>
      <c r="N11" s="26"/>
      <c r="O11" s="243"/>
    </row>
    <row r="12" spans="1:17" s="1" customFormat="1" ht="18.95" customHeight="1">
      <c r="A12" s="58"/>
      <c r="B12" s="1272" t="s">
        <v>4395</v>
      </c>
      <c r="C12" s="1273"/>
      <c r="D12" s="1274"/>
      <c r="E12" s="34"/>
      <c r="F12" s="30"/>
      <c r="G12" s="34"/>
      <c r="H12" s="34"/>
      <c r="I12" s="34">
        <f>SUM(I10:I10)</f>
        <v>5230249.5781367999</v>
      </c>
      <c r="J12" s="34" t="s">
        <v>151</v>
      </c>
      <c r="K12" s="34"/>
      <c r="L12" s="244">
        <f>SUM(L10:L10)</f>
        <v>420708.62114999996</v>
      </c>
      <c r="M12" s="34">
        <f>SUM(M10:M10)</f>
        <v>5650958.1992867999</v>
      </c>
      <c r="N12" s="35"/>
      <c r="O12" s="245"/>
    </row>
    <row r="13" spans="1:17" s="1" customFormat="1" ht="18.95" customHeight="1">
      <c r="A13" s="58"/>
      <c r="B13" s="31"/>
      <c r="C13" s="32"/>
      <c r="D13" s="33"/>
      <c r="E13" s="34"/>
      <c r="F13" s="26"/>
      <c r="G13" s="34"/>
      <c r="H13" s="34"/>
      <c r="I13" s="34"/>
      <c r="J13" s="34"/>
      <c r="K13" s="34"/>
      <c r="L13" s="34"/>
      <c r="M13" s="34"/>
      <c r="N13" s="35"/>
      <c r="O13" s="245"/>
    </row>
    <row r="14" spans="1:17" s="1" customFormat="1" ht="18.95" customHeight="1">
      <c r="A14" s="58"/>
      <c r="B14" s="31"/>
      <c r="C14" s="32"/>
      <c r="D14" s="33"/>
      <c r="E14" s="34"/>
      <c r="F14" s="26"/>
      <c r="G14" s="34"/>
      <c r="H14" s="34"/>
      <c r="I14" s="34"/>
      <c r="J14" s="34"/>
      <c r="K14" s="34"/>
      <c r="L14" s="34"/>
      <c r="M14" s="34"/>
      <c r="N14" s="35"/>
      <c r="O14" s="245"/>
    </row>
    <row r="15" spans="1:17" s="1" customFormat="1" ht="18.95" customHeight="1">
      <c r="A15" s="58"/>
      <c r="B15" s="31"/>
      <c r="C15" s="32"/>
      <c r="D15" s="33"/>
      <c r="E15" s="34"/>
      <c r="F15" s="26"/>
      <c r="G15" s="34"/>
      <c r="H15" s="34"/>
      <c r="I15" s="34"/>
      <c r="J15" s="34"/>
      <c r="K15" s="34"/>
      <c r="L15" s="34"/>
      <c r="M15" s="34"/>
      <c r="N15" s="35"/>
      <c r="O15" s="245"/>
    </row>
    <row r="16" spans="1:17" s="1" customFormat="1" ht="18.95" customHeight="1">
      <c r="A16" s="58"/>
      <c r="B16" s="31"/>
      <c r="C16" s="32"/>
      <c r="D16" s="33"/>
      <c r="E16" s="34"/>
      <c r="F16" s="26"/>
      <c r="G16" s="34"/>
      <c r="H16" s="34"/>
      <c r="I16" s="34"/>
      <c r="J16" s="34"/>
      <c r="K16" s="34"/>
      <c r="L16" s="34"/>
      <c r="M16" s="34"/>
      <c r="N16" s="35"/>
      <c r="O16" s="245"/>
    </row>
    <row r="17" spans="1:15" s="1" customFormat="1" ht="18.95" customHeight="1">
      <c r="A17" s="58"/>
      <c r="B17" s="31"/>
      <c r="C17" s="32"/>
      <c r="D17" s="33"/>
      <c r="E17" s="34"/>
      <c r="F17" s="26"/>
      <c r="G17" s="34"/>
      <c r="H17" s="34"/>
      <c r="I17" s="34"/>
      <c r="J17" s="34"/>
      <c r="K17" s="34"/>
      <c r="L17" s="34"/>
      <c r="M17" s="34"/>
      <c r="N17" s="35"/>
      <c r="O17" s="245"/>
    </row>
    <row r="18" spans="1:15" s="1" customFormat="1" ht="18.95" customHeight="1">
      <c r="A18" s="58"/>
      <c r="B18" s="31"/>
      <c r="C18" s="32"/>
      <c r="D18" s="33"/>
      <c r="E18" s="34"/>
      <c r="F18" s="26"/>
      <c r="G18" s="34"/>
      <c r="H18" s="34"/>
      <c r="I18" s="34"/>
      <c r="J18" s="34"/>
      <c r="K18" s="34"/>
      <c r="L18" s="34"/>
      <c r="M18" s="34"/>
      <c r="N18" s="35"/>
      <c r="O18" s="245"/>
    </row>
    <row r="19" spans="1:15" s="1" customFormat="1" ht="18.95" customHeight="1">
      <c r="A19" s="58"/>
      <c r="B19" s="31"/>
      <c r="C19" s="32"/>
      <c r="D19" s="33"/>
      <c r="E19" s="34"/>
      <c r="F19" s="26"/>
      <c r="G19" s="34"/>
      <c r="H19" s="34"/>
      <c r="I19" s="34"/>
      <c r="J19" s="34"/>
      <c r="K19" s="34"/>
      <c r="L19" s="34"/>
      <c r="M19" s="34"/>
      <c r="N19" s="35"/>
      <c r="O19" s="245"/>
    </row>
    <row r="20" spans="1:15" s="1" customFormat="1" ht="18.95" customHeight="1">
      <c r="A20" s="58"/>
      <c r="B20" s="31"/>
      <c r="C20" s="32"/>
      <c r="D20" s="33"/>
      <c r="E20" s="34"/>
      <c r="F20" s="26"/>
      <c r="G20" s="34"/>
      <c r="H20" s="34"/>
      <c r="I20" s="34"/>
      <c r="J20" s="34"/>
      <c r="K20" s="34"/>
      <c r="L20" s="34"/>
      <c r="M20" s="34"/>
      <c r="N20" s="35"/>
      <c r="O20" s="245"/>
    </row>
    <row r="21" spans="1:15" s="1" customFormat="1" ht="18.95" customHeight="1">
      <c r="A21" s="58"/>
      <c r="B21" s="31"/>
      <c r="C21" s="32"/>
      <c r="D21" s="33"/>
      <c r="E21" s="34"/>
      <c r="F21" s="26"/>
      <c r="G21" s="34"/>
      <c r="H21" s="34"/>
      <c r="I21" s="34"/>
      <c r="J21" s="34"/>
      <c r="K21" s="34"/>
      <c r="L21" s="34"/>
      <c r="M21" s="34"/>
      <c r="N21" s="35"/>
      <c r="O21" s="245"/>
    </row>
    <row r="22" spans="1:15" s="1" customFormat="1" ht="18.95" customHeight="1">
      <c r="A22" s="58"/>
      <c r="B22" s="31"/>
      <c r="C22" s="32"/>
      <c r="D22" s="33"/>
      <c r="E22" s="34"/>
      <c r="F22" s="26"/>
      <c r="G22" s="34"/>
      <c r="H22" s="34"/>
      <c r="I22" s="34"/>
      <c r="J22" s="34"/>
      <c r="K22" s="34"/>
      <c r="L22" s="34"/>
      <c r="M22" s="34"/>
      <c r="N22" s="35"/>
      <c r="O22" s="245"/>
    </row>
    <row r="23" spans="1:15" s="1" customFormat="1" ht="18.95" customHeight="1">
      <c r="A23" s="58"/>
      <c r="B23" s="31"/>
      <c r="C23" s="32"/>
      <c r="D23" s="33"/>
      <c r="E23" s="34"/>
      <c r="F23" s="26"/>
      <c r="G23" s="34"/>
      <c r="H23" s="34"/>
      <c r="I23" s="34"/>
      <c r="J23" s="34"/>
      <c r="K23" s="34"/>
      <c r="L23" s="34"/>
      <c r="M23" s="34"/>
      <c r="N23" s="35"/>
      <c r="O23" s="245"/>
    </row>
    <row r="24" spans="1:15" s="1" customFormat="1" ht="18.95" customHeight="1">
      <c r="A24" s="58"/>
      <c r="B24" s="31"/>
      <c r="C24" s="32"/>
      <c r="D24" s="33"/>
      <c r="E24" s="34"/>
      <c r="F24" s="26"/>
      <c r="G24" s="34"/>
      <c r="H24" s="34"/>
      <c r="I24" s="34"/>
      <c r="J24" s="34"/>
      <c r="K24" s="34"/>
      <c r="L24" s="34"/>
      <c r="M24" s="34"/>
      <c r="N24" s="35"/>
      <c r="O24" s="245"/>
    </row>
    <row r="25" spans="1:15" s="1" customFormat="1" ht="18.95" customHeight="1">
      <c r="A25" s="58"/>
      <c r="B25" s="31"/>
      <c r="C25" s="32"/>
      <c r="D25" s="33"/>
      <c r="E25" s="34"/>
      <c r="F25" s="26"/>
      <c r="G25" s="34"/>
      <c r="H25" s="34"/>
      <c r="I25" s="34"/>
      <c r="J25" s="34"/>
      <c r="K25" s="34"/>
      <c r="L25" s="34"/>
      <c r="M25" s="34"/>
      <c r="N25" s="35"/>
      <c r="O25" s="245"/>
    </row>
    <row r="26" spans="1:15" s="1" customFormat="1" ht="18.95" customHeight="1">
      <c r="A26" s="58"/>
      <c r="B26" s="31"/>
      <c r="C26" s="32"/>
      <c r="D26" s="33"/>
      <c r="E26" s="34"/>
      <c r="F26" s="26"/>
      <c r="G26" s="34"/>
      <c r="H26" s="34"/>
      <c r="I26" s="34"/>
      <c r="J26" s="34"/>
      <c r="K26" s="34"/>
      <c r="L26" s="34"/>
      <c r="M26" s="34"/>
      <c r="N26" s="35"/>
      <c r="O26" s="245"/>
    </row>
    <row r="27" spans="1:15" s="1" customFormat="1" ht="18.95" customHeight="1">
      <c r="A27" s="58"/>
      <c r="B27" s="31"/>
      <c r="C27" s="32"/>
      <c r="D27" s="33"/>
      <c r="E27" s="34"/>
      <c r="F27" s="26"/>
      <c r="G27" s="34"/>
      <c r="H27" s="34"/>
      <c r="I27" s="34"/>
      <c r="J27" s="34"/>
      <c r="K27" s="34"/>
      <c r="L27" s="34"/>
      <c r="M27" s="34"/>
      <c r="N27" s="35"/>
      <c r="O27" s="245"/>
    </row>
    <row r="28" spans="1:15" s="1" customFormat="1" ht="18.95" customHeight="1">
      <c r="A28" s="58"/>
      <c r="B28" s="31"/>
      <c r="C28" s="32"/>
      <c r="D28" s="33"/>
      <c r="E28" s="34"/>
      <c r="F28" s="26"/>
      <c r="G28" s="34"/>
      <c r="H28" s="34"/>
      <c r="I28" s="34"/>
      <c r="J28" s="34"/>
      <c r="K28" s="34"/>
      <c r="L28" s="34"/>
      <c r="M28" s="34"/>
      <c r="N28" s="35"/>
      <c r="O28" s="245"/>
    </row>
    <row r="29" spans="1:15" s="1" customFormat="1" ht="18.95" customHeight="1">
      <c r="A29" s="58"/>
      <c r="B29" s="31"/>
      <c r="C29" s="32"/>
      <c r="D29" s="33"/>
      <c r="E29" s="34"/>
      <c r="F29" s="26"/>
      <c r="G29" s="34"/>
      <c r="H29" s="34"/>
      <c r="I29" s="34"/>
      <c r="J29" s="34"/>
      <c r="K29" s="34"/>
      <c r="L29" s="34"/>
      <c r="M29" s="34"/>
      <c r="N29" s="35"/>
      <c r="O29" s="245"/>
    </row>
    <row r="30" spans="1:15" s="1" customFormat="1" ht="18.95" customHeight="1">
      <c r="A30" s="211"/>
      <c r="B30" s="212"/>
      <c r="C30" s="213"/>
      <c r="D30" s="214"/>
      <c r="E30" s="143"/>
      <c r="F30" s="55"/>
      <c r="G30" s="143"/>
      <c r="H30" s="143"/>
      <c r="I30" s="143"/>
      <c r="J30" s="143"/>
      <c r="K30" s="143"/>
      <c r="L30" s="143"/>
      <c r="M30" s="143"/>
      <c r="N30" s="130"/>
      <c r="O30" s="245"/>
    </row>
    <row r="31" spans="1:15" s="1" customFormat="1" ht="18.95" customHeight="1">
      <c r="A31" s="215">
        <v>1</v>
      </c>
      <c r="B31" s="216" t="s">
        <v>4396</v>
      </c>
      <c r="C31" s="15"/>
      <c r="D31" s="217"/>
      <c r="E31" s="218"/>
      <c r="F31" s="219"/>
      <c r="G31" s="218"/>
      <c r="H31" s="218"/>
      <c r="I31" s="218"/>
      <c r="J31" s="246"/>
      <c r="K31" s="246"/>
      <c r="L31" s="218"/>
      <c r="M31" s="219"/>
      <c r="N31" s="219"/>
    </row>
    <row r="32" spans="1:15" s="1" customFormat="1" ht="18.95" customHeight="1">
      <c r="A32" s="220"/>
      <c r="B32" s="221"/>
      <c r="C32" s="221"/>
      <c r="D32" s="222"/>
      <c r="E32" s="34"/>
      <c r="F32" s="35"/>
      <c r="G32" s="34"/>
      <c r="H32" s="34"/>
      <c r="I32" s="34"/>
      <c r="J32" s="102"/>
      <c r="K32" s="102"/>
      <c r="L32" s="34"/>
      <c r="M32" s="35"/>
      <c r="N32" s="247"/>
    </row>
    <row r="33" spans="1:15" ht="18.95" customHeight="1">
      <c r="A33" s="58">
        <v>1.1000000000000001</v>
      </c>
      <c r="B33" s="221" t="s">
        <v>4397</v>
      </c>
      <c r="C33" s="221"/>
      <c r="D33" s="24"/>
      <c r="E33" s="25"/>
      <c r="F33" s="26"/>
      <c r="G33" s="25"/>
      <c r="H33" s="25"/>
      <c r="I33" s="25"/>
      <c r="J33" s="30"/>
      <c r="K33" s="30"/>
      <c r="L33" s="34"/>
      <c r="M33" s="26"/>
      <c r="N33" s="248"/>
    </row>
    <row r="34" spans="1:15" ht="18.95" customHeight="1">
      <c r="A34" s="58"/>
      <c r="B34" s="223" t="s">
        <v>4398</v>
      </c>
      <c r="C34" s="208"/>
      <c r="D34" s="24"/>
      <c r="E34" s="25">
        <v>7</v>
      </c>
      <c r="F34" s="26" t="s">
        <v>349</v>
      </c>
      <c r="G34" s="25">
        <v>78000</v>
      </c>
      <c r="H34" s="25">
        <f>G34*O34</f>
        <v>72922.827665999997</v>
      </c>
      <c r="I34" s="25">
        <f>E34*H34</f>
        <v>510459.79366199998</v>
      </c>
      <c r="J34" s="25"/>
      <c r="K34" s="25"/>
      <c r="L34" s="30">
        <f t="shared" ref="L34:L50" si="0">E34*J34</f>
        <v>0</v>
      </c>
      <c r="M34" s="72">
        <f t="shared" ref="M34:M50" si="1">I34+L34</f>
        <v>510459.79366199998</v>
      </c>
      <c r="N34" s="249"/>
      <c r="O34" s="250">
        <v>0.93490804699999996</v>
      </c>
    </row>
    <row r="35" spans="1:15" ht="18.95" customHeight="1">
      <c r="A35" s="207"/>
      <c r="B35" s="223" t="s">
        <v>4399</v>
      </c>
      <c r="C35" s="208"/>
      <c r="D35" s="24"/>
      <c r="E35" s="25">
        <v>6</v>
      </c>
      <c r="F35" s="26" t="s">
        <v>349</v>
      </c>
      <c r="G35" s="25">
        <v>75000</v>
      </c>
      <c r="H35" s="25">
        <f t="shared" ref="H35:H73" si="2">G35*O35</f>
        <v>70118.103524999999</v>
      </c>
      <c r="I35" s="25">
        <f t="shared" ref="I35:I76" si="3">E35*H35</f>
        <v>420708.62115000002</v>
      </c>
      <c r="J35" s="25"/>
      <c r="K35" s="25"/>
      <c r="L35" s="30">
        <f t="shared" si="0"/>
        <v>0</v>
      </c>
      <c r="M35" s="72">
        <f t="shared" si="1"/>
        <v>420708.62115000002</v>
      </c>
      <c r="N35" s="249"/>
      <c r="O35" s="250">
        <v>0.93490804699999996</v>
      </c>
    </row>
    <row r="36" spans="1:15" ht="18.95" customHeight="1">
      <c r="A36" s="207"/>
      <c r="B36" s="41" t="s">
        <v>4400</v>
      </c>
      <c r="C36" s="29"/>
      <c r="D36" s="24"/>
      <c r="E36" s="25">
        <v>4</v>
      </c>
      <c r="F36" s="26" t="s">
        <v>349</v>
      </c>
      <c r="G36" s="25">
        <v>77000</v>
      </c>
      <c r="H36" s="25">
        <f t="shared" si="2"/>
        <v>71987.919618999993</v>
      </c>
      <c r="I36" s="25">
        <f t="shared" si="3"/>
        <v>287951.67847599997</v>
      </c>
      <c r="J36" s="25">
        <v>0</v>
      </c>
      <c r="K36" s="25"/>
      <c r="L36" s="30">
        <f t="shared" si="0"/>
        <v>0</v>
      </c>
      <c r="M36" s="72">
        <f t="shared" si="1"/>
        <v>287951.67847599997</v>
      </c>
      <c r="N36" s="249"/>
      <c r="O36" s="250">
        <v>0.93490804699999996</v>
      </c>
    </row>
    <row r="37" spans="1:15" ht="18.95" customHeight="1">
      <c r="A37" s="207"/>
      <c r="B37" s="41" t="s">
        <v>4401</v>
      </c>
      <c r="C37" s="29"/>
      <c r="D37" s="24"/>
      <c r="E37" s="25">
        <v>2</v>
      </c>
      <c r="F37" s="26" t="s">
        <v>349</v>
      </c>
      <c r="G37" s="25">
        <v>62200</v>
      </c>
      <c r="H37" s="25">
        <f t="shared" si="2"/>
        <v>58151.280523399997</v>
      </c>
      <c r="I37" s="25">
        <f t="shared" si="3"/>
        <v>116302.56104679999</v>
      </c>
      <c r="J37" s="25">
        <v>0</v>
      </c>
      <c r="K37" s="25"/>
      <c r="L37" s="30">
        <f t="shared" si="0"/>
        <v>0</v>
      </c>
      <c r="M37" s="72">
        <f t="shared" si="1"/>
        <v>116302.56104679999</v>
      </c>
      <c r="N37" s="249"/>
      <c r="O37" s="250">
        <v>0.93490804699999996</v>
      </c>
    </row>
    <row r="38" spans="1:15" ht="18.95" customHeight="1">
      <c r="A38" s="207"/>
      <c r="B38" s="41" t="s">
        <v>4402</v>
      </c>
      <c r="C38" s="29"/>
      <c r="D38" s="24"/>
      <c r="E38" s="25">
        <v>1</v>
      </c>
      <c r="F38" s="26" t="s">
        <v>349</v>
      </c>
      <c r="G38" s="25">
        <v>58500</v>
      </c>
      <c r="H38" s="25">
        <f t="shared" si="2"/>
        <v>54692.120749499998</v>
      </c>
      <c r="I38" s="25">
        <f t="shared" si="3"/>
        <v>54692.120749499998</v>
      </c>
      <c r="J38" s="25">
        <v>0</v>
      </c>
      <c r="K38" s="25"/>
      <c r="L38" s="30">
        <f t="shared" si="0"/>
        <v>0</v>
      </c>
      <c r="M38" s="72">
        <f t="shared" si="1"/>
        <v>54692.120749499998</v>
      </c>
      <c r="N38" s="249"/>
      <c r="O38" s="250">
        <v>0.93490804699999996</v>
      </c>
    </row>
    <row r="39" spans="1:15" ht="18.95" customHeight="1">
      <c r="A39" s="224">
        <v>1.2</v>
      </c>
      <c r="B39" s="225" t="s">
        <v>4403</v>
      </c>
      <c r="C39" s="29"/>
      <c r="D39" s="24"/>
      <c r="E39" s="25"/>
      <c r="F39" s="26"/>
      <c r="G39" s="25"/>
      <c r="H39" s="25"/>
      <c r="I39" s="25"/>
      <c r="J39" s="25">
        <v>0</v>
      </c>
      <c r="K39" s="25"/>
      <c r="L39" s="30">
        <f t="shared" si="0"/>
        <v>0</v>
      </c>
      <c r="M39" s="72">
        <f t="shared" si="1"/>
        <v>0</v>
      </c>
      <c r="N39" s="26"/>
      <c r="O39" s="250">
        <v>0.93490804699999996</v>
      </c>
    </row>
    <row r="40" spans="1:15" ht="18.95" customHeight="1">
      <c r="A40" s="207"/>
      <c r="B40" s="41" t="s">
        <v>4404</v>
      </c>
      <c r="C40" s="29"/>
      <c r="D40" s="24"/>
      <c r="E40" s="25">
        <v>4</v>
      </c>
      <c r="F40" s="26" t="s">
        <v>349</v>
      </c>
      <c r="G40" s="30">
        <v>62500</v>
      </c>
      <c r="H40" s="25">
        <f t="shared" si="2"/>
        <v>58431.752937500001</v>
      </c>
      <c r="I40" s="25">
        <f t="shared" si="3"/>
        <v>233727.01175000001</v>
      </c>
      <c r="J40" s="25">
        <v>0</v>
      </c>
      <c r="K40" s="25"/>
      <c r="L40" s="30">
        <f t="shared" si="0"/>
        <v>0</v>
      </c>
      <c r="M40" s="72">
        <f t="shared" si="1"/>
        <v>233727.01175000001</v>
      </c>
      <c r="N40" s="249"/>
      <c r="O40" s="250">
        <v>0.93490804699999996</v>
      </c>
    </row>
    <row r="41" spans="1:15" ht="18.95" customHeight="1">
      <c r="A41" s="207"/>
      <c r="B41" s="41" t="s">
        <v>4405</v>
      </c>
      <c r="C41" s="29"/>
      <c r="D41" s="24"/>
      <c r="E41" s="25">
        <v>1</v>
      </c>
      <c r="F41" s="26" t="s">
        <v>349</v>
      </c>
      <c r="G41" s="30">
        <v>33000</v>
      </c>
      <c r="H41" s="25">
        <f t="shared" si="2"/>
        <v>30851.965550999998</v>
      </c>
      <c r="I41" s="25">
        <f t="shared" si="3"/>
        <v>30851.965550999998</v>
      </c>
      <c r="J41" s="25">
        <v>0</v>
      </c>
      <c r="K41" s="25"/>
      <c r="L41" s="30">
        <f t="shared" si="0"/>
        <v>0</v>
      </c>
      <c r="M41" s="72">
        <f t="shared" si="1"/>
        <v>30851.965550999998</v>
      </c>
      <c r="N41" s="249"/>
      <c r="O41" s="250">
        <v>0.93490804699999996</v>
      </c>
    </row>
    <row r="42" spans="1:15" ht="18.95" customHeight="1">
      <c r="A42" s="207"/>
      <c r="B42" s="41" t="s">
        <v>4406</v>
      </c>
      <c r="C42" s="29"/>
      <c r="D42" s="24"/>
      <c r="E42" s="25">
        <v>0</v>
      </c>
      <c r="F42" s="26" t="s">
        <v>349</v>
      </c>
      <c r="G42" s="30">
        <v>33000</v>
      </c>
      <c r="H42" s="25">
        <f t="shared" si="2"/>
        <v>30851.965550999998</v>
      </c>
      <c r="I42" s="25">
        <f t="shared" si="3"/>
        <v>0</v>
      </c>
      <c r="J42" s="25">
        <v>0</v>
      </c>
      <c r="K42" s="25"/>
      <c r="L42" s="30">
        <f t="shared" si="0"/>
        <v>0</v>
      </c>
      <c r="M42" s="72">
        <f t="shared" si="1"/>
        <v>0</v>
      </c>
      <c r="N42" s="26"/>
      <c r="O42" s="250">
        <v>0.93490804699999996</v>
      </c>
    </row>
    <row r="43" spans="1:15" ht="18.95" customHeight="1">
      <c r="A43" s="207"/>
      <c r="B43" s="223" t="s">
        <v>4407</v>
      </c>
      <c r="C43" s="226"/>
      <c r="D43" s="24"/>
      <c r="E43" s="25">
        <v>18</v>
      </c>
      <c r="F43" s="26" t="s">
        <v>349</v>
      </c>
      <c r="G43" s="25">
        <v>28000</v>
      </c>
      <c r="H43" s="25">
        <f t="shared" si="2"/>
        <v>26177.425316000001</v>
      </c>
      <c r="I43" s="25">
        <f t="shared" si="3"/>
        <v>471193.65568800003</v>
      </c>
      <c r="J43" s="25">
        <v>0</v>
      </c>
      <c r="K43" s="25"/>
      <c r="L43" s="30">
        <f t="shared" si="0"/>
        <v>0</v>
      </c>
      <c r="M43" s="72">
        <f t="shared" si="1"/>
        <v>471193.65568800003</v>
      </c>
      <c r="N43" s="249"/>
      <c r="O43" s="250">
        <v>0.93490804699999996</v>
      </c>
    </row>
    <row r="44" spans="1:15" ht="18.95" customHeight="1">
      <c r="A44" s="207"/>
      <c r="B44" s="1178" t="s">
        <v>4408</v>
      </c>
      <c r="C44" s="208"/>
      <c r="D44" s="24"/>
      <c r="E44" s="25">
        <v>8</v>
      </c>
      <c r="F44" s="26" t="s">
        <v>349</v>
      </c>
      <c r="G44" s="30">
        <v>5500</v>
      </c>
      <c r="H44" s="25">
        <f t="shared" si="2"/>
        <v>5141.9942584999999</v>
      </c>
      <c r="I44" s="25">
        <f t="shared" si="3"/>
        <v>41135.954067999999</v>
      </c>
      <c r="J44" s="25">
        <v>0</v>
      </c>
      <c r="K44" s="25"/>
      <c r="L44" s="30">
        <f t="shared" si="0"/>
        <v>0</v>
      </c>
      <c r="M44" s="72">
        <f t="shared" si="1"/>
        <v>41135.954067999999</v>
      </c>
      <c r="N44" s="249"/>
      <c r="O44" s="250">
        <v>0.93490804699999996</v>
      </c>
    </row>
    <row r="45" spans="1:15" ht="18.95" customHeight="1">
      <c r="A45" s="207"/>
      <c r="B45" s="1178" t="s">
        <v>4409</v>
      </c>
      <c r="C45" s="208"/>
      <c r="D45" s="24"/>
      <c r="E45" s="25">
        <v>0</v>
      </c>
      <c r="F45" s="26" t="s">
        <v>349</v>
      </c>
      <c r="G45" s="30">
        <v>5500</v>
      </c>
      <c r="H45" s="25">
        <f t="shared" si="2"/>
        <v>5141.9942584999999</v>
      </c>
      <c r="I45" s="25">
        <f t="shared" si="3"/>
        <v>0</v>
      </c>
      <c r="J45" s="25">
        <v>0</v>
      </c>
      <c r="K45" s="25"/>
      <c r="L45" s="30">
        <f t="shared" si="0"/>
        <v>0</v>
      </c>
      <c r="M45" s="72">
        <f t="shared" si="1"/>
        <v>0</v>
      </c>
      <c r="N45" s="26"/>
      <c r="O45" s="250">
        <v>0.93490804699999996</v>
      </c>
    </row>
    <row r="46" spans="1:15" ht="18.95" customHeight="1">
      <c r="A46" s="207"/>
      <c r="B46" s="227" t="s">
        <v>4410</v>
      </c>
      <c r="C46" s="228"/>
      <c r="D46" s="24"/>
      <c r="E46" s="25">
        <v>6</v>
      </c>
      <c r="F46" s="26" t="s">
        <v>349</v>
      </c>
      <c r="G46" s="30">
        <v>5400</v>
      </c>
      <c r="H46" s="25">
        <f t="shared" si="2"/>
        <v>5048.5034538</v>
      </c>
      <c r="I46" s="25">
        <f t="shared" si="3"/>
        <v>30291.0207228</v>
      </c>
      <c r="J46" s="25">
        <v>0</v>
      </c>
      <c r="K46" s="25"/>
      <c r="L46" s="30">
        <f t="shared" si="0"/>
        <v>0</v>
      </c>
      <c r="M46" s="72">
        <f t="shared" si="1"/>
        <v>30291.0207228</v>
      </c>
      <c r="N46" s="249"/>
      <c r="O46" s="250">
        <v>0.93490804699999996</v>
      </c>
    </row>
    <row r="47" spans="1:15" ht="18.95" customHeight="1">
      <c r="A47" s="207"/>
      <c r="B47" s="227" t="s">
        <v>4411</v>
      </c>
      <c r="C47" s="228"/>
      <c r="D47" s="24"/>
      <c r="E47" s="25">
        <v>27</v>
      </c>
      <c r="F47" s="26" t="s">
        <v>349</v>
      </c>
      <c r="G47" s="30">
        <v>4300</v>
      </c>
      <c r="H47" s="25">
        <f t="shared" si="2"/>
        <v>4020.1046020999997</v>
      </c>
      <c r="I47" s="25">
        <f t="shared" si="3"/>
        <v>108542.8242567</v>
      </c>
      <c r="J47" s="25">
        <v>0</v>
      </c>
      <c r="K47" s="25"/>
      <c r="L47" s="30">
        <f t="shared" si="0"/>
        <v>0</v>
      </c>
      <c r="M47" s="72">
        <f t="shared" si="1"/>
        <v>108542.8242567</v>
      </c>
      <c r="N47" s="249"/>
      <c r="O47" s="250">
        <v>0.93490804699999996</v>
      </c>
    </row>
    <row r="48" spans="1:15" ht="18.95" customHeight="1">
      <c r="A48" s="207"/>
      <c r="B48" s="229" t="s">
        <v>4412</v>
      </c>
      <c r="C48" s="208"/>
      <c r="D48" s="230"/>
      <c r="E48" s="72">
        <v>67</v>
      </c>
      <c r="F48" s="26" t="s">
        <v>349</v>
      </c>
      <c r="G48" s="72">
        <v>1500</v>
      </c>
      <c r="H48" s="25">
        <f t="shared" si="2"/>
        <v>1402.3620704999998</v>
      </c>
      <c r="I48" s="25">
        <f t="shared" si="3"/>
        <v>93958.258723499996</v>
      </c>
      <c r="J48" s="25">
        <v>0</v>
      </c>
      <c r="K48" s="25"/>
      <c r="L48" s="30">
        <f t="shared" si="0"/>
        <v>0</v>
      </c>
      <c r="M48" s="72">
        <f t="shared" si="1"/>
        <v>93958.258723499996</v>
      </c>
      <c r="N48" s="249"/>
      <c r="O48" s="250">
        <v>0.93490804699999996</v>
      </c>
    </row>
    <row r="49" spans="1:15" ht="18.95" customHeight="1">
      <c r="A49" s="207"/>
      <c r="B49" s="229" t="s">
        <v>4413</v>
      </c>
      <c r="C49" s="231"/>
      <c r="D49" s="230"/>
      <c r="E49" s="25">
        <v>18</v>
      </c>
      <c r="F49" s="26" t="s">
        <v>349</v>
      </c>
      <c r="G49" s="30">
        <v>350</v>
      </c>
      <c r="H49" s="25">
        <f t="shared" si="2"/>
        <v>327.21781644999999</v>
      </c>
      <c r="I49" s="25">
        <f t="shared" si="3"/>
        <v>5889.9206961</v>
      </c>
      <c r="J49" s="25">
        <v>0</v>
      </c>
      <c r="K49" s="25"/>
      <c r="L49" s="30">
        <f t="shared" si="0"/>
        <v>0</v>
      </c>
      <c r="M49" s="72">
        <f t="shared" si="1"/>
        <v>5889.9206961</v>
      </c>
      <c r="N49" s="249"/>
      <c r="O49" s="250">
        <v>0.93490804699999996</v>
      </c>
    </row>
    <row r="50" spans="1:15" ht="18.95" customHeight="1">
      <c r="A50" s="207"/>
      <c r="B50" s="227" t="s">
        <v>4414</v>
      </c>
      <c r="C50" s="226"/>
      <c r="D50" s="49"/>
      <c r="E50" s="25">
        <v>22</v>
      </c>
      <c r="F50" s="26" t="s">
        <v>349</v>
      </c>
      <c r="G50" s="25">
        <v>1800</v>
      </c>
      <c r="H50" s="25">
        <f t="shared" si="2"/>
        <v>1682.8344846</v>
      </c>
      <c r="I50" s="25">
        <f t="shared" si="3"/>
        <v>37022.3586612</v>
      </c>
      <c r="J50" s="25">
        <v>0</v>
      </c>
      <c r="K50" s="25"/>
      <c r="L50" s="30">
        <f t="shared" si="0"/>
        <v>0</v>
      </c>
      <c r="M50" s="72">
        <f t="shared" si="1"/>
        <v>37022.3586612</v>
      </c>
      <c r="N50" s="249"/>
      <c r="O50" s="250">
        <v>0.93490804699999996</v>
      </c>
    </row>
    <row r="51" spans="1:15" ht="18" customHeight="1">
      <c r="A51" s="58">
        <v>1.3</v>
      </c>
      <c r="B51" s="232" t="s">
        <v>4415</v>
      </c>
      <c r="C51" s="226"/>
      <c r="D51" s="49"/>
      <c r="E51" s="25"/>
      <c r="F51" s="26"/>
      <c r="G51" s="25"/>
      <c r="H51" s="25"/>
      <c r="I51" s="25"/>
      <c r="J51" s="25"/>
      <c r="K51" s="25"/>
      <c r="L51" s="30"/>
      <c r="M51" s="72"/>
      <c r="N51" s="26"/>
      <c r="O51" s="250">
        <v>0.93490804699999996</v>
      </c>
    </row>
    <row r="52" spans="1:15" ht="18.95" customHeight="1">
      <c r="A52" s="21"/>
      <c r="B52" s="229" t="s">
        <v>4416</v>
      </c>
      <c r="C52" s="208"/>
      <c r="D52" s="24"/>
      <c r="E52" s="25">
        <v>1</v>
      </c>
      <c r="F52" s="26" t="s">
        <v>349</v>
      </c>
      <c r="G52" s="25">
        <v>24800</v>
      </c>
      <c r="H52" s="25">
        <f t="shared" si="2"/>
        <v>23185.7195656</v>
      </c>
      <c r="I52" s="25">
        <f t="shared" si="3"/>
        <v>23185.7195656</v>
      </c>
      <c r="J52" s="25">
        <v>0</v>
      </c>
      <c r="K52" s="25"/>
      <c r="L52" s="30">
        <f>E52*J52</f>
        <v>0</v>
      </c>
      <c r="M52" s="72">
        <f t="shared" ref="M52:M57" si="4">I52+L52</f>
        <v>23185.7195656</v>
      </c>
      <c r="N52" s="249"/>
      <c r="O52" s="250">
        <v>0.93490804699999996</v>
      </c>
    </row>
    <row r="53" spans="1:15" ht="18.95" customHeight="1">
      <c r="A53" s="21"/>
      <c r="B53" s="229" t="s">
        <v>4417</v>
      </c>
      <c r="C53" s="208"/>
      <c r="D53" s="24"/>
      <c r="E53" s="25">
        <v>1</v>
      </c>
      <c r="F53" s="26" t="s">
        <v>349</v>
      </c>
      <c r="G53" s="25">
        <v>15000</v>
      </c>
      <c r="H53" s="25">
        <f t="shared" si="2"/>
        <v>14023.620704999999</v>
      </c>
      <c r="I53" s="25">
        <f t="shared" si="3"/>
        <v>14023.620704999999</v>
      </c>
      <c r="J53" s="25"/>
      <c r="K53" s="25"/>
      <c r="L53" s="30"/>
      <c r="M53" s="72">
        <f t="shared" si="4"/>
        <v>14023.620704999999</v>
      </c>
      <c r="N53" s="249"/>
      <c r="O53" s="250">
        <v>0.93490804699999996</v>
      </c>
    </row>
    <row r="54" spans="1:15" ht="18.95" customHeight="1">
      <c r="A54" s="28"/>
      <c r="B54" s="229" t="s">
        <v>4418</v>
      </c>
      <c r="C54" s="208"/>
      <c r="D54" s="24"/>
      <c r="E54" s="25">
        <v>1</v>
      </c>
      <c r="F54" s="26" t="s">
        <v>349</v>
      </c>
      <c r="G54" s="25">
        <v>200000</v>
      </c>
      <c r="H54" s="25">
        <f t="shared" si="2"/>
        <v>186981.60939999999</v>
      </c>
      <c r="I54" s="25">
        <f t="shared" si="3"/>
        <v>186981.60939999999</v>
      </c>
      <c r="J54" s="25">
        <v>0</v>
      </c>
      <c r="K54" s="25"/>
      <c r="L54" s="30">
        <f>E54*J54</f>
        <v>0</v>
      </c>
      <c r="M54" s="72">
        <f t="shared" si="4"/>
        <v>186981.60939999999</v>
      </c>
      <c r="N54" s="249"/>
      <c r="O54" s="250">
        <v>0.93490804699999996</v>
      </c>
    </row>
    <row r="55" spans="1:15" ht="18.95" customHeight="1">
      <c r="A55" s="28"/>
      <c r="B55" s="229" t="s">
        <v>4419</v>
      </c>
      <c r="C55" s="208"/>
      <c r="D55" s="24"/>
      <c r="E55" s="25">
        <v>1</v>
      </c>
      <c r="F55" s="26" t="s">
        <v>349</v>
      </c>
      <c r="G55" s="25">
        <v>25000</v>
      </c>
      <c r="H55" s="25">
        <f t="shared" si="2"/>
        <v>23372.701174999998</v>
      </c>
      <c r="I55" s="25">
        <f t="shared" si="3"/>
        <v>23372.701174999998</v>
      </c>
      <c r="J55" s="25"/>
      <c r="K55" s="25"/>
      <c r="L55" s="30"/>
      <c r="M55" s="72">
        <f t="shared" si="4"/>
        <v>23372.701174999998</v>
      </c>
      <c r="N55" s="249"/>
      <c r="O55" s="250">
        <v>0.93490804699999996</v>
      </c>
    </row>
    <row r="56" spans="1:15" ht="18.95" customHeight="1">
      <c r="A56" s="28"/>
      <c r="B56" s="227" t="s">
        <v>4420</v>
      </c>
      <c r="C56" s="226"/>
      <c r="D56" s="49"/>
      <c r="E56" s="25">
        <v>1</v>
      </c>
      <c r="F56" s="26" t="s">
        <v>349</v>
      </c>
      <c r="G56" s="25">
        <v>13000</v>
      </c>
      <c r="H56" s="25">
        <f t="shared" si="2"/>
        <v>12153.804611</v>
      </c>
      <c r="I56" s="25">
        <f t="shared" si="3"/>
        <v>12153.804611</v>
      </c>
      <c r="J56" s="25">
        <v>0</v>
      </c>
      <c r="K56" s="25"/>
      <c r="L56" s="30">
        <f>E56*J56</f>
        <v>0</v>
      </c>
      <c r="M56" s="72">
        <f t="shared" si="4"/>
        <v>12153.804611</v>
      </c>
      <c r="N56" s="249"/>
      <c r="O56" s="250">
        <v>0.93490804699999996</v>
      </c>
    </row>
    <row r="57" spans="1:15" ht="18.95" customHeight="1">
      <c r="A57" s="28"/>
      <c r="B57" s="227" t="s">
        <v>4421</v>
      </c>
      <c r="C57" s="226"/>
      <c r="D57" s="49"/>
      <c r="E57" s="25">
        <v>1</v>
      </c>
      <c r="F57" s="26" t="s">
        <v>349</v>
      </c>
      <c r="G57" s="25">
        <v>17000</v>
      </c>
      <c r="H57" s="25">
        <f t="shared" si="2"/>
        <v>15893.436798999999</v>
      </c>
      <c r="I57" s="25">
        <f t="shared" si="3"/>
        <v>15893.436798999999</v>
      </c>
      <c r="J57" s="25"/>
      <c r="K57" s="25"/>
      <c r="L57" s="30"/>
      <c r="M57" s="72">
        <f t="shared" si="4"/>
        <v>15893.436798999999</v>
      </c>
      <c r="N57" s="249"/>
      <c r="O57" s="250">
        <v>0.93490804699999996</v>
      </c>
    </row>
    <row r="58" spans="1:15" ht="18.95" customHeight="1">
      <c r="A58" s="233"/>
      <c r="B58" s="234"/>
      <c r="C58" s="235"/>
      <c r="D58" s="236"/>
      <c r="E58" s="54"/>
      <c r="F58" s="55"/>
      <c r="G58" s="54"/>
      <c r="H58" s="25"/>
      <c r="I58" s="25"/>
      <c r="J58" s="54"/>
      <c r="K58" s="54"/>
      <c r="L58" s="146"/>
      <c r="M58" s="107"/>
      <c r="N58" s="55"/>
      <c r="O58" s="250">
        <v>0.93490804699999996</v>
      </c>
    </row>
    <row r="59" spans="1:15" ht="18.95" customHeight="1">
      <c r="A59" s="237"/>
      <c r="B59" s="238"/>
      <c r="C59" s="239"/>
      <c r="D59" s="240"/>
      <c r="E59" s="18"/>
      <c r="F59" s="19"/>
      <c r="G59" s="18"/>
      <c r="H59" s="25"/>
      <c r="I59" s="25"/>
      <c r="J59" s="18"/>
      <c r="K59" s="18"/>
      <c r="L59" s="20"/>
      <c r="M59" s="108"/>
      <c r="N59" s="19"/>
      <c r="O59" s="250">
        <v>0.93490804699999996</v>
      </c>
    </row>
    <row r="60" spans="1:15" ht="18.95" customHeight="1">
      <c r="A60" s="58"/>
      <c r="B60" s="227" t="s">
        <v>4422</v>
      </c>
      <c r="C60" s="226"/>
      <c r="D60" s="49"/>
      <c r="E60" s="25">
        <v>1</v>
      </c>
      <c r="F60" s="26" t="s">
        <v>349</v>
      </c>
      <c r="G60" s="25">
        <v>18000</v>
      </c>
      <c r="H60" s="25">
        <f t="shared" si="2"/>
        <v>16828.344846</v>
      </c>
      <c r="I60" s="25">
        <f t="shared" si="3"/>
        <v>16828.344846</v>
      </c>
      <c r="J60" s="25"/>
      <c r="K60" s="25"/>
      <c r="L60" s="30"/>
      <c r="M60" s="72">
        <f t="shared" ref="M60:M65" si="5">I60+L60</f>
        <v>16828.344846</v>
      </c>
      <c r="N60" s="249"/>
      <c r="O60" s="250">
        <v>0.93490804699999996</v>
      </c>
    </row>
    <row r="61" spans="1:15" ht="18.95" customHeight="1">
      <c r="A61" s="58"/>
      <c r="B61" s="227" t="s">
        <v>4423</v>
      </c>
      <c r="C61" s="226"/>
      <c r="D61" s="49"/>
      <c r="E61" s="25">
        <v>1</v>
      </c>
      <c r="F61" s="26" t="s">
        <v>349</v>
      </c>
      <c r="G61" s="25">
        <v>15000</v>
      </c>
      <c r="H61" s="25">
        <f t="shared" si="2"/>
        <v>14023.620704999999</v>
      </c>
      <c r="I61" s="25">
        <f t="shared" si="3"/>
        <v>14023.620704999999</v>
      </c>
      <c r="J61" s="25"/>
      <c r="K61" s="25"/>
      <c r="L61" s="30"/>
      <c r="M61" s="72">
        <f t="shared" si="5"/>
        <v>14023.620704999999</v>
      </c>
      <c r="N61" s="249"/>
      <c r="O61" s="250">
        <v>0.93490804699999996</v>
      </c>
    </row>
    <row r="62" spans="1:15" ht="18.95" customHeight="1">
      <c r="A62" s="21"/>
      <c r="B62" s="227" t="s">
        <v>4424</v>
      </c>
      <c r="C62" s="226"/>
      <c r="D62" s="49"/>
      <c r="E62" s="25">
        <v>1</v>
      </c>
      <c r="F62" s="26" t="s">
        <v>349</v>
      </c>
      <c r="G62" s="25">
        <v>8500</v>
      </c>
      <c r="H62" s="25">
        <f t="shared" si="2"/>
        <v>7946.7183994999996</v>
      </c>
      <c r="I62" s="25">
        <f t="shared" si="3"/>
        <v>7946.7183994999996</v>
      </c>
      <c r="J62" s="25">
        <v>0</v>
      </c>
      <c r="K62" s="25"/>
      <c r="L62" s="30">
        <f>E62*J62</f>
        <v>0</v>
      </c>
      <c r="M62" s="72">
        <f t="shared" si="5"/>
        <v>7946.7183994999996</v>
      </c>
      <c r="N62" s="249"/>
      <c r="O62" s="250">
        <v>0.93490804699999996</v>
      </c>
    </row>
    <row r="63" spans="1:15" ht="18.95" customHeight="1">
      <c r="A63" s="21"/>
      <c r="B63" s="227" t="s">
        <v>4425</v>
      </c>
      <c r="C63" s="226"/>
      <c r="D63" s="49"/>
      <c r="E63" s="25">
        <v>1</v>
      </c>
      <c r="F63" s="26" t="s">
        <v>349</v>
      </c>
      <c r="G63" s="25">
        <v>25000</v>
      </c>
      <c r="H63" s="25">
        <f t="shared" si="2"/>
        <v>23372.701174999998</v>
      </c>
      <c r="I63" s="25">
        <f t="shared" si="3"/>
        <v>23372.701174999998</v>
      </c>
      <c r="J63" s="25"/>
      <c r="K63" s="25"/>
      <c r="L63" s="30"/>
      <c r="M63" s="72">
        <f t="shared" si="5"/>
        <v>23372.701174999998</v>
      </c>
      <c r="N63" s="249"/>
      <c r="O63" s="250">
        <v>0.93490804699999996</v>
      </c>
    </row>
    <row r="64" spans="1:15" ht="18.95" customHeight="1">
      <c r="A64" s="21"/>
      <c r="B64" s="227" t="s">
        <v>4426</v>
      </c>
      <c r="C64" s="226"/>
      <c r="D64" s="49"/>
      <c r="E64" s="25">
        <v>1</v>
      </c>
      <c r="F64" s="26" t="s">
        <v>349</v>
      </c>
      <c r="G64" s="25">
        <v>137000</v>
      </c>
      <c r="H64" s="25">
        <f t="shared" si="2"/>
        <v>128082.402439</v>
      </c>
      <c r="I64" s="25">
        <f t="shared" si="3"/>
        <v>128082.402439</v>
      </c>
      <c r="J64" s="25">
        <v>0</v>
      </c>
      <c r="K64" s="25"/>
      <c r="L64" s="30">
        <f>E64*J64</f>
        <v>0</v>
      </c>
      <c r="M64" s="72">
        <f t="shared" si="5"/>
        <v>128082.402439</v>
      </c>
      <c r="N64" s="249"/>
      <c r="O64" s="250">
        <v>0.93490804699999996</v>
      </c>
    </row>
    <row r="65" spans="1:15" ht="18.95" customHeight="1">
      <c r="A65" s="21"/>
      <c r="B65" s="227" t="s">
        <v>4427</v>
      </c>
      <c r="C65" s="226"/>
      <c r="D65" s="49"/>
      <c r="E65" s="25">
        <v>1</v>
      </c>
      <c r="F65" s="26" t="s">
        <v>349</v>
      </c>
      <c r="G65" s="25">
        <v>285000</v>
      </c>
      <c r="H65" s="25">
        <f t="shared" si="2"/>
        <v>266448.79339499999</v>
      </c>
      <c r="I65" s="25">
        <f t="shared" si="3"/>
        <v>266448.79339499999</v>
      </c>
      <c r="J65" s="25">
        <v>0</v>
      </c>
      <c r="K65" s="25"/>
      <c r="L65" s="30"/>
      <c r="M65" s="72">
        <f t="shared" si="5"/>
        <v>266448.79339499999</v>
      </c>
      <c r="N65" s="249"/>
      <c r="O65" s="250">
        <v>0.93490804699999996</v>
      </c>
    </row>
    <row r="66" spans="1:15" s="1" customFormat="1" ht="21" customHeight="1">
      <c r="A66" s="58">
        <v>1.4</v>
      </c>
      <c r="B66" s="232" t="s">
        <v>4428</v>
      </c>
      <c r="C66" s="226"/>
      <c r="D66" s="49"/>
      <c r="E66" s="25"/>
      <c r="F66" s="26"/>
      <c r="G66" s="25"/>
      <c r="H66" s="25"/>
      <c r="I66" s="25"/>
      <c r="J66" s="25"/>
      <c r="K66" s="25"/>
      <c r="L66" s="30"/>
      <c r="M66" s="72"/>
      <c r="N66" s="249"/>
      <c r="O66" s="250">
        <v>0.93490804699999996</v>
      </c>
    </row>
    <row r="67" spans="1:15" ht="18.95" customHeight="1">
      <c r="A67" s="21"/>
      <c r="B67" s="227" t="s">
        <v>4429</v>
      </c>
      <c r="C67" s="226"/>
      <c r="D67" s="49"/>
      <c r="E67" s="25">
        <v>10</v>
      </c>
      <c r="F67" s="26" t="s">
        <v>349</v>
      </c>
      <c r="G67" s="25">
        <v>48000</v>
      </c>
      <c r="H67" s="25">
        <f t="shared" si="2"/>
        <v>44875.586255999995</v>
      </c>
      <c r="I67" s="25">
        <f t="shared" si="3"/>
        <v>448755.86255999992</v>
      </c>
      <c r="J67" s="25">
        <v>0</v>
      </c>
      <c r="K67" s="25"/>
      <c r="L67" s="30">
        <f>E67*J67</f>
        <v>0</v>
      </c>
      <c r="M67" s="72">
        <f>I67+L67</f>
        <v>448755.86255999992</v>
      </c>
      <c r="N67" s="249"/>
      <c r="O67" s="250">
        <v>0.93490804699999996</v>
      </c>
    </row>
    <row r="68" spans="1:15" ht="18.95" customHeight="1">
      <c r="A68" s="21"/>
      <c r="B68" s="227" t="s">
        <v>4430</v>
      </c>
      <c r="C68" s="226"/>
      <c r="D68" s="49"/>
      <c r="E68" s="25">
        <v>1178</v>
      </c>
      <c r="F68" s="26" t="s">
        <v>349</v>
      </c>
      <c r="G68" s="25">
        <v>600</v>
      </c>
      <c r="H68" s="25">
        <f t="shared" si="2"/>
        <v>560.94482819999996</v>
      </c>
      <c r="I68" s="25">
        <f t="shared" si="3"/>
        <v>660793.00761959993</v>
      </c>
      <c r="J68" s="25">
        <v>0</v>
      </c>
      <c r="K68" s="25"/>
      <c r="L68" s="30">
        <f>E68*J68</f>
        <v>0</v>
      </c>
      <c r="M68" s="72">
        <f>I68+L68</f>
        <v>660793.00761959993</v>
      </c>
      <c r="N68" s="288"/>
      <c r="O68" s="250">
        <v>0.93490804699999996</v>
      </c>
    </row>
    <row r="69" spans="1:15" ht="18.95" customHeight="1">
      <c r="A69" s="21"/>
      <c r="B69" s="227" t="s">
        <v>4431</v>
      </c>
      <c r="C69" s="226"/>
      <c r="D69" s="49"/>
      <c r="E69" s="25">
        <v>1378</v>
      </c>
      <c r="F69" s="26" t="s">
        <v>349</v>
      </c>
      <c r="G69" s="25">
        <v>600</v>
      </c>
      <c r="H69" s="25">
        <f t="shared" si="2"/>
        <v>560.94482819999996</v>
      </c>
      <c r="I69" s="25">
        <f t="shared" si="3"/>
        <v>772981.9732596</v>
      </c>
      <c r="J69" s="25">
        <v>0</v>
      </c>
      <c r="K69" s="25"/>
      <c r="L69" s="30">
        <f>E69*J69</f>
        <v>0</v>
      </c>
      <c r="M69" s="72">
        <f>I69+L69</f>
        <v>772981.9732596</v>
      </c>
      <c r="N69" s="288"/>
      <c r="O69" s="250">
        <v>0.93490804699999996</v>
      </c>
    </row>
    <row r="70" spans="1:15" ht="18.95" customHeight="1">
      <c r="A70" s="58">
        <v>1.5</v>
      </c>
      <c r="B70" s="232" t="s">
        <v>4432</v>
      </c>
      <c r="C70" s="226"/>
      <c r="D70" s="49"/>
      <c r="E70" s="25"/>
      <c r="F70" s="26"/>
      <c r="G70" s="25"/>
      <c r="H70" s="25"/>
      <c r="I70" s="25"/>
      <c r="J70" s="25">
        <v>0</v>
      </c>
      <c r="K70" s="25"/>
      <c r="L70" s="30"/>
      <c r="M70" s="72"/>
      <c r="N70" s="26"/>
      <c r="O70" s="250">
        <v>0.93490804699999996</v>
      </c>
    </row>
    <row r="71" spans="1:15" ht="18.95" customHeight="1">
      <c r="A71" s="21"/>
      <c r="B71" s="227" t="s">
        <v>4433</v>
      </c>
      <c r="C71" s="226"/>
      <c r="D71" s="49"/>
      <c r="E71" s="25">
        <v>1</v>
      </c>
      <c r="F71" s="26" t="s">
        <v>349</v>
      </c>
      <c r="G71" s="25">
        <v>35900</v>
      </c>
      <c r="H71" s="25">
        <f t="shared" si="2"/>
        <v>33563.198887300001</v>
      </c>
      <c r="I71" s="25">
        <f t="shared" si="3"/>
        <v>33563.198887300001</v>
      </c>
      <c r="J71" s="25">
        <v>0</v>
      </c>
      <c r="K71" s="25"/>
      <c r="L71" s="30">
        <f>E71*J71</f>
        <v>0</v>
      </c>
      <c r="M71" s="72">
        <f>I71+L71</f>
        <v>33563.198887300001</v>
      </c>
      <c r="N71" s="249"/>
      <c r="O71" s="250">
        <v>0.93490804699999996</v>
      </c>
    </row>
    <row r="72" spans="1:15" ht="18.95" customHeight="1">
      <c r="A72" s="251"/>
      <c r="B72" s="227" t="s">
        <v>4434</v>
      </c>
      <c r="C72" s="226"/>
      <c r="D72" s="49"/>
      <c r="E72" s="252">
        <v>2</v>
      </c>
      <c r="F72" s="253" t="s">
        <v>349</v>
      </c>
      <c r="G72" s="252">
        <v>24800</v>
      </c>
      <c r="H72" s="25">
        <f t="shared" si="2"/>
        <v>23185.7195656</v>
      </c>
      <c r="I72" s="25">
        <f t="shared" si="3"/>
        <v>46371.439131200001</v>
      </c>
      <c r="J72" s="25">
        <v>0</v>
      </c>
      <c r="K72" s="25"/>
      <c r="L72" s="30">
        <f>E72*J72</f>
        <v>0</v>
      </c>
      <c r="M72" s="72">
        <f>I72+L72</f>
        <v>46371.439131200001</v>
      </c>
      <c r="N72" s="249"/>
      <c r="O72" s="250">
        <v>0.93490804699999996</v>
      </c>
    </row>
    <row r="73" spans="1:15" ht="18.95" customHeight="1">
      <c r="A73" s="251"/>
      <c r="B73" s="227" t="s">
        <v>4435</v>
      </c>
      <c r="C73" s="226"/>
      <c r="D73" s="49"/>
      <c r="E73" s="252">
        <v>4</v>
      </c>
      <c r="F73" s="253" t="s">
        <v>349</v>
      </c>
      <c r="G73" s="252">
        <v>24800</v>
      </c>
      <c r="H73" s="25">
        <f t="shared" si="2"/>
        <v>23185.7195656</v>
      </c>
      <c r="I73" s="25">
        <f t="shared" si="3"/>
        <v>92742.878262400001</v>
      </c>
      <c r="J73" s="25">
        <v>0</v>
      </c>
      <c r="K73" s="25"/>
      <c r="L73" s="30">
        <f>E73*J73</f>
        <v>0</v>
      </c>
      <c r="M73" s="72">
        <f>I73+L73</f>
        <v>92742.878262400001</v>
      </c>
      <c r="N73" s="288"/>
      <c r="O73" s="250">
        <v>0.93490804699999996</v>
      </c>
    </row>
    <row r="74" spans="1:15" ht="18.95" customHeight="1">
      <c r="A74" s="254">
        <v>1.6</v>
      </c>
      <c r="B74" s="232" t="s">
        <v>4436</v>
      </c>
      <c r="C74" s="255"/>
      <c r="D74" s="49"/>
      <c r="E74" s="252"/>
      <c r="F74" s="253"/>
      <c r="G74" s="252"/>
      <c r="H74" s="252"/>
      <c r="I74" s="25">
        <f t="shared" si="3"/>
        <v>0</v>
      </c>
      <c r="J74" s="30"/>
      <c r="K74" s="30"/>
      <c r="L74" s="30"/>
      <c r="M74" s="72"/>
      <c r="N74" s="26"/>
      <c r="O74" s="250">
        <v>0.93490804699999996</v>
      </c>
    </row>
    <row r="75" spans="1:15" ht="18.95" customHeight="1">
      <c r="A75" s="251"/>
      <c r="B75" s="227" t="s">
        <v>4437</v>
      </c>
      <c r="C75" s="226"/>
      <c r="D75" s="49"/>
      <c r="E75" s="252">
        <v>1</v>
      </c>
      <c r="F75" s="253" t="s">
        <v>2193</v>
      </c>
      <c r="G75" s="252">
        <v>0</v>
      </c>
      <c r="H75" s="252"/>
      <c r="I75" s="25">
        <f t="shared" si="3"/>
        <v>0</v>
      </c>
      <c r="J75" s="30">
        <v>100000</v>
      </c>
      <c r="K75" s="30">
        <f>J75*O75</f>
        <v>93490.804699999993</v>
      </c>
      <c r="L75" s="30">
        <f>E75*K75</f>
        <v>93490.804699999993</v>
      </c>
      <c r="M75" s="72">
        <f>I75+L75</f>
        <v>93490.804699999993</v>
      </c>
      <c r="N75" s="288"/>
      <c r="O75" s="250">
        <v>0.93490804699999996</v>
      </c>
    </row>
    <row r="76" spans="1:15" ht="18.95" customHeight="1">
      <c r="A76" s="251"/>
      <c r="B76" s="227" t="s">
        <v>4438</v>
      </c>
      <c r="C76" s="226"/>
      <c r="D76" s="49"/>
      <c r="E76" s="252">
        <v>1</v>
      </c>
      <c r="F76" s="253" t="s">
        <v>2193</v>
      </c>
      <c r="G76" s="252">
        <v>0</v>
      </c>
      <c r="H76" s="252"/>
      <c r="I76" s="25">
        <f t="shared" si="3"/>
        <v>0</v>
      </c>
      <c r="J76" s="30">
        <v>350000</v>
      </c>
      <c r="K76" s="30">
        <f>J76*O76</f>
        <v>327217.81644999998</v>
      </c>
      <c r="L76" s="30">
        <f>E76*K76</f>
        <v>327217.81644999998</v>
      </c>
      <c r="M76" s="72">
        <f>I76+L76</f>
        <v>327217.81644999998</v>
      </c>
      <c r="N76" s="288"/>
      <c r="O76" s="250">
        <v>0.93490804699999996</v>
      </c>
    </row>
    <row r="77" spans="1:15" ht="18.95" customHeight="1">
      <c r="A77" s="58"/>
      <c r="B77" s="1275" t="s">
        <v>4439</v>
      </c>
      <c r="C77" s="1276"/>
      <c r="D77" s="1277"/>
      <c r="E77" s="34">
        <f>SUM(E34:E76)</f>
        <v>2778</v>
      </c>
      <c r="F77" s="34" t="s">
        <v>349</v>
      </c>
      <c r="G77" s="34"/>
      <c r="H77" s="34"/>
      <c r="I77" s="34">
        <f>SUM(I34:I76)</f>
        <v>5230249.5781367999</v>
      </c>
      <c r="J77" s="34" t="s">
        <v>151</v>
      </c>
      <c r="K77" s="34"/>
      <c r="L77" s="34">
        <f t="shared" ref="L77:M77" si="6">SUM(L34:L76)</f>
        <v>420708.62114999996</v>
      </c>
      <c r="M77" s="34">
        <f t="shared" si="6"/>
        <v>5650958.1992867999</v>
      </c>
      <c r="N77" s="34"/>
    </row>
    <row r="78" spans="1:15" ht="18.95" customHeight="1">
      <c r="A78" s="259"/>
      <c r="B78" s="260"/>
      <c r="C78" s="261"/>
      <c r="D78" s="262"/>
      <c r="E78" s="263"/>
      <c r="F78" s="248"/>
      <c r="G78" s="264"/>
      <c r="H78" s="264"/>
      <c r="I78" s="264"/>
      <c r="J78" s="264"/>
      <c r="K78" s="264"/>
      <c r="L78" s="264"/>
      <c r="M78" s="248"/>
      <c r="N78" s="248"/>
    </row>
    <row r="79" spans="1:15" ht="18.95" customHeight="1">
      <c r="A79" s="265"/>
      <c r="B79" s="266"/>
      <c r="C79" s="210"/>
      <c r="D79" s="267"/>
      <c r="E79" s="25"/>
      <c r="F79" s="26"/>
      <c r="G79" s="72"/>
      <c r="H79" s="72"/>
      <c r="I79" s="72"/>
      <c r="J79" s="72"/>
      <c r="K79" s="72"/>
      <c r="L79" s="72"/>
      <c r="M79" s="26"/>
      <c r="N79" s="26"/>
    </row>
    <row r="80" spans="1:15" ht="18.95" customHeight="1">
      <c r="A80" s="265"/>
      <c r="B80" s="266"/>
      <c r="C80" s="210"/>
      <c r="D80" s="267"/>
      <c r="E80" s="25"/>
      <c r="F80" s="26"/>
      <c r="G80" s="72"/>
      <c r="H80" s="72"/>
      <c r="I80" s="72"/>
      <c r="J80" s="72"/>
      <c r="K80" s="72"/>
      <c r="L80" s="72"/>
      <c r="M80" s="26"/>
      <c r="N80" s="26"/>
    </row>
    <row r="81" spans="1:14" ht="18.95" customHeight="1">
      <c r="A81" s="265"/>
      <c r="B81" s="266"/>
      <c r="C81" s="210"/>
      <c r="D81" s="267"/>
      <c r="E81" s="25"/>
      <c r="F81" s="26"/>
      <c r="G81" s="72"/>
      <c r="H81" s="72"/>
      <c r="I81" s="72"/>
      <c r="J81" s="72"/>
      <c r="K81" s="72"/>
      <c r="L81" s="72"/>
      <c r="M81" s="26"/>
      <c r="N81" s="26"/>
    </row>
    <row r="82" spans="1:14" ht="18.95" customHeight="1">
      <c r="A82" s="265"/>
      <c r="B82" s="266"/>
      <c r="C82" s="210"/>
      <c r="D82" s="267"/>
      <c r="E82" s="25"/>
      <c r="F82" s="26"/>
      <c r="G82" s="72"/>
      <c r="H82" s="72"/>
      <c r="I82" s="72"/>
      <c r="J82" s="72"/>
      <c r="K82" s="72"/>
      <c r="L82" s="72"/>
      <c r="M82" s="26"/>
      <c r="N82" s="26"/>
    </row>
    <row r="83" spans="1:14" ht="18.95" customHeight="1">
      <c r="A83" s="265"/>
      <c r="B83" s="266"/>
      <c r="C83" s="210"/>
      <c r="D83" s="267"/>
      <c r="E83" s="25"/>
      <c r="F83" s="26"/>
      <c r="G83" s="72"/>
      <c r="H83" s="72"/>
      <c r="I83" s="72"/>
      <c r="J83" s="72"/>
      <c r="K83" s="72"/>
      <c r="L83" s="72"/>
      <c r="M83" s="26"/>
      <c r="N83" s="26"/>
    </row>
    <row r="84" spans="1:14" ht="18.95" customHeight="1">
      <c r="A84" s="265"/>
      <c r="B84" s="266"/>
      <c r="C84" s="210"/>
      <c r="D84" s="267"/>
      <c r="E84" s="25"/>
      <c r="F84" s="26"/>
      <c r="G84" s="72"/>
      <c r="H84" s="72"/>
      <c r="I84" s="72"/>
      <c r="J84" s="72"/>
      <c r="K84" s="72"/>
      <c r="L84" s="72"/>
      <c r="M84" s="26"/>
      <c r="N84" s="289"/>
    </row>
    <row r="85" spans="1:14" ht="18.95" customHeight="1">
      <c r="A85" s="268"/>
      <c r="B85" s="269"/>
      <c r="C85" s="47"/>
      <c r="D85" s="24"/>
      <c r="E85" s="25"/>
      <c r="F85" s="26"/>
      <c r="G85" s="72"/>
      <c r="H85" s="72"/>
      <c r="I85" s="72"/>
      <c r="J85" s="72"/>
      <c r="K85" s="72"/>
      <c r="L85" s="72"/>
      <c r="M85" s="26"/>
      <c r="N85" s="289"/>
    </row>
    <row r="86" spans="1:14" ht="18.95" customHeight="1">
      <c r="A86" s="50"/>
      <c r="B86" s="270"/>
      <c r="C86" s="271"/>
      <c r="D86" s="236"/>
      <c r="E86" s="54"/>
      <c r="F86" s="55"/>
      <c r="G86" s="54"/>
      <c r="H86" s="54"/>
      <c r="I86" s="54"/>
      <c r="J86" s="54"/>
      <c r="K86" s="54"/>
      <c r="L86" s="146"/>
      <c r="M86" s="54"/>
      <c r="N86" s="290"/>
    </row>
    <row r="87" spans="1:14" ht="18.95" customHeight="1">
      <c r="A87" s="272"/>
      <c r="B87" s="273"/>
      <c r="C87" s="274"/>
      <c r="D87" s="262"/>
      <c r="E87" s="263"/>
      <c r="F87" s="248"/>
      <c r="G87" s="263"/>
      <c r="H87" s="263"/>
      <c r="I87" s="263"/>
      <c r="J87" s="291"/>
      <c r="K87" s="291"/>
      <c r="L87" s="292"/>
      <c r="M87" s="248"/>
      <c r="N87" s="293"/>
    </row>
    <row r="88" spans="1:14" ht="18.95" customHeight="1">
      <c r="A88" s="275"/>
      <c r="B88" s="276"/>
      <c r="C88" s="277"/>
      <c r="D88" s="278"/>
      <c r="E88" s="263"/>
      <c r="F88" s="248"/>
      <c r="G88" s="263"/>
      <c r="H88" s="263"/>
      <c r="I88" s="263"/>
      <c r="J88" s="25"/>
      <c r="K88" s="25"/>
      <c r="L88" s="72"/>
      <c r="M88" s="72"/>
      <c r="N88" s="294"/>
    </row>
    <row r="89" spans="1:14" ht="18.95" customHeight="1">
      <c r="A89" s="279"/>
      <c r="B89" s="276"/>
      <c r="C89" s="210"/>
      <c r="D89" s="210"/>
      <c r="E89" s="263"/>
      <c r="F89" s="248"/>
      <c r="G89" s="30"/>
      <c r="H89" s="30"/>
      <c r="I89" s="30"/>
      <c r="J89" s="25"/>
      <c r="K89" s="25"/>
      <c r="L89" s="72"/>
      <c r="M89" s="72"/>
      <c r="N89" s="295"/>
    </row>
    <row r="90" spans="1:14" ht="18.95" customHeight="1">
      <c r="A90" s="279"/>
      <c r="B90" s="27"/>
      <c r="C90" s="210"/>
      <c r="D90" s="210"/>
      <c r="E90" s="263"/>
      <c r="F90" s="248"/>
      <c r="G90" s="30"/>
      <c r="H90" s="30"/>
      <c r="I90" s="30"/>
      <c r="J90" s="25"/>
      <c r="K90" s="25"/>
      <c r="L90" s="72"/>
      <c r="M90" s="72"/>
      <c r="N90" s="295"/>
    </row>
    <row r="91" spans="1:14" ht="18.95" customHeight="1">
      <c r="A91" s="279"/>
      <c r="B91" s="27"/>
      <c r="C91" s="210"/>
      <c r="D91" s="210"/>
      <c r="E91" s="263"/>
      <c r="F91" s="248"/>
      <c r="G91" s="30"/>
      <c r="H91" s="30"/>
      <c r="I91" s="30"/>
      <c r="J91" s="25"/>
      <c r="K91" s="25"/>
      <c r="L91" s="72"/>
      <c r="M91" s="72"/>
      <c r="N91" s="295"/>
    </row>
    <row r="92" spans="1:14" ht="18.95" customHeight="1">
      <c r="A92" s="275"/>
      <c r="B92" s="27"/>
      <c r="C92" s="277"/>
      <c r="D92" s="210"/>
      <c r="E92" s="263"/>
      <c r="F92" s="248"/>
      <c r="G92" s="72"/>
      <c r="H92" s="72"/>
      <c r="I92" s="72"/>
      <c r="J92" s="25"/>
      <c r="K92" s="25"/>
      <c r="L92" s="72"/>
      <c r="M92" s="72"/>
      <c r="N92" s="295"/>
    </row>
    <row r="93" spans="1:14" ht="18.95" customHeight="1">
      <c r="A93" s="279"/>
      <c r="B93" s="276"/>
      <c r="C93" s="210"/>
      <c r="D93" s="210"/>
      <c r="E93" s="263"/>
      <c r="F93" s="248"/>
      <c r="G93" s="30"/>
      <c r="H93" s="30"/>
      <c r="I93" s="30"/>
      <c r="J93" s="25"/>
      <c r="K93" s="25"/>
      <c r="L93" s="72"/>
      <c r="M93" s="72"/>
      <c r="N93" s="295"/>
    </row>
    <row r="94" spans="1:14" ht="18.95" customHeight="1">
      <c r="A94" s="279"/>
      <c r="B94" s="27"/>
      <c r="C94" s="210"/>
      <c r="D94" s="210"/>
      <c r="E94" s="263"/>
      <c r="F94" s="248"/>
      <c r="G94" s="30"/>
      <c r="H94" s="30"/>
      <c r="I94" s="30"/>
      <c r="J94" s="25"/>
      <c r="K94" s="25"/>
      <c r="L94" s="72"/>
      <c r="M94" s="72"/>
      <c r="N94" s="295"/>
    </row>
    <row r="95" spans="1:14" ht="18.95" customHeight="1">
      <c r="A95" s="279"/>
      <c r="B95" s="27"/>
      <c r="C95" s="277"/>
      <c r="D95" s="210"/>
      <c r="E95" s="263"/>
      <c r="F95" s="248"/>
      <c r="G95" s="72"/>
      <c r="H95" s="72"/>
      <c r="I95" s="72"/>
      <c r="J95" s="25"/>
      <c r="K95" s="25"/>
      <c r="L95" s="72"/>
      <c r="M95" s="72"/>
      <c r="N95" s="295"/>
    </row>
    <row r="96" spans="1:14" ht="18.95" customHeight="1">
      <c r="A96" s="279"/>
      <c r="B96" s="276"/>
      <c r="C96" s="210"/>
      <c r="D96" s="267"/>
      <c r="E96" s="263"/>
      <c r="F96" s="248"/>
      <c r="G96" s="30"/>
      <c r="H96" s="30"/>
      <c r="I96" s="30"/>
      <c r="J96" s="25"/>
      <c r="K96" s="25"/>
      <c r="L96" s="72"/>
      <c r="M96" s="72"/>
      <c r="N96" s="289"/>
    </row>
    <row r="97" spans="1:14" ht="18.95" customHeight="1">
      <c r="A97" s="280"/>
      <c r="B97" s="27"/>
      <c r="C97" s="210"/>
      <c r="D97" s="210"/>
      <c r="E97" s="263"/>
      <c r="F97" s="248"/>
      <c r="G97" s="30"/>
      <c r="H97" s="30"/>
      <c r="I97" s="30"/>
      <c r="J97" s="25"/>
      <c r="K97" s="25"/>
      <c r="L97" s="72"/>
      <c r="M97" s="72"/>
      <c r="N97" s="289"/>
    </row>
    <row r="98" spans="1:14" ht="18.95" customHeight="1">
      <c r="A98" s="279"/>
      <c r="B98" s="27"/>
      <c r="C98" s="210"/>
      <c r="D98" s="210"/>
      <c r="E98" s="263"/>
      <c r="F98" s="248"/>
      <c r="G98" s="30"/>
      <c r="H98" s="30"/>
      <c r="I98" s="30"/>
      <c r="J98" s="25"/>
      <c r="K98" s="25"/>
      <c r="L98" s="72"/>
      <c r="M98" s="72"/>
      <c r="N98" s="21"/>
    </row>
    <row r="99" spans="1:14" ht="18.95" customHeight="1">
      <c r="A99" s="281"/>
      <c r="B99" s="27"/>
      <c r="C99" s="277"/>
      <c r="D99" s="210"/>
      <c r="E99" s="263"/>
      <c r="F99" s="248"/>
      <c r="G99" s="30"/>
      <c r="H99" s="30"/>
      <c r="I99" s="30"/>
      <c r="J99" s="25"/>
      <c r="K99" s="25"/>
      <c r="L99" s="72"/>
      <c r="M99" s="72"/>
      <c r="N99" s="21"/>
    </row>
    <row r="100" spans="1:14" ht="18.95" customHeight="1">
      <c r="A100" s="280"/>
      <c r="B100" s="276"/>
      <c r="C100" s="210"/>
      <c r="D100" s="210"/>
      <c r="E100" s="263"/>
      <c r="F100" s="248"/>
      <c r="G100" s="72"/>
      <c r="H100" s="72"/>
      <c r="I100" s="72"/>
      <c r="J100" s="25"/>
      <c r="K100" s="25"/>
      <c r="L100" s="72"/>
      <c r="M100" s="72"/>
      <c r="N100" s="21"/>
    </row>
    <row r="101" spans="1:14" ht="18.95" customHeight="1">
      <c r="A101" s="279"/>
      <c r="B101" s="282"/>
      <c r="C101" s="210"/>
      <c r="D101" s="267"/>
      <c r="E101" s="263"/>
      <c r="F101" s="248"/>
      <c r="G101" s="72"/>
      <c r="H101" s="72"/>
      <c r="I101" s="72"/>
      <c r="J101" s="25"/>
      <c r="K101" s="25"/>
      <c r="L101" s="72"/>
      <c r="M101" s="72"/>
      <c r="N101" s="21"/>
    </row>
    <row r="102" spans="1:14" ht="18.95" customHeight="1">
      <c r="A102" s="281"/>
      <c r="B102" s="266"/>
      <c r="C102" s="210"/>
      <c r="D102" s="267"/>
      <c r="E102" s="263"/>
      <c r="F102" s="248"/>
      <c r="G102" s="72"/>
      <c r="H102" s="72"/>
      <c r="I102" s="72"/>
      <c r="J102" s="25"/>
      <c r="K102" s="25"/>
      <c r="L102" s="72"/>
      <c r="M102" s="72"/>
      <c r="N102" s="21"/>
    </row>
    <row r="103" spans="1:14" ht="18.95" customHeight="1">
      <c r="A103" s="280"/>
      <c r="B103" s="266"/>
      <c r="C103" s="210"/>
      <c r="D103" s="267"/>
      <c r="E103" s="263"/>
      <c r="F103" s="248"/>
      <c r="G103" s="72"/>
      <c r="H103" s="72"/>
      <c r="I103" s="72"/>
      <c r="J103" s="25"/>
      <c r="K103" s="25"/>
      <c r="L103" s="72"/>
      <c r="M103" s="72"/>
      <c r="N103" s="21"/>
    </row>
    <row r="104" spans="1:14" ht="18.95" customHeight="1">
      <c r="A104" s="279"/>
      <c r="B104" s="266"/>
      <c r="C104" s="210"/>
      <c r="D104" s="267"/>
      <c r="E104" s="263"/>
      <c r="F104" s="248"/>
      <c r="G104" s="72"/>
      <c r="H104" s="72"/>
      <c r="I104" s="72"/>
      <c r="J104" s="25"/>
      <c r="K104" s="25"/>
      <c r="L104" s="72"/>
      <c r="M104" s="72"/>
      <c r="N104" s="21"/>
    </row>
    <row r="105" spans="1:14" ht="18.95" customHeight="1">
      <c r="A105" s="281"/>
      <c r="B105" s="266"/>
      <c r="C105" s="47"/>
      <c r="D105" s="24"/>
      <c r="E105" s="263"/>
      <c r="F105" s="248"/>
      <c r="G105" s="72"/>
      <c r="H105" s="72"/>
      <c r="I105" s="72"/>
      <c r="J105" s="25"/>
      <c r="K105" s="25"/>
      <c r="L105" s="72"/>
      <c r="M105" s="72"/>
      <c r="N105" s="21"/>
    </row>
    <row r="106" spans="1:14" ht="18.95" customHeight="1">
      <c r="A106" s="280"/>
      <c r="B106" s="283"/>
      <c r="C106" s="47"/>
      <c r="D106" s="24"/>
      <c r="E106" s="263"/>
      <c r="F106" s="248"/>
      <c r="G106" s="72"/>
      <c r="H106" s="72"/>
      <c r="I106" s="72"/>
      <c r="J106" s="25"/>
      <c r="K106" s="25"/>
      <c r="L106" s="72"/>
      <c r="M106" s="72"/>
      <c r="N106" s="21"/>
    </row>
    <row r="107" spans="1:14" ht="18.95" customHeight="1">
      <c r="A107" s="284"/>
      <c r="B107" s="283"/>
      <c r="C107" s="47"/>
      <c r="D107" s="24"/>
      <c r="E107" s="263"/>
      <c r="F107" s="248"/>
      <c r="G107" s="72"/>
      <c r="H107" s="72"/>
      <c r="I107" s="72"/>
      <c r="J107" s="72"/>
      <c r="K107" s="72"/>
      <c r="L107" s="72"/>
      <c r="M107" s="72"/>
      <c r="N107" s="21"/>
    </row>
    <row r="108" spans="1:14" ht="18.95" customHeight="1">
      <c r="A108" s="281"/>
      <c r="B108" s="42"/>
      <c r="C108" s="285"/>
      <c r="D108" s="40"/>
      <c r="E108" s="263"/>
      <c r="F108" s="248"/>
      <c r="G108" s="72"/>
      <c r="H108" s="72"/>
      <c r="I108" s="72"/>
      <c r="J108" s="72"/>
      <c r="K108" s="72"/>
      <c r="L108" s="72"/>
      <c r="M108" s="72"/>
      <c r="N108" s="21"/>
    </row>
    <row r="109" spans="1:14" ht="18.95" customHeight="1">
      <c r="A109" s="280"/>
      <c r="B109" s="285"/>
      <c r="C109" s="43"/>
      <c r="D109" s="24"/>
      <c r="E109" s="263"/>
      <c r="F109" s="248"/>
      <c r="G109" s="72"/>
      <c r="H109" s="72"/>
      <c r="I109" s="72"/>
      <c r="J109" s="72"/>
      <c r="K109" s="72"/>
      <c r="L109" s="72"/>
      <c r="M109" s="72"/>
      <c r="N109" s="21"/>
    </row>
    <row r="110" spans="1:14" ht="18.95" customHeight="1">
      <c r="A110" s="21"/>
      <c r="B110" s="285"/>
      <c r="C110" s="43"/>
      <c r="D110" s="286"/>
      <c r="E110" s="72"/>
      <c r="F110" s="26"/>
      <c r="G110" s="72"/>
      <c r="H110" s="72"/>
      <c r="I110" s="72"/>
      <c r="J110" s="72"/>
      <c r="K110" s="72"/>
      <c r="L110" s="72"/>
      <c r="M110" s="26"/>
      <c r="N110" s="21"/>
    </row>
    <row r="111" spans="1:14" ht="18.95" customHeight="1">
      <c r="A111" s="21"/>
      <c r="B111" s="287"/>
      <c r="C111" s="48"/>
      <c r="D111" s="49"/>
      <c r="E111" s="25"/>
      <c r="F111" s="26"/>
      <c r="G111" s="25"/>
      <c r="H111" s="25"/>
      <c r="I111" s="25"/>
      <c r="J111" s="25"/>
      <c r="K111" s="25"/>
      <c r="L111" s="30"/>
      <c r="M111" s="25"/>
      <c r="N111" s="21"/>
    </row>
    <row r="112" spans="1:14" ht="18.95" customHeight="1">
      <c r="A112" s="21"/>
      <c r="B112" s="287"/>
      <c r="C112" s="48"/>
      <c r="D112" s="49"/>
      <c r="E112" s="25"/>
      <c r="F112" s="26"/>
      <c r="G112" s="25"/>
      <c r="H112" s="25"/>
      <c r="I112" s="25"/>
      <c r="J112" s="25"/>
      <c r="K112" s="25"/>
      <c r="L112" s="30"/>
      <c r="M112" s="25"/>
      <c r="N112" s="21"/>
    </row>
    <row r="113" spans="1:14" ht="18.95" customHeight="1">
      <c r="A113" s="21"/>
      <c r="B113" s="287"/>
      <c r="C113" s="48"/>
      <c r="D113" s="49"/>
      <c r="E113" s="25"/>
      <c r="F113" s="26"/>
      <c r="G113" s="25"/>
      <c r="H113" s="25"/>
      <c r="I113" s="25"/>
      <c r="J113" s="25"/>
      <c r="K113" s="25"/>
      <c r="L113" s="30"/>
      <c r="M113" s="25"/>
      <c r="N113" s="21"/>
    </row>
    <row r="114" spans="1:14" ht="18.95" customHeight="1">
      <c r="A114" s="50"/>
      <c r="B114" s="270"/>
      <c r="C114" s="271"/>
      <c r="D114" s="236"/>
      <c r="E114" s="54"/>
      <c r="F114" s="55"/>
      <c r="G114" s="54"/>
      <c r="H114" s="54"/>
      <c r="I114" s="54"/>
      <c r="J114" s="54"/>
      <c r="K114" s="54"/>
      <c r="L114" s="146"/>
      <c r="M114" s="54"/>
      <c r="N114" s="21"/>
    </row>
    <row r="115" spans="1:14" ht="18.95" customHeight="1">
      <c r="A115" s="272"/>
      <c r="B115" s="273"/>
      <c r="C115" s="274"/>
      <c r="D115" s="262"/>
      <c r="E115" s="263"/>
      <c r="F115" s="248"/>
      <c r="G115" s="263"/>
      <c r="H115" s="263"/>
      <c r="I115" s="263"/>
      <c r="J115" s="291"/>
      <c r="K115" s="291"/>
      <c r="L115" s="292"/>
      <c r="M115" s="248"/>
      <c r="N115" s="14"/>
    </row>
    <row r="116" spans="1:14" ht="18.95" customHeight="1">
      <c r="A116" s="275"/>
      <c r="B116" s="42"/>
      <c r="C116" s="277"/>
      <c r="D116" s="278"/>
      <c r="E116" s="263"/>
      <c r="F116" s="248"/>
      <c r="G116" s="72"/>
      <c r="H116" s="72"/>
      <c r="I116" s="72"/>
      <c r="J116" s="25"/>
      <c r="K116" s="25"/>
      <c r="L116" s="72"/>
      <c r="M116" s="72"/>
      <c r="N116" s="296"/>
    </row>
    <row r="117" spans="1:14" ht="18.95" customHeight="1">
      <c r="A117" s="279"/>
      <c r="B117" s="42"/>
      <c r="C117" s="210"/>
      <c r="D117" s="210"/>
      <c r="E117" s="263"/>
      <c r="F117" s="248"/>
      <c r="G117" s="72"/>
      <c r="H117" s="72"/>
      <c r="I117" s="72"/>
      <c r="J117" s="25"/>
      <c r="K117" s="25"/>
      <c r="L117" s="72"/>
      <c r="M117" s="72"/>
      <c r="N117" s="295"/>
    </row>
    <row r="118" spans="1:14" ht="18.95" customHeight="1">
      <c r="A118" s="279"/>
      <c r="B118" s="42"/>
      <c r="C118" s="210"/>
      <c r="D118" s="210"/>
      <c r="E118" s="263"/>
      <c r="F118" s="248"/>
      <c r="G118" s="72"/>
      <c r="H118" s="72"/>
      <c r="I118" s="72"/>
      <c r="J118" s="25"/>
      <c r="K118" s="25"/>
      <c r="L118" s="72"/>
      <c r="M118" s="72"/>
      <c r="N118" s="295"/>
    </row>
    <row r="119" spans="1:14" ht="18.95" customHeight="1">
      <c r="A119" s="279"/>
      <c r="B119" s="42"/>
      <c r="C119" s="210"/>
      <c r="D119" s="210"/>
      <c r="E119" s="263"/>
      <c r="F119" s="248"/>
      <c r="G119" s="72"/>
      <c r="H119" s="72"/>
      <c r="I119" s="72"/>
      <c r="J119" s="25"/>
      <c r="K119" s="25"/>
      <c r="L119" s="72"/>
      <c r="M119" s="72"/>
      <c r="N119" s="295"/>
    </row>
    <row r="120" spans="1:14" ht="18.95" customHeight="1">
      <c r="A120" s="275"/>
      <c r="B120" s="42"/>
      <c r="C120" s="277"/>
      <c r="D120" s="210"/>
      <c r="E120" s="263"/>
      <c r="F120" s="248"/>
      <c r="G120" s="72"/>
      <c r="H120" s="72"/>
      <c r="I120" s="72"/>
      <c r="J120" s="25"/>
      <c r="K120" s="25"/>
      <c r="L120" s="72"/>
      <c r="M120" s="72"/>
      <c r="N120" s="295"/>
    </row>
    <row r="121" spans="1:14" ht="18.95" customHeight="1">
      <c r="A121" s="279"/>
      <c r="B121" s="283"/>
      <c r="C121" s="43"/>
      <c r="D121" s="24"/>
      <c r="E121" s="263"/>
      <c r="F121" s="248"/>
      <c r="G121" s="72"/>
      <c r="H121" s="72"/>
      <c r="I121" s="72"/>
      <c r="J121" s="72"/>
      <c r="K121" s="72"/>
      <c r="L121" s="72"/>
      <c r="M121" s="72"/>
      <c r="N121" s="295"/>
    </row>
    <row r="122" spans="1:14" ht="18.95" customHeight="1">
      <c r="A122" s="279"/>
      <c r="B122" s="27"/>
      <c r="C122" s="210"/>
      <c r="D122" s="210"/>
      <c r="E122" s="263"/>
      <c r="F122" s="248"/>
      <c r="G122" s="30"/>
      <c r="H122" s="30"/>
      <c r="I122" s="30"/>
      <c r="J122" s="25"/>
      <c r="K122" s="25"/>
      <c r="L122" s="72"/>
      <c r="M122" s="297"/>
      <c r="N122" s="295"/>
    </row>
    <row r="123" spans="1:14" ht="18.95" customHeight="1">
      <c r="A123" s="279"/>
      <c r="B123" s="276"/>
      <c r="C123" s="277"/>
      <c r="D123" s="210"/>
      <c r="E123" s="263"/>
      <c r="F123" s="248"/>
      <c r="G123" s="72"/>
      <c r="H123" s="72"/>
      <c r="I123" s="72"/>
      <c r="J123" s="25"/>
      <c r="K123" s="25"/>
      <c r="L123" s="72"/>
      <c r="M123" s="297"/>
      <c r="N123" s="295"/>
    </row>
    <row r="124" spans="1:14" ht="18.95" customHeight="1">
      <c r="A124" s="279"/>
      <c r="B124" s="27"/>
      <c r="C124" s="210"/>
      <c r="D124" s="267"/>
      <c r="E124" s="263"/>
      <c r="F124" s="248"/>
      <c r="G124" s="30"/>
      <c r="H124" s="30"/>
      <c r="I124" s="30"/>
      <c r="J124" s="25"/>
      <c r="K124" s="25"/>
      <c r="L124" s="72"/>
      <c r="M124" s="118"/>
      <c r="N124" s="21"/>
    </row>
    <row r="125" spans="1:14" ht="18.95" customHeight="1">
      <c r="A125" s="280"/>
      <c r="B125" s="27"/>
      <c r="C125" s="210"/>
      <c r="D125" s="210"/>
      <c r="E125" s="263"/>
      <c r="F125" s="248"/>
      <c r="G125" s="30"/>
      <c r="H125" s="30"/>
      <c r="I125" s="30"/>
      <c r="J125" s="25"/>
      <c r="K125" s="25"/>
      <c r="L125" s="72"/>
      <c r="M125" s="118"/>
      <c r="N125" s="21"/>
    </row>
    <row r="126" spans="1:14" ht="18.95" customHeight="1">
      <c r="A126" s="279"/>
      <c r="B126" s="27"/>
      <c r="C126" s="210"/>
      <c r="D126" s="210"/>
      <c r="E126" s="263"/>
      <c r="F126" s="248"/>
      <c r="G126" s="30"/>
      <c r="H126" s="30"/>
      <c r="I126" s="30"/>
      <c r="J126" s="25"/>
      <c r="K126" s="25"/>
      <c r="L126" s="72"/>
      <c r="M126" s="26"/>
      <c r="N126" s="21"/>
    </row>
    <row r="127" spans="1:14" ht="18.95" customHeight="1">
      <c r="A127" s="281"/>
      <c r="B127" s="276"/>
      <c r="C127" s="277"/>
      <c r="D127" s="210"/>
      <c r="E127" s="263"/>
      <c r="F127" s="248"/>
      <c r="G127" s="30"/>
      <c r="H127" s="30"/>
      <c r="I127" s="30"/>
      <c r="J127" s="25"/>
      <c r="K127" s="25"/>
      <c r="L127" s="72"/>
      <c r="M127" s="26"/>
      <c r="N127" s="21"/>
    </row>
    <row r="128" spans="1:14" ht="18.95" customHeight="1">
      <c r="A128" s="280"/>
      <c r="B128" s="282"/>
      <c r="C128" s="210"/>
      <c r="D128" s="210"/>
      <c r="E128" s="263"/>
      <c r="F128" s="248"/>
      <c r="G128" s="72"/>
      <c r="H128" s="72"/>
      <c r="I128" s="72"/>
      <c r="J128" s="25"/>
      <c r="K128" s="25"/>
      <c r="L128" s="72"/>
      <c r="M128" s="26"/>
      <c r="N128" s="21"/>
    </row>
    <row r="129" spans="1:14" ht="18.95" customHeight="1">
      <c r="A129" s="279"/>
      <c r="B129" s="266"/>
      <c r="C129" s="210"/>
      <c r="D129" s="267"/>
      <c r="E129" s="263"/>
      <c r="F129" s="248"/>
      <c r="G129" s="72"/>
      <c r="H129" s="72"/>
      <c r="I129" s="72"/>
      <c r="J129" s="25"/>
      <c r="K129" s="25"/>
      <c r="L129" s="72"/>
      <c r="M129" s="26"/>
      <c r="N129" s="21"/>
    </row>
    <row r="130" spans="1:14" ht="18.95" customHeight="1">
      <c r="A130" s="281"/>
      <c r="B130" s="266"/>
      <c r="C130" s="210"/>
      <c r="D130" s="267"/>
      <c r="E130" s="263"/>
      <c r="F130" s="248"/>
      <c r="G130" s="72"/>
      <c r="H130" s="72"/>
      <c r="I130" s="72"/>
      <c r="J130" s="25"/>
      <c r="K130" s="25"/>
      <c r="L130" s="72"/>
      <c r="M130" s="26"/>
      <c r="N130" s="21"/>
    </row>
    <row r="131" spans="1:14" ht="18.95" customHeight="1">
      <c r="A131" s="280"/>
      <c r="B131" s="266"/>
      <c r="C131" s="210"/>
      <c r="D131" s="267"/>
      <c r="E131" s="263"/>
      <c r="F131" s="248"/>
      <c r="G131" s="72"/>
      <c r="H131" s="72"/>
      <c r="I131" s="72"/>
      <c r="J131" s="25"/>
      <c r="K131" s="25"/>
      <c r="L131" s="72"/>
      <c r="M131" s="26"/>
      <c r="N131" s="21"/>
    </row>
    <row r="132" spans="1:14" ht="18.95" customHeight="1">
      <c r="A132" s="279"/>
      <c r="B132" s="266"/>
      <c r="C132" s="210"/>
      <c r="D132" s="267"/>
      <c r="E132" s="263"/>
      <c r="F132" s="248"/>
      <c r="G132" s="72"/>
      <c r="H132" s="72"/>
      <c r="I132" s="72"/>
      <c r="J132" s="25"/>
      <c r="K132" s="25"/>
      <c r="L132" s="72"/>
      <c r="M132" s="26"/>
      <c r="N132" s="21"/>
    </row>
    <row r="133" spans="1:14" ht="18.95" customHeight="1">
      <c r="A133" s="281"/>
      <c r="B133" s="283"/>
      <c r="C133" s="47"/>
      <c r="D133" s="24"/>
      <c r="E133" s="263"/>
      <c r="F133" s="248"/>
      <c r="G133" s="72"/>
      <c r="H133" s="72"/>
      <c r="I133" s="72"/>
      <c r="J133" s="25"/>
      <c r="K133" s="25"/>
      <c r="L133" s="72"/>
      <c r="M133" s="26"/>
      <c r="N133" s="21"/>
    </row>
    <row r="134" spans="1:14" ht="18.95" customHeight="1">
      <c r="A134" s="280"/>
      <c r="B134" s="283"/>
      <c r="C134" s="47"/>
      <c r="D134" s="24"/>
      <c r="E134" s="263"/>
      <c r="F134" s="248"/>
      <c r="G134" s="72"/>
      <c r="H134" s="72"/>
      <c r="I134" s="72"/>
      <c r="J134" s="25"/>
      <c r="K134" s="25"/>
      <c r="L134" s="72"/>
      <c r="M134" s="26"/>
      <c r="N134" s="21"/>
    </row>
    <row r="135" spans="1:14" ht="18.95" customHeight="1">
      <c r="A135" s="115"/>
      <c r="B135" s="42"/>
      <c r="C135" s="47"/>
      <c r="D135" s="24"/>
      <c r="E135" s="72"/>
      <c r="F135" s="26"/>
      <c r="G135" s="72"/>
      <c r="H135" s="72"/>
      <c r="I135" s="72"/>
      <c r="J135" s="72"/>
      <c r="K135" s="72"/>
      <c r="L135" s="72"/>
      <c r="M135" s="26"/>
      <c r="N135" s="21"/>
    </row>
    <row r="136" spans="1:14" ht="18.95" customHeight="1">
      <c r="A136" s="115"/>
      <c r="B136" s="283"/>
      <c r="C136" s="285"/>
      <c r="D136" s="40"/>
      <c r="E136" s="72"/>
      <c r="F136" s="26"/>
      <c r="G136" s="72"/>
      <c r="H136" s="72"/>
      <c r="I136" s="72"/>
      <c r="J136" s="72"/>
      <c r="K136" s="72"/>
      <c r="L136" s="72"/>
      <c r="M136" s="26"/>
      <c r="N136" s="21"/>
    </row>
    <row r="137" spans="1:14" ht="18.95" customHeight="1">
      <c r="A137" s="115"/>
      <c r="B137" s="285"/>
      <c r="C137" s="43"/>
      <c r="D137" s="24"/>
      <c r="E137" s="72"/>
      <c r="F137" s="26"/>
      <c r="G137" s="72"/>
      <c r="H137" s="72"/>
      <c r="I137" s="72"/>
      <c r="J137" s="72"/>
      <c r="K137" s="72"/>
      <c r="L137" s="72"/>
      <c r="M137" s="26"/>
      <c r="N137" s="21"/>
    </row>
    <row r="138" spans="1:14" ht="18.95" customHeight="1">
      <c r="A138" s="21"/>
      <c r="B138" s="285"/>
      <c r="C138" s="43"/>
      <c r="D138" s="286"/>
      <c r="E138" s="72"/>
      <c r="F138" s="26"/>
      <c r="G138" s="72"/>
      <c r="H138" s="72"/>
      <c r="I138" s="72"/>
      <c r="J138" s="72"/>
      <c r="K138" s="72"/>
      <c r="L138" s="72"/>
      <c r="M138" s="26"/>
      <c r="N138" s="21"/>
    </row>
    <row r="139" spans="1:14" ht="18.95" customHeight="1">
      <c r="A139" s="21"/>
      <c r="B139" s="287"/>
      <c r="C139" s="48"/>
      <c r="D139" s="49"/>
      <c r="E139" s="25"/>
      <c r="F139" s="26"/>
      <c r="G139" s="25"/>
      <c r="H139" s="25"/>
      <c r="I139" s="25"/>
      <c r="J139" s="25"/>
      <c r="K139" s="25"/>
      <c r="L139" s="30"/>
      <c r="M139" s="25"/>
      <c r="N139" s="21"/>
    </row>
    <row r="140" spans="1:14" ht="18.95" customHeight="1">
      <c r="A140" s="21"/>
      <c r="B140" s="287"/>
      <c r="C140" s="48"/>
      <c r="D140" s="49"/>
      <c r="E140" s="25"/>
      <c r="F140" s="26"/>
      <c r="G140" s="25"/>
      <c r="H140" s="25"/>
      <c r="I140" s="25"/>
      <c r="J140" s="25"/>
      <c r="K140" s="25"/>
      <c r="L140" s="30"/>
      <c r="M140" s="25"/>
      <c r="N140" s="21"/>
    </row>
    <row r="141" spans="1:14" ht="18.95" customHeight="1">
      <c r="A141" s="21"/>
      <c r="B141" s="287"/>
      <c r="C141" s="48"/>
      <c r="D141" s="49"/>
      <c r="E141" s="25"/>
      <c r="F141" s="26"/>
      <c r="G141" s="25"/>
      <c r="H141" s="25"/>
      <c r="I141" s="25"/>
      <c r="J141" s="25"/>
      <c r="K141" s="25"/>
      <c r="L141" s="30"/>
      <c r="M141" s="25"/>
      <c r="N141" s="21"/>
    </row>
    <row r="142" spans="1:14" ht="18.95" customHeight="1">
      <c r="A142" s="50"/>
      <c r="B142" s="270"/>
      <c r="C142" s="271"/>
      <c r="D142" s="236"/>
      <c r="E142" s="54"/>
      <c r="F142" s="55"/>
      <c r="G142" s="54"/>
      <c r="H142" s="54"/>
      <c r="I142" s="54"/>
      <c r="J142" s="54"/>
      <c r="K142" s="54"/>
      <c r="L142" s="146"/>
      <c r="M142" s="54"/>
      <c r="N142" s="21"/>
    </row>
    <row r="143" spans="1:14" ht="18.95" customHeight="1">
      <c r="A143" s="272"/>
      <c r="B143" s="273"/>
      <c r="C143" s="274"/>
      <c r="D143" s="262"/>
      <c r="E143" s="263"/>
      <c r="F143" s="248"/>
      <c r="G143" s="263"/>
      <c r="H143" s="263"/>
      <c r="I143" s="263"/>
      <c r="J143" s="291"/>
      <c r="K143" s="291"/>
      <c r="L143" s="292"/>
      <c r="M143" s="248"/>
      <c r="N143" s="14"/>
    </row>
    <row r="144" spans="1:14" ht="18.95" customHeight="1">
      <c r="A144" s="275"/>
      <c r="B144" s="298"/>
      <c r="C144" s="277"/>
      <c r="D144" s="278"/>
      <c r="E144" s="263"/>
      <c r="F144" s="248"/>
      <c r="G144" s="72"/>
      <c r="H144" s="72"/>
      <c r="I144" s="72"/>
      <c r="J144" s="25"/>
      <c r="K144" s="25"/>
      <c r="L144" s="72"/>
      <c r="M144" s="72"/>
      <c r="N144" s="296"/>
    </row>
    <row r="145" spans="1:14" ht="18.95" customHeight="1">
      <c r="A145" s="279"/>
      <c r="B145" s="298"/>
      <c r="C145" s="210"/>
      <c r="D145" s="210"/>
      <c r="E145" s="263"/>
      <c r="F145" s="248"/>
      <c r="G145" s="72"/>
      <c r="H145" s="72"/>
      <c r="I145" s="72"/>
      <c r="J145" s="25"/>
      <c r="K145" s="25"/>
      <c r="L145" s="72"/>
      <c r="M145" s="72"/>
      <c r="N145" s="295"/>
    </row>
    <row r="146" spans="1:14" ht="18.95" customHeight="1">
      <c r="A146" s="279"/>
      <c r="B146" s="298"/>
      <c r="C146" s="210"/>
      <c r="D146" s="210"/>
      <c r="E146" s="263"/>
      <c r="F146" s="248"/>
      <c r="G146" s="72"/>
      <c r="H146" s="72"/>
      <c r="I146" s="72"/>
      <c r="J146" s="25"/>
      <c r="K146" s="25"/>
      <c r="L146" s="72"/>
      <c r="M146" s="72"/>
      <c r="N146" s="295"/>
    </row>
    <row r="147" spans="1:14" ht="18.95" customHeight="1">
      <c r="A147" s="279"/>
      <c r="B147" s="298"/>
      <c r="C147" s="210"/>
      <c r="D147" s="210"/>
      <c r="E147" s="263"/>
      <c r="F147" s="248"/>
      <c r="G147" s="72"/>
      <c r="H147" s="72"/>
      <c r="I147" s="72"/>
      <c r="J147" s="25"/>
      <c r="K147" s="25"/>
      <c r="L147" s="72"/>
      <c r="M147" s="72"/>
      <c r="N147" s="295"/>
    </row>
    <row r="148" spans="1:14" ht="18.95" customHeight="1">
      <c r="A148" s="275"/>
      <c r="B148" s="298"/>
      <c r="C148" s="277"/>
      <c r="D148" s="210"/>
      <c r="E148" s="263"/>
      <c r="F148" s="248"/>
      <c r="G148" s="72"/>
      <c r="H148" s="72"/>
      <c r="I148" s="72"/>
      <c r="J148" s="25"/>
      <c r="K148" s="25"/>
      <c r="L148" s="72"/>
      <c r="M148" s="72"/>
      <c r="N148" s="295"/>
    </row>
    <row r="149" spans="1:14" ht="18.95" customHeight="1">
      <c r="A149" s="279"/>
      <c r="B149" s="299"/>
      <c r="C149" s="210"/>
      <c r="D149" s="210"/>
      <c r="E149" s="263"/>
      <c r="F149" s="248"/>
      <c r="G149" s="72"/>
      <c r="H149" s="72"/>
      <c r="I149" s="72"/>
      <c r="J149" s="25"/>
      <c r="K149" s="25"/>
      <c r="L149" s="72"/>
      <c r="M149" s="72"/>
      <c r="N149" s="295"/>
    </row>
    <row r="150" spans="1:14" ht="18.95" customHeight="1">
      <c r="A150" s="279"/>
      <c r="B150" s="27"/>
      <c r="C150" s="210"/>
      <c r="D150" s="210"/>
      <c r="E150" s="263"/>
      <c r="F150" s="248"/>
      <c r="G150" s="30"/>
      <c r="H150" s="30"/>
      <c r="I150" s="30"/>
      <c r="J150" s="25"/>
      <c r="K150" s="25"/>
      <c r="L150" s="72"/>
      <c r="M150" s="72"/>
      <c r="N150" s="295"/>
    </row>
    <row r="151" spans="1:14" ht="18.95" customHeight="1">
      <c r="A151" s="279"/>
      <c r="B151" s="276"/>
      <c r="C151" s="277"/>
      <c r="D151" s="210"/>
      <c r="E151" s="263"/>
      <c r="F151" s="248"/>
      <c r="G151" s="72"/>
      <c r="H151" s="72"/>
      <c r="I151" s="72"/>
      <c r="J151" s="25"/>
      <c r="K151" s="25"/>
      <c r="L151" s="72"/>
      <c r="M151" s="72"/>
      <c r="N151" s="295"/>
    </row>
    <row r="152" spans="1:14" ht="18.95" customHeight="1">
      <c r="A152" s="279"/>
      <c r="B152" s="27"/>
      <c r="C152" s="210"/>
      <c r="D152" s="267"/>
      <c r="E152" s="263"/>
      <c r="F152" s="248"/>
      <c r="G152" s="30"/>
      <c r="H152" s="30"/>
      <c r="I152" s="30"/>
      <c r="J152" s="25"/>
      <c r="K152" s="25"/>
      <c r="L152" s="72"/>
      <c r="M152" s="26"/>
      <c r="N152" s="21"/>
    </row>
    <row r="153" spans="1:14" ht="18.95" customHeight="1">
      <c r="A153" s="280"/>
      <c r="B153" s="27"/>
      <c r="C153" s="210"/>
      <c r="D153" s="210"/>
      <c r="E153" s="263"/>
      <c r="F153" s="248"/>
      <c r="G153" s="30"/>
      <c r="H153" s="30"/>
      <c r="I153" s="30"/>
      <c r="J153" s="25"/>
      <c r="K153" s="25"/>
      <c r="L153" s="72"/>
      <c r="M153" s="26"/>
      <c r="N153" s="21"/>
    </row>
    <row r="154" spans="1:14" ht="18.95" customHeight="1">
      <c r="A154" s="279"/>
      <c r="B154" s="27"/>
      <c r="C154" s="210"/>
      <c r="D154" s="210"/>
      <c r="E154" s="263"/>
      <c r="F154" s="248"/>
      <c r="G154" s="30"/>
      <c r="H154" s="30"/>
      <c r="I154" s="30"/>
      <c r="J154" s="25"/>
      <c r="K154" s="25"/>
      <c r="L154" s="72"/>
      <c r="M154" s="26"/>
      <c r="N154" s="21"/>
    </row>
    <row r="155" spans="1:14" ht="18.95" customHeight="1">
      <c r="A155" s="281"/>
      <c r="B155" s="276"/>
      <c r="C155" s="277"/>
      <c r="D155" s="210"/>
      <c r="E155" s="263"/>
      <c r="F155" s="248"/>
      <c r="G155" s="30"/>
      <c r="H155" s="30"/>
      <c r="I155" s="30"/>
      <c r="J155" s="25"/>
      <c r="K155" s="25"/>
      <c r="L155" s="72"/>
      <c r="M155" s="26"/>
      <c r="N155" s="21"/>
    </row>
    <row r="156" spans="1:14" ht="18.95" customHeight="1">
      <c r="A156" s="280"/>
      <c r="B156" s="282"/>
      <c r="C156" s="210"/>
      <c r="D156" s="210"/>
      <c r="E156" s="263"/>
      <c r="F156" s="248"/>
      <c r="G156" s="72"/>
      <c r="H156" s="72"/>
      <c r="I156" s="72"/>
      <c r="J156" s="25"/>
      <c r="K156" s="25"/>
      <c r="L156" s="72"/>
      <c r="M156" s="26"/>
      <c r="N156" s="21"/>
    </row>
    <row r="157" spans="1:14" ht="18.95" customHeight="1">
      <c r="A157" s="279"/>
      <c r="B157" s="266"/>
      <c r="C157" s="210"/>
      <c r="D157" s="267"/>
      <c r="E157" s="263"/>
      <c r="F157" s="248"/>
      <c r="G157" s="72"/>
      <c r="H157" s="72"/>
      <c r="I157" s="72"/>
      <c r="J157" s="25"/>
      <c r="K157" s="25"/>
      <c r="L157" s="72"/>
      <c r="M157" s="26"/>
      <c r="N157" s="21"/>
    </row>
    <row r="158" spans="1:14" ht="18.95" customHeight="1">
      <c r="A158" s="281"/>
      <c r="B158" s="266"/>
      <c r="C158" s="210"/>
      <c r="D158" s="267"/>
      <c r="E158" s="263"/>
      <c r="F158" s="248"/>
      <c r="G158" s="72"/>
      <c r="H158" s="72"/>
      <c r="I158" s="72"/>
      <c r="J158" s="25"/>
      <c r="K158" s="25"/>
      <c r="L158" s="72"/>
      <c r="M158" s="26"/>
      <c r="N158" s="21"/>
    </row>
    <row r="159" spans="1:14" ht="18.95" customHeight="1">
      <c r="A159" s="280"/>
      <c r="B159" s="266"/>
      <c r="C159" s="210"/>
      <c r="D159" s="267"/>
      <c r="E159" s="263"/>
      <c r="F159" s="248"/>
      <c r="G159" s="72"/>
      <c r="H159" s="72"/>
      <c r="I159" s="72"/>
      <c r="J159" s="25"/>
      <c r="K159" s="25"/>
      <c r="L159" s="72"/>
      <c r="M159" s="26"/>
      <c r="N159" s="21"/>
    </row>
    <row r="160" spans="1:14" ht="18.95" customHeight="1">
      <c r="A160" s="279"/>
      <c r="B160" s="266"/>
      <c r="C160" s="210"/>
      <c r="D160" s="267"/>
      <c r="E160" s="263"/>
      <c r="F160" s="248"/>
      <c r="G160" s="72"/>
      <c r="H160" s="72"/>
      <c r="I160" s="72"/>
      <c r="J160" s="25"/>
      <c r="K160" s="25"/>
      <c r="L160" s="72"/>
      <c r="M160" s="26"/>
      <c r="N160" s="21"/>
    </row>
    <row r="161" spans="1:14" ht="18.95" customHeight="1">
      <c r="A161" s="281"/>
      <c r="B161" s="283"/>
      <c r="C161" s="47"/>
      <c r="D161" s="24"/>
      <c r="E161" s="263"/>
      <c r="F161" s="248"/>
      <c r="G161" s="72"/>
      <c r="H161" s="72"/>
      <c r="I161" s="72"/>
      <c r="J161" s="25"/>
      <c r="K161" s="25"/>
      <c r="L161" s="72"/>
      <c r="M161" s="26"/>
      <c r="N161" s="21"/>
    </row>
    <row r="162" spans="1:14" ht="18.95" customHeight="1">
      <c r="A162" s="280"/>
      <c r="B162" s="283"/>
      <c r="C162" s="47"/>
      <c r="D162" s="24"/>
      <c r="E162" s="263"/>
      <c r="F162" s="248"/>
      <c r="G162" s="72"/>
      <c r="H162" s="72"/>
      <c r="I162" s="72"/>
      <c r="J162" s="25"/>
      <c r="K162" s="25"/>
      <c r="L162" s="72"/>
      <c r="M162" s="26"/>
      <c r="N162" s="21"/>
    </row>
    <row r="163" spans="1:14" ht="18.95" customHeight="1">
      <c r="A163" s="115"/>
      <c r="B163" s="42"/>
      <c r="C163" s="47"/>
      <c r="D163" s="24"/>
      <c r="E163" s="72"/>
      <c r="F163" s="26"/>
      <c r="G163" s="72"/>
      <c r="H163" s="72"/>
      <c r="I163" s="72"/>
      <c r="J163" s="72"/>
      <c r="K163" s="72"/>
      <c r="L163" s="72"/>
      <c r="M163" s="26"/>
      <c r="N163" s="21"/>
    </row>
    <row r="164" spans="1:14" ht="18.95" customHeight="1">
      <c r="A164" s="115"/>
      <c r="B164" s="283"/>
      <c r="C164" s="285"/>
      <c r="D164" s="40"/>
      <c r="E164" s="72"/>
      <c r="F164" s="26"/>
      <c r="G164" s="72"/>
      <c r="H164" s="72"/>
      <c r="I164" s="72"/>
      <c r="J164" s="72"/>
      <c r="K164" s="72"/>
      <c r="L164" s="72"/>
      <c r="M164" s="26"/>
      <c r="N164" s="21"/>
    </row>
    <row r="165" spans="1:14" ht="18.95" customHeight="1">
      <c r="A165" s="115"/>
      <c r="B165" s="285"/>
      <c r="C165" s="43"/>
      <c r="D165" s="24"/>
      <c r="E165" s="72"/>
      <c r="F165" s="26"/>
      <c r="G165" s="72"/>
      <c r="H165" s="72"/>
      <c r="I165" s="72"/>
      <c r="J165" s="72"/>
      <c r="K165" s="72"/>
      <c r="L165" s="72"/>
      <c r="M165" s="26"/>
      <c r="N165" s="21"/>
    </row>
    <row r="166" spans="1:14" ht="18.95" customHeight="1">
      <c r="A166" s="21"/>
      <c r="B166" s="285"/>
      <c r="C166" s="43"/>
      <c r="D166" s="286"/>
      <c r="E166" s="72"/>
      <c r="F166" s="26"/>
      <c r="G166" s="72"/>
      <c r="H166" s="72"/>
      <c r="I166" s="72"/>
      <c r="J166" s="72"/>
      <c r="K166" s="72"/>
      <c r="L166" s="72"/>
      <c r="M166" s="26"/>
      <c r="N166" s="21"/>
    </row>
    <row r="167" spans="1:14" ht="18.95" customHeight="1">
      <c r="A167" s="21"/>
      <c r="B167" s="287"/>
      <c r="C167" s="48"/>
      <c r="D167" s="49"/>
      <c r="E167" s="25"/>
      <c r="F167" s="26"/>
      <c r="G167" s="25"/>
      <c r="H167" s="25"/>
      <c r="I167" s="25"/>
      <c r="J167" s="25"/>
      <c r="K167" s="25"/>
      <c r="L167" s="30"/>
      <c r="M167" s="25"/>
      <c r="N167" s="21"/>
    </row>
    <row r="168" spans="1:14" ht="18.95" customHeight="1">
      <c r="A168" s="21"/>
      <c r="B168" s="287"/>
      <c r="C168" s="48"/>
      <c r="D168" s="49"/>
      <c r="E168" s="25"/>
      <c r="F168" s="26"/>
      <c r="G168" s="25"/>
      <c r="H168" s="25"/>
      <c r="I168" s="25"/>
      <c r="J168" s="25"/>
      <c r="K168" s="25"/>
      <c r="L168" s="30"/>
      <c r="M168" s="25"/>
      <c r="N168" s="21"/>
    </row>
    <row r="169" spans="1:14" ht="18.95" customHeight="1">
      <c r="A169" s="21"/>
      <c r="B169" s="287"/>
      <c r="C169" s="48"/>
      <c r="D169" s="49"/>
      <c r="E169" s="25"/>
      <c r="F169" s="26"/>
      <c r="G169" s="25"/>
      <c r="H169" s="25"/>
      <c r="I169" s="25"/>
      <c r="J169" s="25"/>
      <c r="K169" s="25"/>
      <c r="L169" s="30"/>
      <c r="M169" s="25"/>
      <c r="N169" s="21"/>
    </row>
    <row r="170" spans="1:14" ht="18.95" customHeight="1">
      <c r="A170" s="50"/>
      <c r="B170" s="270"/>
      <c r="C170" s="271"/>
      <c r="D170" s="236"/>
      <c r="E170" s="54"/>
      <c r="F170" s="55"/>
      <c r="G170" s="54"/>
      <c r="H170" s="54"/>
      <c r="I170" s="54"/>
      <c r="J170" s="54"/>
      <c r="K170" s="54"/>
      <c r="L170" s="146"/>
      <c r="M170" s="54"/>
      <c r="N170" s="21"/>
    </row>
    <row r="171" spans="1:14" ht="18.95" customHeight="1">
      <c r="A171" s="272"/>
      <c r="B171" s="273"/>
      <c r="C171" s="274"/>
      <c r="D171" s="262"/>
      <c r="E171" s="263"/>
      <c r="F171" s="248"/>
      <c r="G171" s="263"/>
      <c r="H171" s="263"/>
      <c r="I171" s="263"/>
      <c r="J171" s="291"/>
      <c r="K171" s="291"/>
      <c r="L171" s="292"/>
      <c r="M171" s="248"/>
      <c r="N171" s="14"/>
    </row>
    <row r="172" spans="1:14" ht="18.95" customHeight="1">
      <c r="A172" s="275"/>
      <c r="B172" s="298"/>
      <c r="C172" s="277"/>
      <c r="D172" s="278"/>
      <c r="E172" s="263"/>
      <c r="F172" s="248"/>
      <c r="G172" s="72"/>
      <c r="H172" s="72"/>
      <c r="I172" s="72"/>
      <c r="J172" s="25"/>
      <c r="K172" s="25"/>
      <c r="L172" s="72"/>
      <c r="M172" s="72"/>
      <c r="N172" s="296"/>
    </row>
    <row r="173" spans="1:14" ht="18.95" customHeight="1">
      <c r="A173" s="279"/>
      <c r="B173" s="298"/>
      <c r="C173" s="210"/>
      <c r="D173" s="210"/>
      <c r="E173" s="263"/>
      <c r="F173" s="248"/>
      <c r="G173" s="72"/>
      <c r="H173" s="72"/>
      <c r="I173" s="72"/>
      <c r="J173" s="25"/>
      <c r="K173" s="25"/>
      <c r="L173" s="72"/>
      <c r="M173" s="72"/>
      <c r="N173" s="295"/>
    </row>
    <row r="174" spans="1:14" ht="18.95" customHeight="1">
      <c r="A174" s="279"/>
      <c r="B174" s="298"/>
      <c r="C174" s="210"/>
      <c r="D174" s="210"/>
      <c r="E174" s="263"/>
      <c r="F174" s="248"/>
      <c r="G174" s="72"/>
      <c r="H174" s="72"/>
      <c r="I174" s="72"/>
      <c r="J174" s="25"/>
      <c r="K174" s="25"/>
      <c r="L174" s="72"/>
      <c r="M174" s="72"/>
      <c r="N174" s="295"/>
    </row>
    <row r="175" spans="1:14" ht="18.95" customHeight="1">
      <c r="A175" s="279"/>
      <c r="B175" s="298"/>
      <c r="C175" s="210"/>
      <c r="D175" s="210"/>
      <c r="E175" s="263"/>
      <c r="F175" s="248"/>
      <c r="G175" s="72"/>
      <c r="H175" s="72"/>
      <c r="I175" s="72"/>
      <c r="J175" s="25"/>
      <c r="K175" s="25"/>
      <c r="L175" s="72"/>
      <c r="M175" s="72"/>
      <c r="N175" s="295"/>
    </row>
    <row r="176" spans="1:14" ht="18.95" customHeight="1">
      <c r="A176" s="275"/>
      <c r="B176" s="298"/>
      <c r="C176" s="277"/>
      <c r="D176" s="210"/>
      <c r="E176" s="263"/>
      <c r="F176" s="248"/>
      <c r="G176" s="72"/>
      <c r="H176" s="72"/>
      <c r="I176" s="72"/>
      <c r="J176" s="25"/>
      <c r="K176" s="25"/>
      <c r="L176" s="72"/>
      <c r="M176" s="72"/>
      <c r="N176" s="295"/>
    </row>
    <row r="177" spans="1:14" ht="18.95" customHeight="1">
      <c r="A177" s="279"/>
      <c r="B177" s="299"/>
      <c r="C177" s="210"/>
      <c r="D177" s="210"/>
      <c r="E177" s="263"/>
      <c r="F177" s="248"/>
      <c r="G177" s="72"/>
      <c r="H177" s="72"/>
      <c r="I177" s="72"/>
      <c r="J177" s="25"/>
      <c r="K177" s="25"/>
      <c r="L177" s="72"/>
      <c r="M177" s="72"/>
      <c r="N177" s="295"/>
    </row>
    <row r="178" spans="1:14" ht="18.95" customHeight="1">
      <c r="A178" s="279"/>
      <c r="B178" s="27"/>
      <c r="C178" s="210"/>
      <c r="D178" s="210"/>
      <c r="E178" s="263"/>
      <c r="F178" s="248"/>
      <c r="G178" s="30"/>
      <c r="H178" s="30"/>
      <c r="I178" s="30"/>
      <c r="J178" s="25"/>
      <c r="K178" s="25"/>
      <c r="L178" s="72"/>
      <c r="M178" s="72"/>
      <c r="N178" s="295"/>
    </row>
    <row r="179" spans="1:14" ht="18.95" customHeight="1">
      <c r="A179" s="279"/>
      <c r="B179" s="276"/>
      <c r="C179" s="277"/>
      <c r="D179" s="210"/>
      <c r="E179" s="263"/>
      <c r="F179" s="248"/>
      <c r="G179" s="72"/>
      <c r="H179" s="72"/>
      <c r="I179" s="72"/>
      <c r="J179" s="25"/>
      <c r="K179" s="25"/>
      <c r="L179" s="72"/>
      <c r="M179" s="72"/>
      <c r="N179" s="295"/>
    </row>
    <row r="180" spans="1:14" ht="18.95" customHeight="1">
      <c r="A180" s="279"/>
      <c r="B180" s="27"/>
      <c r="C180" s="210"/>
      <c r="D180" s="267"/>
      <c r="E180" s="263"/>
      <c r="F180" s="248"/>
      <c r="G180" s="30"/>
      <c r="H180" s="30"/>
      <c r="I180" s="30"/>
      <c r="J180" s="25"/>
      <c r="K180" s="25"/>
      <c r="L180" s="72"/>
      <c r="M180" s="26"/>
      <c r="N180" s="21"/>
    </row>
    <row r="181" spans="1:14" ht="18.95" customHeight="1">
      <c r="A181" s="280"/>
      <c r="B181" s="27"/>
      <c r="C181" s="210"/>
      <c r="D181" s="210"/>
      <c r="E181" s="263"/>
      <c r="F181" s="248"/>
      <c r="G181" s="30"/>
      <c r="H181" s="30"/>
      <c r="I181" s="30"/>
      <c r="J181" s="25"/>
      <c r="K181" s="25"/>
      <c r="L181" s="72"/>
      <c r="M181" s="26"/>
      <c r="N181" s="21"/>
    </row>
    <row r="182" spans="1:14" ht="18.95" customHeight="1">
      <c r="A182" s="279"/>
      <c r="B182" s="27"/>
      <c r="C182" s="210"/>
      <c r="D182" s="210"/>
      <c r="E182" s="263"/>
      <c r="F182" s="248"/>
      <c r="G182" s="30"/>
      <c r="H182" s="30"/>
      <c r="I182" s="30"/>
      <c r="J182" s="25"/>
      <c r="K182" s="25"/>
      <c r="L182" s="72"/>
      <c r="M182" s="26"/>
      <c r="N182" s="21"/>
    </row>
    <row r="183" spans="1:14" ht="18.95" customHeight="1">
      <c r="A183" s="281"/>
      <c r="B183" s="276"/>
      <c r="C183" s="277"/>
      <c r="D183" s="210"/>
      <c r="E183" s="263"/>
      <c r="F183" s="248"/>
      <c r="G183" s="30"/>
      <c r="H183" s="30"/>
      <c r="I183" s="30"/>
      <c r="J183" s="25"/>
      <c r="K183" s="25"/>
      <c r="L183" s="72"/>
      <c r="M183" s="26"/>
      <c r="N183" s="21"/>
    </row>
    <row r="184" spans="1:14" ht="18.95" customHeight="1">
      <c r="A184" s="280"/>
      <c r="B184" s="282"/>
      <c r="C184" s="210"/>
      <c r="D184" s="210"/>
      <c r="E184" s="263"/>
      <c r="F184" s="248"/>
      <c r="G184" s="72"/>
      <c r="H184" s="72"/>
      <c r="I184" s="72"/>
      <c r="J184" s="25"/>
      <c r="K184" s="25"/>
      <c r="L184" s="72"/>
      <c r="M184" s="26"/>
      <c r="N184" s="21"/>
    </row>
    <row r="185" spans="1:14" ht="18.95" customHeight="1">
      <c r="A185" s="279"/>
      <c r="B185" s="266"/>
      <c r="C185" s="210"/>
      <c r="D185" s="267"/>
      <c r="E185" s="263"/>
      <c r="F185" s="248"/>
      <c r="G185" s="72"/>
      <c r="H185" s="72"/>
      <c r="I185" s="72"/>
      <c r="J185" s="25"/>
      <c r="K185" s="25"/>
      <c r="L185" s="72"/>
      <c r="M185" s="26"/>
      <c r="N185" s="21"/>
    </row>
    <row r="186" spans="1:14" ht="18.95" customHeight="1">
      <c r="A186" s="281"/>
      <c r="B186" s="266"/>
      <c r="C186" s="210"/>
      <c r="D186" s="267"/>
      <c r="E186" s="263"/>
      <c r="F186" s="248"/>
      <c r="G186" s="72"/>
      <c r="H186" s="72"/>
      <c r="I186" s="72"/>
      <c r="J186" s="25"/>
      <c r="K186" s="25"/>
      <c r="L186" s="72"/>
      <c r="M186" s="26"/>
      <c r="N186" s="21"/>
    </row>
    <row r="187" spans="1:14" ht="18.95" customHeight="1">
      <c r="A187" s="280"/>
      <c r="B187" s="266"/>
      <c r="C187" s="210"/>
      <c r="D187" s="267"/>
      <c r="E187" s="263"/>
      <c r="F187" s="248"/>
      <c r="G187" s="72"/>
      <c r="H187" s="72"/>
      <c r="I187" s="72"/>
      <c r="J187" s="25"/>
      <c r="K187" s="25"/>
      <c r="L187" s="72"/>
      <c r="M187" s="26"/>
      <c r="N187" s="21"/>
    </row>
    <row r="188" spans="1:14" ht="18.95" customHeight="1">
      <c r="A188" s="279"/>
      <c r="B188" s="266"/>
      <c r="C188" s="210"/>
      <c r="D188" s="267"/>
      <c r="E188" s="263"/>
      <c r="F188" s="248"/>
      <c r="G188" s="72"/>
      <c r="H188" s="72"/>
      <c r="I188" s="72"/>
      <c r="J188" s="25"/>
      <c r="K188" s="25"/>
      <c r="L188" s="72"/>
      <c r="M188" s="26"/>
      <c r="N188" s="21"/>
    </row>
    <row r="189" spans="1:14" ht="18.95" customHeight="1">
      <c r="A189" s="281"/>
      <c r="B189" s="283"/>
      <c r="C189" s="47"/>
      <c r="D189" s="24"/>
      <c r="E189" s="263"/>
      <c r="F189" s="248"/>
      <c r="G189" s="72"/>
      <c r="H189" s="72"/>
      <c r="I189" s="72"/>
      <c r="J189" s="25"/>
      <c r="K189" s="25"/>
      <c r="L189" s="72"/>
      <c r="M189" s="26"/>
      <c r="N189" s="21"/>
    </row>
    <row r="190" spans="1:14" ht="18.95" customHeight="1">
      <c r="A190" s="280"/>
      <c r="B190" s="283"/>
      <c r="C190" s="47"/>
      <c r="D190" s="24"/>
      <c r="E190" s="263"/>
      <c r="F190" s="248"/>
      <c r="G190" s="72"/>
      <c r="H190" s="72"/>
      <c r="I190" s="72"/>
      <c r="J190" s="25"/>
      <c r="K190" s="25"/>
      <c r="L190" s="72"/>
      <c r="M190" s="26"/>
      <c r="N190" s="21"/>
    </row>
    <row r="191" spans="1:14" ht="18.95" customHeight="1">
      <c r="A191" s="115"/>
      <c r="B191" s="42"/>
      <c r="C191" s="47"/>
      <c r="D191" s="24"/>
      <c r="E191" s="72"/>
      <c r="F191" s="26"/>
      <c r="G191" s="72"/>
      <c r="H191" s="72"/>
      <c r="I191" s="72"/>
      <c r="J191" s="72"/>
      <c r="K191" s="72"/>
      <c r="L191" s="72"/>
      <c r="M191" s="26"/>
      <c r="N191" s="21"/>
    </row>
    <row r="192" spans="1:14" ht="18.95" customHeight="1">
      <c r="A192" s="115"/>
      <c r="B192" s="283"/>
      <c r="C192" s="285"/>
      <c r="D192" s="40"/>
      <c r="E192" s="72"/>
      <c r="F192" s="26"/>
      <c r="G192" s="72"/>
      <c r="H192" s="72"/>
      <c r="I192" s="72"/>
      <c r="J192" s="72"/>
      <c r="K192" s="72"/>
      <c r="L192" s="72"/>
      <c r="M192" s="26"/>
      <c r="N192" s="21"/>
    </row>
    <row r="193" spans="1:14" ht="18.95" customHeight="1">
      <c r="A193" s="115"/>
      <c r="B193" s="285"/>
      <c r="C193" s="43"/>
      <c r="D193" s="24"/>
      <c r="E193" s="72"/>
      <c r="F193" s="26"/>
      <c r="G193" s="72"/>
      <c r="H193" s="72"/>
      <c r="I193" s="72"/>
      <c r="J193" s="72"/>
      <c r="K193" s="72"/>
      <c r="L193" s="72"/>
      <c r="M193" s="26"/>
      <c r="N193" s="21"/>
    </row>
    <row r="194" spans="1:14" ht="18.95" customHeight="1">
      <c r="A194" s="21"/>
      <c r="B194" s="285"/>
      <c r="C194" s="43"/>
      <c r="D194" s="286"/>
      <c r="E194" s="72"/>
      <c r="F194" s="26"/>
      <c r="G194" s="72"/>
      <c r="H194" s="72"/>
      <c r="I194" s="72"/>
      <c r="J194" s="72"/>
      <c r="K194" s="72"/>
      <c r="L194" s="72"/>
      <c r="M194" s="26"/>
      <c r="N194" s="21"/>
    </row>
    <row r="195" spans="1:14" ht="18.95" customHeight="1">
      <c r="A195" s="21"/>
      <c r="B195" s="287"/>
      <c r="C195" s="48"/>
      <c r="D195" s="49"/>
      <c r="E195" s="25"/>
      <c r="F195" s="26"/>
      <c r="G195" s="25"/>
      <c r="H195" s="25"/>
      <c r="I195" s="25"/>
      <c r="J195" s="25"/>
      <c r="K195" s="25"/>
      <c r="L195" s="30"/>
      <c r="M195" s="25"/>
      <c r="N195" s="21"/>
    </row>
    <row r="196" spans="1:14" ht="18.95" customHeight="1">
      <c r="A196" s="21"/>
      <c r="B196" s="287"/>
      <c r="C196" s="48"/>
      <c r="D196" s="49"/>
      <c r="E196" s="25"/>
      <c r="F196" s="26"/>
      <c r="G196" s="25"/>
      <c r="H196" s="25"/>
      <c r="I196" s="25"/>
      <c r="J196" s="25"/>
      <c r="K196" s="25"/>
      <c r="L196" s="30"/>
      <c r="M196" s="25"/>
      <c r="N196" s="21"/>
    </row>
    <row r="197" spans="1:14" ht="18.95" customHeight="1">
      <c r="A197" s="21"/>
      <c r="B197" s="287"/>
      <c r="C197" s="48"/>
      <c r="D197" s="49"/>
      <c r="E197" s="25"/>
      <c r="F197" s="26"/>
      <c r="G197" s="25"/>
      <c r="H197" s="25"/>
      <c r="I197" s="25"/>
      <c r="J197" s="25"/>
      <c r="K197" s="25"/>
      <c r="L197" s="30"/>
      <c r="M197" s="25"/>
      <c r="N197" s="21"/>
    </row>
    <row r="198" spans="1:14" ht="18.95" customHeight="1">
      <c r="A198" s="50"/>
      <c r="B198" s="270"/>
      <c r="C198" s="271"/>
      <c r="D198" s="236"/>
      <c r="E198" s="54"/>
      <c r="F198" s="55"/>
      <c r="G198" s="54"/>
      <c r="H198" s="54"/>
      <c r="I198" s="54"/>
      <c r="J198" s="54"/>
      <c r="K198" s="54"/>
      <c r="L198" s="146"/>
      <c r="M198" s="54"/>
      <c r="N198" s="21"/>
    </row>
  </sheetData>
  <mergeCells count="14">
    <mergeCell ref="N5:N6"/>
    <mergeCell ref="B5:D6"/>
    <mergeCell ref="G5:I5"/>
    <mergeCell ref="J5:L5"/>
    <mergeCell ref="B12:D12"/>
    <mergeCell ref="L1:M1"/>
    <mergeCell ref="A2:C2"/>
    <mergeCell ref="A3:C3"/>
    <mergeCell ref="B77:D77"/>
    <mergeCell ref="A5:A6"/>
    <mergeCell ref="E5:E6"/>
    <mergeCell ref="F5:F6"/>
    <mergeCell ref="A1:C1"/>
    <mergeCell ref="D1:I1"/>
  </mergeCells>
  <printOptions horizontalCentered="1"/>
  <pageMargins left="0.39370078740157499" right="0.39370078740157499" top="1.1811023622047201" bottom="0" header="0.78740157480314998" footer="0"/>
  <pageSetup paperSize="9" scale="83" firstPageNumber="37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New,Regular"&amp;14แบบปร.4(ข) แผ่นที่ &amp;P/44</oddHeader>
  </headerFooter>
  <rowBreaks count="2" manualBreakCount="2">
    <brk id="30" max="11" man="1"/>
    <brk id="5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593"/>
  <sheetViews>
    <sheetView view="pageBreakPreview" topLeftCell="A131" zoomScaleNormal="85" workbookViewId="0">
      <selection activeCell="D27" sqref="D27"/>
    </sheetView>
  </sheetViews>
  <sheetFormatPr defaultColWidth="10.453125" defaultRowHeight="18.95" customHeight="1"/>
  <cols>
    <col min="1" max="1" width="6.7265625" style="1" customWidth="1"/>
    <col min="2" max="2" width="12.453125" style="2" customWidth="1"/>
    <col min="3" max="3" width="24.453125" style="2" customWidth="1"/>
    <col min="4" max="4" width="50.7265625" style="1" customWidth="1"/>
    <col min="5" max="5" width="11.453125" style="3" customWidth="1"/>
    <col min="6" max="6" width="8.54296875" style="3" customWidth="1"/>
    <col min="7" max="7" width="15.7265625" style="4" hidden="1" customWidth="1"/>
    <col min="8" max="9" width="15.7265625" style="4" customWidth="1"/>
    <col min="10" max="10" width="15.7265625" style="4" hidden="1" customWidth="1"/>
    <col min="11" max="13" width="15.7265625" style="4" customWidth="1"/>
    <col min="14" max="14" width="15.453125" style="3" customWidth="1"/>
    <col min="15" max="15" width="12.7265625" style="3" customWidth="1"/>
    <col min="16" max="16" width="12" style="1" customWidth="1"/>
    <col min="17" max="16384" width="10.453125" style="1"/>
  </cols>
  <sheetData>
    <row r="1" spans="1:16" ht="18.95" customHeight="1">
      <c r="A1" s="1229" t="s">
        <v>181</v>
      </c>
      <c r="B1" s="1229"/>
      <c r="C1" s="1229"/>
      <c r="D1" s="1367" t="str">
        <f>+'แบบ ปร.5(ข)'!C4</f>
        <v>โครงการจัดตั้งศูนย์การเรียนรู้แห่งชาติ OKMD : OKMD National Knowledge Center (Ratchadamnoen Center 1 และ 2)</v>
      </c>
      <c r="E1" s="1367"/>
      <c r="F1" s="1367"/>
      <c r="G1" s="1367"/>
      <c r="H1" s="1367"/>
      <c r="I1" s="1367"/>
      <c r="J1" s="95" t="s">
        <v>182</v>
      </c>
      <c r="K1" s="95" t="s">
        <v>182</v>
      </c>
      <c r="L1" s="1368" t="s">
        <v>4440</v>
      </c>
      <c r="M1" s="1368"/>
      <c r="N1" s="1368"/>
    </row>
    <row r="2" spans="1:16" ht="18.95" customHeight="1">
      <c r="A2" s="1231" t="s">
        <v>125</v>
      </c>
      <c r="B2" s="1231"/>
      <c r="C2" s="1231"/>
      <c r="D2" s="7" t="str">
        <f>+'แบบ ปร.5(ข)'!C5</f>
        <v>แขวงตลาดยอด เขตพระนคร กรุงเทพมหานคร</v>
      </c>
      <c r="E2" s="8"/>
      <c r="F2" s="8"/>
      <c r="G2" s="8"/>
      <c r="H2" s="8"/>
      <c r="I2" s="8"/>
      <c r="J2" s="96" t="s">
        <v>184</v>
      </c>
      <c r="K2" s="96" t="s">
        <v>184</v>
      </c>
      <c r="L2" s="97" t="str">
        <f>+'แบบ ปร.5(ข)'!C10</f>
        <v xml:space="preserve">  16 กรกฎาคม 2568</v>
      </c>
      <c r="M2" s="98"/>
      <c r="N2" s="8"/>
    </row>
    <row r="3" spans="1:16" ht="18.95" customHeight="1">
      <c r="A3" s="1231" t="s">
        <v>185</v>
      </c>
      <c r="B3" s="1231"/>
      <c r="C3" s="1231"/>
      <c r="D3" s="9" t="str">
        <f>+'แบบ ปร.5(ข)'!C9</f>
        <v>คณะกรรมการกำหนดราคากลาง</v>
      </c>
      <c r="E3" s="8"/>
      <c r="F3" s="8"/>
      <c r="G3" s="8"/>
      <c r="H3" s="8"/>
      <c r="I3" s="96"/>
      <c r="J3" s="96"/>
      <c r="K3" s="96"/>
      <c r="L3" s="97"/>
      <c r="M3" s="8"/>
      <c r="N3" s="8"/>
    </row>
    <row r="5" spans="1:16" ht="18.95" customHeight="1">
      <c r="A5" s="1270" t="s">
        <v>186</v>
      </c>
      <c r="B5" s="1235" t="s">
        <v>138</v>
      </c>
      <c r="C5" s="1287"/>
      <c r="D5" s="1288"/>
      <c r="E5" s="1237" t="s">
        <v>187</v>
      </c>
      <c r="F5" s="1237" t="s">
        <v>188</v>
      </c>
      <c r="G5" s="1345" t="s">
        <v>189</v>
      </c>
      <c r="H5" s="1346"/>
      <c r="I5" s="1347"/>
      <c r="J5" s="1345" t="s">
        <v>190</v>
      </c>
      <c r="K5" s="1346"/>
      <c r="L5" s="1347"/>
      <c r="M5" s="99" t="s">
        <v>191</v>
      </c>
      <c r="N5" s="1237" t="s">
        <v>140</v>
      </c>
    </row>
    <row r="6" spans="1:16" ht="18.95" customHeight="1">
      <c r="A6" s="1271"/>
      <c r="B6" s="1236"/>
      <c r="C6" s="1289"/>
      <c r="D6" s="1290"/>
      <c r="E6" s="1238"/>
      <c r="F6" s="1238"/>
      <c r="G6" s="13" t="s">
        <v>192</v>
      </c>
      <c r="H6" s="13" t="s">
        <v>192</v>
      </c>
      <c r="I6" s="13" t="s">
        <v>193</v>
      </c>
      <c r="J6" s="13" t="s">
        <v>192</v>
      </c>
      <c r="K6" s="13" t="s">
        <v>192</v>
      </c>
      <c r="L6" s="13" t="s">
        <v>193</v>
      </c>
      <c r="M6" s="13" t="s">
        <v>194</v>
      </c>
      <c r="N6" s="1238"/>
    </row>
    <row r="7" spans="1:16" ht="18.95" customHeight="1">
      <c r="A7" s="14"/>
      <c r="B7" s="15" t="s">
        <v>4441</v>
      </c>
      <c r="C7" s="16"/>
      <c r="D7" s="17"/>
      <c r="E7" s="18"/>
      <c r="F7" s="19"/>
      <c r="G7" s="20"/>
      <c r="H7" s="20"/>
      <c r="I7" s="20"/>
      <c r="J7" s="93"/>
      <c r="K7" s="93"/>
      <c r="L7" s="18"/>
      <c r="M7" s="18"/>
      <c r="N7" s="19"/>
    </row>
    <row r="8" spans="1:16" ht="18.95" customHeight="1">
      <c r="A8" s="21"/>
      <c r="B8" s="22" t="s">
        <v>162</v>
      </c>
      <c r="C8" s="23"/>
      <c r="D8" s="24"/>
      <c r="E8" s="25"/>
      <c r="F8" s="26"/>
      <c r="G8" s="25"/>
      <c r="H8" s="25"/>
      <c r="I8" s="25"/>
      <c r="J8" s="67"/>
      <c r="K8" s="67"/>
      <c r="L8" s="25"/>
      <c r="M8" s="25"/>
      <c r="N8" s="26"/>
    </row>
    <row r="9" spans="1:16" ht="18.95" customHeight="1">
      <c r="A9" s="21"/>
      <c r="B9" s="27"/>
      <c r="C9" s="23"/>
      <c r="D9" s="24"/>
      <c r="E9" s="25"/>
      <c r="F9" s="26"/>
      <c r="G9" s="25"/>
      <c r="H9" s="25"/>
      <c r="I9" s="25"/>
      <c r="J9" s="67"/>
      <c r="K9" s="67"/>
      <c r="L9" s="25"/>
      <c r="M9" s="25"/>
      <c r="N9" s="26"/>
    </row>
    <row r="10" spans="1:16" ht="18.95" customHeight="1">
      <c r="A10" s="28">
        <v>1</v>
      </c>
      <c r="B10" s="27" t="s">
        <v>3538</v>
      </c>
      <c r="C10" s="29"/>
      <c r="D10" s="24"/>
      <c r="E10" s="25"/>
      <c r="F10" s="26"/>
      <c r="G10" s="30"/>
      <c r="H10" s="30"/>
      <c r="I10" s="25"/>
      <c r="J10" s="67"/>
      <c r="K10" s="67"/>
      <c r="L10" s="30"/>
      <c r="M10" s="25">
        <f>M77</f>
        <v>3645041.9314367278</v>
      </c>
      <c r="N10" s="26"/>
      <c r="O10" s="3">
        <f>P10*0.934908047</f>
        <v>3645041.9314367278</v>
      </c>
      <c r="P10" s="100">
        <v>3898824</v>
      </c>
    </row>
    <row r="11" spans="1:16" ht="18.95" customHeight="1">
      <c r="A11" s="28">
        <v>2</v>
      </c>
      <c r="B11" s="27" t="s">
        <v>4442</v>
      </c>
      <c r="C11" s="29"/>
      <c r="D11" s="24"/>
      <c r="E11" s="25"/>
      <c r="F11" s="26"/>
      <c r="G11" s="25"/>
      <c r="H11" s="25"/>
      <c r="I11" s="25"/>
      <c r="J11" s="67"/>
      <c r="K11" s="67"/>
      <c r="L11" s="30"/>
      <c r="M11" s="25">
        <f>M139</f>
        <v>1516939.7262000849</v>
      </c>
      <c r="N11" s="26"/>
      <c r="O11" s="3">
        <f>P11*0.934908047</f>
        <v>1516939.7262000849</v>
      </c>
      <c r="P11" s="100">
        <v>1622555</v>
      </c>
    </row>
    <row r="12" spans="1:16" ht="18.95" customHeight="1">
      <c r="A12" s="28"/>
      <c r="B12" s="27"/>
      <c r="C12" s="29"/>
      <c r="D12" s="24"/>
      <c r="E12" s="25"/>
      <c r="F12" s="26"/>
      <c r="G12" s="25"/>
      <c r="H12" s="25"/>
      <c r="I12" s="25"/>
      <c r="J12" s="67"/>
      <c r="K12" s="67"/>
      <c r="L12" s="30"/>
      <c r="M12" s="25"/>
      <c r="N12" s="26"/>
      <c r="O12" s="3">
        <f t="shared" ref="O12" si="0">P12*0.934899332</f>
        <v>0</v>
      </c>
    </row>
    <row r="13" spans="1:16" ht="18.95" customHeight="1">
      <c r="A13" s="28"/>
      <c r="B13" s="1272" t="s">
        <v>4443</v>
      </c>
      <c r="C13" s="1273"/>
      <c r="D13" s="1274"/>
      <c r="E13" s="34"/>
      <c r="F13" s="35"/>
      <c r="G13" s="34"/>
      <c r="H13" s="34"/>
      <c r="I13" s="34"/>
      <c r="J13" s="101"/>
      <c r="K13" s="101"/>
      <c r="L13" s="102"/>
      <c r="M13" s="34">
        <f>SUM(M10:M12)</f>
        <v>5161981.6576368129</v>
      </c>
      <c r="N13" s="26"/>
      <c r="O13" s="3">
        <f>SUM(O10:O12)</f>
        <v>5161981.6576368129</v>
      </c>
      <c r="P13" s="100">
        <f>SUM(P10:P12)</f>
        <v>5521379</v>
      </c>
    </row>
    <row r="14" spans="1:16" ht="18.95" customHeight="1">
      <c r="A14" s="28"/>
      <c r="B14" s="1396"/>
      <c r="C14" s="1397"/>
      <c r="D14" s="1398"/>
      <c r="E14" s="25"/>
      <c r="F14" s="26"/>
      <c r="G14" s="25"/>
      <c r="H14" s="25"/>
      <c r="I14" s="25"/>
      <c r="J14" s="67"/>
      <c r="K14" s="67"/>
      <c r="L14" s="30"/>
      <c r="M14" s="25"/>
      <c r="N14" s="26"/>
    </row>
    <row r="15" spans="1:16" ht="18.95" customHeight="1">
      <c r="A15" s="28"/>
      <c r="B15" s="27"/>
      <c r="C15" s="29"/>
      <c r="D15" s="37"/>
      <c r="E15" s="25"/>
      <c r="F15" s="26"/>
      <c r="G15" s="25"/>
      <c r="H15" s="25"/>
      <c r="I15" s="25"/>
      <c r="J15" s="67"/>
      <c r="K15" s="67"/>
      <c r="L15" s="30"/>
      <c r="M15" s="25"/>
      <c r="N15" s="26"/>
    </row>
    <row r="16" spans="1:16" ht="18.95" customHeight="1">
      <c r="A16" s="28"/>
      <c r="B16" s="38"/>
      <c r="C16" s="39"/>
      <c r="D16" s="40"/>
      <c r="E16" s="25"/>
      <c r="F16" s="26"/>
      <c r="G16" s="25"/>
      <c r="H16" s="25"/>
      <c r="I16" s="25"/>
      <c r="J16" s="67"/>
      <c r="K16" s="67"/>
      <c r="L16" s="30"/>
      <c r="M16" s="25"/>
      <c r="N16" s="26"/>
    </row>
    <row r="17" spans="1:14" ht="18.95" customHeight="1">
      <c r="A17" s="28"/>
      <c r="B17" s="41"/>
      <c r="C17" s="29"/>
      <c r="D17" s="24"/>
      <c r="E17" s="25"/>
      <c r="F17" s="26"/>
      <c r="G17" s="25"/>
      <c r="H17" s="25"/>
      <c r="I17" s="25"/>
      <c r="J17" s="67"/>
      <c r="K17" s="67"/>
      <c r="L17" s="30"/>
      <c r="M17" s="25"/>
      <c r="N17" s="26"/>
    </row>
    <row r="18" spans="1:14" ht="18.95" customHeight="1">
      <c r="A18" s="28"/>
      <c r="B18" s="42"/>
      <c r="C18" s="29"/>
      <c r="D18" s="24"/>
      <c r="E18" s="25"/>
      <c r="F18" s="26"/>
      <c r="G18" s="25"/>
      <c r="H18" s="25"/>
      <c r="I18" s="25"/>
      <c r="J18" s="67"/>
      <c r="K18" s="67"/>
      <c r="L18" s="30"/>
      <c r="M18" s="25"/>
      <c r="N18" s="26"/>
    </row>
    <row r="19" spans="1:14" ht="18.95" customHeight="1">
      <c r="A19" s="28"/>
      <c r="B19" s="42"/>
      <c r="C19" s="29"/>
      <c r="D19" s="24"/>
      <c r="E19" s="25"/>
      <c r="F19" s="26"/>
      <c r="G19" s="25"/>
      <c r="H19" s="25"/>
      <c r="I19" s="25"/>
      <c r="J19" s="67"/>
      <c r="K19" s="67"/>
      <c r="L19" s="30"/>
      <c r="M19" s="25"/>
      <c r="N19" s="26"/>
    </row>
    <row r="20" spans="1:14" ht="18.95" customHeight="1">
      <c r="A20" s="21"/>
      <c r="B20" s="42"/>
      <c r="C20" s="43"/>
      <c r="D20" s="24"/>
      <c r="E20" s="25"/>
      <c r="F20" s="26"/>
      <c r="G20" s="30"/>
      <c r="H20" s="30"/>
      <c r="I20" s="25"/>
      <c r="J20" s="67"/>
      <c r="K20" s="67"/>
      <c r="L20" s="30"/>
      <c r="M20" s="25"/>
      <c r="N20" s="26"/>
    </row>
    <row r="21" spans="1:14" ht="18.95" customHeight="1">
      <c r="A21" s="44"/>
      <c r="B21" s="1396"/>
      <c r="C21" s="1397"/>
      <c r="D21" s="1399"/>
      <c r="E21" s="25"/>
      <c r="F21" s="26"/>
      <c r="G21" s="30"/>
      <c r="H21" s="30"/>
      <c r="I21" s="25"/>
      <c r="J21" s="67"/>
      <c r="K21" s="67"/>
      <c r="L21" s="30"/>
      <c r="M21" s="25"/>
      <c r="N21" s="26"/>
    </row>
    <row r="22" spans="1:14" ht="18.95" customHeight="1">
      <c r="A22" s="44"/>
      <c r="B22" s="27"/>
      <c r="C22" s="29"/>
      <c r="D22" s="24"/>
      <c r="E22" s="25"/>
      <c r="F22" s="26"/>
      <c r="G22" s="30"/>
      <c r="H22" s="30"/>
      <c r="I22" s="25"/>
      <c r="J22" s="67"/>
      <c r="K22" s="67"/>
      <c r="L22" s="30"/>
      <c r="M22" s="25"/>
      <c r="N22" s="26"/>
    </row>
    <row r="23" spans="1:14" ht="18.95" customHeight="1">
      <c r="A23" s="44"/>
      <c r="B23" s="1400"/>
      <c r="C23" s="1311"/>
      <c r="D23" s="1312"/>
      <c r="E23" s="25"/>
      <c r="F23" s="26"/>
      <c r="G23" s="25"/>
      <c r="H23" s="25"/>
      <c r="I23" s="25"/>
      <c r="J23" s="67"/>
      <c r="K23" s="67"/>
      <c r="L23" s="30"/>
      <c r="M23" s="25"/>
      <c r="N23" s="26"/>
    </row>
    <row r="24" spans="1:14" ht="18.95" customHeight="1">
      <c r="A24" s="28"/>
      <c r="B24" s="47"/>
      <c r="C24" s="48"/>
      <c r="D24" s="49"/>
      <c r="E24" s="25"/>
      <c r="F24" s="26"/>
      <c r="G24" s="25"/>
      <c r="H24" s="25"/>
      <c r="I24" s="25"/>
      <c r="J24" s="67"/>
      <c r="K24" s="67"/>
      <c r="L24" s="30"/>
      <c r="M24" s="25"/>
      <c r="N24" s="26"/>
    </row>
    <row r="25" spans="1:14" ht="18.95" customHeight="1">
      <c r="A25" s="44"/>
      <c r="B25" s="1396"/>
      <c r="C25" s="1397"/>
      <c r="D25" s="1399"/>
      <c r="E25" s="25"/>
      <c r="F25" s="26"/>
      <c r="G25" s="25"/>
      <c r="H25" s="25"/>
      <c r="I25" s="25"/>
      <c r="J25" s="67"/>
      <c r="K25" s="67"/>
      <c r="L25" s="30"/>
      <c r="M25" s="25"/>
      <c r="N25" s="26"/>
    </row>
    <row r="26" spans="1:14" ht="18.95" customHeight="1">
      <c r="A26" s="44"/>
      <c r="B26" s="27"/>
      <c r="C26" s="29"/>
      <c r="D26" s="49"/>
      <c r="E26" s="25"/>
      <c r="F26" s="26"/>
      <c r="G26" s="25"/>
      <c r="H26" s="25"/>
      <c r="I26" s="25"/>
      <c r="J26" s="67"/>
      <c r="K26" s="67"/>
      <c r="L26" s="30"/>
      <c r="M26" s="25"/>
      <c r="N26" s="26"/>
    </row>
    <row r="27" spans="1:14" ht="18.95" customHeight="1">
      <c r="A27" s="44"/>
      <c r="B27" s="36"/>
      <c r="C27" s="23"/>
      <c r="D27" s="45"/>
      <c r="E27" s="25"/>
      <c r="F27" s="26"/>
      <c r="G27" s="25"/>
      <c r="H27" s="25"/>
      <c r="I27" s="25"/>
      <c r="J27" s="67"/>
      <c r="K27" s="67"/>
      <c r="L27" s="30"/>
      <c r="M27" s="25"/>
      <c r="N27" s="26"/>
    </row>
    <row r="28" spans="1:14" ht="18.95" customHeight="1">
      <c r="A28" s="44"/>
      <c r="B28" s="36"/>
      <c r="C28" s="23"/>
      <c r="D28" s="45"/>
      <c r="E28" s="25"/>
      <c r="F28" s="26"/>
      <c r="G28" s="25"/>
      <c r="H28" s="25"/>
      <c r="I28" s="25"/>
      <c r="J28" s="67"/>
      <c r="K28" s="67"/>
      <c r="L28" s="30"/>
      <c r="M28" s="25"/>
      <c r="N28" s="26"/>
    </row>
    <row r="29" spans="1:14" ht="18.95" customHeight="1">
      <c r="A29" s="44"/>
      <c r="B29" s="27"/>
      <c r="C29" s="29"/>
      <c r="D29" s="49"/>
      <c r="E29" s="25"/>
      <c r="F29" s="26"/>
      <c r="G29" s="25"/>
      <c r="H29" s="25"/>
      <c r="I29" s="25"/>
      <c r="J29" s="67"/>
      <c r="K29" s="67"/>
      <c r="L29" s="25"/>
      <c r="M29" s="25"/>
      <c r="N29" s="26"/>
    </row>
    <row r="30" spans="1:14" ht="18.95" customHeight="1">
      <c r="A30" s="50"/>
      <c r="B30" s="1401"/>
      <c r="C30" s="1402"/>
      <c r="D30" s="1403"/>
      <c r="E30" s="54"/>
      <c r="F30" s="55"/>
      <c r="G30" s="54"/>
      <c r="H30" s="54"/>
      <c r="I30" s="54"/>
      <c r="J30" s="88"/>
      <c r="K30" s="88"/>
      <c r="L30" s="54"/>
      <c r="M30" s="54"/>
      <c r="N30" s="55"/>
    </row>
    <row r="31" spans="1:14" ht="18.95" customHeight="1">
      <c r="A31" s="14"/>
      <c r="B31" s="1194" t="s">
        <v>4444</v>
      </c>
      <c r="C31" s="56"/>
      <c r="D31" s="57"/>
      <c r="E31" s="18"/>
      <c r="F31" s="19"/>
      <c r="G31" s="18"/>
      <c r="H31" s="18"/>
      <c r="I31" s="18"/>
      <c r="J31" s="93"/>
      <c r="K31" s="93"/>
      <c r="L31" s="18"/>
      <c r="M31" s="18"/>
      <c r="N31" s="19"/>
    </row>
    <row r="32" spans="1:14" ht="18.95" customHeight="1">
      <c r="A32" s="58"/>
      <c r="B32" s="59" t="s">
        <v>3538</v>
      </c>
      <c r="C32" s="60"/>
      <c r="D32" s="61"/>
      <c r="E32" s="25"/>
      <c r="F32" s="26"/>
      <c r="G32" s="25"/>
      <c r="H32" s="25"/>
      <c r="I32" s="25"/>
      <c r="J32" s="67"/>
      <c r="K32" s="67"/>
      <c r="L32" s="25"/>
      <c r="M32" s="25"/>
      <c r="N32" s="26"/>
    </row>
    <row r="33" spans="1:15" ht="18.95" customHeight="1">
      <c r="A33" s="58">
        <v>1</v>
      </c>
      <c r="B33" s="59" t="s">
        <v>4445</v>
      </c>
      <c r="C33" s="60"/>
      <c r="D33" s="61"/>
      <c r="E33" s="62"/>
      <c r="F33" s="26"/>
      <c r="G33" s="25"/>
      <c r="H33" s="25"/>
      <c r="I33" s="25"/>
      <c r="J33" s="67"/>
      <c r="K33" s="67"/>
      <c r="L33" s="25"/>
      <c r="M33" s="25"/>
      <c r="N33" s="26"/>
    </row>
    <row r="34" spans="1:15" ht="18.95" customHeight="1">
      <c r="A34" s="63">
        <v>1.1000000000000001</v>
      </c>
      <c r="B34" s="64" t="s">
        <v>4446</v>
      </c>
      <c r="C34" s="65"/>
      <c r="D34" s="66"/>
      <c r="E34" s="25"/>
      <c r="F34" s="26"/>
      <c r="G34" s="67"/>
      <c r="H34" s="67"/>
      <c r="I34" s="25"/>
      <c r="J34" s="67"/>
      <c r="K34" s="67"/>
      <c r="L34" s="67"/>
      <c r="M34" s="25"/>
      <c r="N34" s="26"/>
    </row>
    <row r="35" spans="1:15" ht="18.95" customHeight="1">
      <c r="A35" s="21"/>
      <c r="B35" s="64" t="s">
        <v>4447</v>
      </c>
      <c r="C35" s="65"/>
      <c r="D35" s="66"/>
      <c r="E35" s="67">
        <v>11</v>
      </c>
      <c r="F35" s="26" t="s">
        <v>349</v>
      </c>
      <c r="G35" s="67">
        <v>131100</v>
      </c>
      <c r="H35" s="67">
        <f>G35*O35</f>
        <v>122566.44496169999</v>
      </c>
      <c r="I35" s="25">
        <f>E35*H35</f>
        <v>1348230.8945787</v>
      </c>
      <c r="J35" s="67">
        <v>0</v>
      </c>
      <c r="K35" s="67"/>
      <c r="L35" s="67">
        <f>E35*J35</f>
        <v>0</v>
      </c>
      <c r="M35" s="25">
        <f>I35+L35</f>
        <v>1348230.8945787</v>
      </c>
      <c r="N35" s="26"/>
      <c r="O35" s="103">
        <v>0.93490804699999996</v>
      </c>
    </row>
    <row r="36" spans="1:15" ht="18.95" customHeight="1">
      <c r="A36" s="21"/>
      <c r="B36" s="64" t="s">
        <v>4448</v>
      </c>
      <c r="C36" s="68"/>
      <c r="D36" s="69"/>
      <c r="E36" s="67">
        <v>11</v>
      </c>
      <c r="F36" s="26" t="s">
        <v>349</v>
      </c>
      <c r="G36" s="67">
        <v>100</v>
      </c>
      <c r="H36" s="67">
        <f t="shared" ref="H36:H39" si="1">G36*O36</f>
        <v>93.490804699999998</v>
      </c>
      <c r="I36" s="25">
        <f t="shared" ref="I36:I39" si="2">E36*H36</f>
        <v>1028.3988517</v>
      </c>
      <c r="J36" s="67"/>
      <c r="K36" s="67"/>
      <c r="L36" s="67">
        <f>E36*J36</f>
        <v>0</v>
      </c>
      <c r="M36" s="25">
        <f>I36+L36</f>
        <v>1028.3988517</v>
      </c>
      <c r="N36" s="26"/>
      <c r="O36" s="103">
        <v>0.93490804699999996</v>
      </c>
    </row>
    <row r="37" spans="1:15" ht="18.95" customHeight="1">
      <c r="A37" s="63">
        <v>1.2</v>
      </c>
      <c r="B37" s="64" t="s">
        <v>4449</v>
      </c>
      <c r="C37" s="65"/>
      <c r="D37" s="66"/>
      <c r="E37" s="25"/>
      <c r="F37" s="26"/>
      <c r="G37" s="67"/>
      <c r="H37" s="67"/>
      <c r="I37" s="25"/>
      <c r="J37" s="67"/>
      <c r="K37" s="67"/>
      <c r="L37" s="67"/>
      <c r="M37" s="25"/>
      <c r="N37" s="72"/>
      <c r="O37" s="103">
        <v>0.93490804699999996</v>
      </c>
    </row>
    <row r="38" spans="1:15" ht="18.95" customHeight="1">
      <c r="A38" s="70"/>
      <c r="B38" s="64" t="s">
        <v>4450</v>
      </c>
      <c r="C38" s="65"/>
      <c r="D38" s="71"/>
      <c r="E38" s="67">
        <v>32</v>
      </c>
      <c r="F38" s="26" t="s">
        <v>349</v>
      </c>
      <c r="G38" s="67">
        <v>5592</v>
      </c>
      <c r="H38" s="67">
        <f t="shared" si="1"/>
        <v>5228.0057988239996</v>
      </c>
      <c r="I38" s="25">
        <f t="shared" si="2"/>
        <v>167296.18556236799</v>
      </c>
      <c r="J38" s="67">
        <v>0</v>
      </c>
      <c r="K38" s="67"/>
      <c r="L38" s="67">
        <f>E38*J38</f>
        <v>0</v>
      </c>
      <c r="M38" s="25">
        <f>I38+L38</f>
        <v>167296.18556236799</v>
      </c>
      <c r="N38" s="26"/>
      <c r="O38" s="103">
        <v>0.93490804699999996</v>
      </c>
    </row>
    <row r="39" spans="1:15" ht="18.95" customHeight="1">
      <c r="A39" s="70"/>
      <c r="B39" s="69" t="s">
        <v>4451</v>
      </c>
      <c r="C39" s="69"/>
      <c r="D39" s="69"/>
      <c r="E39" s="67">
        <v>10</v>
      </c>
      <c r="F39" s="26" t="s">
        <v>349</v>
      </c>
      <c r="G39" s="67">
        <v>15992</v>
      </c>
      <c r="H39" s="67">
        <f t="shared" si="1"/>
        <v>14951.049487623999</v>
      </c>
      <c r="I39" s="25">
        <f t="shared" si="2"/>
        <v>149510.49487624</v>
      </c>
      <c r="J39" s="67">
        <v>0</v>
      </c>
      <c r="K39" s="67"/>
      <c r="L39" s="67">
        <f>E39*J39</f>
        <v>0</v>
      </c>
      <c r="M39" s="25">
        <f>I39+L39</f>
        <v>149510.49487624</v>
      </c>
      <c r="N39" s="26"/>
      <c r="O39" s="103">
        <v>0.93490804699999996</v>
      </c>
    </row>
    <row r="40" spans="1:15" ht="18.95" customHeight="1">
      <c r="A40" s="70"/>
      <c r="B40" s="69"/>
      <c r="C40" s="69"/>
      <c r="D40" s="69"/>
      <c r="E40" s="72"/>
      <c r="F40" s="73"/>
      <c r="G40" s="73"/>
      <c r="H40" s="73"/>
      <c r="I40" s="104"/>
      <c r="J40" s="81"/>
      <c r="K40" s="81"/>
      <c r="L40" s="81"/>
      <c r="M40" s="25"/>
      <c r="N40" s="26"/>
      <c r="O40" s="103">
        <v>0.93490804699999996</v>
      </c>
    </row>
    <row r="41" spans="1:15" ht="18.95" customHeight="1">
      <c r="A41" s="70"/>
      <c r="B41" s="1404" t="s">
        <v>4452</v>
      </c>
      <c r="C41" s="1405"/>
      <c r="D41" s="1406"/>
      <c r="E41" s="73"/>
      <c r="F41" s="73"/>
      <c r="G41" s="73"/>
      <c r="H41" s="73"/>
      <c r="I41" s="73"/>
      <c r="J41" s="105"/>
      <c r="K41" s="105"/>
      <c r="L41" s="73"/>
      <c r="M41" s="34">
        <f>SUM(M34:M39)</f>
        <v>1666065.9738690078</v>
      </c>
      <c r="N41" s="26"/>
      <c r="O41" s="103">
        <v>0.93490804699999996</v>
      </c>
    </row>
    <row r="42" spans="1:15" ht="18.95" customHeight="1">
      <c r="A42" s="70"/>
      <c r="B42" s="69"/>
      <c r="C42" s="69"/>
      <c r="D42" s="76"/>
      <c r="E42" s="73"/>
      <c r="F42" s="73"/>
      <c r="G42" s="73"/>
      <c r="H42" s="73"/>
      <c r="I42" s="73"/>
      <c r="J42" s="105"/>
      <c r="K42" s="105"/>
      <c r="L42" s="73"/>
      <c r="M42" s="79"/>
      <c r="N42" s="26"/>
      <c r="O42" s="103">
        <v>0.93490804699999996</v>
      </c>
    </row>
    <row r="43" spans="1:15" ht="18.95" customHeight="1">
      <c r="A43" s="77">
        <v>2</v>
      </c>
      <c r="B43" s="78" t="s">
        <v>4453</v>
      </c>
      <c r="C43" s="78"/>
      <c r="D43" s="76"/>
      <c r="E43" s="73"/>
      <c r="F43" s="79"/>
      <c r="G43" s="72"/>
      <c r="H43" s="79"/>
      <c r="I43" s="79"/>
      <c r="J43" s="106"/>
      <c r="K43" s="106"/>
      <c r="L43" s="72"/>
      <c r="M43" s="72"/>
      <c r="N43" s="26"/>
      <c r="O43" s="103">
        <v>0.93490804699999996</v>
      </c>
    </row>
    <row r="44" spans="1:15" ht="18.95" customHeight="1">
      <c r="A44" s="63">
        <v>2.1</v>
      </c>
      <c r="B44" s="80" t="s">
        <v>4454</v>
      </c>
      <c r="C44" s="65"/>
      <c r="D44" s="66"/>
      <c r="E44" s="81">
        <v>42</v>
      </c>
      <c r="F44" s="26" t="s">
        <v>349</v>
      </c>
      <c r="G44" s="67">
        <v>15000</v>
      </c>
      <c r="H44" s="67">
        <f>G44*O44</f>
        <v>14023.620704999999</v>
      </c>
      <c r="I44" s="25">
        <f t="shared" ref="I44:I51" si="3">E44*H44</f>
        <v>588992.06961000001</v>
      </c>
      <c r="J44" s="67">
        <v>0</v>
      </c>
      <c r="K44" s="67"/>
      <c r="L44" s="67">
        <f t="shared" ref="L44:L51" si="4">E44*J44</f>
        <v>0</v>
      </c>
      <c r="M44" s="25">
        <f t="shared" ref="M44:M51" si="5">I44+L44</f>
        <v>588992.06961000001</v>
      </c>
      <c r="N44" s="26"/>
      <c r="O44" s="103">
        <v>0.93490804699999996</v>
      </c>
    </row>
    <row r="45" spans="1:15" ht="18.95" customHeight="1">
      <c r="A45" s="63">
        <v>2.2000000000000002</v>
      </c>
      <c r="B45" s="64" t="s">
        <v>4455</v>
      </c>
      <c r="C45" s="82"/>
      <c r="D45" s="76"/>
      <c r="E45" s="67">
        <v>8</v>
      </c>
      <c r="F45" s="26" t="s">
        <v>349</v>
      </c>
      <c r="G45" s="67">
        <v>9000</v>
      </c>
      <c r="H45" s="67">
        <f t="shared" ref="H45:H51" si="6">G45*O45</f>
        <v>8414.172423</v>
      </c>
      <c r="I45" s="25">
        <f t="shared" si="3"/>
        <v>67313.379384</v>
      </c>
      <c r="J45" s="67">
        <v>0</v>
      </c>
      <c r="K45" s="67"/>
      <c r="L45" s="67">
        <f t="shared" si="4"/>
        <v>0</v>
      </c>
      <c r="M45" s="25">
        <f t="shared" si="5"/>
        <v>67313.379384</v>
      </c>
      <c r="N45" s="26"/>
      <c r="O45" s="103">
        <v>0.93490804699999996</v>
      </c>
    </row>
    <row r="46" spans="1:15" ht="18.95" customHeight="1">
      <c r="A46" s="63">
        <v>2.2999999999999998</v>
      </c>
      <c r="B46" s="64" t="s">
        <v>4456</v>
      </c>
      <c r="C46" s="82"/>
      <c r="D46" s="71"/>
      <c r="E46" s="67">
        <v>4</v>
      </c>
      <c r="F46" s="26" t="s">
        <v>349</v>
      </c>
      <c r="G46" s="67">
        <v>9000</v>
      </c>
      <c r="H46" s="67">
        <f t="shared" si="6"/>
        <v>8414.172423</v>
      </c>
      <c r="I46" s="25">
        <f t="shared" si="3"/>
        <v>33656.689692</v>
      </c>
      <c r="J46" s="67">
        <v>0</v>
      </c>
      <c r="K46" s="67"/>
      <c r="L46" s="67">
        <f t="shared" si="4"/>
        <v>0</v>
      </c>
      <c r="M46" s="25">
        <f t="shared" si="5"/>
        <v>33656.689692</v>
      </c>
      <c r="N46" s="26"/>
      <c r="O46" s="103">
        <v>0.93490804699999996</v>
      </c>
    </row>
    <row r="47" spans="1:15" ht="18.95" customHeight="1">
      <c r="A47" s="63">
        <v>2.4</v>
      </c>
      <c r="B47" s="64" t="s">
        <v>4457</v>
      </c>
      <c r="C47" s="82"/>
      <c r="D47" s="71"/>
      <c r="E47" s="67">
        <v>28</v>
      </c>
      <c r="F47" s="26" t="s">
        <v>349</v>
      </c>
      <c r="G47" s="67">
        <v>9000</v>
      </c>
      <c r="H47" s="67">
        <f t="shared" si="6"/>
        <v>8414.172423</v>
      </c>
      <c r="I47" s="25">
        <f t="shared" si="3"/>
        <v>235596.82784400001</v>
      </c>
      <c r="J47" s="67">
        <v>0</v>
      </c>
      <c r="K47" s="67"/>
      <c r="L47" s="67">
        <f t="shared" si="4"/>
        <v>0</v>
      </c>
      <c r="M47" s="25">
        <f t="shared" si="5"/>
        <v>235596.82784400001</v>
      </c>
      <c r="N47" s="26"/>
      <c r="O47" s="103">
        <v>0.93490804699999996</v>
      </c>
    </row>
    <row r="48" spans="1:15" ht="18.95" customHeight="1">
      <c r="A48" s="63" t="s">
        <v>4458</v>
      </c>
      <c r="B48" s="64" t="s">
        <v>4459</v>
      </c>
      <c r="C48" s="82"/>
      <c r="D48" s="83"/>
      <c r="E48" s="67">
        <v>1</v>
      </c>
      <c r="F48" s="26" t="s">
        <v>349</v>
      </c>
      <c r="G48" s="67">
        <v>80000</v>
      </c>
      <c r="H48" s="67">
        <f t="shared" si="6"/>
        <v>74792.643759999992</v>
      </c>
      <c r="I48" s="25">
        <f t="shared" si="3"/>
        <v>74792.643759999992</v>
      </c>
      <c r="J48" s="67">
        <v>0</v>
      </c>
      <c r="K48" s="67"/>
      <c r="L48" s="67">
        <f t="shared" si="4"/>
        <v>0</v>
      </c>
      <c r="M48" s="25">
        <f t="shared" si="5"/>
        <v>74792.643759999992</v>
      </c>
      <c r="N48" s="26"/>
      <c r="O48" s="103">
        <v>0.93490804699999996</v>
      </c>
    </row>
    <row r="49" spans="1:15" ht="18.95" customHeight="1">
      <c r="A49" s="63"/>
      <c r="B49" s="64" t="s">
        <v>4460</v>
      </c>
      <c r="C49" s="82"/>
      <c r="D49" s="83"/>
      <c r="E49" s="67"/>
      <c r="F49" s="26"/>
      <c r="G49" s="67"/>
      <c r="H49" s="67" t="s">
        <v>151</v>
      </c>
      <c r="I49" s="25"/>
      <c r="J49" s="67"/>
      <c r="K49" s="67"/>
      <c r="L49" s="67"/>
      <c r="M49" s="25"/>
      <c r="N49" s="26"/>
      <c r="O49" s="103">
        <v>0.93490804699999996</v>
      </c>
    </row>
    <row r="50" spans="1:15" ht="18.95" customHeight="1">
      <c r="A50" s="63">
        <v>2.6</v>
      </c>
      <c r="B50" s="64" t="s">
        <v>4461</v>
      </c>
      <c r="C50" s="82"/>
      <c r="D50" s="83"/>
      <c r="E50" s="67">
        <v>54</v>
      </c>
      <c r="F50" s="26" t="s">
        <v>349</v>
      </c>
      <c r="G50" s="67">
        <v>100</v>
      </c>
      <c r="H50" s="67">
        <f t="shared" si="6"/>
        <v>93.490804699999998</v>
      </c>
      <c r="I50" s="25">
        <f t="shared" si="3"/>
        <v>5048.5034538</v>
      </c>
      <c r="J50" s="67"/>
      <c r="K50" s="67"/>
      <c r="L50" s="67">
        <f t="shared" si="4"/>
        <v>0</v>
      </c>
      <c r="M50" s="25">
        <f t="shared" si="5"/>
        <v>5048.5034538</v>
      </c>
      <c r="N50" s="26"/>
      <c r="O50" s="103">
        <v>0.93490804699999996</v>
      </c>
    </row>
    <row r="51" spans="1:15" ht="18.95" customHeight="1">
      <c r="A51" s="63">
        <v>2.7</v>
      </c>
      <c r="B51" s="64" t="s">
        <v>4462</v>
      </c>
      <c r="C51" s="82"/>
      <c r="D51" s="83"/>
      <c r="E51" s="67">
        <v>24</v>
      </c>
      <c r="F51" s="26" t="s">
        <v>349</v>
      </c>
      <c r="G51" s="67">
        <v>4800</v>
      </c>
      <c r="H51" s="67">
        <f t="shared" si="6"/>
        <v>4487.5586255999997</v>
      </c>
      <c r="I51" s="25">
        <f t="shared" si="3"/>
        <v>107701.4070144</v>
      </c>
      <c r="J51" s="67"/>
      <c r="K51" s="67"/>
      <c r="L51" s="67">
        <f t="shared" si="4"/>
        <v>0</v>
      </c>
      <c r="M51" s="25">
        <f t="shared" si="5"/>
        <v>107701.4070144</v>
      </c>
      <c r="N51" s="26"/>
      <c r="O51" s="103">
        <v>0.93490804699999996</v>
      </c>
    </row>
    <row r="52" spans="1:15" ht="18.95" customHeight="1">
      <c r="A52" s="63"/>
      <c r="B52" s="64" t="s">
        <v>4463</v>
      </c>
      <c r="C52" s="82"/>
      <c r="D52" s="83"/>
      <c r="E52" s="67"/>
      <c r="F52" s="26"/>
      <c r="G52" s="67"/>
      <c r="H52" s="67"/>
      <c r="I52" s="25"/>
      <c r="J52" s="67"/>
      <c r="K52" s="67"/>
      <c r="L52" s="67"/>
      <c r="M52" s="25"/>
      <c r="N52" s="72"/>
      <c r="O52" s="103">
        <v>0.93490804699999996</v>
      </c>
    </row>
    <row r="53" spans="1:15" ht="18.95" customHeight="1">
      <c r="A53" s="63"/>
      <c r="B53" s="64" t="s">
        <v>4464</v>
      </c>
      <c r="C53" s="82"/>
      <c r="D53" s="83"/>
      <c r="E53" s="67"/>
      <c r="F53" s="26"/>
      <c r="G53" s="67"/>
      <c r="H53" s="67"/>
      <c r="I53" s="25"/>
      <c r="J53" s="67"/>
      <c r="K53" s="67"/>
      <c r="L53" s="67"/>
      <c r="M53" s="25"/>
      <c r="N53" s="26"/>
      <c r="O53" s="103">
        <v>0.93490804699999996</v>
      </c>
    </row>
    <row r="54" spans="1:15" ht="18.95" customHeight="1">
      <c r="A54" s="63"/>
      <c r="B54" s="1404" t="s">
        <v>4465</v>
      </c>
      <c r="C54" s="1405"/>
      <c r="D54" s="1406"/>
      <c r="E54" s="67"/>
      <c r="F54" s="26"/>
      <c r="G54" s="67"/>
      <c r="H54" s="67"/>
      <c r="I54" s="25"/>
      <c r="J54" s="67"/>
      <c r="K54" s="67"/>
      <c r="L54" s="67"/>
      <c r="M54" s="34">
        <f>SUM(M44:M51)</f>
        <v>1113101.5207582</v>
      </c>
      <c r="N54" s="72"/>
      <c r="O54" s="103">
        <v>0.93490804699999996</v>
      </c>
    </row>
    <row r="55" spans="1:15" ht="18.95" customHeight="1">
      <c r="A55" s="63"/>
      <c r="B55" s="64"/>
      <c r="C55" s="82"/>
      <c r="D55" s="83"/>
      <c r="E55" s="67"/>
      <c r="F55" s="26"/>
      <c r="G55" s="67"/>
      <c r="H55" s="67"/>
      <c r="I55" s="25"/>
      <c r="J55" s="67"/>
      <c r="K55" s="67"/>
      <c r="L55" s="67"/>
      <c r="M55" s="25"/>
      <c r="N55" s="72"/>
      <c r="O55" s="103">
        <v>0.93490804699999996</v>
      </c>
    </row>
    <row r="56" spans="1:15" ht="18.95" customHeight="1">
      <c r="A56" s="63"/>
      <c r="B56" s="64"/>
      <c r="C56" s="82"/>
      <c r="D56" s="83"/>
      <c r="E56" s="67"/>
      <c r="F56" s="26"/>
      <c r="G56" s="67"/>
      <c r="H56" s="67"/>
      <c r="I56" s="25"/>
      <c r="J56" s="67"/>
      <c r="K56" s="67"/>
      <c r="L56" s="67"/>
      <c r="M56" s="25"/>
      <c r="N56" s="72"/>
      <c r="O56" s="103">
        <v>0.93490804699999996</v>
      </c>
    </row>
    <row r="57" spans="1:15" ht="18.95" customHeight="1">
      <c r="A57" s="63"/>
      <c r="B57" s="64"/>
      <c r="C57" s="82"/>
      <c r="D57" s="83"/>
      <c r="E57" s="67"/>
      <c r="F57" s="26"/>
      <c r="G57" s="67"/>
      <c r="H57" s="67"/>
      <c r="I57" s="25"/>
      <c r="J57" s="67"/>
      <c r="K57" s="67"/>
      <c r="L57" s="67"/>
      <c r="M57" s="25"/>
      <c r="N57" s="72"/>
      <c r="O57" s="103">
        <v>0.93490804699999996</v>
      </c>
    </row>
    <row r="58" spans="1:15" ht="18.95" customHeight="1">
      <c r="A58" s="84"/>
      <c r="B58" s="85"/>
      <c r="C58" s="86"/>
      <c r="D58" s="87"/>
      <c r="E58" s="88"/>
      <c r="F58" s="55"/>
      <c r="G58" s="88"/>
      <c r="H58" s="88"/>
      <c r="I58" s="54"/>
      <c r="J58" s="88"/>
      <c r="K58" s="88"/>
      <c r="L58" s="88"/>
      <c r="M58" s="54"/>
      <c r="N58" s="107"/>
      <c r="O58" s="103">
        <v>0.93490804699999996</v>
      </c>
    </row>
    <row r="59" spans="1:15" ht="18.95" customHeight="1">
      <c r="A59" s="89">
        <v>3</v>
      </c>
      <c r="B59" s="90" t="s">
        <v>4466</v>
      </c>
      <c r="C59" s="91"/>
      <c r="D59" s="92"/>
      <c r="E59" s="18"/>
      <c r="F59" s="19"/>
      <c r="G59" s="93"/>
      <c r="H59" s="93"/>
      <c r="I59" s="18"/>
      <c r="J59" s="93"/>
      <c r="K59" s="93"/>
      <c r="L59" s="93"/>
      <c r="M59" s="18"/>
      <c r="N59" s="108"/>
      <c r="O59" s="103">
        <v>0.93490804699999996</v>
      </c>
    </row>
    <row r="60" spans="1:15" ht="18.95" customHeight="1">
      <c r="A60" s="21">
        <v>3.1</v>
      </c>
      <c r="B60" s="94" t="s">
        <v>4467</v>
      </c>
      <c r="C60" s="94"/>
      <c r="D60" s="76"/>
      <c r="E60" s="25">
        <v>149</v>
      </c>
      <c r="F60" s="26" t="s">
        <v>349</v>
      </c>
      <c r="G60" s="67">
        <v>1380</v>
      </c>
      <c r="H60" s="67">
        <f t="shared" ref="H60:H63" si="7">G60*O60</f>
        <v>1290.17310486</v>
      </c>
      <c r="I60" s="25">
        <f t="shared" ref="I60:I63" si="8">E60*H60</f>
        <v>192235.79262413998</v>
      </c>
      <c r="J60" s="67">
        <v>0</v>
      </c>
      <c r="K60" s="67"/>
      <c r="L60" s="67">
        <f>E60*J60</f>
        <v>0</v>
      </c>
      <c r="M60" s="25">
        <f>I60+L60</f>
        <v>192235.79262413998</v>
      </c>
      <c r="N60" s="72"/>
      <c r="O60" s="103">
        <v>0.93490804699999996</v>
      </c>
    </row>
    <row r="61" spans="1:15" ht="18.95" customHeight="1">
      <c r="A61" s="21">
        <v>3.2</v>
      </c>
      <c r="B61" s="94" t="s">
        <v>4468</v>
      </c>
      <c r="C61" s="94"/>
      <c r="D61" s="76"/>
      <c r="E61" s="25">
        <v>89</v>
      </c>
      <c r="F61" s="26" t="s">
        <v>349</v>
      </c>
      <c r="G61" s="67">
        <v>1760</v>
      </c>
      <c r="H61" s="67">
        <f t="shared" si="7"/>
        <v>1645.43816272</v>
      </c>
      <c r="I61" s="25">
        <f t="shared" si="8"/>
        <v>146443.99648207999</v>
      </c>
      <c r="J61" s="67">
        <v>0</v>
      </c>
      <c r="K61" s="67"/>
      <c r="L61" s="67">
        <f>E61*J61</f>
        <v>0</v>
      </c>
      <c r="M61" s="25">
        <f>I61+L61</f>
        <v>146443.99648207999</v>
      </c>
      <c r="N61" s="72"/>
      <c r="O61" s="103">
        <v>0.93490804699999996</v>
      </c>
    </row>
    <row r="62" spans="1:15" ht="18.95" customHeight="1">
      <c r="A62" s="21">
        <v>3.3</v>
      </c>
      <c r="B62" s="64" t="s">
        <v>4469</v>
      </c>
      <c r="C62" s="82"/>
      <c r="D62" s="71"/>
      <c r="E62" s="67">
        <v>1</v>
      </c>
      <c r="F62" s="26" t="s">
        <v>349</v>
      </c>
      <c r="G62" s="67">
        <v>99500</v>
      </c>
      <c r="H62" s="67">
        <f t="shared" si="7"/>
        <v>93023.350676499991</v>
      </c>
      <c r="I62" s="25">
        <f t="shared" si="8"/>
        <v>93023.350676499991</v>
      </c>
      <c r="J62" s="67">
        <v>0</v>
      </c>
      <c r="K62" s="67"/>
      <c r="L62" s="67">
        <f>E62*J62</f>
        <v>0</v>
      </c>
      <c r="M62" s="25">
        <f>I62+L62</f>
        <v>93023.350676499991</v>
      </c>
      <c r="N62" s="26"/>
      <c r="O62" s="103">
        <v>0.93490804699999996</v>
      </c>
    </row>
    <row r="63" spans="1:15" ht="18.95" customHeight="1">
      <c r="A63" s="21">
        <v>3.4</v>
      </c>
      <c r="B63" s="80" t="s">
        <v>4470</v>
      </c>
      <c r="C63" s="82"/>
      <c r="D63" s="76"/>
      <c r="E63" s="67">
        <v>24</v>
      </c>
      <c r="F63" s="26" t="s">
        <v>349</v>
      </c>
      <c r="G63" s="67">
        <v>5800</v>
      </c>
      <c r="H63" s="67">
        <f t="shared" si="7"/>
        <v>5422.4666725999996</v>
      </c>
      <c r="I63" s="25">
        <f t="shared" si="8"/>
        <v>130139.20014239999</v>
      </c>
      <c r="J63" s="67">
        <v>0</v>
      </c>
      <c r="K63" s="67"/>
      <c r="L63" s="67">
        <v>0</v>
      </c>
      <c r="M63" s="25">
        <f>I63+L63</f>
        <v>130139.20014239999</v>
      </c>
      <c r="N63" s="26"/>
      <c r="O63" s="103">
        <v>0.93490804699999996</v>
      </c>
    </row>
    <row r="64" spans="1:15" ht="18.95" customHeight="1">
      <c r="A64" s="70"/>
      <c r="B64" s="1404" t="s">
        <v>4471</v>
      </c>
      <c r="C64" s="1405"/>
      <c r="D64" s="1406"/>
      <c r="E64" s="72"/>
      <c r="F64" s="72"/>
      <c r="G64" s="72"/>
      <c r="H64" s="72"/>
      <c r="I64" s="72"/>
      <c r="J64" s="106"/>
      <c r="K64" s="106"/>
      <c r="L64" s="79"/>
      <c r="M64" s="34">
        <f>SUM(M60:M63)</f>
        <v>561842.33992512</v>
      </c>
      <c r="N64" s="26"/>
      <c r="O64" s="103">
        <v>0.93490804699999996</v>
      </c>
    </row>
    <row r="65" spans="1:15" ht="18.95" customHeight="1">
      <c r="A65" s="70"/>
      <c r="B65" s="74"/>
      <c r="C65" s="75"/>
      <c r="D65" s="75"/>
      <c r="E65" s="72"/>
      <c r="F65" s="72"/>
      <c r="G65" s="72"/>
      <c r="H65" s="72"/>
      <c r="I65" s="72"/>
      <c r="J65" s="106"/>
      <c r="K65" s="106"/>
      <c r="L65" s="79"/>
      <c r="M65" s="34"/>
      <c r="N65" s="26"/>
      <c r="O65" s="103">
        <v>0.93490804699999996</v>
      </c>
    </row>
    <row r="66" spans="1:15" ht="18.95" customHeight="1">
      <c r="A66" s="77">
        <v>4</v>
      </c>
      <c r="B66" s="109" t="s">
        <v>205</v>
      </c>
      <c r="C66" s="110"/>
      <c r="D66" s="71"/>
      <c r="E66" s="25"/>
      <c r="F66" s="26"/>
      <c r="G66" s="67"/>
      <c r="H66" s="67"/>
      <c r="I66" s="25"/>
      <c r="J66" s="67"/>
      <c r="K66" s="67"/>
      <c r="L66" s="67"/>
      <c r="M66" s="25"/>
      <c r="N66" s="26"/>
      <c r="O66" s="103">
        <v>0.93490804699999996</v>
      </c>
    </row>
    <row r="67" spans="1:15" ht="18.95" customHeight="1">
      <c r="A67" s="63">
        <v>4.0999999999999996</v>
      </c>
      <c r="B67" s="64" t="s">
        <v>4472</v>
      </c>
      <c r="C67" s="82"/>
      <c r="D67" s="83"/>
      <c r="E67" s="67">
        <v>9</v>
      </c>
      <c r="F67" s="26" t="s">
        <v>349</v>
      </c>
      <c r="G67" s="67">
        <v>6900</v>
      </c>
      <c r="H67" s="67">
        <f t="shared" ref="H67:H70" si="9">G67*O67</f>
        <v>6450.8655242999994</v>
      </c>
      <c r="I67" s="25">
        <f t="shared" ref="I67:I70" si="10">E67*H67</f>
        <v>58057.789718699991</v>
      </c>
      <c r="J67" s="67">
        <v>0</v>
      </c>
      <c r="K67" s="67"/>
      <c r="L67" s="67">
        <f>E67*J67</f>
        <v>0</v>
      </c>
      <c r="M67" s="25">
        <f>I67+L67</f>
        <v>58057.789718699991</v>
      </c>
      <c r="N67" s="26"/>
      <c r="O67" s="103">
        <v>0.93490804699999996</v>
      </c>
    </row>
    <row r="68" spans="1:15" ht="18.95" customHeight="1">
      <c r="A68" s="63">
        <v>4.2</v>
      </c>
      <c r="B68" s="64" t="s">
        <v>4473</v>
      </c>
      <c r="C68" s="82"/>
      <c r="D68" s="83"/>
      <c r="E68" s="67">
        <v>12</v>
      </c>
      <c r="F68" s="26" t="s">
        <v>349</v>
      </c>
      <c r="G68" s="67">
        <v>7500</v>
      </c>
      <c r="H68" s="67">
        <f t="shared" si="9"/>
        <v>7011.8103524999997</v>
      </c>
      <c r="I68" s="25">
        <f t="shared" si="10"/>
        <v>84141.724229999993</v>
      </c>
      <c r="J68" s="67">
        <v>0</v>
      </c>
      <c r="K68" s="67"/>
      <c r="L68" s="67">
        <f>E68*J68</f>
        <v>0</v>
      </c>
      <c r="M68" s="25">
        <f>I68+L68</f>
        <v>84141.724229999993</v>
      </c>
      <c r="N68" s="26"/>
      <c r="O68" s="103">
        <v>0.93490804699999996</v>
      </c>
    </row>
    <row r="69" spans="1:15" ht="18.95" customHeight="1">
      <c r="A69" s="63">
        <v>4.3</v>
      </c>
      <c r="B69" s="64" t="s">
        <v>4474</v>
      </c>
      <c r="C69" s="82"/>
      <c r="D69" s="83"/>
      <c r="E69" s="67">
        <v>4</v>
      </c>
      <c r="F69" s="26" t="s">
        <v>349</v>
      </c>
      <c r="G69" s="67">
        <v>6900</v>
      </c>
      <c r="H69" s="67">
        <f t="shared" si="9"/>
        <v>6450.8655242999994</v>
      </c>
      <c r="I69" s="25">
        <f t="shared" si="10"/>
        <v>25803.462097199998</v>
      </c>
      <c r="J69" s="67">
        <v>0</v>
      </c>
      <c r="K69" s="67"/>
      <c r="L69" s="67">
        <f>E69*J69</f>
        <v>0</v>
      </c>
      <c r="M69" s="25">
        <f>I69+L69</f>
        <v>25803.462097199998</v>
      </c>
      <c r="N69" s="26"/>
      <c r="O69" s="103">
        <v>0.93490804699999996</v>
      </c>
    </row>
    <row r="70" spans="1:15" ht="18.95" customHeight="1">
      <c r="A70" s="63">
        <v>4.4000000000000004</v>
      </c>
      <c r="B70" s="64" t="s">
        <v>4475</v>
      </c>
      <c r="C70" s="82"/>
      <c r="D70" s="83"/>
      <c r="E70" s="67">
        <v>2</v>
      </c>
      <c r="F70" s="26" t="s">
        <v>349</v>
      </c>
      <c r="G70" s="67">
        <v>4500</v>
      </c>
      <c r="H70" s="67">
        <f t="shared" si="9"/>
        <v>4207.0862115</v>
      </c>
      <c r="I70" s="25">
        <f t="shared" si="10"/>
        <v>8414.172423</v>
      </c>
      <c r="J70" s="67">
        <v>500</v>
      </c>
      <c r="K70" s="67">
        <f>J70*O70</f>
        <v>467.45402350000001</v>
      </c>
      <c r="L70" s="67">
        <f>K70*E70</f>
        <v>934.90804700000001</v>
      </c>
      <c r="M70" s="25">
        <f>I70+L70</f>
        <v>9349.0804700000008</v>
      </c>
      <c r="N70" s="26"/>
      <c r="O70" s="103">
        <v>0.93490804699999996</v>
      </c>
    </row>
    <row r="71" spans="1:15" ht="18.95" customHeight="1">
      <c r="A71" s="63">
        <v>4.5</v>
      </c>
      <c r="B71" s="64" t="s">
        <v>4476</v>
      </c>
      <c r="C71" s="82"/>
      <c r="D71" s="83"/>
      <c r="E71" s="67"/>
      <c r="F71" s="26"/>
      <c r="G71" s="67"/>
      <c r="H71" s="67"/>
      <c r="I71" s="25"/>
      <c r="J71" s="67"/>
      <c r="K71" s="67"/>
      <c r="L71" s="67"/>
      <c r="M71" s="25"/>
      <c r="N71" s="26"/>
      <c r="O71" s="103">
        <v>0.93490804699999996</v>
      </c>
    </row>
    <row r="72" spans="1:15" ht="18.95" customHeight="1">
      <c r="A72" s="63" t="s">
        <v>273</v>
      </c>
      <c r="B72" s="64" t="s">
        <v>4477</v>
      </c>
      <c r="C72" s="82"/>
      <c r="D72" s="83"/>
      <c r="E72" s="67">
        <v>2</v>
      </c>
      <c r="F72" s="26" t="s">
        <v>349</v>
      </c>
      <c r="G72" s="67">
        <v>14500</v>
      </c>
      <c r="H72" s="67">
        <f>G72*O72</f>
        <v>13556.166681499999</v>
      </c>
      <c r="I72" s="25">
        <f t="shared" ref="I72:I74" si="11">E72*H72</f>
        <v>27112.333362999998</v>
      </c>
      <c r="J72" s="67">
        <v>500</v>
      </c>
      <c r="K72" s="67">
        <f t="shared" ref="K72:K74" si="12">J72*O72</f>
        <v>467.45402350000001</v>
      </c>
      <c r="L72" s="67">
        <f t="shared" ref="L72:L74" si="13">K72*E72</f>
        <v>934.90804700000001</v>
      </c>
      <c r="M72" s="25">
        <f>I72+L72</f>
        <v>28047.241409999999</v>
      </c>
      <c r="N72" s="26"/>
      <c r="O72" s="103">
        <v>0.93490804699999996</v>
      </c>
    </row>
    <row r="73" spans="1:15" ht="18.95" customHeight="1">
      <c r="A73" s="63" t="s">
        <v>273</v>
      </c>
      <c r="B73" s="64" t="s">
        <v>4478</v>
      </c>
      <c r="C73" s="82"/>
      <c r="D73" s="83"/>
      <c r="E73" s="67">
        <v>1</v>
      </c>
      <c r="F73" s="26" t="s">
        <v>349</v>
      </c>
      <c r="G73" s="67">
        <v>55500</v>
      </c>
      <c r="H73" s="67">
        <f>G73*O73</f>
        <v>51887.396608499999</v>
      </c>
      <c r="I73" s="25">
        <f t="shared" si="11"/>
        <v>51887.396608499999</v>
      </c>
      <c r="J73" s="67">
        <v>500</v>
      </c>
      <c r="K73" s="67">
        <f t="shared" si="12"/>
        <v>467.45402350000001</v>
      </c>
      <c r="L73" s="67">
        <f t="shared" si="13"/>
        <v>467.45402350000001</v>
      </c>
      <c r="M73" s="25">
        <f>I73+L73</f>
        <v>52354.850632000001</v>
      </c>
      <c r="N73" s="26"/>
      <c r="O73" s="103">
        <v>0.93490804699999996</v>
      </c>
    </row>
    <row r="74" spans="1:15" ht="18.95" customHeight="1">
      <c r="A74" s="63">
        <v>4.5999999999999996</v>
      </c>
      <c r="B74" s="64" t="s">
        <v>4479</v>
      </c>
      <c r="C74" s="82"/>
      <c r="D74" s="83"/>
      <c r="E74" s="67">
        <v>1</v>
      </c>
      <c r="F74" s="26" t="s">
        <v>349</v>
      </c>
      <c r="G74" s="67">
        <v>45000</v>
      </c>
      <c r="H74" s="67">
        <f>G74*O74</f>
        <v>42070.862114999996</v>
      </c>
      <c r="I74" s="25">
        <f t="shared" si="11"/>
        <v>42070.862114999996</v>
      </c>
      <c r="J74" s="67">
        <v>4500</v>
      </c>
      <c r="K74" s="67">
        <f t="shared" si="12"/>
        <v>4207.0862115</v>
      </c>
      <c r="L74" s="67">
        <f t="shared" si="13"/>
        <v>4207.0862115</v>
      </c>
      <c r="M74" s="25">
        <f>I74+L74</f>
        <v>46277.948326499994</v>
      </c>
      <c r="N74" s="26"/>
      <c r="O74" s="103">
        <v>0.93490804699999996</v>
      </c>
    </row>
    <row r="75" spans="1:15" ht="18.95" customHeight="1">
      <c r="A75" s="63"/>
      <c r="B75" s="1407" t="s">
        <v>205</v>
      </c>
      <c r="C75" s="1408"/>
      <c r="D75" s="1409"/>
      <c r="E75" s="67"/>
      <c r="F75" s="26"/>
      <c r="G75" s="67"/>
      <c r="H75" s="67"/>
      <c r="I75" s="25" t="s">
        <v>151</v>
      </c>
      <c r="J75" s="67"/>
      <c r="K75" s="67"/>
      <c r="L75" s="67"/>
      <c r="M75" s="34">
        <f>SUM(M67:M74)</f>
        <v>304032.09688439994</v>
      </c>
      <c r="N75" s="26"/>
      <c r="O75" s="103">
        <v>0.93490804699999996</v>
      </c>
    </row>
    <row r="76" spans="1:15" ht="18.95" customHeight="1">
      <c r="A76" s="63"/>
      <c r="B76" s="111"/>
      <c r="C76" s="112"/>
      <c r="D76" s="113"/>
      <c r="E76" s="114"/>
      <c r="F76" s="26"/>
      <c r="G76" s="81"/>
      <c r="H76" s="81"/>
      <c r="I76" s="25"/>
      <c r="J76" s="67"/>
      <c r="K76" s="67"/>
      <c r="L76" s="67"/>
      <c r="M76" s="34"/>
      <c r="N76" s="26"/>
      <c r="O76" s="103">
        <v>0.93490804699999996</v>
      </c>
    </row>
    <row r="77" spans="1:15" ht="18.95" customHeight="1">
      <c r="A77" s="115"/>
      <c r="B77" s="1410" t="s">
        <v>4480</v>
      </c>
      <c r="C77" s="1411"/>
      <c r="D77" s="1412"/>
      <c r="E77" s="118"/>
      <c r="F77" s="26"/>
      <c r="G77" s="119"/>
      <c r="H77" s="119"/>
      <c r="I77" s="25"/>
      <c r="J77" s="67"/>
      <c r="K77" s="67"/>
      <c r="L77" s="67"/>
      <c r="M77" s="34">
        <f>SUM(M41,M54,M64,M75)</f>
        <v>3645041.9314367278</v>
      </c>
      <c r="N77" s="26"/>
      <c r="O77" s="103">
        <v>0.93490804699999996</v>
      </c>
    </row>
    <row r="78" spans="1:15" ht="18.95" customHeight="1">
      <c r="A78" s="63"/>
      <c r="B78" s="64"/>
      <c r="C78" s="82"/>
      <c r="D78" s="83"/>
      <c r="E78" s="67"/>
      <c r="F78" s="26"/>
      <c r="G78" s="67"/>
      <c r="H78" s="67"/>
      <c r="I78" s="25"/>
      <c r="J78" s="67"/>
      <c r="K78" s="67"/>
      <c r="L78" s="67"/>
      <c r="M78" s="25"/>
      <c r="N78" s="26"/>
      <c r="O78" s="103">
        <v>0.93490804699999996</v>
      </c>
    </row>
    <row r="79" spans="1:15" ht="18.95" customHeight="1">
      <c r="A79" s="120">
        <v>2</v>
      </c>
      <c r="B79" s="1195" t="s">
        <v>4442</v>
      </c>
      <c r="C79" s="121"/>
      <c r="D79" s="76"/>
      <c r="E79" s="25"/>
      <c r="F79" s="26"/>
      <c r="G79" s="25"/>
      <c r="H79" s="25"/>
      <c r="I79" s="25"/>
      <c r="J79" s="67"/>
      <c r="K79" s="67"/>
      <c r="L79" s="30"/>
      <c r="M79" s="25"/>
      <c r="N79" s="26"/>
      <c r="O79" s="103">
        <v>0.93490804699999996</v>
      </c>
    </row>
    <row r="80" spans="1:15" ht="18.95" customHeight="1">
      <c r="A80" s="77">
        <v>2.1</v>
      </c>
      <c r="B80" s="1413" t="s">
        <v>4481</v>
      </c>
      <c r="C80" s="1414"/>
      <c r="D80" s="1415"/>
      <c r="E80" s="25"/>
      <c r="F80" s="26"/>
      <c r="G80" s="67"/>
      <c r="H80" s="67"/>
      <c r="I80" s="25"/>
      <c r="J80" s="67"/>
      <c r="K80" s="67"/>
      <c r="L80" s="67"/>
      <c r="M80" s="25"/>
      <c r="N80" s="26"/>
      <c r="O80" s="103">
        <v>0.93490804699999996</v>
      </c>
    </row>
    <row r="81" spans="1:15" ht="18.95" customHeight="1">
      <c r="A81" s="122" t="s">
        <v>4482</v>
      </c>
      <c r="B81" s="1416" t="s">
        <v>4483</v>
      </c>
      <c r="C81" s="1417"/>
      <c r="D81" s="1418"/>
      <c r="E81" s="25">
        <v>1</v>
      </c>
      <c r="F81" s="123" t="s">
        <v>1671</v>
      </c>
      <c r="G81" s="67">
        <v>60000</v>
      </c>
      <c r="H81" s="67">
        <f t="shared" ref="H81:H84" si="14">G81*O81</f>
        <v>56094.482819999997</v>
      </c>
      <c r="I81" s="25">
        <f t="shared" ref="I81:I84" si="15">E81*H81</f>
        <v>56094.482819999997</v>
      </c>
      <c r="J81" s="67">
        <v>6000</v>
      </c>
      <c r="K81" s="67">
        <f t="shared" ref="K81:K84" si="16">J81*O81</f>
        <v>5609.4482819999994</v>
      </c>
      <c r="L81" s="67">
        <f>K81*E81</f>
        <v>5609.4482819999994</v>
      </c>
      <c r="M81" s="25">
        <f>I81+L81</f>
        <v>61703.931101999995</v>
      </c>
      <c r="N81" s="26"/>
      <c r="O81" s="103">
        <v>0.93490804699999996</v>
      </c>
    </row>
    <row r="82" spans="1:15" ht="18.95" customHeight="1">
      <c r="A82" s="122" t="s">
        <v>4484</v>
      </c>
      <c r="B82" s="1416" t="s">
        <v>4485</v>
      </c>
      <c r="C82" s="1417"/>
      <c r="D82" s="1418"/>
      <c r="E82" s="25">
        <v>10</v>
      </c>
      <c r="F82" s="123" t="s">
        <v>1671</v>
      </c>
      <c r="G82" s="67">
        <v>7500</v>
      </c>
      <c r="H82" s="67">
        <f t="shared" si="14"/>
        <v>7011.8103524999997</v>
      </c>
      <c r="I82" s="25">
        <f t="shared" si="15"/>
        <v>70118.103524999999</v>
      </c>
      <c r="J82" s="67">
        <v>2000</v>
      </c>
      <c r="K82" s="67">
        <f t="shared" si="16"/>
        <v>1869.816094</v>
      </c>
      <c r="L82" s="67">
        <f t="shared" ref="L82:L84" si="17">K82*E82</f>
        <v>18698.160940000002</v>
      </c>
      <c r="M82" s="25">
        <f>I82+L82</f>
        <v>88816.264465</v>
      </c>
      <c r="N82" s="26"/>
      <c r="O82" s="103">
        <v>0.93490804699999996</v>
      </c>
    </row>
    <row r="83" spans="1:15" ht="18.95" customHeight="1">
      <c r="A83" s="124" t="s">
        <v>4486</v>
      </c>
      <c r="B83" s="1416" t="s">
        <v>4487</v>
      </c>
      <c r="C83" s="1417"/>
      <c r="D83" s="1418"/>
      <c r="E83" s="25">
        <v>14</v>
      </c>
      <c r="F83" s="123" t="s">
        <v>1671</v>
      </c>
      <c r="G83" s="67">
        <v>4000</v>
      </c>
      <c r="H83" s="67">
        <f t="shared" si="14"/>
        <v>3739.632188</v>
      </c>
      <c r="I83" s="25">
        <f t="shared" si="15"/>
        <v>52354.850632000001</v>
      </c>
      <c r="J83" s="67">
        <v>1500</v>
      </c>
      <c r="K83" s="67">
        <f t="shared" si="16"/>
        <v>1402.3620704999998</v>
      </c>
      <c r="L83" s="67">
        <f t="shared" si="17"/>
        <v>19633.068986999999</v>
      </c>
      <c r="M83" s="25">
        <f>I83+L83</f>
        <v>71987.919618999993</v>
      </c>
      <c r="N83" s="72"/>
      <c r="O83" s="103">
        <v>0.93490804699999996</v>
      </c>
    </row>
    <row r="84" spans="1:15" ht="18.95" customHeight="1">
      <c r="A84" s="122" t="s">
        <v>4488</v>
      </c>
      <c r="B84" s="1416" t="s">
        <v>4489</v>
      </c>
      <c r="C84" s="1417"/>
      <c r="D84" s="1418"/>
      <c r="E84" s="25">
        <v>10</v>
      </c>
      <c r="F84" s="123" t="s">
        <v>1671</v>
      </c>
      <c r="G84" s="67">
        <v>3000</v>
      </c>
      <c r="H84" s="67">
        <f t="shared" si="14"/>
        <v>2804.7241409999997</v>
      </c>
      <c r="I84" s="25">
        <f t="shared" si="15"/>
        <v>28047.241409999995</v>
      </c>
      <c r="J84" s="67">
        <v>1500</v>
      </c>
      <c r="K84" s="67">
        <f t="shared" si="16"/>
        <v>1402.3620704999998</v>
      </c>
      <c r="L84" s="67">
        <f t="shared" si="17"/>
        <v>14023.620704999998</v>
      </c>
      <c r="M84" s="25">
        <f>I84+L84</f>
        <v>42070.862114999996</v>
      </c>
      <c r="N84" s="26"/>
      <c r="O84" s="103">
        <v>0.93490804699999996</v>
      </c>
    </row>
    <row r="85" spans="1:15" ht="18.95" customHeight="1">
      <c r="A85" s="125"/>
      <c r="B85" s="1410" t="s">
        <v>4490</v>
      </c>
      <c r="C85" s="1411"/>
      <c r="D85" s="1412"/>
      <c r="E85" s="126"/>
      <c r="F85" s="35"/>
      <c r="G85" s="35"/>
      <c r="H85" s="127"/>
      <c r="I85" s="34"/>
      <c r="J85" s="101"/>
      <c r="K85" s="101"/>
      <c r="L85" s="34"/>
      <c r="M85" s="34">
        <f>SUM(M81:M84)</f>
        <v>264578.97730099998</v>
      </c>
      <c r="N85" s="26"/>
      <c r="O85" s="103">
        <v>0.93490804699999996</v>
      </c>
    </row>
    <row r="86" spans="1:15" ht="18.95" customHeight="1">
      <c r="A86" s="128"/>
      <c r="B86" s="1419"/>
      <c r="C86" s="1420"/>
      <c r="D86" s="1421"/>
      <c r="E86" s="129"/>
      <c r="F86" s="130"/>
      <c r="G86" s="130"/>
      <c r="H86" s="131"/>
      <c r="I86" s="143"/>
      <c r="J86" s="144"/>
      <c r="K86" s="144"/>
      <c r="L86" s="143"/>
      <c r="M86" s="143"/>
      <c r="N86" s="55"/>
      <c r="O86" s="103">
        <v>0.93490804699999996</v>
      </c>
    </row>
    <row r="87" spans="1:15" ht="18.95" customHeight="1">
      <c r="A87" s="132"/>
      <c r="B87" s="133"/>
      <c r="C87" s="134"/>
      <c r="D87" s="135" t="s">
        <v>151</v>
      </c>
      <c r="E87" s="18"/>
      <c r="F87" s="19"/>
      <c r="G87" s="93"/>
      <c r="H87" s="93"/>
      <c r="I87" s="18"/>
      <c r="J87" s="93"/>
      <c r="K87" s="93"/>
      <c r="L87" s="93"/>
      <c r="M87" s="18"/>
      <c r="N87" s="19"/>
      <c r="O87" s="103">
        <v>0.93490804699999996</v>
      </c>
    </row>
    <row r="88" spans="1:15" ht="18.95" customHeight="1">
      <c r="A88" s="77">
        <v>2.2000000000000002</v>
      </c>
      <c r="B88" s="1413" t="s">
        <v>4491</v>
      </c>
      <c r="C88" s="1414"/>
      <c r="D88" s="1415"/>
      <c r="E88" s="25"/>
      <c r="F88" s="26"/>
      <c r="G88" s="67"/>
      <c r="H88" s="67"/>
      <c r="I88" s="25"/>
      <c r="J88" s="67"/>
      <c r="K88" s="67"/>
      <c r="L88" s="67"/>
      <c r="M88" s="25"/>
      <c r="N88" s="26"/>
      <c r="O88" s="103">
        <v>0.93490804699999996</v>
      </c>
    </row>
    <row r="89" spans="1:15" ht="18.95" customHeight="1">
      <c r="A89" s="115" t="s">
        <v>4492</v>
      </c>
      <c r="B89" s="1416" t="s">
        <v>4493</v>
      </c>
      <c r="C89" s="1417"/>
      <c r="D89" s="1418"/>
      <c r="E89" s="67">
        <v>1</v>
      </c>
      <c r="F89" s="123" t="s">
        <v>1671</v>
      </c>
      <c r="G89" s="67">
        <v>5000</v>
      </c>
      <c r="H89" s="67">
        <f t="shared" ref="H89:H96" si="18">G89*O89</f>
        <v>4674.5402349999995</v>
      </c>
      <c r="I89" s="25">
        <f t="shared" ref="I89:I96" si="19">E89*H89</f>
        <v>4674.5402349999995</v>
      </c>
      <c r="J89" s="67">
        <v>1000</v>
      </c>
      <c r="K89" s="67">
        <f t="shared" ref="K89:K96" si="20">J89*O89</f>
        <v>934.90804700000001</v>
      </c>
      <c r="L89" s="67">
        <f>K89*E89</f>
        <v>934.90804700000001</v>
      </c>
      <c r="M89" s="25">
        <f t="shared" ref="M89:M96" si="21">I89+L89</f>
        <v>5609.4482819999994</v>
      </c>
      <c r="N89" s="26"/>
      <c r="O89" s="103">
        <v>0.93490804699999996</v>
      </c>
    </row>
    <row r="90" spans="1:15" ht="18.95" customHeight="1">
      <c r="A90" s="115" t="s">
        <v>4494</v>
      </c>
      <c r="B90" s="1416" t="s">
        <v>4495</v>
      </c>
      <c r="C90" s="1417"/>
      <c r="D90" s="1418"/>
      <c r="E90" s="67">
        <v>2</v>
      </c>
      <c r="F90" s="123" t="s">
        <v>1671</v>
      </c>
      <c r="G90" s="67">
        <v>3000</v>
      </c>
      <c r="H90" s="67">
        <f t="shared" si="18"/>
        <v>2804.7241409999997</v>
      </c>
      <c r="I90" s="25">
        <f t="shared" si="19"/>
        <v>5609.4482819999994</v>
      </c>
      <c r="J90" s="67">
        <v>800</v>
      </c>
      <c r="K90" s="67">
        <f t="shared" si="20"/>
        <v>747.92643759999999</v>
      </c>
      <c r="L90" s="67">
        <f t="shared" ref="L90:L96" si="22">K90*E90</f>
        <v>1495.8528752</v>
      </c>
      <c r="M90" s="25">
        <f t="shared" si="21"/>
        <v>7105.3011571999996</v>
      </c>
      <c r="N90" s="26"/>
      <c r="O90" s="103">
        <v>0.93490804699999996</v>
      </c>
    </row>
    <row r="91" spans="1:15" ht="18.95" customHeight="1">
      <c r="A91" s="115" t="s">
        <v>4496</v>
      </c>
      <c r="B91" s="1416" t="s">
        <v>4497</v>
      </c>
      <c r="C91" s="1417"/>
      <c r="D91" s="1418"/>
      <c r="E91" s="67">
        <v>2717</v>
      </c>
      <c r="F91" s="123" t="s">
        <v>1671</v>
      </c>
      <c r="G91" s="67">
        <v>70</v>
      </c>
      <c r="H91" s="67">
        <f t="shared" si="18"/>
        <v>65.44356329</v>
      </c>
      <c r="I91" s="25">
        <f t="shared" si="19"/>
        <v>177810.16145893</v>
      </c>
      <c r="J91" s="67">
        <v>30</v>
      </c>
      <c r="K91" s="67">
        <f t="shared" si="20"/>
        <v>28.047241409999998</v>
      </c>
      <c r="L91" s="67">
        <f t="shared" si="22"/>
        <v>76204.354910969996</v>
      </c>
      <c r="M91" s="25">
        <f t="shared" si="21"/>
        <v>254014.5163699</v>
      </c>
      <c r="N91" s="26"/>
      <c r="O91" s="103">
        <v>0.93490804699999996</v>
      </c>
    </row>
    <row r="92" spans="1:15" ht="18.95" customHeight="1">
      <c r="A92" s="115" t="s">
        <v>4498</v>
      </c>
      <c r="B92" s="1416" t="s">
        <v>4499</v>
      </c>
      <c r="C92" s="1417"/>
      <c r="D92" s="1418"/>
      <c r="E92" s="67">
        <v>1156</v>
      </c>
      <c r="F92" s="123" t="s">
        <v>1671</v>
      </c>
      <c r="G92" s="67">
        <v>80</v>
      </c>
      <c r="H92" s="67">
        <f t="shared" si="18"/>
        <v>74.792643760000004</v>
      </c>
      <c r="I92" s="25">
        <f t="shared" si="19"/>
        <v>86460.296186560008</v>
      </c>
      <c r="J92" s="67">
        <v>10</v>
      </c>
      <c r="K92" s="67">
        <f t="shared" si="20"/>
        <v>9.3490804700000005</v>
      </c>
      <c r="L92" s="67">
        <f t="shared" si="22"/>
        <v>10807.537023320001</v>
      </c>
      <c r="M92" s="25">
        <f t="shared" si="21"/>
        <v>97267.833209880017</v>
      </c>
      <c r="N92" s="26"/>
      <c r="O92" s="103">
        <v>0.93490804699999996</v>
      </c>
    </row>
    <row r="93" spans="1:15" ht="18.95" customHeight="1">
      <c r="A93" s="115" t="s">
        <v>4500</v>
      </c>
      <c r="B93" s="1416" t="s">
        <v>4501</v>
      </c>
      <c r="C93" s="1417"/>
      <c r="D93" s="1418"/>
      <c r="E93" s="67">
        <v>685</v>
      </c>
      <c r="F93" s="123" t="s">
        <v>1671</v>
      </c>
      <c r="G93" s="67">
        <v>40</v>
      </c>
      <c r="H93" s="67">
        <f t="shared" si="18"/>
        <v>37.396321880000002</v>
      </c>
      <c r="I93" s="25">
        <f t="shared" si="19"/>
        <v>25616.480487800003</v>
      </c>
      <c r="J93" s="67">
        <v>10</v>
      </c>
      <c r="K93" s="67">
        <f t="shared" si="20"/>
        <v>9.3490804700000005</v>
      </c>
      <c r="L93" s="67">
        <f t="shared" si="22"/>
        <v>6404.1201219500008</v>
      </c>
      <c r="M93" s="25">
        <f t="shared" si="21"/>
        <v>32020.600609750003</v>
      </c>
      <c r="N93" s="26"/>
      <c r="O93" s="103">
        <v>0.93490804699999996</v>
      </c>
    </row>
    <row r="94" spans="1:15" ht="18.95" customHeight="1">
      <c r="A94" s="115" t="s">
        <v>4502</v>
      </c>
      <c r="B94" s="1416" t="s">
        <v>4503</v>
      </c>
      <c r="C94" s="1417"/>
      <c r="D94" s="1418"/>
      <c r="E94" s="67">
        <v>431</v>
      </c>
      <c r="F94" s="123" t="s">
        <v>1671</v>
      </c>
      <c r="G94" s="67">
        <v>30</v>
      </c>
      <c r="H94" s="67">
        <f t="shared" si="18"/>
        <v>28.047241409999998</v>
      </c>
      <c r="I94" s="25">
        <f t="shared" si="19"/>
        <v>12088.361047709999</v>
      </c>
      <c r="J94" s="67">
        <v>30</v>
      </c>
      <c r="K94" s="67">
        <f t="shared" si="20"/>
        <v>28.047241409999998</v>
      </c>
      <c r="L94" s="67">
        <f t="shared" si="22"/>
        <v>12088.361047709999</v>
      </c>
      <c r="M94" s="25">
        <f t="shared" si="21"/>
        <v>24176.722095419998</v>
      </c>
      <c r="N94" s="26"/>
      <c r="O94" s="103">
        <v>0.93490804699999996</v>
      </c>
    </row>
    <row r="95" spans="1:15" ht="18.95" customHeight="1">
      <c r="A95" s="115" t="s">
        <v>4504</v>
      </c>
      <c r="B95" s="1416" t="s">
        <v>4505</v>
      </c>
      <c r="C95" s="1417"/>
      <c r="D95" s="1418"/>
      <c r="E95" s="67">
        <v>90</v>
      </c>
      <c r="F95" s="123" t="s">
        <v>2683</v>
      </c>
      <c r="G95" s="67">
        <v>40</v>
      </c>
      <c r="H95" s="67">
        <f t="shared" si="18"/>
        <v>37.396321880000002</v>
      </c>
      <c r="I95" s="25">
        <f t="shared" si="19"/>
        <v>3365.6689692</v>
      </c>
      <c r="J95" s="145">
        <v>10</v>
      </c>
      <c r="K95" s="67">
        <f t="shared" si="20"/>
        <v>9.3490804700000005</v>
      </c>
      <c r="L95" s="67">
        <f t="shared" si="22"/>
        <v>841.4172423</v>
      </c>
      <c r="M95" s="25">
        <f t="shared" si="21"/>
        <v>4207.0862115</v>
      </c>
      <c r="N95" s="26"/>
      <c r="O95" s="103">
        <v>0.93490804699999996</v>
      </c>
    </row>
    <row r="96" spans="1:15" ht="18.95" customHeight="1">
      <c r="A96" s="115" t="s">
        <v>4506</v>
      </c>
      <c r="B96" s="1416" t="s">
        <v>4507</v>
      </c>
      <c r="C96" s="1417"/>
      <c r="D96" s="1418"/>
      <c r="E96" s="25">
        <v>110</v>
      </c>
      <c r="F96" s="123" t="s">
        <v>4508</v>
      </c>
      <c r="G96" s="67">
        <v>40</v>
      </c>
      <c r="H96" s="67">
        <f t="shared" si="18"/>
        <v>37.396321880000002</v>
      </c>
      <c r="I96" s="25">
        <f t="shared" si="19"/>
        <v>4113.5954068000001</v>
      </c>
      <c r="J96" s="67">
        <v>10</v>
      </c>
      <c r="K96" s="67">
        <f t="shared" si="20"/>
        <v>9.3490804700000005</v>
      </c>
      <c r="L96" s="67">
        <f t="shared" si="22"/>
        <v>1028.3988517</v>
      </c>
      <c r="M96" s="25">
        <f t="shared" si="21"/>
        <v>5141.9942584999999</v>
      </c>
      <c r="N96" s="26"/>
      <c r="O96" s="103">
        <v>0.93490804699999996</v>
      </c>
    </row>
    <row r="97" spans="1:15" ht="18.95" customHeight="1">
      <c r="A97" s="136"/>
      <c r="B97" s="1410" t="s">
        <v>4509</v>
      </c>
      <c r="C97" s="1411"/>
      <c r="D97" s="1412"/>
      <c r="E97" s="62"/>
      <c r="F97" s="26"/>
      <c r="G97" s="67"/>
      <c r="H97" s="67"/>
      <c r="I97" s="25"/>
      <c r="J97" s="67"/>
      <c r="K97" s="67"/>
      <c r="L97" s="67"/>
      <c r="M97" s="34">
        <f>SUM(M89:M96)</f>
        <v>429543.50219415006</v>
      </c>
      <c r="N97" s="72"/>
      <c r="O97" s="103">
        <v>0.93490804699999996</v>
      </c>
    </row>
    <row r="98" spans="1:15" ht="18.95" customHeight="1">
      <c r="A98" s="136"/>
      <c r="B98" s="116"/>
      <c r="C98" s="60"/>
      <c r="D98" s="60"/>
      <c r="E98" s="62"/>
      <c r="F98" s="26"/>
      <c r="G98" s="67"/>
      <c r="H98" s="67"/>
      <c r="I98" s="25"/>
      <c r="J98" s="67"/>
      <c r="K98" s="67"/>
      <c r="L98" s="67"/>
      <c r="M98" s="34"/>
      <c r="N98" s="72"/>
      <c r="O98" s="103">
        <v>0.93490804699999996</v>
      </c>
    </row>
    <row r="99" spans="1:15" ht="18.95" customHeight="1">
      <c r="A99" s="77">
        <v>2.2999999999999998</v>
      </c>
      <c r="B99" s="1413" t="s">
        <v>4510</v>
      </c>
      <c r="C99" s="1414"/>
      <c r="D99" s="1415"/>
      <c r="E99" s="25"/>
      <c r="F99" s="26"/>
      <c r="G99" s="67"/>
      <c r="H99" s="67"/>
      <c r="I99" s="25"/>
      <c r="J99" s="67"/>
      <c r="K99" s="67"/>
      <c r="L99" s="67"/>
      <c r="M99" s="25"/>
      <c r="N99" s="73"/>
      <c r="O99" s="103">
        <v>0.93490804699999996</v>
      </c>
    </row>
    <row r="100" spans="1:15" ht="18.95" customHeight="1">
      <c r="A100" s="115" t="s">
        <v>4511</v>
      </c>
      <c r="B100" s="1416" t="s">
        <v>4512</v>
      </c>
      <c r="C100" s="1417"/>
      <c r="D100" s="1418"/>
      <c r="E100" s="67">
        <v>240</v>
      </c>
      <c r="F100" s="123" t="s">
        <v>1671</v>
      </c>
      <c r="G100" s="67">
        <v>200</v>
      </c>
      <c r="H100" s="67">
        <f t="shared" ref="H100" si="23">G100*O100</f>
        <v>186.9816094</v>
      </c>
      <c r="I100" s="25">
        <f t="shared" ref="I100" si="24">E100*H100</f>
        <v>44875.586256000002</v>
      </c>
      <c r="J100" s="67">
        <v>150</v>
      </c>
      <c r="K100" s="67">
        <f t="shared" ref="K100" si="25">J100*O100</f>
        <v>140.23620704999999</v>
      </c>
      <c r="L100" s="67">
        <f>K100*E100</f>
        <v>33656.689692</v>
      </c>
      <c r="M100" s="25">
        <f>I100+L100</f>
        <v>78532.275947999995</v>
      </c>
      <c r="N100" s="26"/>
      <c r="O100" s="103">
        <v>0.93490804699999996</v>
      </c>
    </row>
    <row r="101" spans="1:15" ht="18.95" customHeight="1">
      <c r="A101" s="137"/>
      <c r="B101" s="1410" t="s">
        <v>4513</v>
      </c>
      <c r="C101" s="1411"/>
      <c r="D101" s="1412"/>
      <c r="E101" s="72"/>
      <c r="F101" s="26"/>
      <c r="G101" s="25"/>
      <c r="H101" s="25"/>
      <c r="I101" s="25"/>
      <c r="J101" s="67"/>
      <c r="K101" s="67"/>
      <c r="L101" s="25"/>
      <c r="M101" s="34">
        <f>SUM(M100:M100)</f>
        <v>78532.275947999995</v>
      </c>
      <c r="N101" s="72"/>
      <c r="O101" s="103">
        <v>0.93490804699999996</v>
      </c>
    </row>
    <row r="102" spans="1:15" ht="18.95" customHeight="1">
      <c r="A102" s="137"/>
      <c r="B102" s="116"/>
      <c r="C102" s="60"/>
      <c r="D102" s="60"/>
      <c r="E102" s="72"/>
      <c r="F102" s="26"/>
      <c r="G102" s="25"/>
      <c r="H102" s="25"/>
      <c r="I102" s="25"/>
      <c r="J102" s="67"/>
      <c r="K102" s="67"/>
      <c r="L102" s="25"/>
      <c r="M102" s="34"/>
      <c r="N102" s="72"/>
      <c r="O102" s="103">
        <v>0.93490804699999996</v>
      </c>
    </row>
    <row r="103" spans="1:15" ht="18.95" customHeight="1">
      <c r="A103" s="77">
        <v>2.4</v>
      </c>
      <c r="B103" s="1413" t="s">
        <v>4514</v>
      </c>
      <c r="C103" s="1414"/>
      <c r="D103" s="1415"/>
      <c r="E103" s="25"/>
      <c r="F103" s="26"/>
      <c r="G103" s="67"/>
      <c r="H103" s="67"/>
      <c r="I103" s="25"/>
      <c r="J103" s="67"/>
      <c r="K103" s="67"/>
      <c r="L103" s="67"/>
      <c r="M103" s="25"/>
      <c r="N103" s="72"/>
      <c r="O103" s="103">
        <v>0.93490804699999996</v>
      </c>
    </row>
    <row r="104" spans="1:15" ht="18.95" customHeight="1">
      <c r="A104" s="115" t="s">
        <v>4515</v>
      </c>
      <c r="B104" s="1416" t="s">
        <v>4516</v>
      </c>
      <c r="C104" s="1417"/>
      <c r="D104" s="1418"/>
      <c r="E104" s="67">
        <v>11</v>
      </c>
      <c r="F104" s="123" t="s">
        <v>1671</v>
      </c>
      <c r="G104" s="67">
        <v>3500</v>
      </c>
      <c r="H104" s="67">
        <f t="shared" ref="H104:H108" si="26">G104*O104</f>
        <v>3272.1781645000001</v>
      </c>
      <c r="I104" s="25">
        <f t="shared" ref="I104:I108" si="27">E104*H104</f>
        <v>35993.959809500004</v>
      </c>
      <c r="J104" s="67">
        <v>800</v>
      </c>
      <c r="K104" s="67">
        <f t="shared" ref="K104:K108" si="28">J104*O104</f>
        <v>747.92643759999999</v>
      </c>
      <c r="L104" s="67">
        <f>K104*E104</f>
        <v>8227.1908136000002</v>
      </c>
      <c r="M104" s="25">
        <f>I104+L104</f>
        <v>44221.150623100002</v>
      </c>
      <c r="N104" s="72"/>
      <c r="O104" s="103">
        <v>0.93490804699999996</v>
      </c>
    </row>
    <row r="105" spans="1:15" ht="18.95" customHeight="1">
      <c r="A105" s="115" t="s">
        <v>4517</v>
      </c>
      <c r="B105" s="1416" t="s">
        <v>4518</v>
      </c>
      <c r="C105" s="1417"/>
      <c r="D105" s="1418"/>
      <c r="E105" s="67">
        <v>5</v>
      </c>
      <c r="F105" s="123" t="s">
        <v>1671</v>
      </c>
      <c r="G105" s="67">
        <v>20000</v>
      </c>
      <c r="H105" s="67">
        <f t="shared" si="26"/>
        <v>18698.160939999998</v>
      </c>
      <c r="I105" s="25">
        <f t="shared" si="27"/>
        <v>93490.804699999993</v>
      </c>
      <c r="J105" s="67">
        <v>500</v>
      </c>
      <c r="K105" s="67">
        <f t="shared" si="28"/>
        <v>467.45402350000001</v>
      </c>
      <c r="L105" s="67">
        <f t="shared" ref="L105:L108" si="29">K105*E105</f>
        <v>2337.2701175000002</v>
      </c>
      <c r="M105" s="25">
        <f>I105+L105</f>
        <v>95828.07481749999</v>
      </c>
      <c r="N105" s="72"/>
      <c r="O105" s="103">
        <v>0.93490804699999996</v>
      </c>
    </row>
    <row r="106" spans="1:15" ht="18.95" customHeight="1">
      <c r="A106" s="115" t="s">
        <v>4519</v>
      </c>
      <c r="B106" s="1416" t="s">
        <v>4520</v>
      </c>
      <c r="C106" s="1417"/>
      <c r="D106" s="1418"/>
      <c r="E106" s="67">
        <v>6</v>
      </c>
      <c r="F106" s="123" t="s">
        <v>1671</v>
      </c>
      <c r="G106" s="67">
        <v>2000</v>
      </c>
      <c r="H106" s="67">
        <f t="shared" si="26"/>
        <v>1869.816094</v>
      </c>
      <c r="I106" s="25">
        <f t="shared" si="27"/>
        <v>11218.896564000001</v>
      </c>
      <c r="J106" s="67">
        <v>500</v>
      </c>
      <c r="K106" s="67">
        <f t="shared" si="28"/>
        <v>467.45402350000001</v>
      </c>
      <c r="L106" s="67">
        <f t="shared" si="29"/>
        <v>2804.7241410000001</v>
      </c>
      <c r="M106" s="25">
        <f>I106+L106</f>
        <v>14023.620705000001</v>
      </c>
      <c r="N106" s="26"/>
      <c r="O106" s="103">
        <v>0.93490804699999996</v>
      </c>
    </row>
    <row r="107" spans="1:15" ht="18.95" customHeight="1">
      <c r="A107" s="63" t="s">
        <v>4521</v>
      </c>
      <c r="B107" s="1416" t="s">
        <v>4522</v>
      </c>
      <c r="C107" s="1417"/>
      <c r="D107" s="1418"/>
      <c r="E107" s="67">
        <v>33</v>
      </c>
      <c r="F107" s="123" t="s">
        <v>1671</v>
      </c>
      <c r="G107" s="67">
        <v>150</v>
      </c>
      <c r="H107" s="67">
        <f t="shared" si="26"/>
        <v>140.23620704999999</v>
      </c>
      <c r="I107" s="25">
        <f t="shared" si="27"/>
        <v>4627.79483265</v>
      </c>
      <c r="J107" s="67">
        <v>35</v>
      </c>
      <c r="K107" s="67">
        <f t="shared" si="28"/>
        <v>32.721781645</v>
      </c>
      <c r="L107" s="67">
        <f t="shared" si="29"/>
        <v>1079.818794285</v>
      </c>
      <c r="M107" s="25">
        <f>I107+L107</f>
        <v>5707.613626935</v>
      </c>
      <c r="N107" s="26"/>
      <c r="O107" s="103">
        <v>0.93490804699999996</v>
      </c>
    </row>
    <row r="108" spans="1:15" ht="18.95" customHeight="1">
      <c r="A108" s="115" t="s">
        <v>4523</v>
      </c>
      <c r="B108" s="1416" t="s">
        <v>4524</v>
      </c>
      <c r="C108" s="1417"/>
      <c r="D108" s="1418"/>
      <c r="E108" s="67">
        <v>410</v>
      </c>
      <c r="F108" s="123" t="s">
        <v>1671</v>
      </c>
      <c r="G108" s="67">
        <v>30</v>
      </c>
      <c r="H108" s="67">
        <f t="shared" si="26"/>
        <v>28.047241409999998</v>
      </c>
      <c r="I108" s="25">
        <f t="shared" si="27"/>
        <v>11499.368978099999</v>
      </c>
      <c r="J108" s="67">
        <v>10</v>
      </c>
      <c r="K108" s="67">
        <f t="shared" si="28"/>
        <v>9.3490804700000005</v>
      </c>
      <c r="L108" s="67">
        <f t="shared" si="29"/>
        <v>3833.1229927000004</v>
      </c>
      <c r="M108" s="25">
        <f>I108+L108</f>
        <v>15332.4919708</v>
      </c>
      <c r="N108" s="26"/>
      <c r="O108" s="103">
        <v>0.93490804699999996</v>
      </c>
    </row>
    <row r="109" spans="1:15" ht="18.95" customHeight="1">
      <c r="A109" s="115"/>
      <c r="B109" s="1410" t="s">
        <v>4525</v>
      </c>
      <c r="C109" s="1411"/>
      <c r="D109" s="1412"/>
      <c r="E109" s="67"/>
      <c r="F109" s="123"/>
      <c r="G109" s="67"/>
      <c r="H109" s="67"/>
      <c r="I109" s="25"/>
      <c r="J109" s="67"/>
      <c r="K109" s="67"/>
      <c r="L109" s="67"/>
      <c r="M109" s="34">
        <f>SUM(M104:M108)</f>
        <v>175112.951743335</v>
      </c>
      <c r="N109" s="72"/>
      <c r="O109" s="103">
        <v>0.93490804699999996</v>
      </c>
    </row>
    <row r="110" spans="1:15" ht="18.95" customHeight="1">
      <c r="A110" s="115"/>
      <c r="B110" s="116"/>
      <c r="C110" s="60"/>
      <c r="D110" s="117"/>
      <c r="E110" s="67"/>
      <c r="F110" s="123"/>
      <c r="G110" s="67"/>
      <c r="H110" s="67"/>
      <c r="I110" s="25"/>
      <c r="J110" s="67"/>
      <c r="K110" s="67"/>
      <c r="L110" s="67"/>
      <c r="M110" s="34"/>
      <c r="N110" s="72"/>
      <c r="O110" s="103">
        <v>0.93490804699999996</v>
      </c>
    </row>
    <row r="111" spans="1:15" ht="18.95" customHeight="1">
      <c r="A111" s="115"/>
      <c r="B111" s="116"/>
      <c r="C111" s="60"/>
      <c r="D111" s="117"/>
      <c r="E111" s="67"/>
      <c r="F111" s="123"/>
      <c r="G111" s="67"/>
      <c r="H111" s="67"/>
      <c r="I111" s="25"/>
      <c r="J111" s="67"/>
      <c r="K111" s="67"/>
      <c r="L111" s="67"/>
      <c r="M111" s="34"/>
      <c r="N111" s="72"/>
      <c r="O111" s="103">
        <v>0.93490804699999996</v>
      </c>
    </row>
    <row r="112" spans="1:15" ht="18.95" customHeight="1">
      <c r="A112" s="115"/>
      <c r="B112" s="116"/>
      <c r="C112" s="60"/>
      <c r="D112" s="117"/>
      <c r="E112" s="67"/>
      <c r="F112" s="123"/>
      <c r="G112" s="67"/>
      <c r="H112" s="67"/>
      <c r="I112" s="25"/>
      <c r="J112" s="67"/>
      <c r="K112" s="67"/>
      <c r="L112" s="67"/>
      <c r="M112" s="34"/>
      <c r="N112" s="72"/>
      <c r="O112" s="103">
        <v>0.93490804699999996</v>
      </c>
    </row>
    <row r="113" spans="1:15" ht="18.95" customHeight="1">
      <c r="A113" s="115"/>
      <c r="B113" s="116"/>
      <c r="C113" s="60"/>
      <c r="D113" s="117"/>
      <c r="E113" s="67"/>
      <c r="F113" s="123"/>
      <c r="G113" s="67"/>
      <c r="H113" s="67"/>
      <c r="I113" s="25"/>
      <c r="J113" s="67"/>
      <c r="K113" s="67"/>
      <c r="L113" s="67"/>
      <c r="M113" s="34"/>
      <c r="N113" s="72"/>
      <c r="O113" s="103">
        <v>0.93490804699999996</v>
      </c>
    </row>
    <row r="114" spans="1:15" ht="18.95" customHeight="1">
      <c r="A114" s="138"/>
      <c r="B114" s="85"/>
      <c r="C114" s="139"/>
      <c r="D114" s="140"/>
      <c r="E114" s="54"/>
      <c r="F114" s="55"/>
      <c r="G114" s="54"/>
      <c r="H114" s="54"/>
      <c r="I114" s="54"/>
      <c r="J114" s="88"/>
      <c r="K114" s="88"/>
      <c r="L114" s="146"/>
      <c r="M114" s="54"/>
      <c r="N114" s="107"/>
      <c r="O114" s="103">
        <v>0.93490804699999996</v>
      </c>
    </row>
    <row r="115" spans="1:15" ht="18.95" customHeight="1">
      <c r="A115" s="77">
        <v>2.5</v>
      </c>
      <c r="B115" s="1413" t="s">
        <v>4526</v>
      </c>
      <c r="C115" s="1414"/>
      <c r="D115" s="1415"/>
      <c r="E115" s="25"/>
      <c r="F115" s="26"/>
      <c r="G115" s="67"/>
      <c r="H115" s="67"/>
      <c r="I115" s="25"/>
      <c r="J115" s="67"/>
      <c r="K115" s="67"/>
      <c r="L115" s="67"/>
      <c r="M115" s="25"/>
      <c r="N115" s="108"/>
      <c r="O115" s="103">
        <v>0.93490804699999996</v>
      </c>
    </row>
    <row r="116" spans="1:15" ht="18.95" customHeight="1">
      <c r="A116" s="115" t="s">
        <v>4527</v>
      </c>
      <c r="B116" s="1416" t="s">
        <v>4528</v>
      </c>
      <c r="C116" s="1417"/>
      <c r="D116" s="1418"/>
      <c r="E116" s="67">
        <v>6</v>
      </c>
      <c r="F116" s="123" t="s">
        <v>1671</v>
      </c>
      <c r="G116" s="67">
        <v>400</v>
      </c>
      <c r="H116" s="67">
        <f t="shared" ref="H116:H121" si="30">G116*O116</f>
        <v>373.96321879999999</v>
      </c>
      <c r="I116" s="25">
        <f t="shared" ref="I116:I121" si="31">E116*H116</f>
        <v>2243.7793127999998</v>
      </c>
      <c r="J116" s="67">
        <v>300</v>
      </c>
      <c r="K116" s="67">
        <f t="shared" ref="K116:K121" si="32">J116*O116</f>
        <v>280.47241409999998</v>
      </c>
      <c r="L116" s="67">
        <f>K116*E116</f>
        <v>1682.8344846</v>
      </c>
      <c r="M116" s="25">
        <f t="shared" ref="M116:M121" si="33">I116+L116</f>
        <v>3926.6137973999998</v>
      </c>
      <c r="N116" s="72"/>
      <c r="O116" s="103">
        <v>0.93490804699999996</v>
      </c>
    </row>
    <row r="117" spans="1:15" ht="18.95" customHeight="1">
      <c r="A117" s="115" t="s">
        <v>4529</v>
      </c>
      <c r="B117" s="1416" t="s">
        <v>4530</v>
      </c>
      <c r="C117" s="1417"/>
      <c r="D117" s="1418"/>
      <c r="E117" s="67">
        <v>12</v>
      </c>
      <c r="F117" s="123" t="s">
        <v>1671</v>
      </c>
      <c r="G117" s="67">
        <v>800</v>
      </c>
      <c r="H117" s="67">
        <f t="shared" si="30"/>
        <v>747.92643759999999</v>
      </c>
      <c r="I117" s="25">
        <f t="shared" si="31"/>
        <v>8975.1172511999994</v>
      </c>
      <c r="J117" s="67">
        <v>50</v>
      </c>
      <c r="K117" s="67">
        <f t="shared" si="32"/>
        <v>46.745402349999999</v>
      </c>
      <c r="L117" s="67">
        <f t="shared" ref="L117:L121" si="34">K117*E117</f>
        <v>560.94482819999996</v>
      </c>
      <c r="M117" s="25">
        <f t="shared" si="33"/>
        <v>9536.0620793999988</v>
      </c>
      <c r="N117" s="72"/>
      <c r="O117" s="103">
        <v>0.93490804699999996</v>
      </c>
    </row>
    <row r="118" spans="1:15" ht="18.95" customHeight="1">
      <c r="A118" s="115" t="s">
        <v>4531</v>
      </c>
      <c r="B118" s="1416" t="s">
        <v>4532</v>
      </c>
      <c r="C118" s="1417"/>
      <c r="D118" s="1418"/>
      <c r="E118" s="67">
        <v>4</v>
      </c>
      <c r="F118" s="123" t="s">
        <v>1671</v>
      </c>
      <c r="G118" s="67">
        <v>800</v>
      </c>
      <c r="H118" s="67">
        <f t="shared" si="30"/>
        <v>747.92643759999999</v>
      </c>
      <c r="I118" s="25">
        <f t="shared" si="31"/>
        <v>2991.7057503999999</v>
      </c>
      <c r="J118" s="67">
        <v>50</v>
      </c>
      <c r="K118" s="67">
        <f t="shared" si="32"/>
        <v>46.745402349999999</v>
      </c>
      <c r="L118" s="67">
        <f t="shared" si="34"/>
        <v>186.9816094</v>
      </c>
      <c r="M118" s="25">
        <f t="shared" si="33"/>
        <v>3178.6873597999997</v>
      </c>
      <c r="N118" s="26"/>
      <c r="O118" s="103">
        <v>0.93490804699999996</v>
      </c>
    </row>
    <row r="119" spans="1:15" ht="18.95" customHeight="1">
      <c r="A119" s="115" t="s">
        <v>4533</v>
      </c>
      <c r="B119" s="1416" t="s">
        <v>4534</v>
      </c>
      <c r="C119" s="1417"/>
      <c r="D119" s="1418"/>
      <c r="E119" s="67">
        <v>50</v>
      </c>
      <c r="F119" s="123" t="s">
        <v>1671</v>
      </c>
      <c r="G119" s="67">
        <v>1000</v>
      </c>
      <c r="H119" s="67">
        <f t="shared" si="30"/>
        <v>934.90804700000001</v>
      </c>
      <c r="I119" s="25">
        <f t="shared" si="31"/>
        <v>46745.402350000004</v>
      </c>
      <c r="J119" s="67">
        <v>50</v>
      </c>
      <c r="K119" s="67">
        <f t="shared" si="32"/>
        <v>46.745402349999999</v>
      </c>
      <c r="L119" s="67">
        <f t="shared" si="34"/>
        <v>2337.2701174999997</v>
      </c>
      <c r="M119" s="25">
        <f t="shared" si="33"/>
        <v>49082.6724675</v>
      </c>
      <c r="N119" s="26"/>
      <c r="O119" s="103">
        <v>0.93490804699999996</v>
      </c>
    </row>
    <row r="120" spans="1:15" ht="18.95" customHeight="1">
      <c r="A120" s="115" t="s">
        <v>4535</v>
      </c>
      <c r="B120" s="1416" t="s">
        <v>4536</v>
      </c>
      <c r="C120" s="1417"/>
      <c r="D120" s="1418"/>
      <c r="E120" s="67">
        <v>3</v>
      </c>
      <c r="F120" s="123" t="s">
        <v>1671</v>
      </c>
      <c r="G120" s="67">
        <v>4000</v>
      </c>
      <c r="H120" s="67">
        <f t="shared" si="30"/>
        <v>3739.632188</v>
      </c>
      <c r="I120" s="25">
        <f t="shared" si="31"/>
        <v>11218.896564000001</v>
      </c>
      <c r="J120" s="67">
        <v>300</v>
      </c>
      <c r="K120" s="67">
        <f t="shared" si="32"/>
        <v>280.47241409999998</v>
      </c>
      <c r="L120" s="67">
        <f t="shared" si="34"/>
        <v>841.4172423</v>
      </c>
      <c r="M120" s="25">
        <f t="shared" si="33"/>
        <v>12060.313806300001</v>
      </c>
      <c r="N120" s="26"/>
      <c r="O120" s="103">
        <v>0.93490804699999996</v>
      </c>
    </row>
    <row r="121" spans="1:15" ht="18.95" customHeight="1">
      <c r="A121" s="115" t="s">
        <v>4537</v>
      </c>
      <c r="B121" s="1416" t="s">
        <v>4538</v>
      </c>
      <c r="C121" s="1417"/>
      <c r="D121" s="1418"/>
      <c r="E121" s="67">
        <v>7</v>
      </c>
      <c r="F121" s="123" t="s">
        <v>1671</v>
      </c>
      <c r="G121" s="67">
        <v>2500</v>
      </c>
      <c r="H121" s="67">
        <f t="shared" si="30"/>
        <v>2337.2701174999997</v>
      </c>
      <c r="I121" s="25">
        <f t="shared" si="31"/>
        <v>16360.890822499998</v>
      </c>
      <c r="J121" s="67">
        <v>300</v>
      </c>
      <c r="K121" s="67">
        <f t="shared" si="32"/>
        <v>280.47241409999998</v>
      </c>
      <c r="L121" s="67">
        <f t="shared" si="34"/>
        <v>1963.3068986999999</v>
      </c>
      <c r="M121" s="25">
        <f t="shared" si="33"/>
        <v>18324.197721199998</v>
      </c>
      <c r="N121" s="26"/>
      <c r="O121" s="103">
        <v>0.93490804699999996</v>
      </c>
    </row>
    <row r="122" spans="1:15" ht="18.95" customHeight="1">
      <c r="A122" s="115"/>
      <c r="B122" s="1410" t="s">
        <v>4539</v>
      </c>
      <c r="C122" s="1411"/>
      <c r="D122" s="1412"/>
      <c r="E122" s="25"/>
      <c r="F122" s="26"/>
      <c r="G122" s="67"/>
      <c r="H122" s="67"/>
      <c r="I122" s="25"/>
      <c r="J122" s="67"/>
      <c r="K122" s="67"/>
      <c r="L122" s="67" t="s">
        <v>151</v>
      </c>
      <c r="M122" s="34">
        <f>SUM(M116:M121)</f>
        <v>96108.547231600009</v>
      </c>
      <c r="N122" s="26"/>
      <c r="O122" s="103">
        <v>0.93490804699999996</v>
      </c>
    </row>
    <row r="123" spans="1:15" ht="18.95" customHeight="1">
      <c r="A123" s="136"/>
      <c r="B123" s="141"/>
      <c r="C123" s="142"/>
      <c r="D123" s="142"/>
      <c r="E123" s="67"/>
      <c r="F123" s="123"/>
      <c r="G123" s="67"/>
      <c r="H123" s="67"/>
      <c r="I123" s="25"/>
      <c r="J123" s="67"/>
      <c r="K123" s="67"/>
      <c r="L123" s="67"/>
      <c r="M123" s="25"/>
      <c r="N123" s="72"/>
      <c r="O123" s="103">
        <v>0.93490804699999996</v>
      </c>
    </row>
    <row r="124" spans="1:15" ht="18.95" customHeight="1">
      <c r="A124" s="77">
        <v>2.6</v>
      </c>
      <c r="B124" s="1413" t="s">
        <v>4540</v>
      </c>
      <c r="C124" s="1414"/>
      <c r="D124" s="1415"/>
      <c r="E124" s="25"/>
      <c r="F124" s="26"/>
      <c r="G124" s="67"/>
      <c r="H124" s="67"/>
      <c r="I124" s="25"/>
      <c r="J124" s="67"/>
      <c r="K124" s="67"/>
      <c r="L124" s="67"/>
      <c r="M124" s="25"/>
      <c r="N124" s="72"/>
      <c r="O124" s="103">
        <v>0.93490804699999996</v>
      </c>
    </row>
    <row r="125" spans="1:15" ht="18.95" customHeight="1">
      <c r="A125" s="115" t="s">
        <v>4541</v>
      </c>
      <c r="B125" s="1416" t="s">
        <v>4542</v>
      </c>
      <c r="C125" s="1417"/>
      <c r="D125" s="1418"/>
      <c r="E125" s="67">
        <v>10</v>
      </c>
      <c r="F125" s="123" t="s">
        <v>349</v>
      </c>
      <c r="G125" s="67">
        <v>1500</v>
      </c>
      <c r="H125" s="67">
        <f t="shared" ref="H125" si="35">G125*O125</f>
        <v>1402.3620704999998</v>
      </c>
      <c r="I125" s="25">
        <f t="shared" ref="I125" si="36">E125*H125</f>
        <v>14023.620704999998</v>
      </c>
      <c r="J125" s="67" t="s">
        <v>273</v>
      </c>
      <c r="K125" s="67" t="s">
        <v>151</v>
      </c>
      <c r="L125" s="30" t="s">
        <v>273</v>
      </c>
      <c r="M125" s="25">
        <f>SUM(I125)</f>
        <v>14023.620704999998</v>
      </c>
      <c r="N125" s="72"/>
      <c r="O125" s="103">
        <v>0.93490804699999996</v>
      </c>
    </row>
    <row r="126" spans="1:15" ht="18.95" customHeight="1">
      <c r="A126" s="136"/>
      <c r="B126" s="1416" t="s">
        <v>4543</v>
      </c>
      <c r="C126" s="1417"/>
      <c r="D126" s="1418"/>
      <c r="E126" s="67"/>
      <c r="F126" s="123"/>
      <c r="G126" s="67"/>
      <c r="H126" s="67"/>
      <c r="I126" s="25"/>
      <c r="J126" s="67"/>
      <c r="K126" s="67"/>
      <c r="L126" s="30"/>
      <c r="M126" s="25"/>
      <c r="N126" s="72"/>
      <c r="O126" s="103">
        <v>0.93490804699999996</v>
      </c>
    </row>
    <row r="127" spans="1:15" ht="18.95" customHeight="1">
      <c r="A127" s="115" t="s">
        <v>4544</v>
      </c>
      <c r="B127" s="1416" t="s">
        <v>4545</v>
      </c>
      <c r="C127" s="1417"/>
      <c r="D127" s="1418"/>
      <c r="E127" s="67">
        <v>14</v>
      </c>
      <c r="F127" s="123" t="s">
        <v>349</v>
      </c>
      <c r="G127" s="67">
        <v>1000</v>
      </c>
      <c r="H127" s="67">
        <f t="shared" ref="H127" si="37">G127*O127</f>
        <v>934.90804700000001</v>
      </c>
      <c r="I127" s="25">
        <f t="shared" ref="I127" si="38">E127*H127</f>
        <v>13088.712658</v>
      </c>
      <c r="J127" s="67" t="s">
        <v>273</v>
      </c>
      <c r="K127" s="67"/>
      <c r="L127" s="30" t="s">
        <v>273</v>
      </c>
      <c r="M127" s="25">
        <f>SUM(I127)</f>
        <v>13088.712658</v>
      </c>
      <c r="N127" s="72"/>
      <c r="O127" s="103">
        <v>0.93490804699999996</v>
      </c>
    </row>
    <row r="128" spans="1:15" ht="18.95" customHeight="1">
      <c r="A128" s="136"/>
      <c r="B128" s="1416" t="s">
        <v>4546</v>
      </c>
      <c r="C128" s="1417"/>
      <c r="D128" s="1418"/>
      <c r="E128" s="67"/>
      <c r="F128" s="123"/>
      <c r="G128" s="67"/>
      <c r="H128" s="67"/>
      <c r="I128" s="25"/>
      <c r="J128" s="67"/>
      <c r="K128" s="67"/>
      <c r="L128" s="67"/>
      <c r="M128" s="25"/>
      <c r="N128" s="72"/>
      <c r="O128" s="103">
        <v>0.93490804699999996</v>
      </c>
    </row>
    <row r="129" spans="1:15" ht="18.95" customHeight="1">
      <c r="A129" s="136"/>
      <c r="B129" s="1416" t="s">
        <v>4547</v>
      </c>
      <c r="C129" s="1417"/>
      <c r="D129" s="1418"/>
      <c r="E129" s="67"/>
      <c r="F129" s="123"/>
      <c r="G129" s="67"/>
      <c r="H129" s="67"/>
      <c r="I129" s="25"/>
      <c r="J129" s="67"/>
      <c r="K129" s="67"/>
      <c r="L129" s="67"/>
      <c r="M129" s="25"/>
      <c r="N129" s="72"/>
      <c r="O129" s="103">
        <v>0.93490804699999996</v>
      </c>
    </row>
    <row r="130" spans="1:15" ht="18.95" customHeight="1">
      <c r="A130" s="136"/>
      <c r="B130" s="1416" t="s">
        <v>4548</v>
      </c>
      <c r="C130" s="1417"/>
      <c r="D130" s="1418"/>
      <c r="E130" s="67"/>
      <c r="F130" s="123"/>
      <c r="G130" s="67"/>
      <c r="H130" s="67"/>
      <c r="I130" s="25"/>
      <c r="J130" s="67"/>
      <c r="K130" s="67"/>
      <c r="L130" s="67"/>
      <c r="M130" s="25"/>
      <c r="N130" s="26"/>
      <c r="O130" s="103">
        <v>0.93490804699999996</v>
      </c>
    </row>
    <row r="131" spans="1:15" ht="18.95" customHeight="1">
      <c r="A131" s="115" t="s">
        <v>4549</v>
      </c>
      <c r="B131" s="1416" t="s">
        <v>4550</v>
      </c>
      <c r="C131" s="1417"/>
      <c r="D131" s="1418"/>
      <c r="E131" s="67">
        <v>250</v>
      </c>
      <c r="F131" s="123" t="s">
        <v>4551</v>
      </c>
      <c r="G131" s="67">
        <v>950</v>
      </c>
      <c r="H131" s="67">
        <f t="shared" ref="H131:H137" si="39">G131*O131</f>
        <v>888.16264464999995</v>
      </c>
      <c r="I131" s="25">
        <f t="shared" ref="I131:I137" si="40">E131*H131</f>
        <v>222040.66116249998</v>
      </c>
      <c r="J131" s="67">
        <v>285</v>
      </c>
      <c r="K131" s="67">
        <f t="shared" ref="K131:K137" si="41">J131*O131</f>
        <v>266.448793395</v>
      </c>
      <c r="L131" s="67">
        <f>K131*E131</f>
        <v>66612.198348749997</v>
      </c>
      <c r="M131" s="25">
        <f t="shared" ref="M131:M137" si="42">I131+L131</f>
        <v>288652.85951124999</v>
      </c>
      <c r="N131" s="26"/>
      <c r="O131" s="103">
        <v>0.93490804699999996</v>
      </c>
    </row>
    <row r="132" spans="1:15" ht="18.95" customHeight="1">
      <c r="A132" s="115" t="s">
        <v>4552</v>
      </c>
      <c r="B132" s="1416" t="s">
        <v>4553</v>
      </c>
      <c r="C132" s="1417"/>
      <c r="D132" s="1418"/>
      <c r="E132" s="67">
        <v>180</v>
      </c>
      <c r="F132" s="123" t="s">
        <v>2683</v>
      </c>
      <c r="G132" s="67">
        <v>323</v>
      </c>
      <c r="H132" s="67">
        <f t="shared" si="39"/>
        <v>301.97529918099997</v>
      </c>
      <c r="I132" s="25">
        <f t="shared" si="40"/>
        <v>54355.553852579993</v>
      </c>
      <c r="J132" s="67">
        <v>97</v>
      </c>
      <c r="K132" s="67">
        <f t="shared" si="41"/>
        <v>90.68608055899999</v>
      </c>
      <c r="L132" s="67">
        <f t="shared" ref="L132:L137" si="43">K132*E132</f>
        <v>16323.494500619998</v>
      </c>
      <c r="M132" s="25">
        <f t="shared" si="42"/>
        <v>70679.048353199993</v>
      </c>
      <c r="N132" s="72"/>
      <c r="O132" s="103">
        <v>0.93490804699999996</v>
      </c>
    </row>
    <row r="133" spans="1:15" ht="18.95" customHeight="1">
      <c r="A133" s="115" t="s">
        <v>4554</v>
      </c>
      <c r="B133" s="1416" t="s">
        <v>4555</v>
      </c>
      <c r="C133" s="1417"/>
      <c r="D133" s="1418"/>
      <c r="E133" s="67">
        <v>510</v>
      </c>
      <c r="F133" s="123" t="s">
        <v>2683</v>
      </c>
      <c r="G133" s="67">
        <v>29</v>
      </c>
      <c r="H133" s="67">
        <f t="shared" si="39"/>
        <v>27.112333362999998</v>
      </c>
      <c r="I133" s="25">
        <f t="shared" si="40"/>
        <v>13827.290015129998</v>
      </c>
      <c r="J133" s="67">
        <v>9</v>
      </c>
      <c r="K133" s="67">
        <f t="shared" si="41"/>
        <v>8.4141724230000001</v>
      </c>
      <c r="L133" s="67">
        <f t="shared" si="43"/>
        <v>4291.2279357300004</v>
      </c>
      <c r="M133" s="25">
        <f t="shared" si="42"/>
        <v>18118.517950859998</v>
      </c>
      <c r="N133" s="72"/>
      <c r="O133" s="103">
        <v>0.93490804699999996</v>
      </c>
    </row>
    <row r="134" spans="1:15" ht="18.95" customHeight="1">
      <c r="A134" s="115" t="s">
        <v>4556</v>
      </c>
      <c r="B134" s="1416" t="s">
        <v>4557</v>
      </c>
      <c r="C134" s="1417"/>
      <c r="D134" s="1418"/>
      <c r="E134" s="67">
        <v>10</v>
      </c>
      <c r="F134" s="123" t="s">
        <v>4551</v>
      </c>
      <c r="G134" s="67">
        <v>950</v>
      </c>
      <c r="H134" s="67">
        <f t="shared" si="39"/>
        <v>888.16264464999995</v>
      </c>
      <c r="I134" s="25">
        <f t="shared" si="40"/>
        <v>8881.6264464999986</v>
      </c>
      <c r="J134" s="67">
        <v>285</v>
      </c>
      <c r="K134" s="67">
        <f t="shared" si="41"/>
        <v>266.448793395</v>
      </c>
      <c r="L134" s="67">
        <f t="shared" si="43"/>
        <v>2664.4879339499998</v>
      </c>
      <c r="M134" s="25">
        <f t="shared" si="42"/>
        <v>11546.114380449999</v>
      </c>
      <c r="N134" s="72"/>
      <c r="O134" s="103">
        <v>0.93490804699999996</v>
      </c>
    </row>
    <row r="135" spans="1:15" ht="18.95" customHeight="1">
      <c r="A135" s="115" t="s">
        <v>4558</v>
      </c>
      <c r="B135" s="1416" t="s">
        <v>4559</v>
      </c>
      <c r="C135" s="1417"/>
      <c r="D135" s="1418"/>
      <c r="E135" s="67">
        <v>50</v>
      </c>
      <c r="F135" s="123" t="s">
        <v>4551</v>
      </c>
      <c r="G135" s="67">
        <v>498</v>
      </c>
      <c r="H135" s="67">
        <f t="shared" si="39"/>
        <v>465.58420740599996</v>
      </c>
      <c r="I135" s="25">
        <f t="shared" si="40"/>
        <v>23279.210370299999</v>
      </c>
      <c r="J135" s="67">
        <v>112</v>
      </c>
      <c r="K135" s="67">
        <f t="shared" si="41"/>
        <v>104.70970126399999</v>
      </c>
      <c r="L135" s="67">
        <f t="shared" si="43"/>
        <v>5235.4850631999998</v>
      </c>
      <c r="M135" s="25">
        <f t="shared" si="42"/>
        <v>28514.695433499997</v>
      </c>
      <c r="N135" s="72"/>
      <c r="O135" s="103">
        <v>0.93490804699999996</v>
      </c>
    </row>
    <row r="136" spans="1:15" ht="18.95" customHeight="1">
      <c r="A136" s="115" t="s">
        <v>4560</v>
      </c>
      <c r="B136" s="1416" t="s">
        <v>4561</v>
      </c>
      <c r="C136" s="1417"/>
      <c r="D136" s="1418"/>
      <c r="E136" s="67">
        <v>26</v>
      </c>
      <c r="F136" s="123" t="s">
        <v>4551</v>
      </c>
      <c r="G136" s="67">
        <v>498</v>
      </c>
      <c r="H136" s="67">
        <f t="shared" si="39"/>
        <v>465.58420740599996</v>
      </c>
      <c r="I136" s="25">
        <f t="shared" si="40"/>
        <v>12105.189392556</v>
      </c>
      <c r="J136" s="67">
        <v>112</v>
      </c>
      <c r="K136" s="67">
        <f t="shared" si="41"/>
        <v>104.70970126399999</v>
      </c>
      <c r="L136" s="67">
        <f t="shared" si="43"/>
        <v>2722.4522328639996</v>
      </c>
      <c r="M136" s="25">
        <f t="shared" si="42"/>
        <v>14827.641625419999</v>
      </c>
      <c r="N136" s="72"/>
      <c r="O136" s="103">
        <v>0.93490804699999996</v>
      </c>
    </row>
    <row r="137" spans="1:15" ht="18.95" customHeight="1">
      <c r="A137" s="115" t="s">
        <v>4562</v>
      </c>
      <c r="B137" s="1416" t="s">
        <v>4563</v>
      </c>
      <c r="C137" s="1417"/>
      <c r="D137" s="1418"/>
      <c r="E137" s="67">
        <v>14</v>
      </c>
      <c r="F137" s="123" t="s">
        <v>4551</v>
      </c>
      <c r="G137" s="67">
        <v>800</v>
      </c>
      <c r="H137" s="67">
        <f t="shared" si="39"/>
        <v>747.92643759999999</v>
      </c>
      <c r="I137" s="25">
        <f t="shared" si="40"/>
        <v>10470.9701264</v>
      </c>
      <c r="J137" s="67">
        <v>240</v>
      </c>
      <c r="K137" s="67">
        <f t="shared" si="41"/>
        <v>224.37793127999998</v>
      </c>
      <c r="L137" s="67">
        <f t="shared" si="43"/>
        <v>3141.2910379199998</v>
      </c>
      <c r="M137" s="25">
        <f t="shared" si="42"/>
        <v>13612.26116432</v>
      </c>
      <c r="N137" s="73"/>
      <c r="O137" s="103">
        <v>0.93490804699999996</v>
      </c>
    </row>
    <row r="138" spans="1:15" ht="18.95" customHeight="1">
      <c r="A138" s="115"/>
      <c r="B138" s="1410" t="s">
        <v>4564</v>
      </c>
      <c r="C138" s="1411"/>
      <c r="D138" s="1412"/>
      <c r="E138" s="126"/>
      <c r="F138" s="35"/>
      <c r="G138" s="34"/>
      <c r="H138" s="34"/>
      <c r="I138" s="34"/>
      <c r="J138" s="101"/>
      <c r="K138" s="101"/>
      <c r="L138" s="34"/>
      <c r="M138" s="34">
        <f>SUM(M125:M137)</f>
        <v>473063.47178199992</v>
      </c>
      <c r="N138" s="73"/>
    </row>
    <row r="139" spans="1:15" ht="18.95" customHeight="1">
      <c r="A139" s="115"/>
      <c r="B139" s="1410" t="s">
        <v>4565</v>
      </c>
      <c r="C139" s="1411"/>
      <c r="D139" s="1412"/>
      <c r="E139" s="72"/>
      <c r="F139" s="26"/>
      <c r="G139" s="25"/>
      <c r="H139" s="25"/>
      <c r="I139" s="25"/>
      <c r="J139" s="67"/>
      <c r="K139" s="67"/>
      <c r="L139" s="30"/>
      <c r="M139" s="34">
        <f>SUM(M138+M122+M109+M101+M97+M85)</f>
        <v>1516939.7262000849</v>
      </c>
      <c r="N139" s="73"/>
    </row>
    <row r="140" spans="1:15" ht="18.95" customHeight="1">
      <c r="A140" s="137"/>
      <c r="B140" s="141"/>
      <c r="C140" s="71"/>
      <c r="D140" s="71"/>
      <c r="E140" s="72"/>
      <c r="F140" s="26"/>
      <c r="G140" s="25"/>
      <c r="H140" s="25"/>
      <c r="I140" s="25"/>
      <c r="J140" s="25"/>
      <c r="K140" s="25"/>
      <c r="L140" s="25"/>
      <c r="M140" s="25"/>
      <c r="N140" s="72"/>
    </row>
    <row r="141" spans="1:15" ht="18.95" customHeight="1">
      <c r="A141" s="137"/>
      <c r="B141" s="141"/>
      <c r="C141" s="71"/>
      <c r="D141" s="71"/>
      <c r="E141" s="25"/>
      <c r="F141" s="26"/>
      <c r="G141" s="25"/>
      <c r="H141" s="25"/>
      <c r="I141" s="25"/>
      <c r="J141" s="25"/>
      <c r="K141" s="25"/>
      <c r="L141" s="25"/>
      <c r="M141" s="25"/>
      <c r="N141" s="72"/>
    </row>
    <row r="142" spans="1:15" ht="18.95" customHeight="1">
      <c r="A142" s="147"/>
      <c r="B142" s="148"/>
      <c r="C142" s="149"/>
      <c r="D142" s="149"/>
      <c r="E142" s="54"/>
      <c r="F142" s="55"/>
      <c r="G142" s="54"/>
      <c r="H142" s="54"/>
      <c r="I142" s="54"/>
      <c r="J142" s="54"/>
      <c r="K142" s="54"/>
      <c r="L142" s="54"/>
      <c r="M142" s="54"/>
      <c r="N142" s="107"/>
    </row>
    <row r="143" spans="1:15" ht="18.95" customHeight="1">
      <c r="A143" s="150"/>
      <c r="B143" s="151"/>
      <c r="C143" s="152"/>
      <c r="D143" s="152"/>
      <c r="E143" s="153"/>
      <c r="F143" s="154"/>
      <c r="G143" s="153"/>
      <c r="H143" s="153"/>
      <c r="I143" s="153"/>
      <c r="J143" s="153"/>
      <c r="K143" s="153"/>
      <c r="L143" s="153"/>
      <c r="M143" s="153"/>
      <c r="N143" s="157"/>
    </row>
    <row r="144" spans="1:15" ht="18.95" customHeight="1">
      <c r="A144" s="155"/>
      <c r="B144" s="156"/>
      <c r="C144" s="156"/>
      <c r="D144" s="156"/>
      <c r="E144" s="157"/>
      <c r="F144" s="154"/>
      <c r="G144" s="153"/>
      <c r="H144" s="153"/>
      <c r="I144" s="153"/>
      <c r="J144" s="153"/>
      <c r="K144" s="153"/>
      <c r="L144" s="153"/>
      <c r="M144" s="153"/>
      <c r="N144" s="154"/>
    </row>
    <row r="145" spans="1:14" ht="18.95" customHeight="1">
      <c r="A145" s="158"/>
      <c r="B145" s="159"/>
      <c r="C145" s="160"/>
      <c r="D145" s="159"/>
      <c r="E145" s="153"/>
      <c r="F145" s="154"/>
      <c r="G145" s="153"/>
      <c r="H145" s="153"/>
      <c r="I145" s="153"/>
      <c r="J145" s="176"/>
      <c r="K145" s="176"/>
      <c r="L145" s="176"/>
      <c r="M145" s="153"/>
      <c r="N145" s="154"/>
    </row>
    <row r="146" spans="1:14" ht="18.95" customHeight="1">
      <c r="A146" s="158"/>
      <c r="B146" s="159"/>
      <c r="C146" s="160"/>
      <c r="D146" s="159"/>
      <c r="E146" s="153"/>
      <c r="F146" s="154"/>
      <c r="G146" s="153"/>
      <c r="H146" s="153"/>
      <c r="I146" s="153"/>
      <c r="J146" s="176"/>
      <c r="K146" s="176"/>
      <c r="L146" s="176"/>
      <c r="M146" s="153"/>
      <c r="N146" s="154"/>
    </row>
    <row r="147" spans="1:14" ht="18.95" customHeight="1">
      <c r="A147" s="161"/>
      <c r="B147" s="160"/>
      <c r="C147" s="159"/>
      <c r="D147" s="159"/>
      <c r="E147" s="157"/>
      <c r="F147" s="154"/>
      <c r="G147" s="153"/>
      <c r="H147" s="153"/>
      <c r="I147" s="153"/>
      <c r="J147" s="153"/>
      <c r="K147" s="153"/>
      <c r="L147" s="153"/>
      <c r="M147" s="153"/>
      <c r="N147" s="154"/>
    </row>
    <row r="148" spans="1:14" ht="18.95" customHeight="1">
      <c r="A148" s="161"/>
      <c r="B148" s="160"/>
      <c r="C148" s="159"/>
      <c r="D148" s="159"/>
      <c r="E148" s="157"/>
      <c r="F148" s="154"/>
      <c r="G148" s="153"/>
      <c r="H148" s="153"/>
      <c r="I148" s="153"/>
      <c r="J148" s="153"/>
      <c r="K148" s="153"/>
      <c r="L148" s="153"/>
      <c r="M148" s="153"/>
      <c r="N148" s="154"/>
    </row>
    <row r="149" spans="1:14" ht="18.95" customHeight="1">
      <c r="A149" s="161"/>
      <c r="B149" s="160"/>
      <c r="C149" s="159"/>
      <c r="D149" s="159"/>
      <c r="E149" s="157"/>
      <c r="F149" s="154"/>
      <c r="G149" s="153"/>
      <c r="H149" s="153"/>
      <c r="I149" s="153"/>
      <c r="J149" s="153"/>
      <c r="K149" s="153"/>
      <c r="L149" s="153"/>
      <c r="M149" s="153"/>
      <c r="N149" s="154"/>
    </row>
    <row r="150" spans="1:14" ht="18.95" customHeight="1">
      <c r="A150" s="161"/>
      <c r="B150" s="162"/>
      <c r="C150" s="159"/>
      <c r="D150" s="159"/>
      <c r="E150" s="157"/>
      <c r="F150" s="154"/>
      <c r="G150" s="153"/>
      <c r="H150" s="153"/>
      <c r="I150" s="153"/>
      <c r="J150" s="153"/>
      <c r="K150" s="153"/>
      <c r="L150" s="153"/>
      <c r="M150" s="153"/>
      <c r="N150" s="154"/>
    </row>
    <row r="151" spans="1:14" ht="18.95" customHeight="1">
      <c r="A151" s="161"/>
      <c r="B151" s="162"/>
      <c r="C151" s="159"/>
      <c r="D151" s="159"/>
      <c r="E151" s="157"/>
      <c r="F151" s="154"/>
      <c r="G151" s="153"/>
      <c r="H151" s="153"/>
      <c r="I151" s="153"/>
      <c r="J151" s="153"/>
      <c r="K151" s="153"/>
      <c r="L151" s="153"/>
      <c r="M151" s="153"/>
      <c r="N151" s="154"/>
    </row>
    <row r="152" spans="1:14" ht="18.95" customHeight="1">
      <c r="A152" s="161"/>
      <c r="B152" s="159"/>
      <c r="C152" s="159"/>
      <c r="D152" s="159"/>
      <c r="E152" s="157"/>
      <c r="F152" s="154"/>
      <c r="G152" s="153"/>
      <c r="H152" s="153"/>
      <c r="I152" s="153"/>
      <c r="J152" s="153"/>
      <c r="K152" s="153"/>
      <c r="L152" s="153"/>
      <c r="M152" s="153"/>
      <c r="N152" s="154"/>
    </row>
    <row r="153" spans="1:14" ht="18.95" customHeight="1">
      <c r="A153" s="161"/>
      <c r="B153" s="159"/>
      <c r="C153" s="159"/>
      <c r="D153" s="159"/>
      <c r="E153" s="157"/>
      <c r="F153" s="154"/>
      <c r="G153" s="153"/>
      <c r="H153" s="153"/>
      <c r="I153" s="153"/>
      <c r="J153" s="153"/>
      <c r="K153" s="153"/>
      <c r="L153" s="153"/>
      <c r="M153" s="153"/>
      <c r="N153" s="154"/>
    </row>
    <row r="154" spans="1:14" ht="18.95" customHeight="1">
      <c r="A154" s="161"/>
      <c r="B154" s="159"/>
      <c r="C154" s="159"/>
      <c r="D154" s="159"/>
      <c r="E154" s="157"/>
      <c r="F154" s="154"/>
      <c r="G154" s="153"/>
      <c r="H154" s="153"/>
      <c r="I154" s="153"/>
      <c r="J154" s="153"/>
      <c r="K154" s="153"/>
      <c r="L154" s="153"/>
      <c r="M154" s="153"/>
      <c r="N154" s="154"/>
    </row>
    <row r="155" spans="1:14" ht="18.95" customHeight="1">
      <c r="A155" s="161"/>
      <c r="B155" s="151"/>
      <c r="C155" s="159"/>
      <c r="D155" s="159"/>
      <c r="E155" s="157"/>
      <c r="F155" s="154"/>
      <c r="G155" s="153"/>
      <c r="H155" s="153"/>
      <c r="I155" s="153"/>
      <c r="J155" s="153"/>
      <c r="K155" s="153"/>
      <c r="L155" s="153"/>
      <c r="M155" s="153"/>
      <c r="N155" s="154"/>
    </row>
    <row r="156" spans="1:14" ht="18.95" customHeight="1">
      <c r="A156" s="161"/>
      <c r="B156" s="151"/>
      <c r="C156" s="159"/>
      <c r="D156" s="159"/>
      <c r="E156" s="157"/>
      <c r="F156" s="154"/>
      <c r="G156" s="153"/>
      <c r="H156" s="153"/>
      <c r="I156" s="153"/>
      <c r="J156" s="153"/>
      <c r="K156" s="153"/>
      <c r="L156" s="153"/>
      <c r="M156" s="153"/>
      <c r="N156" s="154"/>
    </row>
    <row r="157" spans="1:14" ht="18.95" customHeight="1">
      <c r="A157" s="161"/>
      <c r="B157" s="159"/>
      <c r="C157" s="159"/>
      <c r="D157" s="163"/>
      <c r="E157" s="157"/>
      <c r="F157" s="154"/>
      <c r="G157" s="153"/>
      <c r="H157" s="153"/>
      <c r="I157" s="153"/>
      <c r="J157" s="153"/>
      <c r="K157" s="153"/>
      <c r="L157" s="153"/>
      <c r="M157" s="153"/>
      <c r="N157" s="154"/>
    </row>
    <row r="158" spans="1:14" ht="18.95" customHeight="1">
      <c r="A158" s="164"/>
      <c r="B158" s="159"/>
      <c r="C158" s="159"/>
      <c r="D158" s="163"/>
      <c r="E158" s="157"/>
      <c r="F158" s="154"/>
      <c r="G158" s="153"/>
      <c r="H158" s="153"/>
      <c r="I158" s="153"/>
      <c r="J158" s="153"/>
      <c r="K158" s="153"/>
      <c r="L158" s="153"/>
      <c r="M158" s="153"/>
      <c r="N158" s="154"/>
    </row>
    <row r="159" spans="1:14" ht="18.95" customHeight="1">
      <c r="A159" s="164"/>
      <c r="B159" s="159"/>
      <c r="C159" s="159"/>
      <c r="D159" s="163"/>
      <c r="E159" s="157"/>
      <c r="F159" s="154"/>
      <c r="G159" s="153"/>
      <c r="H159" s="153"/>
      <c r="I159" s="153"/>
      <c r="J159" s="153"/>
      <c r="K159" s="153"/>
      <c r="L159" s="153"/>
      <c r="M159" s="153"/>
      <c r="N159" s="154"/>
    </row>
    <row r="160" spans="1:14" ht="18.95" customHeight="1">
      <c r="A160" s="164"/>
      <c r="B160" s="159"/>
      <c r="C160" s="159"/>
      <c r="D160" s="163"/>
      <c r="E160" s="157"/>
      <c r="F160" s="154"/>
      <c r="G160" s="153"/>
      <c r="H160" s="153"/>
      <c r="I160" s="153"/>
      <c r="J160" s="153"/>
      <c r="K160" s="153"/>
      <c r="L160" s="153"/>
      <c r="M160" s="153"/>
      <c r="N160" s="154"/>
    </row>
    <row r="161" spans="1:14" ht="18.95" customHeight="1">
      <c r="A161" s="164"/>
      <c r="B161" s="159"/>
      <c r="C161" s="159"/>
      <c r="D161" s="163"/>
      <c r="E161" s="157"/>
      <c r="F161" s="154"/>
      <c r="G161" s="153"/>
      <c r="H161" s="153"/>
      <c r="I161" s="153"/>
      <c r="J161" s="153"/>
      <c r="K161" s="153"/>
      <c r="L161" s="153"/>
      <c r="M161" s="153"/>
      <c r="N161" s="154"/>
    </row>
    <row r="162" spans="1:14" ht="18.95" customHeight="1">
      <c r="A162" s="164"/>
      <c r="B162" s="159"/>
      <c r="C162" s="152"/>
      <c r="D162" s="152"/>
      <c r="E162" s="157"/>
      <c r="F162" s="154"/>
      <c r="G162" s="153"/>
      <c r="H162" s="153"/>
      <c r="I162" s="153"/>
      <c r="J162" s="153"/>
      <c r="K162" s="153"/>
      <c r="L162" s="153"/>
      <c r="M162" s="153"/>
      <c r="N162" s="154"/>
    </row>
    <row r="163" spans="1:14" ht="18.95" customHeight="1">
      <c r="A163" s="164"/>
      <c r="B163" s="159"/>
      <c r="C163" s="159"/>
      <c r="D163" s="163"/>
      <c r="E163" s="157"/>
      <c r="F163" s="154"/>
      <c r="G163" s="153"/>
      <c r="H163" s="153"/>
      <c r="I163" s="153"/>
      <c r="J163" s="153"/>
      <c r="K163" s="153"/>
      <c r="L163" s="153"/>
      <c r="M163" s="153"/>
      <c r="N163" s="154"/>
    </row>
    <row r="164" spans="1:14" ht="18.95" customHeight="1">
      <c r="A164" s="150"/>
      <c r="B164" s="151"/>
      <c r="C164" s="159"/>
      <c r="D164" s="163"/>
      <c r="E164" s="157"/>
      <c r="F164" s="154"/>
      <c r="G164" s="153"/>
      <c r="H164" s="153"/>
      <c r="I164" s="153"/>
      <c r="J164" s="153"/>
      <c r="K164" s="153"/>
      <c r="L164" s="153"/>
      <c r="M164" s="153"/>
      <c r="N164" s="157"/>
    </row>
    <row r="165" spans="1:14" ht="18.95" customHeight="1">
      <c r="A165" s="155"/>
      <c r="B165" s="151"/>
      <c r="C165" s="152"/>
      <c r="D165" s="152"/>
      <c r="E165" s="157"/>
      <c r="F165" s="154"/>
      <c r="G165" s="153"/>
      <c r="H165" s="153"/>
      <c r="I165" s="153"/>
      <c r="J165" s="153"/>
      <c r="K165" s="153"/>
      <c r="L165" s="153"/>
      <c r="M165" s="153"/>
      <c r="N165" s="157"/>
    </row>
    <row r="166" spans="1:14" ht="18.95" customHeight="1">
      <c r="A166" s="155"/>
      <c r="B166" s="151"/>
      <c r="C166" s="152"/>
      <c r="D166" s="152"/>
      <c r="E166" s="157"/>
      <c r="F166" s="154"/>
      <c r="G166" s="153"/>
      <c r="H166" s="153"/>
      <c r="I166" s="153"/>
      <c r="J166" s="153"/>
      <c r="K166" s="153"/>
      <c r="L166" s="153"/>
      <c r="M166" s="153"/>
      <c r="N166" s="157"/>
    </row>
    <row r="167" spans="1:14" ht="18.95" customHeight="1">
      <c r="A167" s="155"/>
      <c r="B167" s="151"/>
      <c r="C167" s="152"/>
      <c r="D167" s="152"/>
      <c r="E167" s="157"/>
      <c r="F167" s="154"/>
      <c r="G167" s="153"/>
      <c r="H167" s="153"/>
      <c r="I167" s="153"/>
      <c r="J167" s="153"/>
      <c r="K167" s="153"/>
      <c r="L167" s="153"/>
      <c r="M167" s="153"/>
      <c r="N167" s="157"/>
    </row>
    <row r="168" spans="1:14" ht="18.95" customHeight="1">
      <c r="A168" s="150"/>
      <c r="B168" s="151"/>
      <c r="C168" s="152"/>
      <c r="D168" s="152"/>
      <c r="E168" s="157"/>
      <c r="F168" s="154"/>
      <c r="G168" s="153"/>
      <c r="H168" s="153"/>
      <c r="I168" s="153"/>
      <c r="J168" s="153"/>
      <c r="K168" s="153"/>
      <c r="L168" s="153"/>
      <c r="M168" s="153"/>
      <c r="N168" s="157"/>
    </row>
    <row r="169" spans="1:14" ht="18.95" customHeight="1">
      <c r="A169" s="150"/>
      <c r="B169" s="151"/>
      <c r="C169" s="152"/>
      <c r="D169" s="152"/>
      <c r="E169" s="153"/>
      <c r="F169" s="154"/>
      <c r="G169" s="153"/>
      <c r="H169" s="153"/>
      <c r="I169" s="153"/>
      <c r="J169" s="153"/>
      <c r="K169" s="153"/>
      <c r="L169" s="153"/>
      <c r="M169" s="153"/>
      <c r="N169" s="157"/>
    </row>
    <row r="170" spans="1:14" ht="18.95" customHeight="1">
      <c r="A170" s="150"/>
      <c r="B170" s="151"/>
      <c r="C170" s="152"/>
      <c r="D170" s="152"/>
      <c r="E170" s="153"/>
      <c r="F170" s="154"/>
      <c r="G170" s="153"/>
      <c r="H170" s="153"/>
      <c r="I170" s="153"/>
      <c r="J170" s="153"/>
      <c r="K170" s="153"/>
      <c r="L170" s="153"/>
      <c r="M170" s="153"/>
      <c r="N170" s="157"/>
    </row>
    <row r="171" spans="1:14" ht="18.95" customHeight="1">
      <c r="A171" s="150"/>
      <c r="B171" s="151"/>
      <c r="C171" s="152"/>
      <c r="D171" s="152"/>
      <c r="E171" s="153"/>
      <c r="F171" s="154"/>
      <c r="G171" s="153"/>
      <c r="H171" s="153"/>
      <c r="I171" s="153"/>
      <c r="J171" s="153"/>
      <c r="K171" s="153"/>
      <c r="L171" s="153"/>
      <c r="M171" s="153"/>
      <c r="N171" s="157"/>
    </row>
    <row r="172" spans="1:14" ht="18.95" customHeight="1">
      <c r="A172" s="155"/>
      <c r="B172" s="156"/>
      <c r="C172" s="156"/>
      <c r="D172" s="156"/>
      <c r="E172" s="157"/>
      <c r="F172" s="154"/>
      <c r="G172" s="153"/>
      <c r="H172" s="153"/>
      <c r="I172" s="153"/>
      <c r="J172" s="153"/>
      <c r="K172" s="153"/>
      <c r="L172" s="153"/>
      <c r="M172" s="153"/>
      <c r="N172" s="154"/>
    </row>
    <row r="173" spans="1:14" ht="18.95" customHeight="1">
      <c r="A173" s="158"/>
      <c r="B173" s="159"/>
      <c r="C173" s="160"/>
      <c r="D173" s="159"/>
      <c r="E173" s="153"/>
      <c r="F173" s="154"/>
      <c r="G173" s="153"/>
      <c r="H173" s="153"/>
      <c r="I173" s="153"/>
      <c r="J173" s="176"/>
      <c r="K173" s="176"/>
      <c r="L173" s="176"/>
      <c r="M173" s="153"/>
      <c r="N173" s="154"/>
    </row>
    <row r="174" spans="1:14" ht="18.95" customHeight="1">
      <c r="A174" s="158"/>
      <c r="B174" s="159"/>
      <c r="C174" s="160"/>
      <c r="D174" s="159"/>
      <c r="E174" s="153"/>
      <c r="F174" s="154"/>
      <c r="G174" s="153"/>
      <c r="H174" s="153"/>
      <c r="I174" s="153"/>
      <c r="J174" s="176"/>
      <c r="K174" s="176"/>
      <c r="L174" s="176"/>
      <c r="M174" s="153"/>
      <c r="N174" s="154"/>
    </row>
    <row r="175" spans="1:14" ht="18.95" customHeight="1">
      <c r="A175" s="161"/>
      <c r="B175" s="160"/>
      <c r="C175" s="159"/>
      <c r="D175" s="159"/>
      <c r="E175" s="157"/>
      <c r="F175" s="154"/>
      <c r="G175" s="153"/>
      <c r="H175" s="153"/>
      <c r="I175" s="153"/>
      <c r="J175" s="153"/>
      <c r="K175" s="153"/>
      <c r="L175" s="153"/>
      <c r="M175" s="153"/>
      <c r="N175" s="154"/>
    </row>
    <row r="176" spans="1:14" ht="18.95" customHeight="1">
      <c r="A176" s="161"/>
      <c r="B176" s="160"/>
      <c r="C176" s="159"/>
      <c r="D176" s="159"/>
      <c r="E176" s="157"/>
      <c r="F176" s="154"/>
      <c r="G176" s="153"/>
      <c r="H176" s="153"/>
      <c r="I176" s="153"/>
      <c r="J176" s="153"/>
      <c r="K176" s="153"/>
      <c r="L176" s="153"/>
      <c r="M176" s="153"/>
      <c r="N176" s="154"/>
    </row>
    <row r="177" spans="1:14" ht="18.95" customHeight="1">
      <c r="A177" s="161"/>
      <c r="B177" s="160"/>
      <c r="C177" s="159"/>
      <c r="D177" s="159"/>
      <c r="E177" s="157"/>
      <c r="F177" s="154"/>
      <c r="G177" s="153"/>
      <c r="H177" s="153"/>
      <c r="I177" s="153"/>
      <c r="J177" s="153"/>
      <c r="K177" s="153"/>
      <c r="L177" s="153"/>
      <c r="M177" s="153"/>
      <c r="N177" s="154"/>
    </row>
    <row r="178" spans="1:14" ht="18.95" customHeight="1">
      <c r="A178" s="161"/>
      <c r="B178" s="162"/>
      <c r="C178" s="159"/>
      <c r="D178" s="159"/>
      <c r="E178" s="157"/>
      <c r="F178" s="154"/>
      <c r="G178" s="153"/>
      <c r="H178" s="153"/>
      <c r="I178" s="153"/>
      <c r="J178" s="153"/>
      <c r="K178" s="153"/>
      <c r="L178" s="153"/>
      <c r="M178" s="153"/>
      <c r="N178" s="154"/>
    </row>
    <row r="179" spans="1:14" ht="18.95" customHeight="1">
      <c r="A179" s="161"/>
      <c r="B179" s="165"/>
      <c r="C179" s="166"/>
      <c r="D179" s="166"/>
      <c r="E179" s="157"/>
      <c r="F179" s="154"/>
      <c r="G179" s="153"/>
      <c r="H179" s="153"/>
      <c r="I179" s="153"/>
      <c r="J179" s="153"/>
      <c r="K179" s="153"/>
      <c r="L179" s="153"/>
      <c r="M179" s="153"/>
      <c r="N179" s="154"/>
    </row>
    <row r="180" spans="1:14" ht="18.95" customHeight="1">
      <c r="A180" s="161"/>
      <c r="B180" s="166"/>
      <c r="C180" s="166"/>
      <c r="D180" s="166"/>
      <c r="E180" s="157"/>
      <c r="F180" s="154"/>
      <c r="G180" s="153"/>
      <c r="H180" s="153"/>
      <c r="I180" s="153"/>
      <c r="J180" s="153"/>
      <c r="K180" s="153"/>
      <c r="L180" s="153"/>
      <c r="M180" s="153"/>
      <c r="N180" s="154"/>
    </row>
    <row r="181" spans="1:14" ht="18.95" customHeight="1">
      <c r="A181" s="161"/>
      <c r="B181" s="166"/>
      <c r="C181" s="166"/>
      <c r="D181" s="166"/>
      <c r="E181" s="157"/>
      <c r="F181" s="154"/>
      <c r="G181" s="153"/>
      <c r="H181" s="153"/>
      <c r="I181" s="153"/>
      <c r="J181" s="153"/>
      <c r="K181" s="153"/>
      <c r="L181" s="153"/>
      <c r="M181" s="153"/>
      <c r="N181" s="154"/>
    </row>
    <row r="182" spans="1:14" ht="18.95" customHeight="1">
      <c r="A182" s="167"/>
      <c r="B182" s="168"/>
      <c r="C182" s="168"/>
      <c r="D182" s="168"/>
      <c r="F182" s="169"/>
      <c r="G182" s="170"/>
      <c r="H182" s="170"/>
      <c r="I182" s="170"/>
      <c r="J182" s="170"/>
      <c r="K182" s="170"/>
      <c r="L182" s="170"/>
      <c r="M182" s="170"/>
      <c r="N182" s="169"/>
    </row>
    <row r="183" spans="1:14" ht="18.95" customHeight="1">
      <c r="A183" s="167"/>
      <c r="B183" s="171"/>
      <c r="C183" s="168"/>
      <c r="D183" s="168"/>
      <c r="F183" s="169"/>
      <c r="G183" s="170"/>
      <c r="H183" s="170"/>
      <c r="I183" s="170"/>
      <c r="J183" s="170"/>
      <c r="K183" s="170"/>
      <c r="L183" s="170"/>
      <c r="M183" s="170"/>
      <c r="N183" s="169"/>
    </row>
    <row r="184" spans="1:14" ht="18.95" customHeight="1">
      <c r="A184" s="167"/>
      <c r="B184" s="171"/>
      <c r="C184" s="168"/>
      <c r="D184" s="168"/>
      <c r="F184" s="169"/>
      <c r="G184" s="170"/>
      <c r="H184" s="170"/>
      <c r="I184" s="170"/>
      <c r="J184" s="170"/>
      <c r="K184" s="170"/>
      <c r="L184" s="170"/>
      <c r="M184" s="170"/>
      <c r="N184" s="169"/>
    </row>
    <row r="185" spans="1:14" ht="18.95" customHeight="1">
      <c r="A185" s="167"/>
      <c r="B185" s="168"/>
      <c r="C185" s="168"/>
      <c r="D185" s="172"/>
      <c r="F185" s="169"/>
      <c r="G185" s="170"/>
      <c r="H185" s="170"/>
      <c r="I185" s="170"/>
      <c r="J185" s="170"/>
      <c r="K185" s="170"/>
      <c r="L185" s="170"/>
      <c r="M185" s="170"/>
      <c r="N185" s="169"/>
    </row>
    <row r="186" spans="1:14" ht="18.95" customHeight="1">
      <c r="A186" s="173"/>
      <c r="B186" s="168"/>
      <c r="C186" s="168"/>
      <c r="D186" s="172"/>
      <c r="F186" s="169"/>
      <c r="G186" s="170"/>
      <c r="H186" s="170"/>
      <c r="I186" s="170"/>
      <c r="J186" s="170"/>
      <c r="K186" s="170"/>
      <c r="L186" s="170"/>
      <c r="M186" s="170"/>
      <c r="N186" s="169"/>
    </row>
    <row r="187" spans="1:14" ht="18.95" customHeight="1">
      <c r="A187" s="173"/>
      <c r="B187" s="168"/>
      <c r="C187" s="168"/>
      <c r="D187" s="172"/>
      <c r="F187" s="169"/>
      <c r="G187" s="170"/>
      <c r="H187" s="170"/>
      <c r="I187" s="170"/>
      <c r="J187" s="170"/>
      <c r="K187" s="170"/>
      <c r="L187" s="170"/>
      <c r="M187" s="170"/>
      <c r="N187" s="169"/>
    </row>
    <row r="188" spans="1:14" ht="18.95" customHeight="1">
      <c r="A188" s="173"/>
      <c r="B188" s="168"/>
      <c r="C188" s="168"/>
      <c r="D188" s="172"/>
      <c r="F188" s="169"/>
      <c r="G188" s="170"/>
      <c r="H188" s="170"/>
      <c r="I188" s="170"/>
      <c r="J188" s="170"/>
      <c r="K188" s="170"/>
      <c r="L188" s="170"/>
      <c r="M188" s="170"/>
      <c r="N188" s="169"/>
    </row>
    <row r="189" spans="1:14" ht="18.95" customHeight="1">
      <c r="A189" s="173"/>
      <c r="B189" s="168"/>
      <c r="C189" s="168"/>
      <c r="D189" s="172"/>
      <c r="F189" s="169"/>
      <c r="G189" s="170"/>
      <c r="H189" s="170"/>
      <c r="I189" s="170"/>
      <c r="J189" s="170"/>
      <c r="K189" s="170"/>
      <c r="L189" s="170"/>
      <c r="M189" s="170"/>
      <c r="N189" s="169"/>
    </row>
    <row r="190" spans="1:14" ht="18.95" customHeight="1">
      <c r="A190" s="173"/>
      <c r="B190" s="168"/>
      <c r="C190" s="174"/>
      <c r="D190" s="174"/>
      <c r="F190" s="169"/>
      <c r="G190" s="170"/>
      <c r="H190" s="170"/>
      <c r="I190" s="170"/>
      <c r="J190" s="170"/>
      <c r="K190" s="170"/>
      <c r="L190" s="170"/>
      <c r="M190" s="170"/>
      <c r="N190" s="169"/>
    </row>
    <row r="191" spans="1:14" ht="18.95" customHeight="1">
      <c r="A191" s="173"/>
      <c r="B191" s="168"/>
      <c r="C191" s="168"/>
      <c r="D191" s="172"/>
      <c r="F191" s="169"/>
      <c r="G191" s="170"/>
      <c r="H191" s="170"/>
      <c r="I191" s="170"/>
      <c r="J191" s="170"/>
      <c r="K191" s="170"/>
      <c r="L191" s="170"/>
      <c r="M191" s="170"/>
      <c r="N191" s="169"/>
    </row>
    <row r="192" spans="1:14" ht="18.95" customHeight="1">
      <c r="A192" s="175"/>
      <c r="B192" s="171"/>
      <c r="C192" s="168"/>
      <c r="D192" s="172"/>
      <c r="F192" s="169"/>
      <c r="G192" s="170"/>
      <c r="H192" s="170"/>
      <c r="I192" s="170"/>
      <c r="J192" s="170"/>
      <c r="K192" s="170"/>
      <c r="L192" s="170"/>
      <c r="M192" s="170"/>
    </row>
    <row r="193" spans="1:14" ht="18.95" customHeight="1">
      <c r="A193" s="177"/>
      <c r="B193" s="171"/>
      <c r="C193" s="174"/>
      <c r="D193" s="174"/>
      <c r="F193" s="169"/>
      <c r="G193" s="170"/>
      <c r="H193" s="170"/>
      <c r="I193" s="170"/>
      <c r="J193" s="170"/>
      <c r="K193" s="170"/>
      <c r="L193" s="170"/>
      <c r="M193" s="170"/>
    </row>
    <row r="194" spans="1:14" ht="18.95" customHeight="1">
      <c r="A194" s="177"/>
      <c r="B194" s="171"/>
      <c r="C194" s="174"/>
      <c r="D194" s="174"/>
      <c r="F194" s="169"/>
      <c r="G194" s="170"/>
      <c r="H194" s="170"/>
      <c r="I194" s="170"/>
      <c r="J194" s="170"/>
      <c r="K194" s="170"/>
      <c r="L194" s="170"/>
      <c r="M194" s="170"/>
    </row>
    <row r="195" spans="1:14" ht="18.95" customHeight="1">
      <c r="A195" s="177"/>
      <c r="B195" s="171"/>
      <c r="C195" s="174"/>
      <c r="D195" s="174"/>
      <c r="F195" s="169"/>
      <c r="G195" s="170"/>
      <c r="H195" s="170"/>
      <c r="I195" s="170"/>
      <c r="J195" s="170"/>
      <c r="K195" s="170"/>
      <c r="L195" s="170"/>
      <c r="M195" s="170"/>
    </row>
    <row r="196" spans="1:14" ht="18.95" customHeight="1">
      <c r="A196" s="175"/>
      <c r="B196" s="171"/>
      <c r="C196" s="174"/>
      <c r="D196" s="174"/>
      <c r="F196" s="169"/>
      <c r="G196" s="170"/>
      <c r="H196" s="170"/>
      <c r="I196" s="170"/>
      <c r="J196" s="170"/>
      <c r="K196" s="170"/>
      <c r="L196" s="170"/>
      <c r="M196" s="170"/>
    </row>
    <row r="197" spans="1:14" ht="18.95" customHeight="1">
      <c r="A197" s="175"/>
      <c r="B197" s="171"/>
      <c r="C197" s="174"/>
      <c r="D197" s="174"/>
      <c r="E197" s="170"/>
      <c r="F197" s="169"/>
      <c r="G197" s="170"/>
      <c r="H197" s="170"/>
      <c r="I197" s="170"/>
      <c r="J197" s="170"/>
      <c r="K197" s="170"/>
      <c r="L197" s="170"/>
      <c r="M197" s="170"/>
    </row>
    <row r="198" spans="1:14" ht="18.95" customHeight="1">
      <c r="A198" s="175"/>
      <c r="B198" s="171"/>
      <c r="C198" s="174"/>
      <c r="D198" s="174"/>
      <c r="E198" s="170"/>
      <c r="F198" s="169"/>
      <c r="G198" s="170"/>
      <c r="H198" s="170"/>
      <c r="I198" s="170"/>
      <c r="J198" s="170"/>
      <c r="K198" s="170"/>
      <c r="L198" s="170"/>
      <c r="M198" s="170"/>
    </row>
    <row r="199" spans="1:14" ht="18.95" customHeight="1">
      <c r="A199" s="175"/>
      <c r="B199" s="171"/>
      <c r="C199" s="174"/>
      <c r="D199" s="174"/>
      <c r="E199" s="170"/>
      <c r="F199" s="169"/>
      <c r="G199" s="170"/>
      <c r="H199" s="170"/>
      <c r="I199" s="170"/>
      <c r="J199" s="170"/>
      <c r="K199" s="170"/>
      <c r="L199" s="170"/>
      <c r="M199" s="170"/>
    </row>
    <row r="200" spans="1:14" ht="18.95" customHeight="1">
      <c r="A200" s="177"/>
      <c r="B200" s="178"/>
      <c r="C200" s="178"/>
      <c r="D200" s="178"/>
      <c r="F200" s="169"/>
      <c r="G200" s="170"/>
      <c r="H200" s="170"/>
      <c r="I200" s="170"/>
      <c r="J200" s="170"/>
      <c r="K200" s="170"/>
      <c r="L200" s="170"/>
      <c r="M200" s="170"/>
      <c r="N200" s="169"/>
    </row>
    <row r="201" spans="1:14" ht="18.95" customHeight="1">
      <c r="A201" s="179"/>
      <c r="B201" s="180"/>
      <c r="C201" s="181"/>
      <c r="D201" s="180"/>
      <c r="E201" s="170"/>
      <c r="F201" s="169"/>
      <c r="G201" s="170"/>
      <c r="H201" s="170"/>
      <c r="I201" s="170"/>
      <c r="J201" s="184"/>
      <c r="K201" s="184"/>
      <c r="L201" s="184"/>
      <c r="M201" s="170"/>
      <c r="N201" s="169"/>
    </row>
    <row r="202" spans="1:14" ht="18.95" customHeight="1">
      <c r="A202" s="179"/>
      <c r="B202" s="180"/>
      <c r="C202" s="181"/>
      <c r="D202" s="180"/>
      <c r="E202" s="170"/>
      <c r="F202" s="169"/>
      <c r="G202" s="170"/>
      <c r="H202" s="170"/>
      <c r="I202" s="170"/>
      <c r="J202" s="184"/>
      <c r="K202" s="184"/>
      <c r="L202" s="184"/>
      <c r="M202" s="170"/>
      <c r="N202" s="169"/>
    </row>
    <row r="203" spans="1:14" ht="18.95" customHeight="1">
      <c r="A203" s="167"/>
      <c r="B203" s="182"/>
      <c r="C203" s="168"/>
      <c r="D203" s="168"/>
      <c r="F203" s="169"/>
      <c r="G203" s="170"/>
      <c r="H203" s="170"/>
      <c r="I203" s="170"/>
      <c r="J203" s="170"/>
      <c r="K203" s="170"/>
      <c r="L203" s="170"/>
      <c r="M203" s="170"/>
      <c r="N203" s="169"/>
    </row>
    <row r="204" spans="1:14" ht="18.95" customHeight="1">
      <c r="A204" s="167"/>
      <c r="B204" s="182"/>
      <c r="C204" s="168"/>
      <c r="D204" s="168"/>
      <c r="F204" s="169"/>
      <c r="G204" s="170"/>
      <c r="H204" s="170"/>
      <c r="I204" s="170"/>
      <c r="J204" s="170"/>
      <c r="K204" s="170"/>
      <c r="L204" s="170"/>
      <c r="M204" s="170"/>
      <c r="N204" s="169"/>
    </row>
    <row r="205" spans="1:14" ht="18.95" customHeight="1">
      <c r="A205" s="167"/>
      <c r="B205" s="182"/>
      <c r="C205" s="168"/>
      <c r="D205" s="168"/>
      <c r="F205" s="169"/>
      <c r="G205" s="170"/>
      <c r="H205" s="170"/>
      <c r="I205" s="170"/>
      <c r="J205" s="170"/>
      <c r="K205" s="170"/>
      <c r="L205" s="170"/>
      <c r="M205" s="170"/>
      <c r="N205" s="169"/>
    </row>
    <row r="206" spans="1:14" ht="18.95" customHeight="1">
      <c r="A206" s="167"/>
      <c r="B206" s="183"/>
      <c r="C206" s="168"/>
      <c r="D206" s="168"/>
      <c r="F206" s="169"/>
      <c r="G206" s="170"/>
      <c r="H206" s="170"/>
      <c r="I206" s="170"/>
      <c r="J206" s="170"/>
      <c r="K206" s="170"/>
      <c r="L206" s="170"/>
      <c r="M206" s="170"/>
      <c r="N206" s="169"/>
    </row>
    <row r="207" spans="1:14" ht="18.95" customHeight="1">
      <c r="A207" s="167"/>
      <c r="B207" s="183"/>
      <c r="C207" s="168"/>
      <c r="D207" s="168"/>
      <c r="F207" s="169"/>
      <c r="G207" s="170"/>
      <c r="H207" s="170"/>
      <c r="I207" s="170"/>
      <c r="J207" s="170"/>
      <c r="K207" s="170"/>
      <c r="L207" s="170"/>
      <c r="M207" s="170"/>
      <c r="N207" s="169"/>
    </row>
    <row r="208" spans="1:14" ht="18.95" customHeight="1">
      <c r="A208" s="167"/>
      <c r="B208" s="168"/>
      <c r="C208" s="168"/>
      <c r="D208" s="168"/>
      <c r="F208" s="169"/>
      <c r="G208" s="170"/>
      <c r="H208" s="170"/>
      <c r="I208" s="170"/>
      <c r="J208" s="170"/>
      <c r="K208" s="170"/>
      <c r="L208" s="170"/>
      <c r="M208" s="170"/>
      <c r="N208" s="169"/>
    </row>
    <row r="209" spans="1:14" ht="18.95" customHeight="1">
      <c r="A209" s="167"/>
      <c r="B209" s="168"/>
      <c r="C209" s="168"/>
      <c r="D209" s="168"/>
      <c r="F209" s="169"/>
      <c r="G209" s="170"/>
      <c r="H209" s="170"/>
      <c r="I209" s="170"/>
      <c r="J209" s="170"/>
      <c r="K209" s="170"/>
      <c r="L209" s="170"/>
      <c r="M209" s="170"/>
      <c r="N209" s="169"/>
    </row>
    <row r="210" spans="1:14" ht="18.95" customHeight="1">
      <c r="A210" s="167"/>
      <c r="B210" s="168"/>
      <c r="C210" s="168"/>
      <c r="D210" s="168"/>
      <c r="F210" s="169"/>
      <c r="G210" s="170"/>
      <c r="H210" s="170"/>
      <c r="I210" s="170"/>
      <c r="J210" s="170"/>
      <c r="K210" s="170"/>
      <c r="L210" s="170"/>
      <c r="M210" s="170"/>
      <c r="N210" s="169"/>
    </row>
    <row r="211" spans="1:14" ht="18.95" customHeight="1">
      <c r="A211" s="167"/>
      <c r="B211" s="171"/>
      <c r="C211" s="168"/>
      <c r="D211" s="168"/>
      <c r="F211" s="169"/>
      <c r="G211" s="170"/>
      <c r="H211" s="170"/>
      <c r="I211" s="170"/>
      <c r="J211" s="170"/>
      <c r="K211" s="170"/>
      <c r="L211" s="170"/>
      <c r="M211" s="170"/>
      <c r="N211" s="169"/>
    </row>
    <row r="212" spans="1:14" ht="18.95" customHeight="1">
      <c r="A212" s="167"/>
      <c r="B212" s="171"/>
      <c r="C212" s="168"/>
      <c r="D212" s="168"/>
      <c r="F212" s="169"/>
      <c r="G212" s="170"/>
      <c r="H212" s="170"/>
      <c r="I212" s="170"/>
      <c r="J212" s="170"/>
      <c r="K212" s="170"/>
      <c r="L212" s="170"/>
      <c r="M212" s="170"/>
      <c r="N212" s="169"/>
    </row>
    <row r="213" spans="1:14" ht="18.95" customHeight="1">
      <c r="A213" s="167"/>
      <c r="B213" s="168"/>
      <c r="C213" s="168"/>
      <c r="D213" s="172"/>
      <c r="F213" s="169"/>
      <c r="G213" s="170"/>
      <c r="H213" s="170"/>
      <c r="I213" s="170"/>
      <c r="J213" s="170"/>
      <c r="K213" s="170"/>
      <c r="L213" s="170"/>
      <c r="M213" s="170"/>
      <c r="N213" s="169"/>
    </row>
    <row r="214" spans="1:14" ht="18.95" customHeight="1">
      <c r="A214" s="173"/>
      <c r="B214" s="168"/>
      <c r="C214" s="168"/>
      <c r="D214" s="172"/>
      <c r="F214" s="169"/>
      <c r="G214" s="170"/>
      <c r="H214" s="170"/>
      <c r="I214" s="170"/>
      <c r="J214" s="170"/>
      <c r="K214" s="170"/>
      <c r="L214" s="170"/>
      <c r="M214" s="170"/>
      <c r="N214" s="169"/>
    </row>
    <row r="215" spans="1:14" ht="18.95" customHeight="1">
      <c r="A215" s="173"/>
      <c r="B215" s="168"/>
      <c r="C215" s="168"/>
      <c r="D215" s="172"/>
      <c r="F215" s="169"/>
      <c r="G215" s="170"/>
      <c r="H215" s="170"/>
      <c r="I215" s="170"/>
      <c r="J215" s="170"/>
      <c r="K215" s="170"/>
      <c r="L215" s="170"/>
      <c r="M215" s="170"/>
      <c r="N215" s="169"/>
    </row>
    <row r="216" spans="1:14" ht="18.95" customHeight="1">
      <c r="A216" s="173"/>
      <c r="B216" s="168"/>
      <c r="C216" s="168"/>
      <c r="D216" s="172"/>
      <c r="F216" s="169"/>
      <c r="G216" s="170"/>
      <c r="H216" s="170"/>
      <c r="I216" s="170"/>
      <c r="J216" s="170"/>
      <c r="K216" s="170"/>
      <c r="L216" s="170"/>
      <c r="M216" s="170"/>
      <c r="N216" s="169"/>
    </row>
    <row r="217" spans="1:14" ht="18.95" customHeight="1">
      <c r="A217" s="173"/>
      <c r="B217" s="168"/>
      <c r="C217" s="168"/>
      <c r="D217" s="172"/>
      <c r="F217" s="169"/>
      <c r="G217" s="170"/>
      <c r="H217" s="170"/>
      <c r="I217" s="170"/>
      <c r="J217" s="170"/>
      <c r="K217" s="170"/>
      <c r="L217" s="170"/>
      <c r="M217" s="170"/>
      <c r="N217" s="169"/>
    </row>
    <row r="218" spans="1:14" ht="18.95" customHeight="1">
      <c r="A218" s="173"/>
      <c r="B218" s="168"/>
      <c r="C218" s="174"/>
      <c r="D218" s="174"/>
      <c r="F218" s="169"/>
      <c r="G218" s="170"/>
      <c r="H218" s="170"/>
      <c r="I218" s="170"/>
      <c r="J218" s="170"/>
      <c r="K218" s="170"/>
      <c r="L218" s="170"/>
      <c r="M218" s="170"/>
      <c r="N218" s="169"/>
    </row>
    <row r="219" spans="1:14" ht="18.95" customHeight="1">
      <c r="A219" s="173"/>
      <c r="B219" s="168"/>
      <c r="C219" s="168"/>
      <c r="D219" s="172"/>
      <c r="F219" s="169"/>
      <c r="G219" s="170"/>
      <c r="H219" s="170"/>
      <c r="I219" s="170"/>
      <c r="J219" s="170"/>
      <c r="K219" s="170"/>
      <c r="L219" s="170"/>
      <c r="M219" s="170"/>
      <c r="N219" s="169"/>
    </row>
    <row r="220" spans="1:14" ht="18.95" customHeight="1">
      <c r="A220" s="175"/>
      <c r="B220" s="171"/>
      <c r="C220" s="168"/>
      <c r="D220" s="172"/>
      <c r="F220" s="169"/>
      <c r="G220" s="170"/>
      <c r="H220" s="170"/>
      <c r="I220" s="170"/>
      <c r="J220" s="170"/>
      <c r="K220" s="170"/>
      <c r="L220" s="170"/>
      <c r="M220" s="170"/>
    </row>
    <row r="221" spans="1:14" ht="18.95" customHeight="1">
      <c r="A221" s="177"/>
      <c r="B221" s="171"/>
      <c r="C221" s="174"/>
      <c r="D221" s="174"/>
      <c r="F221" s="169"/>
      <c r="G221" s="170"/>
      <c r="H221" s="170"/>
      <c r="I221" s="170"/>
      <c r="J221" s="170"/>
      <c r="K221" s="170"/>
      <c r="L221" s="170"/>
      <c r="M221" s="170"/>
    </row>
    <row r="222" spans="1:14" ht="18.95" customHeight="1">
      <c r="A222" s="177"/>
      <c r="B222" s="171"/>
      <c r="C222" s="174"/>
      <c r="D222" s="174"/>
      <c r="F222" s="169"/>
      <c r="G222" s="170"/>
      <c r="H222" s="170"/>
      <c r="I222" s="170"/>
      <c r="J222" s="170"/>
      <c r="K222" s="170"/>
      <c r="L222" s="170"/>
      <c r="M222" s="170"/>
    </row>
    <row r="223" spans="1:14" ht="18.95" customHeight="1">
      <c r="A223" s="177"/>
      <c r="B223" s="171"/>
      <c r="C223" s="174"/>
      <c r="D223" s="174"/>
      <c r="F223" s="169"/>
      <c r="G223" s="170"/>
      <c r="H223" s="170"/>
      <c r="I223" s="170"/>
      <c r="J223" s="170"/>
      <c r="K223" s="170"/>
      <c r="L223" s="170"/>
      <c r="M223" s="170"/>
    </row>
    <row r="224" spans="1:14" ht="18.95" customHeight="1">
      <c r="A224" s="175"/>
      <c r="B224" s="171"/>
      <c r="C224" s="174"/>
      <c r="D224" s="174"/>
      <c r="F224" s="169"/>
      <c r="G224" s="170"/>
      <c r="H224" s="170"/>
      <c r="I224" s="170"/>
      <c r="J224" s="170"/>
      <c r="K224" s="170"/>
      <c r="L224" s="170"/>
      <c r="M224" s="170"/>
    </row>
    <row r="225" spans="1:14" ht="18.95" customHeight="1">
      <c r="A225" s="175"/>
      <c r="B225" s="171"/>
      <c r="C225" s="174"/>
      <c r="D225" s="174"/>
      <c r="E225" s="170"/>
      <c r="F225" s="169"/>
      <c r="G225" s="170"/>
      <c r="H225" s="170"/>
      <c r="I225" s="170"/>
      <c r="J225" s="170"/>
      <c r="K225" s="170"/>
      <c r="L225" s="170"/>
      <c r="M225" s="170"/>
    </row>
    <row r="226" spans="1:14" ht="18.95" customHeight="1">
      <c r="A226" s="175"/>
      <c r="B226" s="171"/>
      <c r="C226" s="174"/>
      <c r="D226" s="174"/>
      <c r="E226" s="170"/>
      <c r="F226" s="169"/>
      <c r="G226" s="170"/>
      <c r="H226" s="170"/>
      <c r="I226" s="170"/>
      <c r="J226" s="170"/>
      <c r="K226" s="170"/>
      <c r="L226" s="170"/>
      <c r="M226" s="170"/>
    </row>
    <row r="227" spans="1:14" ht="18.95" customHeight="1">
      <c r="A227" s="175"/>
      <c r="B227" s="171"/>
      <c r="C227" s="174"/>
      <c r="D227" s="174"/>
      <c r="E227" s="170"/>
      <c r="F227" s="169"/>
      <c r="G227" s="170"/>
      <c r="H227" s="170"/>
      <c r="I227" s="170"/>
      <c r="J227" s="170"/>
      <c r="K227" s="170"/>
      <c r="L227" s="170"/>
      <c r="M227" s="170"/>
    </row>
    <row r="228" spans="1:14" ht="18.95" customHeight="1">
      <c r="A228" s="177"/>
      <c r="B228" s="178"/>
      <c r="C228" s="178"/>
      <c r="D228" s="178"/>
      <c r="F228" s="169"/>
      <c r="G228" s="170"/>
      <c r="H228" s="170"/>
      <c r="I228" s="170"/>
      <c r="J228" s="170"/>
      <c r="K228" s="170"/>
      <c r="L228" s="170"/>
      <c r="M228" s="170"/>
      <c r="N228" s="169"/>
    </row>
    <row r="229" spans="1:14" ht="18.95" customHeight="1">
      <c r="A229" s="179"/>
      <c r="B229" s="180"/>
      <c r="C229" s="181"/>
      <c r="D229" s="180"/>
      <c r="E229" s="170"/>
      <c r="F229" s="169"/>
      <c r="G229" s="170"/>
      <c r="H229" s="170"/>
      <c r="I229" s="170"/>
      <c r="J229" s="184"/>
      <c r="K229" s="184"/>
      <c r="L229" s="184"/>
      <c r="M229" s="170"/>
      <c r="N229" s="169"/>
    </row>
    <row r="230" spans="1:14" ht="18.95" customHeight="1">
      <c r="A230" s="179"/>
      <c r="B230" s="180"/>
      <c r="C230" s="181"/>
      <c r="D230" s="180"/>
      <c r="E230" s="170"/>
      <c r="F230" s="169"/>
      <c r="G230" s="170"/>
      <c r="H230" s="170"/>
      <c r="I230" s="170"/>
      <c r="J230" s="184"/>
      <c r="K230" s="184"/>
      <c r="L230" s="184"/>
      <c r="M230" s="170"/>
      <c r="N230" s="169"/>
    </row>
    <row r="231" spans="1:14" ht="18.95" customHeight="1">
      <c r="A231" s="167"/>
      <c r="B231" s="182"/>
      <c r="C231" s="168"/>
      <c r="D231" s="168"/>
      <c r="F231" s="169"/>
      <c r="G231" s="170"/>
      <c r="H231" s="170"/>
      <c r="I231" s="170"/>
      <c r="J231" s="170"/>
      <c r="K231" s="170"/>
      <c r="L231" s="170"/>
      <c r="M231" s="170"/>
      <c r="N231" s="169"/>
    </row>
    <row r="232" spans="1:14" ht="18.95" customHeight="1">
      <c r="A232" s="167"/>
      <c r="B232" s="182"/>
      <c r="C232" s="168"/>
      <c r="D232" s="168"/>
      <c r="F232" s="169"/>
      <c r="G232" s="170"/>
      <c r="H232" s="170"/>
      <c r="I232" s="170"/>
      <c r="J232" s="170"/>
      <c r="K232" s="170"/>
      <c r="L232" s="170"/>
      <c r="M232" s="170"/>
      <c r="N232" s="169"/>
    </row>
    <row r="233" spans="1:14" ht="18.95" customHeight="1">
      <c r="A233" s="167"/>
      <c r="B233" s="182"/>
      <c r="C233" s="168"/>
      <c r="D233" s="168"/>
      <c r="F233" s="169"/>
      <c r="G233" s="170"/>
      <c r="H233" s="170"/>
      <c r="I233" s="170"/>
      <c r="J233" s="170"/>
      <c r="K233" s="170"/>
      <c r="L233" s="170"/>
      <c r="M233" s="170"/>
      <c r="N233" s="169"/>
    </row>
    <row r="234" spans="1:14" ht="18.95" customHeight="1">
      <c r="A234" s="167"/>
      <c r="B234" s="183"/>
      <c r="C234" s="168"/>
      <c r="D234" s="168"/>
      <c r="F234" s="169"/>
      <c r="G234" s="170"/>
      <c r="H234" s="170"/>
      <c r="I234" s="170"/>
      <c r="J234" s="170"/>
      <c r="K234" s="170"/>
      <c r="L234" s="170"/>
      <c r="M234" s="170"/>
      <c r="N234" s="169"/>
    </row>
    <row r="235" spans="1:14" ht="18.95" customHeight="1">
      <c r="A235" s="167"/>
      <c r="B235" s="183"/>
      <c r="C235" s="168"/>
      <c r="D235" s="168"/>
      <c r="F235" s="169"/>
      <c r="G235" s="170"/>
      <c r="H235" s="170"/>
      <c r="I235" s="170"/>
      <c r="J235" s="170"/>
      <c r="K235" s="170"/>
      <c r="L235" s="170"/>
      <c r="M235" s="170"/>
      <c r="N235" s="169"/>
    </row>
    <row r="236" spans="1:14" ht="18.95" customHeight="1">
      <c r="A236" s="167"/>
      <c r="B236" s="168"/>
      <c r="C236" s="168"/>
      <c r="D236" s="168"/>
      <c r="F236" s="169"/>
      <c r="G236" s="170"/>
      <c r="H236" s="170"/>
      <c r="I236" s="170"/>
      <c r="J236" s="170"/>
      <c r="K236" s="170"/>
      <c r="L236" s="170"/>
      <c r="M236" s="170"/>
      <c r="N236" s="169"/>
    </row>
    <row r="237" spans="1:14" ht="18.95" customHeight="1">
      <c r="A237" s="167"/>
      <c r="B237" s="168"/>
      <c r="C237" s="168"/>
      <c r="D237" s="168"/>
      <c r="F237" s="169"/>
      <c r="G237" s="170"/>
      <c r="H237" s="170"/>
      <c r="I237" s="170"/>
      <c r="J237" s="170"/>
      <c r="K237" s="170"/>
      <c r="L237" s="170"/>
      <c r="M237" s="170"/>
      <c r="N237" s="169"/>
    </row>
    <row r="238" spans="1:14" ht="18.95" customHeight="1">
      <c r="A238" s="167"/>
      <c r="B238" s="168"/>
      <c r="C238" s="168"/>
      <c r="D238" s="168"/>
      <c r="F238" s="169"/>
      <c r="G238" s="170"/>
      <c r="H238" s="170"/>
      <c r="I238" s="170"/>
      <c r="J238" s="170"/>
      <c r="K238" s="170"/>
      <c r="L238" s="170"/>
      <c r="M238" s="170"/>
      <c r="N238" s="169"/>
    </row>
    <row r="239" spans="1:14" ht="18.95" customHeight="1">
      <c r="A239" s="167"/>
      <c r="B239" s="171"/>
      <c r="C239" s="168"/>
      <c r="D239" s="168"/>
      <c r="F239" s="169"/>
      <c r="G239" s="170"/>
      <c r="H239" s="170"/>
      <c r="I239" s="170"/>
      <c r="J239" s="170"/>
      <c r="K239" s="170"/>
      <c r="L239" s="170"/>
      <c r="M239" s="170"/>
      <c r="N239" s="169"/>
    </row>
    <row r="240" spans="1:14" ht="18.95" customHeight="1">
      <c r="A240" s="167"/>
      <c r="B240" s="171"/>
      <c r="C240" s="168"/>
      <c r="D240" s="168"/>
      <c r="F240" s="169"/>
      <c r="G240" s="170"/>
      <c r="H240" s="170"/>
      <c r="I240" s="170"/>
      <c r="J240" s="170"/>
      <c r="K240" s="170"/>
      <c r="L240" s="170"/>
      <c r="M240" s="170"/>
      <c r="N240" s="169"/>
    </row>
    <row r="241" spans="1:14" ht="18.95" customHeight="1">
      <c r="A241" s="167"/>
      <c r="B241" s="168"/>
      <c r="C241" s="168"/>
      <c r="D241" s="172"/>
      <c r="F241" s="169"/>
      <c r="G241" s="170"/>
      <c r="H241" s="170"/>
      <c r="I241" s="170"/>
      <c r="J241" s="170"/>
      <c r="K241" s="170"/>
      <c r="L241" s="170"/>
      <c r="M241" s="170"/>
      <c r="N241" s="169"/>
    </row>
    <row r="242" spans="1:14" ht="18.95" customHeight="1">
      <c r="A242" s="173"/>
      <c r="B242" s="168"/>
      <c r="C242" s="168"/>
      <c r="D242" s="172"/>
      <c r="F242" s="169"/>
      <c r="G242" s="170"/>
      <c r="H242" s="170"/>
      <c r="I242" s="170"/>
      <c r="J242" s="170"/>
      <c r="K242" s="170"/>
      <c r="L242" s="170"/>
      <c r="M242" s="170"/>
      <c r="N242" s="169"/>
    </row>
    <row r="243" spans="1:14" ht="18.95" customHeight="1">
      <c r="A243" s="173"/>
      <c r="B243" s="168"/>
      <c r="C243" s="168"/>
      <c r="D243" s="172"/>
      <c r="F243" s="169"/>
      <c r="G243" s="170"/>
      <c r="H243" s="170"/>
      <c r="I243" s="170"/>
      <c r="J243" s="170"/>
      <c r="K243" s="170"/>
      <c r="L243" s="170"/>
      <c r="M243" s="170"/>
      <c r="N243" s="169"/>
    </row>
    <row r="244" spans="1:14" ht="18.95" customHeight="1">
      <c r="A244" s="173"/>
      <c r="B244" s="168"/>
      <c r="C244" s="168"/>
      <c r="D244" s="172"/>
      <c r="F244" s="169"/>
      <c r="G244" s="170"/>
      <c r="H244" s="170"/>
      <c r="I244" s="170"/>
      <c r="J244" s="170"/>
      <c r="K244" s="170"/>
      <c r="L244" s="170"/>
      <c r="M244" s="170"/>
      <c r="N244" s="169"/>
    </row>
    <row r="245" spans="1:14" ht="18.95" customHeight="1">
      <c r="A245" s="173"/>
      <c r="B245" s="168"/>
      <c r="C245" s="168"/>
      <c r="D245" s="172"/>
      <c r="F245" s="169"/>
      <c r="G245" s="170"/>
      <c r="H245" s="170"/>
      <c r="I245" s="170"/>
      <c r="J245" s="170"/>
      <c r="K245" s="170"/>
      <c r="L245" s="170"/>
      <c r="M245" s="170"/>
      <c r="N245" s="169"/>
    </row>
    <row r="246" spans="1:14" ht="18.95" customHeight="1">
      <c r="A246" s="173"/>
      <c r="B246" s="168"/>
      <c r="C246" s="174"/>
      <c r="D246" s="174"/>
      <c r="F246" s="169"/>
      <c r="G246" s="170"/>
      <c r="H246" s="170"/>
      <c r="I246" s="170"/>
      <c r="J246" s="170"/>
      <c r="K246" s="170"/>
      <c r="L246" s="170"/>
      <c r="M246" s="170"/>
      <c r="N246" s="169"/>
    </row>
    <row r="247" spans="1:14" ht="18.95" customHeight="1">
      <c r="A247" s="173"/>
      <c r="B247" s="168"/>
      <c r="C247" s="168"/>
      <c r="D247" s="172"/>
      <c r="F247" s="169"/>
      <c r="G247" s="170"/>
      <c r="H247" s="170"/>
      <c r="I247" s="170"/>
      <c r="J247" s="170"/>
      <c r="K247" s="170"/>
      <c r="L247" s="170"/>
      <c r="M247" s="170"/>
      <c r="N247" s="169"/>
    </row>
    <row r="248" spans="1:14" ht="18.95" customHeight="1">
      <c r="A248" s="175"/>
      <c r="B248" s="171"/>
      <c r="C248" s="168"/>
      <c r="D248" s="172"/>
      <c r="F248" s="169"/>
      <c r="G248" s="170"/>
      <c r="H248" s="170"/>
      <c r="I248" s="170"/>
      <c r="J248" s="170"/>
      <c r="K248" s="170"/>
      <c r="L248" s="170"/>
      <c r="M248" s="170"/>
    </row>
    <row r="249" spans="1:14" ht="18.95" customHeight="1">
      <c r="A249" s="177"/>
      <c r="B249" s="171"/>
      <c r="C249" s="174"/>
      <c r="D249" s="174"/>
      <c r="F249" s="169"/>
      <c r="G249" s="170"/>
      <c r="H249" s="170"/>
      <c r="I249" s="170"/>
      <c r="J249" s="170"/>
      <c r="K249" s="170"/>
      <c r="L249" s="170"/>
      <c r="M249" s="170"/>
    </row>
    <row r="250" spans="1:14" ht="18.95" customHeight="1">
      <c r="A250" s="177"/>
      <c r="B250" s="171"/>
      <c r="C250" s="174"/>
      <c r="D250" s="174"/>
      <c r="F250" s="169"/>
      <c r="G250" s="170"/>
      <c r="H250" s="170"/>
      <c r="I250" s="170"/>
      <c r="J250" s="170"/>
      <c r="K250" s="170"/>
      <c r="L250" s="170"/>
      <c r="M250" s="170"/>
    </row>
    <row r="251" spans="1:14" ht="18.95" customHeight="1">
      <c r="A251" s="177"/>
      <c r="B251" s="171"/>
      <c r="C251" s="174"/>
      <c r="D251" s="174"/>
      <c r="F251" s="169"/>
      <c r="G251" s="170"/>
      <c r="H251" s="170"/>
      <c r="I251" s="170"/>
      <c r="J251" s="170"/>
      <c r="K251" s="170"/>
      <c r="L251" s="170"/>
      <c r="M251" s="170"/>
    </row>
    <row r="252" spans="1:14" ht="18.95" customHeight="1">
      <c r="A252" s="175"/>
      <c r="B252" s="171"/>
      <c r="C252" s="174"/>
      <c r="D252" s="174"/>
      <c r="F252" s="169"/>
      <c r="G252" s="170"/>
      <c r="H252" s="170"/>
      <c r="I252" s="170"/>
      <c r="J252" s="170"/>
      <c r="K252" s="170"/>
      <c r="L252" s="170"/>
      <c r="M252" s="170"/>
    </row>
    <row r="253" spans="1:14" ht="18.95" customHeight="1">
      <c r="A253" s="175"/>
      <c r="B253" s="171"/>
      <c r="C253" s="174"/>
      <c r="D253" s="174"/>
      <c r="E253" s="170"/>
      <c r="F253" s="169"/>
      <c r="G253" s="170"/>
      <c r="H253" s="170"/>
      <c r="I253" s="170"/>
      <c r="J253" s="170"/>
      <c r="K253" s="170"/>
      <c r="L253" s="170"/>
      <c r="M253" s="170"/>
    </row>
    <row r="254" spans="1:14" ht="18.95" customHeight="1">
      <c r="A254" s="175"/>
      <c r="B254" s="171"/>
      <c r="C254" s="174"/>
      <c r="D254" s="174"/>
      <c r="E254" s="170"/>
      <c r="F254" s="169"/>
      <c r="G254" s="170"/>
      <c r="H254" s="170"/>
      <c r="I254" s="170"/>
      <c r="J254" s="170"/>
      <c r="K254" s="170"/>
      <c r="L254" s="170"/>
      <c r="M254" s="170"/>
    </row>
    <row r="255" spans="1:14" ht="18.95" customHeight="1">
      <c r="A255" s="175"/>
      <c r="B255" s="171"/>
      <c r="C255" s="174"/>
      <c r="D255" s="174"/>
      <c r="E255" s="170"/>
      <c r="F255" s="169"/>
      <c r="G255" s="170"/>
      <c r="H255" s="170"/>
      <c r="I255" s="170"/>
      <c r="J255" s="170"/>
      <c r="K255" s="170"/>
      <c r="L255" s="170"/>
      <c r="M255" s="170"/>
    </row>
    <row r="256" spans="1:14" ht="18.95" customHeight="1">
      <c r="A256" s="177"/>
      <c r="B256" s="178"/>
      <c r="C256" s="178"/>
      <c r="D256" s="178"/>
      <c r="F256" s="169"/>
      <c r="G256" s="170"/>
      <c r="H256" s="170"/>
      <c r="I256" s="170"/>
      <c r="J256" s="170"/>
      <c r="K256" s="170"/>
      <c r="L256" s="170"/>
      <c r="M256" s="170"/>
      <c r="N256" s="169"/>
    </row>
    <row r="257" spans="1:14" ht="18.95" customHeight="1">
      <c r="A257" s="179"/>
      <c r="B257" s="180"/>
      <c r="C257" s="181"/>
      <c r="D257" s="180"/>
      <c r="E257" s="170"/>
      <c r="F257" s="169"/>
      <c r="G257" s="170"/>
      <c r="H257" s="170"/>
      <c r="I257" s="170"/>
      <c r="J257" s="184"/>
      <c r="K257" s="184"/>
      <c r="L257" s="184"/>
      <c r="M257" s="170"/>
      <c r="N257" s="169"/>
    </row>
    <row r="258" spans="1:14" ht="18.95" customHeight="1">
      <c r="A258" s="179"/>
      <c r="B258" s="180"/>
      <c r="C258" s="181"/>
      <c r="D258" s="180"/>
      <c r="E258" s="170"/>
      <c r="F258" s="169"/>
      <c r="G258" s="170"/>
      <c r="H258" s="170"/>
      <c r="I258" s="170"/>
      <c r="J258" s="184"/>
      <c r="K258" s="184"/>
      <c r="L258" s="184"/>
      <c r="M258" s="170"/>
      <c r="N258" s="169"/>
    </row>
    <row r="259" spans="1:14" ht="18.95" customHeight="1">
      <c r="A259" s="167"/>
      <c r="B259" s="182"/>
      <c r="C259" s="168"/>
      <c r="D259" s="168"/>
      <c r="F259" s="169"/>
      <c r="G259" s="170"/>
      <c r="H259" s="170"/>
      <c r="I259" s="170"/>
      <c r="J259" s="170"/>
      <c r="K259" s="170"/>
      <c r="L259" s="170"/>
      <c r="M259" s="170"/>
      <c r="N259" s="169"/>
    </row>
    <row r="260" spans="1:14" ht="18.95" customHeight="1">
      <c r="A260" s="167"/>
      <c r="B260" s="182"/>
      <c r="C260" s="168"/>
      <c r="D260" s="168"/>
      <c r="F260" s="169"/>
      <c r="G260" s="170"/>
      <c r="H260" s="170"/>
      <c r="I260" s="170"/>
      <c r="J260" s="170"/>
      <c r="K260" s="170"/>
      <c r="L260" s="170"/>
      <c r="M260" s="170"/>
      <c r="N260" s="169"/>
    </row>
    <row r="261" spans="1:14" ht="18.95" customHeight="1">
      <c r="A261" s="167"/>
      <c r="B261" s="182"/>
      <c r="C261" s="168"/>
      <c r="D261" s="168"/>
      <c r="F261" s="169"/>
      <c r="G261" s="170"/>
      <c r="H261" s="170"/>
      <c r="I261" s="170"/>
      <c r="J261" s="170"/>
      <c r="K261" s="170"/>
      <c r="L261" s="170"/>
      <c r="M261" s="170"/>
      <c r="N261" s="169"/>
    </row>
    <row r="262" spans="1:14" ht="18.95" customHeight="1">
      <c r="A262" s="167"/>
      <c r="B262" s="183"/>
      <c r="C262" s="168"/>
      <c r="D262" s="168"/>
      <c r="F262" s="169"/>
      <c r="G262" s="170"/>
      <c r="H262" s="170"/>
      <c r="I262" s="170"/>
      <c r="J262" s="170"/>
      <c r="K262" s="170"/>
      <c r="L262" s="170"/>
      <c r="M262" s="170"/>
      <c r="N262" s="169"/>
    </row>
    <row r="263" spans="1:14" ht="18.95" customHeight="1">
      <c r="A263" s="167"/>
      <c r="B263" s="183"/>
      <c r="C263" s="168"/>
      <c r="D263" s="168"/>
      <c r="F263" s="169"/>
      <c r="G263" s="170"/>
      <c r="H263" s="170"/>
      <c r="I263" s="170"/>
      <c r="J263" s="170"/>
      <c r="K263" s="170"/>
      <c r="L263" s="170"/>
      <c r="M263" s="170"/>
      <c r="N263" s="169"/>
    </row>
    <row r="264" spans="1:14" ht="18.95" customHeight="1">
      <c r="A264" s="167"/>
      <c r="B264" s="168"/>
      <c r="C264" s="168"/>
      <c r="D264" s="168"/>
      <c r="F264" s="169"/>
      <c r="G264" s="170"/>
      <c r="H264" s="170"/>
      <c r="I264" s="170"/>
      <c r="J264" s="170"/>
      <c r="K264" s="170"/>
      <c r="L264" s="170"/>
      <c r="M264" s="170"/>
      <c r="N264" s="169"/>
    </row>
    <row r="265" spans="1:14" ht="18.95" customHeight="1">
      <c r="A265" s="167"/>
      <c r="B265" s="168"/>
      <c r="C265" s="168"/>
      <c r="D265" s="168"/>
      <c r="F265" s="169"/>
      <c r="G265" s="170"/>
      <c r="H265" s="170"/>
      <c r="I265" s="170"/>
      <c r="J265" s="170"/>
      <c r="K265" s="170"/>
      <c r="L265" s="170"/>
      <c r="M265" s="170"/>
      <c r="N265" s="169"/>
    </row>
    <row r="266" spans="1:14" ht="18.95" customHeight="1">
      <c r="A266" s="167"/>
      <c r="B266" s="168"/>
      <c r="C266" s="168"/>
      <c r="D266" s="168"/>
      <c r="F266" s="169"/>
      <c r="G266" s="170"/>
      <c r="H266" s="170"/>
      <c r="I266" s="170"/>
      <c r="J266" s="170"/>
      <c r="K266" s="170"/>
      <c r="L266" s="170"/>
      <c r="M266" s="170"/>
      <c r="N266" s="169"/>
    </row>
    <row r="267" spans="1:14" ht="18.95" customHeight="1">
      <c r="A267" s="167"/>
      <c r="B267" s="171"/>
      <c r="C267" s="168"/>
      <c r="D267" s="168"/>
      <c r="F267" s="169"/>
      <c r="G267" s="170"/>
      <c r="H267" s="170"/>
      <c r="I267" s="170"/>
      <c r="J267" s="170"/>
      <c r="K267" s="170"/>
      <c r="L267" s="170"/>
      <c r="M267" s="170"/>
      <c r="N267" s="169"/>
    </row>
    <row r="268" spans="1:14" ht="18.95" customHeight="1">
      <c r="A268" s="167"/>
      <c r="B268" s="171"/>
      <c r="C268" s="168"/>
      <c r="D268" s="168"/>
      <c r="F268" s="169"/>
      <c r="G268" s="170"/>
      <c r="H268" s="170"/>
      <c r="I268" s="170"/>
      <c r="J268" s="170"/>
      <c r="K268" s="170"/>
      <c r="L268" s="170"/>
      <c r="M268" s="170"/>
      <c r="N268" s="169"/>
    </row>
    <row r="269" spans="1:14" ht="18.95" customHeight="1">
      <c r="A269" s="167"/>
      <c r="B269" s="168"/>
      <c r="C269" s="168"/>
      <c r="D269" s="172"/>
      <c r="F269" s="169"/>
      <c r="G269" s="170"/>
      <c r="H269" s="170"/>
      <c r="I269" s="170"/>
      <c r="J269" s="170"/>
      <c r="K269" s="170"/>
      <c r="L269" s="170"/>
      <c r="M269" s="170"/>
      <c r="N269" s="169"/>
    </row>
    <row r="270" spans="1:14" ht="18.95" customHeight="1">
      <c r="A270" s="173"/>
      <c r="B270" s="168"/>
      <c r="C270" s="168"/>
      <c r="D270" s="172"/>
      <c r="F270" s="169"/>
      <c r="G270" s="170"/>
      <c r="H270" s="170"/>
      <c r="I270" s="170"/>
      <c r="J270" s="170"/>
      <c r="K270" s="170"/>
      <c r="L270" s="170"/>
      <c r="M270" s="170"/>
      <c r="N270" s="169"/>
    </row>
    <row r="271" spans="1:14" ht="18.95" customHeight="1">
      <c r="A271" s="173"/>
      <c r="B271" s="168"/>
      <c r="C271" s="168"/>
      <c r="D271" s="172"/>
      <c r="F271" s="169"/>
      <c r="G271" s="170"/>
      <c r="H271" s="170"/>
      <c r="I271" s="170"/>
      <c r="J271" s="170"/>
      <c r="K271" s="170"/>
      <c r="L271" s="170"/>
      <c r="M271" s="170"/>
      <c r="N271" s="169"/>
    </row>
    <row r="272" spans="1:14" ht="18.95" customHeight="1">
      <c r="A272" s="173"/>
      <c r="B272" s="168"/>
      <c r="C272" s="168"/>
      <c r="D272" s="172"/>
      <c r="F272" s="169"/>
      <c r="G272" s="170"/>
      <c r="H272" s="170"/>
      <c r="I272" s="170"/>
      <c r="J272" s="170"/>
      <c r="K272" s="170"/>
      <c r="L272" s="170"/>
      <c r="M272" s="170"/>
      <c r="N272" s="169"/>
    </row>
    <row r="273" spans="1:14" ht="18.95" customHeight="1">
      <c r="A273" s="173"/>
      <c r="B273" s="168"/>
      <c r="C273" s="168"/>
      <c r="D273" s="172"/>
      <c r="F273" s="169"/>
      <c r="G273" s="170"/>
      <c r="H273" s="170"/>
      <c r="I273" s="170"/>
      <c r="J273" s="170"/>
      <c r="K273" s="170"/>
      <c r="L273" s="170"/>
      <c r="M273" s="170"/>
      <c r="N273" s="169"/>
    </row>
    <row r="274" spans="1:14" ht="18.95" customHeight="1">
      <c r="A274" s="173"/>
      <c r="B274" s="168"/>
      <c r="C274" s="174"/>
      <c r="D274" s="174"/>
      <c r="F274" s="169"/>
      <c r="G274" s="170"/>
      <c r="H274" s="170"/>
      <c r="I274" s="170"/>
      <c r="J274" s="170"/>
      <c r="K274" s="170"/>
      <c r="L274" s="170"/>
      <c r="M274" s="170"/>
      <c r="N274" s="169"/>
    </row>
    <row r="275" spans="1:14" ht="18.95" customHeight="1">
      <c r="A275" s="173"/>
      <c r="B275" s="168"/>
      <c r="C275" s="168"/>
      <c r="D275" s="172"/>
      <c r="F275" s="169"/>
      <c r="G275" s="170"/>
      <c r="H275" s="170"/>
      <c r="I275" s="170"/>
      <c r="J275" s="170"/>
      <c r="K275" s="170"/>
      <c r="L275" s="170"/>
      <c r="M275" s="170"/>
      <c r="N275" s="169"/>
    </row>
    <row r="276" spans="1:14" ht="18.95" customHeight="1">
      <c r="A276" s="175"/>
      <c r="B276" s="171"/>
      <c r="C276" s="168"/>
      <c r="D276" s="172"/>
      <c r="F276" s="169"/>
      <c r="G276" s="170"/>
      <c r="H276" s="170"/>
      <c r="I276" s="170"/>
      <c r="J276" s="170"/>
      <c r="K276" s="170"/>
      <c r="L276" s="170"/>
      <c r="M276" s="170"/>
    </row>
    <row r="277" spans="1:14" ht="18.95" customHeight="1">
      <c r="A277" s="177"/>
      <c r="B277" s="171"/>
      <c r="C277" s="174"/>
      <c r="D277" s="174"/>
      <c r="F277" s="169"/>
      <c r="G277" s="170"/>
      <c r="H277" s="170"/>
      <c r="I277" s="170"/>
      <c r="J277" s="170"/>
      <c r="K277" s="170"/>
      <c r="L277" s="170"/>
      <c r="M277" s="170"/>
    </row>
    <row r="278" spans="1:14" ht="18.95" customHeight="1">
      <c r="A278" s="177"/>
      <c r="B278" s="171"/>
      <c r="C278" s="174"/>
      <c r="D278" s="174"/>
      <c r="F278" s="169"/>
      <c r="G278" s="170"/>
      <c r="H278" s="170"/>
      <c r="I278" s="170"/>
      <c r="J278" s="170"/>
      <c r="K278" s="170"/>
      <c r="L278" s="170"/>
      <c r="M278" s="170"/>
    </row>
    <row r="279" spans="1:14" ht="18.95" customHeight="1">
      <c r="A279" s="177"/>
      <c r="B279" s="171"/>
      <c r="C279" s="174"/>
      <c r="D279" s="174"/>
      <c r="F279" s="169"/>
      <c r="G279" s="170"/>
      <c r="H279" s="170"/>
      <c r="I279" s="170"/>
      <c r="J279" s="170"/>
      <c r="K279" s="170"/>
      <c r="L279" s="170"/>
      <c r="M279" s="170"/>
    </row>
    <row r="280" spans="1:14" ht="18.95" customHeight="1">
      <c r="A280" s="175"/>
      <c r="B280" s="171"/>
      <c r="C280" s="174"/>
      <c r="D280" s="174"/>
      <c r="F280" s="169"/>
      <c r="G280" s="170"/>
      <c r="H280" s="170"/>
      <c r="I280" s="170"/>
      <c r="J280" s="170"/>
      <c r="K280" s="170"/>
      <c r="L280" s="170"/>
      <c r="M280" s="170"/>
    </row>
    <row r="281" spans="1:14" ht="18.95" customHeight="1">
      <c r="A281" s="175"/>
      <c r="B281" s="171"/>
      <c r="C281" s="174"/>
      <c r="D281" s="174"/>
      <c r="E281" s="170"/>
      <c r="F281" s="169"/>
      <c r="G281" s="170"/>
      <c r="H281" s="170"/>
      <c r="I281" s="170"/>
      <c r="J281" s="170"/>
      <c r="K281" s="170"/>
      <c r="L281" s="170"/>
      <c r="M281" s="170"/>
    </row>
    <row r="282" spans="1:14" ht="18.95" customHeight="1">
      <c r="A282" s="175"/>
      <c r="B282" s="171"/>
      <c r="C282" s="174"/>
      <c r="D282" s="174"/>
      <c r="E282" s="170"/>
      <c r="F282" s="169"/>
      <c r="G282" s="170"/>
      <c r="H282" s="170"/>
      <c r="I282" s="170"/>
      <c r="J282" s="170"/>
      <c r="K282" s="170"/>
      <c r="L282" s="170"/>
      <c r="M282" s="170"/>
    </row>
    <row r="283" spans="1:14" ht="18.95" customHeight="1">
      <c r="A283" s="175"/>
      <c r="B283" s="171"/>
      <c r="C283" s="174"/>
      <c r="D283" s="174"/>
      <c r="E283" s="170"/>
      <c r="F283" s="169"/>
      <c r="G283" s="170"/>
      <c r="H283" s="170"/>
      <c r="I283" s="170"/>
      <c r="J283" s="170"/>
      <c r="K283" s="170"/>
      <c r="L283" s="170"/>
      <c r="M283" s="170"/>
    </row>
    <row r="284" spans="1:14" ht="18.95" customHeight="1">
      <c r="A284" s="177"/>
      <c r="B284" s="178"/>
      <c r="C284" s="178"/>
      <c r="D284" s="178"/>
      <c r="F284" s="169"/>
      <c r="G284" s="170"/>
      <c r="H284" s="170"/>
      <c r="I284" s="170"/>
      <c r="J284" s="170"/>
      <c r="K284" s="170"/>
      <c r="L284" s="170"/>
      <c r="M284" s="170"/>
      <c r="N284" s="169"/>
    </row>
    <row r="285" spans="1:14" ht="18.95" customHeight="1">
      <c r="A285" s="179"/>
      <c r="B285" s="182"/>
      <c r="C285" s="182"/>
      <c r="D285" s="172"/>
      <c r="E285" s="170"/>
      <c r="F285" s="169"/>
      <c r="G285" s="170"/>
      <c r="H285" s="170"/>
      <c r="I285" s="170"/>
      <c r="J285" s="170"/>
      <c r="K285" s="170"/>
      <c r="L285" s="184"/>
      <c r="M285" s="170"/>
      <c r="N285" s="169"/>
    </row>
    <row r="286" spans="1:14" ht="18.95" customHeight="1">
      <c r="A286" s="167"/>
      <c r="B286" s="182"/>
      <c r="C286" s="182"/>
      <c r="D286" s="172"/>
      <c r="E286" s="170"/>
      <c r="F286" s="169"/>
      <c r="G286" s="170"/>
      <c r="H286" s="170"/>
      <c r="I286" s="170"/>
      <c r="J286" s="170"/>
      <c r="K286" s="170"/>
      <c r="L286" s="184"/>
      <c r="M286" s="170"/>
    </row>
    <row r="287" spans="1:14" ht="18.95" customHeight="1">
      <c r="A287" s="177"/>
      <c r="B287" s="171"/>
      <c r="C287" s="174"/>
      <c r="D287" s="174"/>
      <c r="F287" s="169"/>
      <c r="G287" s="170"/>
      <c r="H287" s="170"/>
      <c r="I287" s="170"/>
      <c r="J287" s="170"/>
      <c r="K287" s="170"/>
      <c r="L287" s="170"/>
      <c r="M287" s="170"/>
    </row>
    <row r="288" spans="1:14" ht="18.95" customHeight="1">
      <c r="A288" s="177"/>
      <c r="B288" s="171"/>
      <c r="C288" s="174"/>
      <c r="D288" s="174"/>
      <c r="F288" s="169"/>
      <c r="G288" s="170"/>
      <c r="H288" s="170"/>
      <c r="I288" s="170"/>
      <c r="J288" s="170"/>
      <c r="K288" s="170"/>
      <c r="L288" s="170"/>
      <c r="M288" s="170"/>
    </row>
    <row r="289" spans="1:14" ht="18.95" customHeight="1">
      <c r="A289" s="177"/>
      <c r="B289" s="171"/>
      <c r="C289" s="174"/>
      <c r="D289" s="174"/>
      <c r="F289" s="169"/>
      <c r="G289" s="170"/>
      <c r="H289" s="170"/>
      <c r="I289" s="170"/>
      <c r="J289" s="170"/>
      <c r="K289" s="170"/>
      <c r="L289" s="170"/>
      <c r="M289" s="170"/>
    </row>
    <row r="290" spans="1:14" ht="18.95" customHeight="1">
      <c r="A290" s="177"/>
      <c r="B290" s="171"/>
      <c r="C290" s="174"/>
      <c r="D290" s="174"/>
      <c r="F290" s="169"/>
      <c r="G290" s="170"/>
      <c r="H290" s="170"/>
      <c r="I290" s="170"/>
      <c r="J290" s="170"/>
      <c r="K290" s="170"/>
      <c r="L290" s="170"/>
      <c r="M290" s="170"/>
    </row>
    <row r="291" spans="1:14" ht="18.95" customHeight="1">
      <c r="A291" s="177"/>
      <c r="B291" s="171"/>
      <c r="C291" s="174"/>
      <c r="D291" s="174"/>
      <c r="F291" s="169"/>
      <c r="G291" s="170"/>
      <c r="H291" s="170"/>
      <c r="I291" s="170"/>
      <c r="J291" s="170"/>
      <c r="K291" s="170"/>
      <c r="L291" s="170"/>
      <c r="M291" s="170"/>
    </row>
    <row r="292" spans="1:14" ht="18.95" customHeight="1">
      <c r="A292" s="177"/>
      <c r="B292" s="171"/>
      <c r="C292" s="174"/>
      <c r="D292" s="174"/>
      <c r="F292" s="169"/>
      <c r="G292" s="170"/>
      <c r="H292" s="170"/>
      <c r="I292" s="170"/>
      <c r="J292" s="170"/>
      <c r="K292" s="170"/>
      <c r="L292" s="170"/>
      <c r="M292" s="170"/>
    </row>
    <row r="293" spans="1:14" ht="18.95" customHeight="1">
      <c r="A293" s="177"/>
      <c r="B293" s="171"/>
      <c r="C293" s="174"/>
      <c r="D293" s="174"/>
      <c r="F293" s="169"/>
      <c r="G293" s="170"/>
      <c r="H293" s="170"/>
      <c r="I293" s="170"/>
      <c r="J293" s="170"/>
      <c r="K293" s="170"/>
      <c r="L293" s="170"/>
      <c r="M293" s="170"/>
      <c r="N293" s="169"/>
    </row>
    <row r="294" spans="1:14" ht="18.95" customHeight="1">
      <c r="A294" s="177"/>
      <c r="B294" s="171"/>
      <c r="C294" s="174"/>
      <c r="D294" s="172"/>
      <c r="F294" s="169"/>
      <c r="G294" s="170"/>
      <c r="H294" s="170"/>
      <c r="I294" s="170"/>
      <c r="J294" s="170"/>
      <c r="K294" s="170"/>
      <c r="L294" s="184"/>
      <c r="M294" s="170"/>
    </row>
    <row r="295" spans="1:14" ht="18.95" customHeight="1">
      <c r="A295" s="177"/>
      <c r="B295" s="171"/>
      <c r="C295" s="185"/>
      <c r="D295" s="172"/>
      <c r="E295" s="170"/>
      <c r="F295" s="169"/>
      <c r="G295" s="170"/>
      <c r="H295" s="170"/>
      <c r="I295" s="170"/>
      <c r="J295" s="170"/>
      <c r="K295" s="170"/>
      <c r="L295" s="184"/>
      <c r="M295" s="170"/>
      <c r="N295" s="169"/>
    </row>
    <row r="296" spans="1:14" ht="18.95" customHeight="1">
      <c r="A296" s="177"/>
      <c r="B296" s="1422"/>
      <c r="C296" s="1422"/>
      <c r="D296" s="1422"/>
      <c r="F296" s="169"/>
      <c r="G296" s="170"/>
      <c r="H296" s="170"/>
      <c r="I296" s="170"/>
      <c r="J296" s="170"/>
      <c r="K296" s="170"/>
      <c r="L296" s="170"/>
      <c r="M296" s="170"/>
      <c r="N296" s="169"/>
    </row>
    <row r="297" spans="1:14" ht="18.95" customHeight="1">
      <c r="A297" s="177"/>
      <c r="B297" s="1423"/>
      <c r="C297" s="1423"/>
      <c r="D297" s="1423"/>
      <c r="F297" s="169"/>
      <c r="G297" s="170"/>
      <c r="H297" s="170"/>
      <c r="I297" s="170"/>
      <c r="J297" s="170"/>
      <c r="K297" s="170"/>
      <c r="L297" s="170"/>
      <c r="M297" s="170"/>
      <c r="N297" s="169"/>
    </row>
    <row r="298" spans="1:14" ht="18.95" customHeight="1">
      <c r="A298" s="2"/>
      <c r="B298" s="172"/>
      <c r="C298" s="174"/>
      <c r="D298" s="172"/>
      <c r="E298" s="170"/>
      <c r="F298" s="169"/>
      <c r="G298" s="170"/>
      <c r="H298" s="170"/>
      <c r="I298" s="170"/>
      <c r="J298" s="170"/>
      <c r="K298" s="170"/>
      <c r="L298" s="170"/>
      <c r="M298" s="170"/>
      <c r="N298" s="169"/>
    </row>
    <row r="299" spans="1:14" ht="18.95" customHeight="1">
      <c r="A299" s="2"/>
      <c r="B299" s="1424"/>
      <c r="C299" s="1424"/>
      <c r="D299" s="1424"/>
      <c r="E299" s="170"/>
      <c r="F299" s="169"/>
      <c r="G299" s="170"/>
      <c r="H299" s="170"/>
      <c r="I299" s="170"/>
      <c r="J299" s="170"/>
      <c r="K299" s="170"/>
      <c r="L299" s="170"/>
      <c r="M299" s="170"/>
      <c r="N299" s="169"/>
    </row>
    <row r="300" spans="1:14" ht="18.95" customHeight="1">
      <c r="A300" s="177"/>
      <c r="B300" s="1424"/>
      <c r="C300" s="1424"/>
      <c r="D300" s="1424"/>
      <c r="E300" s="170"/>
      <c r="F300" s="169"/>
      <c r="G300" s="170"/>
      <c r="H300" s="170"/>
      <c r="I300" s="170"/>
      <c r="J300" s="170"/>
      <c r="K300" s="170"/>
      <c r="L300" s="170"/>
      <c r="M300" s="170"/>
      <c r="N300" s="169"/>
    </row>
    <row r="301" spans="1:14" ht="18.95" customHeight="1">
      <c r="A301" s="2"/>
      <c r="B301" s="168"/>
      <c r="C301" s="187"/>
      <c r="D301" s="172"/>
      <c r="E301" s="170"/>
      <c r="F301" s="169"/>
      <c r="G301" s="170"/>
      <c r="H301" s="170"/>
      <c r="I301" s="170"/>
      <c r="J301" s="170"/>
      <c r="K301" s="170"/>
      <c r="L301" s="170"/>
      <c r="M301" s="170"/>
      <c r="N301" s="169"/>
    </row>
    <row r="302" spans="1:14" ht="18.95" customHeight="1">
      <c r="A302" s="2"/>
      <c r="B302" s="168"/>
      <c r="C302" s="187"/>
      <c r="D302" s="172"/>
      <c r="E302" s="170"/>
      <c r="F302" s="169"/>
      <c r="G302" s="170"/>
      <c r="H302" s="170"/>
      <c r="I302" s="170"/>
      <c r="J302" s="170"/>
      <c r="K302" s="170"/>
      <c r="L302" s="170"/>
      <c r="M302" s="170"/>
      <c r="N302" s="169"/>
    </row>
    <row r="303" spans="1:14" ht="18.95" customHeight="1">
      <c r="A303" s="2"/>
      <c r="B303" s="172"/>
      <c r="C303" s="174"/>
      <c r="D303" s="172"/>
      <c r="E303" s="170"/>
      <c r="F303" s="169"/>
      <c r="G303" s="170"/>
      <c r="H303" s="170"/>
      <c r="I303" s="170"/>
      <c r="J303" s="170"/>
      <c r="K303" s="170"/>
      <c r="L303" s="170"/>
      <c r="M303" s="170"/>
      <c r="N303" s="169"/>
    </row>
    <row r="304" spans="1:14" ht="18.95" customHeight="1">
      <c r="A304" s="179"/>
      <c r="B304" s="168"/>
      <c r="C304" s="187"/>
      <c r="D304" s="172"/>
      <c r="E304" s="170"/>
      <c r="F304" s="169"/>
      <c r="G304" s="170"/>
      <c r="H304" s="170"/>
      <c r="I304" s="170"/>
      <c r="J304" s="170"/>
      <c r="K304" s="170"/>
      <c r="L304" s="170"/>
      <c r="M304" s="170"/>
      <c r="N304" s="169"/>
    </row>
    <row r="305" spans="1:14" ht="18.95" customHeight="1">
      <c r="A305" s="179"/>
      <c r="B305" s="168"/>
      <c r="C305" s="187"/>
      <c r="D305" s="172"/>
      <c r="E305" s="170"/>
      <c r="F305" s="169"/>
      <c r="G305" s="170"/>
      <c r="H305" s="170"/>
      <c r="I305" s="170"/>
      <c r="J305" s="170"/>
      <c r="K305" s="170"/>
      <c r="L305" s="170"/>
      <c r="M305" s="170"/>
      <c r="N305" s="169"/>
    </row>
    <row r="306" spans="1:14" ht="18.95" customHeight="1">
      <c r="A306" s="167"/>
      <c r="B306" s="188"/>
      <c r="C306" s="187"/>
      <c r="D306" s="172"/>
      <c r="F306" s="169"/>
      <c r="G306" s="170"/>
      <c r="H306" s="170"/>
      <c r="I306" s="170"/>
      <c r="J306" s="170"/>
      <c r="K306" s="170"/>
      <c r="L306" s="170"/>
      <c r="M306" s="170"/>
      <c r="N306" s="169"/>
    </row>
    <row r="307" spans="1:14" ht="18.95" customHeight="1">
      <c r="A307" s="167"/>
      <c r="B307" s="168"/>
      <c r="C307" s="182"/>
      <c r="D307" s="189"/>
      <c r="F307" s="169"/>
      <c r="G307" s="170"/>
      <c r="H307" s="170"/>
      <c r="I307" s="170"/>
      <c r="J307" s="170"/>
      <c r="K307" s="170"/>
      <c r="L307" s="170"/>
      <c r="M307" s="170"/>
      <c r="N307" s="169"/>
    </row>
    <row r="308" spans="1:14" ht="18.95" customHeight="1">
      <c r="A308" s="167"/>
      <c r="B308" s="168"/>
      <c r="C308" s="186"/>
      <c r="D308" s="172"/>
      <c r="F308" s="169"/>
      <c r="G308" s="170"/>
      <c r="H308" s="170"/>
      <c r="I308" s="170"/>
      <c r="J308" s="170"/>
      <c r="K308" s="170"/>
      <c r="L308" s="170"/>
      <c r="M308" s="170"/>
      <c r="N308" s="169"/>
    </row>
    <row r="309" spans="1:14" ht="18.95" customHeight="1">
      <c r="A309" s="2"/>
      <c r="B309" s="168"/>
      <c r="C309" s="186"/>
      <c r="D309" s="168"/>
      <c r="F309" s="169"/>
      <c r="G309" s="170"/>
      <c r="H309" s="170"/>
      <c r="I309" s="170"/>
      <c r="J309" s="170"/>
      <c r="K309" s="170"/>
      <c r="L309" s="170"/>
      <c r="M309" s="170"/>
      <c r="N309" s="169"/>
    </row>
    <row r="310" spans="1:14" ht="18.95" customHeight="1">
      <c r="A310" s="167"/>
      <c r="B310" s="174"/>
      <c r="C310" s="174"/>
      <c r="D310" s="174"/>
      <c r="F310" s="169"/>
      <c r="G310" s="170"/>
      <c r="H310" s="170"/>
      <c r="I310" s="170"/>
      <c r="J310" s="170"/>
      <c r="K310" s="170"/>
      <c r="L310" s="170"/>
      <c r="M310" s="170"/>
      <c r="N310" s="169"/>
    </row>
    <row r="311" spans="1:14" ht="18.95" customHeight="1">
      <c r="B311" s="174"/>
      <c r="C311" s="174"/>
      <c r="D311" s="174"/>
      <c r="F311" s="169"/>
      <c r="G311" s="170"/>
      <c r="H311" s="170"/>
      <c r="I311" s="170"/>
      <c r="J311" s="170"/>
      <c r="K311" s="170"/>
      <c r="L311" s="170"/>
      <c r="M311" s="170"/>
      <c r="N311" s="169"/>
    </row>
    <row r="312" spans="1:14" ht="18.95" customHeight="1">
      <c r="B312" s="174"/>
      <c r="C312" s="174"/>
      <c r="D312" s="174"/>
      <c r="F312" s="169"/>
      <c r="G312" s="170"/>
      <c r="H312" s="170"/>
      <c r="I312" s="170"/>
      <c r="J312" s="170"/>
      <c r="K312" s="170"/>
      <c r="L312" s="170"/>
      <c r="M312" s="170"/>
      <c r="N312" s="169"/>
    </row>
    <row r="313" spans="1:14" ht="18.95" customHeight="1">
      <c r="A313" s="179"/>
      <c r="B313" s="168"/>
      <c r="C313" s="190"/>
      <c r="D313" s="172"/>
      <c r="E313" s="170"/>
      <c r="F313" s="169"/>
      <c r="G313" s="170"/>
      <c r="H313" s="170"/>
      <c r="I313" s="170"/>
      <c r="J313" s="170"/>
      <c r="K313" s="170"/>
      <c r="L313" s="184"/>
      <c r="M313" s="170"/>
    </row>
    <row r="314" spans="1:14" ht="18.95" customHeight="1">
      <c r="A314" s="177"/>
      <c r="B314" s="182"/>
      <c r="C314" s="174"/>
      <c r="D314" s="174"/>
      <c r="F314" s="169"/>
      <c r="G314" s="170"/>
      <c r="H314" s="170"/>
      <c r="I314" s="170"/>
      <c r="J314" s="170"/>
      <c r="K314" s="170"/>
      <c r="L314" s="170"/>
      <c r="M314" s="170"/>
    </row>
    <row r="315" spans="1:14" ht="18.95" customHeight="1">
      <c r="A315" s="177"/>
      <c r="B315" s="171"/>
      <c r="C315" s="174"/>
      <c r="D315" s="174"/>
      <c r="F315" s="169"/>
      <c r="G315" s="170"/>
      <c r="H315" s="170"/>
      <c r="I315" s="170"/>
      <c r="J315" s="170"/>
      <c r="K315" s="170"/>
      <c r="L315" s="170"/>
      <c r="M315" s="170"/>
    </row>
    <row r="316" spans="1:14" ht="18.95" customHeight="1">
      <c r="A316" s="177"/>
      <c r="B316" s="171"/>
      <c r="C316" s="174"/>
      <c r="D316" s="174"/>
      <c r="E316" s="1425"/>
      <c r="F316" s="1425"/>
      <c r="G316" s="1425"/>
      <c r="H316" s="169"/>
      <c r="I316" s="170"/>
      <c r="J316" s="184"/>
      <c r="K316" s="184"/>
      <c r="L316" s="170"/>
      <c r="M316" s="170"/>
    </row>
    <row r="317" spans="1:14" ht="18.95" customHeight="1">
      <c r="A317" s="177"/>
      <c r="B317" s="171"/>
      <c r="C317" s="174"/>
      <c r="D317" s="174"/>
      <c r="F317" s="184"/>
      <c r="G317" s="184"/>
      <c r="H317" s="184"/>
      <c r="I317" s="170"/>
      <c r="J317" s="184"/>
      <c r="K317" s="184"/>
      <c r="L317" s="170"/>
      <c r="M317" s="170"/>
      <c r="N317" s="169"/>
    </row>
    <row r="318" spans="1:14" ht="18.95" customHeight="1">
      <c r="A318" s="177"/>
      <c r="B318" s="171"/>
      <c r="C318" s="174"/>
      <c r="D318" s="174"/>
      <c r="F318" s="169"/>
      <c r="G318" s="184"/>
      <c r="H318" s="184"/>
      <c r="I318" s="170"/>
      <c r="J318" s="184"/>
      <c r="K318" s="184"/>
      <c r="L318" s="170"/>
      <c r="M318" s="170"/>
    </row>
    <row r="319" spans="1:14" ht="18.95" customHeight="1">
      <c r="A319" s="177"/>
      <c r="B319" s="1426"/>
      <c r="C319" s="1426"/>
      <c r="D319" s="1426"/>
      <c r="F319" s="169"/>
      <c r="G319" s="170"/>
      <c r="H319" s="170"/>
      <c r="I319" s="170"/>
      <c r="J319" s="170"/>
      <c r="K319" s="170"/>
      <c r="L319" s="170"/>
      <c r="M319" s="170"/>
      <c r="N319" s="169"/>
    </row>
    <row r="320" spans="1:14" ht="18.95" customHeight="1">
      <c r="A320" s="168"/>
      <c r="B320" s="1426"/>
      <c r="C320" s="1426"/>
      <c r="D320" s="1426"/>
      <c r="F320" s="184"/>
      <c r="G320" s="170"/>
      <c r="H320" s="170"/>
      <c r="I320" s="170"/>
      <c r="J320" s="170"/>
      <c r="K320" s="170"/>
      <c r="L320" s="170"/>
      <c r="M320" s="170"/>
      <c r="N320" s="169"/>
    </row>
    <row r="321" spans="1:14" ht="18.95" customHeight="1">
      <c r="B321" s="171"/>
      <c r="C321" s="174"/>
      <c r="D321" s="174"/>
      <c r="F321" s="184"/>
      <c r="G321" s="170"/>
      <c r="H321" s="170"/>
      <c r="I321" s="170"/>
      <c r="J321" s="170"/>
      <c r="K321" s="170"/>
      <c r="L321" s="170"/>
      <c r="M321" s="170"/>
      <c r="N321" s="169"/>
    </row>
    <row r="322" spans="1:14" ht="18.95" customHeight="1">
      <c r="A322" s="167"/>
      <c r="B322" s="182"/>
      <c r="C322" s="182"/>
      <c r="D322" s="174"/>
      <c r="F322" s="169"/>
      <c r="G322" s="170"/>
      <c r="H322" s="170"/>
      <c r="I322" s="170"/>
      <c r="J322" s="170"/>
      <c r="K322" s="170"/>
      <c r="L322" s="170"/>
      <c r="M322" s="170"/>
    </row>
    <row r="323" spans="1:14" ht="18.95" customHeight="1">
      <c r="A323" s="177"/>
      <c r="B323" s="171"/>
      <c r="C323" s="174"/>
      <c r="D323" s="174"/>
      <c r="F323" s="169"/>
      <c r="G323" s="170"/>
      <c r="H323" s="170"/>
      <c r="I323" s="170"/>
      <c r="J323" s="170"/>
      <c r="K323" s="170"/>
      <c r="L323" s="170"/>
      <c r="M323" s="170"/>
    </row>
    <row r="324" spans="1:14" ht="18.95" customHeight="1">
      <c r="A324" s="177"/>
      <c r="B324" s="171"/>
      <c r="C324" s="174"/>
      <c r="D324" s="174"/>
      <c r="F324" s="169"/>
      <c r="G324" s="170"/>
      <c r="H324" s="170"/>
      <c r="I324" s="170"/>
      <c r="J324" s="170"/>
      <c r="K324" s="170"/>
      <c r="L324" s="170"/>
      <c r="M324" s="170"/>
    </row>
    <row r="325" spans="1:14" ht="18.95" customHeight="1">
      <c r="A325" s="177"/>
      <c r="B325" s="171"/>
      <c r="C325" s="174"/>
      <c r="D325" s="174"/>
      <c r="F325" s="169"/>
      <c r="G325" s="170"/>
      <c r="H325" s="170"/>
      <c r="I325" s="170"/>
      <c r="J325" s="170"/>
      <c r="K325" s="170"/>
      <c r="L325" s="170"/>
      <c r="M325" s="170"/>
    </row>
    <row r="326" spans="1:14" ht="18.95" customHeight="1">
      <c r="A326" s="177"/>
      <c r="B326" s="171"/>
      <c r="C326" s="174"/>
      <c r="D326" s="174"/>
      <c r="F326" s="169"/>
      <c r="G326" s="170"/>
      <c r="H326" s="170"/>
      <c r="I326" s="170"/>
      <c r="J326" s="170"/>
      <c r="K326" s="170"/>
      <c r="L326" s="170"/>
      <c r="M326" s="170"/>
    </row>
    <row r="327" spans="1:14" ht="18.95" customHeight="1">
      <c r="A327" s="177"/>
      <c r="B327" s="171"/>
      <c r="C327" s="185"/>
      <c r="D327" s="172"/>
      <c r="E327" s="170"/>
      <c r="F327" s="169"/>
      <c r="G327" s="170"/>
      <c r="H327" s="170"/>
      <c r="I327" s="170"/>
      <c r="J327" s="170"/>
      <c r="K327" s="170"/>
      <c r="L327" s="184"/>
      <c r="M327" s="170"/>
      <c r="N327" s="169"/>
    </row>
    <row r="328" spans="1:14" ht="18.95" customHeight="1">
      <c r="A328" s="177"/>
      <c r="B328" s="1426"/>
      <c r="C328" s="1426"/>
      <c r="D328" s="1426"/>
      <c r="F328" s="169"/>
      <c r="G328" s="170"/>
      <c r="H328" s="170"/>
      <c r="I328" s="170"/>
      <c r="J328" s="170"/>
      <c r="K328" s="170"/>
      <c r="L328" s="170"/>
      <c r="M328" s="170"/>
      <c r="N328" s="169"/>
    </row>
    <row r="329" spans="1:14" ht="18.95" customHeight="1">
      <c r="A329" s="2"/>
      <c r="B329" s="171"/>
      <c r="C329" s="174"/>
      <c r="D329" s="174"/>
      <c r="F329" s="169"/>
      <c r="G329" s="170"/>
      <c r="H329" s="170"/>
      <c r="I329" s="170"/>
      <c r="J329" s="170"/>
      <c r="K329" s="170"/>
      <c r="L329" s="170"/>
      <c r="M329" s="170"/>
      <c r="N329" s="169"/>
    </row>
    <row r="330" spans="1:14" ht="18.95" customHeight="1">
      <c r="A330" s="177"/>
      <c r="B330" s="174"/>
      <c r="C330" s="174"/>
      <c r="D330" s="174"/>
      <c r="F330" s="169"/>
      <c r="G330" s="170"/>
      <c r="H330" s="170"/>
      <c r="I330" s="170"/>
      <c r="J330" s="170"/>
      <c r="K330" s="170"/>
      <c r="L330" s="170"/>
      <c r="M330" s="170"/>
      <c r="N330" s="169"/>
    </row>
    <row r="331" spans="1:14" ht="18.95" customHeight="1">
      <c r="A331" s="177"/>
      <c r="B331" s="171"/>
      <c r="C331" s="174"/>
      <c r="D331" s="174"/>
      <c r="F331" s="169"/>
      <c r="G331" s="170"/>
      <c r="H331" s="170"/>
      <c r="I331" s="170"/>
      <c r="J331" s="170"/>
      <c r="K331" s="170"/>
      <c r="L331" s="170"/>
      <c r="M331" s="170"/>
      <c r="N331" s="169"/>
    </row>
    <row r="332" spans="1:14" ht="18.95" customHeight="1">
      <c r="A332" s="177"/>
      <c r="B332" s="171"/>
      <c r="C332" s="174"/>
      <c r="D332" s="174"/>
      <c r="F332" s="169"/>
      <c r="G332" s="170"/>
      <c r="H332" s="170"/>
      <c r="I332" s="170"/>
      <c r="J332" s="170"/>
      <c r="K332" s="170"/>
      <c r="L332" s="170"/>
      <c r="M332" s="170"/>
    </row>
    <row r="333" spans="1:14" ht="18.95" customHeight="1">
      <c r="A333" s="177"/>
      <c r="B333" s="171"/>
      <c r="C333" s="174"/>
      <c r="D333" s="174"/>
      <c r="F333" s="169"/>
      <c r="G333" s="170"/>
      <c r="H333" s="170"/>
      <c r="I333" s="170"/>
      <c r="J333" s="170"/>
      <c r="K333" s="170"/>
      <c r="L333" s="170"/>
      <c r="M333" s="170"/>
      <c r="N333" s="169"/>
    </row>
    <row r="334" spans="1:14" ht="18.95" customHeight="1">
      <c r="A334" s="177"/>
      <c r="B334" s="171"/>
      <c r="C334" s="174"/>
      <c r="D334" s="174"/>
      <c r="F334" s="169"/>
      <c r="G334" s="170"/>
      <c r="H334" s="170"/>
      <c r="I334" s="170"/>
      <c r="J334" s="170"/>
      <c r="K334" s="170"/>
      <c r="L334" s="170"/>
      <c r="M334" s="170"/>
    </row>
    <row r="335" spans="1:14" ht="18.95" customHeight="1">
      <c r="A335" s="177"/>
      <c r="B335" s="171"/>
      <c r="C335" s="174"/>
      <c r="D335" s="174"/>
      <c r="F335" s="169"/>
      <c r="G335" s="170"/>
      <c r="H335" s="170"/>
      <c r="I335" s="170"/>
      <c r="J335" s="170"/>
      <c r="K335" s="170"/>
      <c r="L335" s="170"/>
      <c r="M335" s="170"/>
      <c r="N335" s="169"/>
    </row>
    <row r="336" spans="1:14" ht="18.95" customHeight="1">
      <c r="A336" s="177"/>
      <c r="B336" s="171"/>
      <c r="C336" s="174"/>
      <c r="D336" s="174"/>
      <c r="F336" s="169"/>
      <c r="G336" s="170"/>
      <c r="H336" s="170"/>
      <c r="I336" s="170"/>
      <c r="J336" s="170"/>
      <c r="K336" s="170"/>
      <c r="L336" s="170"/>
      <c r="M336" s="170"/>
      <c r="N336" s="169"/>
    </row>
    <row r="337" spans="1:14" ht="18.95" customHeight="1">
      <c r="A337" s="2"/>
      <c r="B337" s="171"/>
      <c r="C337" s="174"/>
      <c r="D337" s="174"/>
      <c r="F337" s="169"/>
      <c r="G337" s="170"/>
      <c r="H337" s="170"/>
      <c r="I337" s="170"/>
      <c r="J337" s="170"/>
      <c r="K337" s="170"/>
      <c r="L337" s="170"/>
      <c r="M337" s="170"/>
      <c r="N337" s="169"/>
    </row>
    <row r="338" spans="1:14" ht="18.95" customHeight="1">
      <c r="B338" s="171"/>
      <c r="C338" s="174"/>
      <c r="D338" s="174"/>
      <c r="E338" s="1425"/>
      <c r="F338" s="1425"/>
      <c r="G338" s="1425"/>
      <c r="H338" s="169"/>
      <c r="I338" s="170"/>
      <c r="J338" s="170"/>
      <c r="K338" s="170"/>
      <c r="L338" s="170"/>
      <c r="M338" s="170"/>
      <c r="N338" s="169"/>
    </row>
    <row r="339" spans="1:14" ht="18.95" customHeight="1">
      <c r="A339" s="177"/>
      <c r="B339" s="1423"/>
      <c r="C339" s="1423"/>
      <c r="D339" s="1423"/>
      <c r="F339" s="169"/>
      <c r="G339" s="170"/>
      <c r="H339" s="170"/>
      <c r="I339" s="170"/>
      <c r="J339" s="170"/>
      <c r="K339" s="170"/>
      <c r="L339" s="170"/>
      <c r="M339" s="170"/>
      <c r="N339" s="169"/>
    </row>
    <row r="340" spans="1:14" ht="18.95" customHeight="1">
      <c r="B340" s="174"/>
      <c r="C340" s="174"/>
      <c r="D340" s="174"/>
      <c r="F340" s="169"/>
      <c r="G340" s="170"/>
      <c r="H340" s="170"/>
      <c r="I340" s="170"/>
      <c r="J340" s="170"/>
      <c r="K340" s="170"/>
      <c r="L340" s="170"/>
      <c r="M340" s="170"/>
      <c r="N340" s="169"/>
    </row>
    <row r="341" spans="1:14" ht="18.95" customHeight="1">
      <c r="A341" s="179"/>
      <c r="B341" s="168"/>
      <c r="C341" s="190"/>
      <c r="D341" s="172"/>
      <c r="E341" s="170"/>
      <c r="F341" s="169"/>
      <c r="G341" s="170"/>
      <c r="H341" s="170"/>
      <c r="I341" s="170"/>
      <c r="J341" s="170"/>
      <c r="K341" s="170"/>
      <c r="L341" s="184"/>
      <c r="M341" s="170"/>
    </row>
    <row r="342" spans="1:14" ht="18.95" customHeight="1">
      <c r="A342" s="177"/>
      <c r="B342" s="174"/>
      <c r="C342" s="174"/>
      <c r="D342" s="174"/>
      <c r="F342" s="169"/>
      <c r="G342" s="170"/>
      <c r="H342" s="170"/>
      <c r="I342" s="170"/>
      <c r="J342" s="170"/>
      <c r="K342" s="170"/>
      <c r="L342" s="170"/>
      <c r="M342" s="170"/>
    </row>
    <row r="343" spans="1:14" ht="18.95" customHeight="1">
      <c r="A343" s="2"/>
      <c r="B343" s="171"/>
      <c r="C343" s="174"/>
      <c r="D343" s="172"/>
      <c r="F343" s="169"/>
      <c r="G343" s="170"/>
      <c r="H343" s="170"/>
      <c r="I343" s="170"/>
      <c r="J343" s="170"/>
      <c r="K343" s="170"/>
      <c r="L343" s="170"/>
      <c r="M343" s="170"/>
    </row>
    <row r="344" spans="1:14" ht="18.95" customHeight="1">
      <c r="A344" s="2"/>
      <c r="B344" s="172"/>
      <c r="C344" s="174"/>
      <c r="D344" s="172"/>
      <c r="E344" s="170"/>
      <c r="F344" s="169"/>
      <c r="G344" s="170"/>
      <c r="H344" s="170"/>
      <c r="I344" s="170"/>
      <c r="J344" s="170"/>
      <c r="K344" s="170"/>
      <c r="L344" s="170"/>
      <c r="M344" s="170"/>
    </row>
    <row r="345" spans="1:14" ht="18.95" customHeight="1">
      <c r="A345" s="2"/>
      <c r="B345" s="171"/>
      <c r="C345" s="174"/>
      <c r="D345" s="172"/>
      <c r="F345" s="169"/>
      <c r="G345" s="170"/>
      <c r="H345" s="170"/>
      <c r="I345" s="170"/>
      <c r="J345" s="170"/>
      <c r="K345" s="170"/>
      <c r="L345" s="170"/>
      <c r="M345" s="170"/>
    </row>
    <row r="346" spans="1:14" ht="18.95" customHeight="1">
      <c r="A346" s="2"/>
      <c r="B346" s="172"/>
      <c r="C346" s="174"/>
      <c r="D346" s="172"/>
      <c r="E346" s="170"/>
      <c r="F346" s="169"/>
      <c r="G346" s="170"/>
      <c r="H346" s="170"/>
      <c r="I346" s="170"/>
      <c r="J346" s="170"/>
      <c r="K346" s="170"/>
      <c r="L346" s="170"/>
      <c r="M346" s="170"/>
      <c r="N346" s="169"/>
    </row>
    <row r="347" spans="1:14" ht="18.95" customHeight="1">
      <c r="B347" s="171"/>
      <c r="C347" s="182"/>
      <c r="D347" s="189"/>
      <c r="F347" s="169"/>
      <c r="G347" s="170"/>
      <c r="H347" s="170"/>
      <c r="I347" s="170"/>
      <c r="J347" s="170"/>
      <c r="K347" s="170"/>
      <c r="L347" s="170"/>
      <c r="M347" s="170"/>
    </row>
    <row r="348" spans="1:14" ht="18.95" customHeight="1">
      <c r="A348" s="167"/>
      <c r="B348" s="171"/>
      <c r="C348" s="174"/>
      <c r="D348" s="174"/>
      <c r="F348" s="169"/>
      <c r="G348" s="170"/>
      <c r="H348" s="170"/>
      <c r="I348" s="170"/>
      <c r="J348" s="170"/>
      <c r="K348" s="170"/>
      <c r="L348" s="170"/>
      <c r="M348" s="170"/>
      <c r="N348" s="169"/>
    </row>
    <row r="349" spans="1:14" ht="18.95" customHeight="1">
      <c r="A349" s="167"/>
      <c r="B349" s="171"/>
      <c r="C349" s="174"/>
      <c r="D349" s="174"/>
      <c r="E349" s="169"/>
      <c r="F349" s="169"/>
      <c r="G349" s="184"/>
      <c r="H349" s="184"/>
      <c r="I349" s="170"/>
      <c r="J349" s="170"/>
      <c r="K349" s="170"/>
      <c r="L349" s="170"/>
      <c r="M349" s="170"/>
      <c r="N349" s="169"/>
    </row>
    <row r="350" spans="1:14" ht="18.95" customHeight="1">
      <c r="B350" s="1423"/>
      <c r="C350" s="1423"/>
      <c r="D350" s="1423"/>
      <c r="F350" s="169"/>
      <c r="G350" s="170"/>
      <c r="H350" s="170"/>
      <c r="I350" s="170"/>
      <c r="J350" s="170"/>
      <c r="K350" s="170"/>
      <c r="L350" s="170"/>
      <c r="M350" s="170"/>
      <c r="N350" s="169"/>
    </row>
    <row r="351" spans="1:14" ht="18.95" customHeight="1">
      <c r="A351" s="177"/>
      <c r="B351" s="174"/>
      <c r="C351" s="174"/>
      <c r="D351" s="174"/>
      <c r="F351" s="169"/>
      <c r="G351" s="170"/>
      <c r="H351" s="170"/>
      <c r="I351" s="170"/>
      <c r="J351" s="170"/>
      <c r="K351" s="170"/>
      <c r="L351" s="170"/>
      <c r="M351" s="170"/>
      <c r="N351" s="169"/>
    </row>
    <row r="352" spans="1:14" ht="18.95" customHeight="1">
      <c r="A352" s="167"/>
      <c r="B352" s="174"/>
      <c r="C352" s="174"/>
      <c r="D352" s="168"/>
      <c r="F352" s="169"/>
      <c r="G352" s="170"/>
      <c r="H352" s="170"/>
      <c r="I352" s="170"/>
      <c r="J352" s="170"/>
      <c r="K352" s="170"/>
      <c r="L352" s="170"/>
      <c r="M352" s="170"/>
      <c r="N352" s="169"/>
    </row>
    <row r="353" spans="1:14" ht="18.95" customHeight="1">
      <c r="A353" s="167"/>
      <c r="B353" s="171"/>
      <c r="C353" s="174"/>
      <c r="D353" s="174"/>
      <c r="F353" s="169"/>
      <c r="G353" s="170"/>
      <c r="H353" s="170"/>
      <c r="I353" s="170"/>
      <c r="J353" s="170"/>
      <c r="K353" s="170"/>
      <c r="L353" s="170"/>
      <c r="M353" s="170"/>
    </row>
    <row r="354" spans="1:14" ht="18.95" customHeight="1">
      <c r="A354" s="167"/>
      <c r="B354" s="171"/>
      <c r="C354" s="174"/>
      <c r="D354" s="174"/>
      <c r="F354" s="169"/>
      <c r="G354" s="170"/>
      <c r="H354" s="170"/>
      <c r="I354" s="170"/>
      <c r="J354" s="170"/>
      <c r="K354" s="170"/>
      <c r="L354" s="170"/>
      <c r="M354" s="170"/>
      <c r="N354" s="169"/>
    </row>
    <row r="355" spans="1:14" ht="18.95" customHeight="1">
      <c r="A355" s="167"/>
      <c r="B355" s="171"/>
      <c r="C355" s="174"/>
      <c r="D355" s="174"/>
      <c r="E355" s="1425"/>
      <c r="F355" s="1425"/>
      <c r="G355" s="1425"/>
      <c r="H355" s="169"/>
      <c r="I355" s="170"/>
      <c r="J355" s="170"/>
      <c r="K355" s="170"/>
      <c r="L355" s="170"/>
      <c r="M355" s="170"/>
    </row>
    <row r="356" spans="1:14" ht="18.95" customHeight="1">
      <c r="B356" s="1423"/>
      <c r="C356" s="1423"/>
      <c r="D356" s="1423"/>
      <c r="F356" s="169"/>
      <c r="G356" s="170"/>
      <c r="H356" s="170"/>
      <c r="I356" s="170"/>
      <c r="J356" s="170"/>
      <c r="K356" s="170"/>
      <c r="L356" s="170"/>
      <c r="M356" s="170"/>
      <c r="N356" s="169"/>
    </row>
    <row r="357" spans="1:14" ht="18.95" customHeight="1">
      <c r="A357" s="2"/>
      <c r="B357" s="172"/>
      <c r="C357" s="174"/>
      <c r="D357" s="172"/>
      <c r="E357" s="170"/>
      <c r="F357" s="169"/>
      <c r="G357" s="170"/>
      <c r="H357" s="170"/>
      <c r="I357" s="170"/>
      <c r="J357" s="170"/>
      <c r="K357" s="170"/>
      <c r="L357" s="170"/>
      <c r="M357" s="170"/>
      <c r="N357" s="169"/>
    </row>
    <row r="358" spans="1:14" ht="18.95" customHeight="1">
      <c r="A358" s="167"/>
      <c r="B358" s="174"/>
      <c r="C358" s="182"/>
      <c r="D358" s="172"/>
      <c r="E358" s="170"/>
      <c r="F358" s="169"/>
      <c r="G358" s="170"/>
      <c r="H358" s="170"/>
      <c r="I358" s="170"/>
      <c r="J358" s="170"/>
      <c r="K358" s="170"/>
      <c r="L358" s="184"/>
      <c r="M358" s="170"/>
      <c r="N358" s="169"/>
    </row>
    <row r="359" spans="1:14" ht="18.95" customHeight="1">
      <c r="A359" s="177"/>
      <c r="B359" s="171"/>
      <c r="C359" s="174"/>
      <c r="D359" s="172"/>
      <c r="F359" s="169"/>
      <c r="G359" s="170"/>
      <c r="H359" s="170"/>
      <c r="I359" s="170"/>
      <c r="J359" s="170"/>
      <c r="K359" s="170"/>
      <c r="L359" s="170"/>
      <c r="M359" s="170"/>
      <c r="N359" s="169"/>
    </row>
    <row r="360" spans="1:14" ht="18.95" customHeight="1">
      <c r="A360" s="177"/>
      <c r="B360" s="172"/>
      <c r="C360" s="174"/>
      <c r="D360" s="172"/>
      <c r="E360" s="170"/>
      <c r="F360" s="169"/>
      <c r="G360" s="170"/>
      <c r="H360" s="170"/>
      <c r="I360" s="170"/>
      <c r="J360" s="170"/>
      <c r="K360" s="170"/>
      <c r="L360" s="170"/>
      <c r="M360" s="170"/>
      <c r="N360" s="169"/>
    </row>
    <row r="361" spans="1:14" ht="18.95" customHeight="1">
      <c r="A361" s="177"/>
      <c r="B361" s="171"/>
      <c r="C361" s="174"/>
      <c r="D361" s="174"/>
      <c r="E361" s="1425"/>
      <c r="F361" s="1425"/>
      <c r="G361" s="1425"/>
      <c r="H361" s="169"/>
      <c r="I361" s="170"/>
      <c r="J361" s="170"/>
      <c r="K361" s="170"/>
      <c r="L361" s="170"/>
      <c r="M361" s="170"/>
      <c r="N361" s="169"/>
    </row>
    <row r="362" spans="1:14" ht="18.95" customHeight="1">
      <c r="A362" s="177"/>
      <c r="B362" s="1423"/>
      <c r="C362" s="1423"/>
      <c r="D362" s="1423"/>
      <c r="F362" s="169"/>
      <c r="G362" s="170"/>
      <c r="H362" s="170"/>
      <c r="I362" s="170"/>
      <c r="J362" s="170"/>
      <c r="K362" s="170"/>
      <c r="L362" s="170"/>
      <c r="M362" s="170"/>
      <c r="N362" s="169"/>
    </row>
    <row r="363" spans="1:14" ht="18.95" customHeight="1">
      <c r="A363" s="2"/>
      <c r="B363" s="172"/>
      <c r="C363" s="174"/>
      <c r="D363" s="172"/>
      <c r="E363" s="170"/>
      <c r="F363" s="169"/>
      <c r="G363" s="170"/>
      <c r="H363" s="170"/>
      <c r="I363" s="170"/>
      <c r="J363" s="170"/>
      <c r="K363" s="170"/>
      <c r="L363" s="170"/>
      <c r="M363" s="170"/>
      <c r="N363" s="169"/>
    </row>
    <row r="364" spans="1:14" ht="18.95" customHeight="1">
      <c r="A364" s="167"/>
      <c r="B364" s="182"/>
      <c r="C364" s="182"/>
      <c r="D364" s="189"/>
      <c r="F364" s="169"/>
      <c r="G364" s="170"/>
      <c r="H364" s="170"/>
      <c r="I364" s="170"/>
      <c r="J364" s="170"/>
      <c r="K364" s="170"/>
      <c r="L364" s="170"/>
      <c r="M364" s="170"/>
      <c r="N364" s="169"/>
    </row>
    <row r="365" spans="1:14" ht="18.95" customHeight="1">
      <c r="A365" s="179"/>
      <c r="B365" s="171"/>
      <c r="C365" s="174"/>
      <c r="D365" s="172"/>
      <c r="F365" s="169"/>
      <c r="G365" s="170"/>
      <c r="H365" s="170"/>
      <c r="I365" s="170"/>
      <c r="J365" s="170"/>
      <c r="K365" s="170"/>
      <c r="L365" s="170"/>
      <c r="M365" s="170"/>
      <c r="N365" s="169"/>
    </row>
    <row r="366" spans="1:14" ht="18.95" customHeight="1">
      <c r="A366" s="179"/>
      <c r="B366" s="172"/>
      <c r="C366" s="174"/>
      <c r="D366" s="172"/>
      <c r="E366" s="170"/>
      <c r="F366" s="169"/>
      <c r="G366" s="170"/>
      <c r="H366" s="170"/>
      <c r="I366" s="170"/>
      <c r="J366" s="170"/>
      <c r="K366" s="170"/>
      <c r="L366" s="170"/>
      <c r="M366" s="170"/>
      <c r="N366" s="169"/>
    </row>
    <row r="367" spans="1:14" ht="18.95" customHeight="1">
      <c r="A367" s="167"/>
      <c r="B367" s="171"/>
      <c r="C367" s="174"/>
      <c r="D367" s="174"/>
      <c r="E367" s="1425"/>
      <c r="F367" s="1425"/>
      <c r="G367" s="1425"/>
      <c r="H367" s="169"/>
      <c r="I367" s="170"/>
      <c r="J367" s="170"/>
      <c r="K367" s="170"/>
      <c r="L367" s="170"/>
      <c r="M367" s="170"/>
      <c r="N367" s="169"/>
    </row>
    <row r="368" spans="1:14" ht="18.95" customHeight="1">
      <c r="A368" s="167"/>
      <c r="B368" s="1423"/>
      <c r="C368" s="1423"/>
      <c r="D368" s="1423"/>
      <c r="F368" s="169"/>
      <c r="G368" s="170"/>
      <c r="H368" s="170"/>
      <c r="I368" s="170"/>
      <c r="J368" s="170"/>
      <c r="K368" s="170"/>
      <c r="L368" s="170"/>
      <c r="M368" s="170"/>
      <c r="N368" s="169"/>
    </row>
    <row r="369" spans="1:14" ht="18.95" customHeight="1">
      <c r="A369" s="179"/>
      <c r="B369" s="182"/>
      <c r="C369" s="182"/>
      <c r="D369" s="172"/>
      <c r="E369" s="170"/>
      <c r="F369" s="169"/>
      <c r="G369" s="170"/>
      <c r="H369" s="170"/>
      <c r="I369" s="170"/>
      <c r="J369" s="170"/>
      <c r="K369" s="170"/>
      <c r="L369" s="184"/>
      <c r="M369" s="170"/>
      <c r="N369" s="169"/>
    </row>
    <row r="370" spans="1:14" ht="18.95" customHeight="1">
      <c r="A370" s="167"/>
      <c r="B370" s="182"/>
      <c r="C370" s="182"/>
      <c r="D370" s="189"/>
      <c r="F370" s="169"/>
      <c r="G370" s="170"/>
      <c r="H370" s="170"/>
      <c r="I370" s="170"/>
      <c r="J370" s="170"/>
      <c r="K370" s="170"/>
      <c r="L370" s="170"/>
      <c r="M370" s="170"/>
    </row>
    <row r="371" spans="1:14" ht="18.95" customHeight="1">
      <c r="A371" s="179"/>
      <c r="B371" s="171"/>
      <c r="C371" s="174"/>
      <c r="D371" s="172"/>
      <c r="F371" s="169"/>
      <c r="G371" s="170"/>
      <c r="H371" s="170"/>
      <c r="I371" s="170"/>
      <c r="J371" s="170"/>
      <c r="K371" s="170"/>
      <c r="L371" s="170"/>
      <c r="M371" s="170"/>
    </row>
    <row r="372" spans="1:14" ht="18.95" customHeight="1">
      <c r="A372" s="179"/>
      <c r="B372" s="172"/>
      <c r="C372" s="174"/>
      <c r="D372" s="172"/>
      <c r="E372" s="170"/>
      <c r="F372" s="169"/>
      <c r="G372" s="170"/>
      <c r="H372" s="170"/>
      <c r="I372" s="170"/>
      <c r="J372" s="170"/>
      <c r="K372" s="170"/>
      <c r="L372" s="170"/>
      <c r="M372" s="170"/>
    </row>
    <row r="373" spans="1:14" ht="18.95" customHeight="1">
      <c r="A373" s="167"/>
      <c r="B373" s="171"/>
      <c r="C373" s="174"/>
      <c r="D373" s="174"/>
      <c r="E373" s="1425"/>
      <c r="F373" s="1425"/>
      <c r="G373" s="1425"/>
      <c r="H373" s="169"/>
      <c r="I373" s="170"/>
      <c r="J373" s="170"/>
      <c r="K373" s="170"/>
      <c r="L373" s="170"/>
      <c r="M373" s="170"/>
    </row>
    <row r="374" spans="1:14" ht="18.95" customHeight="1">
      <c r="A374" s="167"/>
      <c r="B374" s="1423"/>
      <c r="C374" s="1423"/>
      <c r="D374" s="1423"/>
      <c r="F374" s="169"/>
      <c r="G374" s="170"/>
      <c r="H374" s="170"/>
      <c r="I374" s="170"/>
      <c r="J374" s="170"/>
      <c r="K374" s="170"/>
      <c r="L374" s="170"/>
      <c r="M374" s="170"/>
    </row>
    <row r="375" spans="1:14" ht="18.95" customHeight="1">
      <c r="A375" s="177"/>
      <c r="B375" s="174"/>
      <c r="C375" s="174"/>
      <c r="D375" s="174"/>
      <c r="F375" s="169"/>
      <c r="G375" s="170"/>
      <c r="H375" s="170"/>
      <c r="I375" s="170"/>
      <c r="J375" s="170"/>
      <c r="K375" s="170"/>
      <c r="L375" s="170"/>
      <c r="M375" s="170"/>
    </row>
    <row r="376" spans="1:14" ht="18.95" customHeight="1">
      <c r="A376" s="167"/>
      <c r="B376" s="182"/>
      <c r="C376" s="182"/>
      <c r="D376" s="189"/>
      <c r="F376" s="169"/>
      <c r="G376" s="170"/>
      <c r="H376" s="170"/>
      <c r="I376" s="170"/>
      <c r="J376" s="170"/>
      <c r="K376" s="170"/>
      <c r="L376" s="170"/>
      <c r="M376" s="170"/>
    </row>
    <row r="377" spans="1:14" ht="18.95" customHeight="1">
      <c r="A377" s="179"/>
      <c r="B377" s="171"/>
      <c r="C377" s="174"/>
      <c r="D377" s="172"/>
      <c r="F377" s="169"/>
      <c r="G377" s="170"/>
      <c r="H377" s="170"/>
      <c r="I377" s="170"/>
      <c r="J377" s="170"/>
      <c r="K377" s="170"/>
      <c r="L377" s="170"/>
      <c r="M377" s="170"/>
      <c r="N377" s="169"/>
    </row>
    <row r="378" spans="1:14" ht="18.95" customHeight="1">
      <c r="A378" s="179"/>
      <c r="B378" s="172"/>
      <c r="C378" s="174"/>
      <c r="D378" s="172"/>
      <c r="E378" s="170"/>
      <c r="F378" s="169"/>
      <c r="G378" s="170"/>
      <c r="H378" s="170"/>
      <c r="I378" s="170"/>
      <c r="J378" s="170"/>
      <c r="K378" s="170"/>
      <c r="L378" s="170"/>
      <c r="M378" s="170"/>
      <c r="N378" s="169"/>
    </row>
    <row r="379" spans="1:14" ht="18.95" customHeight="1">
      <c r="A379" s="167"/>
      <c r="B379" s="171"/>
      <c r="C379" s="174"/>
      <c r="D379" s="174"/>
      <c r="E379" s="1425"/>
      <c r="F379" s="1425"/>
      <c r="G379" s="1425"/>
      <c r="H379" s="169"/>
      <c r="I379" s="170"/>
      <c r="J379" s="170"/>
      <c r="K379" s="170"/>
      <c r="L379" s="170"/>
      <c r="M379" s="170"/>
      <c r="N379" s="169"/>
    </row>
    <row r="380" spans="1:14" ht="18.95" customHeight="1">
      <c r="A380" s="167"/>
      <c r="B380" s="1423"/>
      <c r="C380" s="1423"/>
      <c r="D380" s="1423"/>
      <c r="F380" s="169"/>
      <c r="G380" s="170"/>
      <c r="H380" s="170"/>
      <c r="I380" s="170"/>
      <c r="J380" s="170"/>
      <c r="K380" s="170"/>
      <c r="L380" s="170"/>
      <c r="M380" s="170"/>
      <c r="N380" s="169"/>
    </row>
    <row r="381" spans="1:14" ht="18.95" customHeight="1">
      <c r="A381" s="177"/>
      <c r="B381" s="174"/>
      <c r="C381" s="174"/>
      <c r="D381" s="174"/>
      <c r="F381" s="169"/>
      <c r="G381" s="170"/>
      <c r="H381" s="170"/>
      <c r="I381" s="170"/>
      <c r="J381" s="170"/>
      <c r="K381" s="170"/>
      <c r="L381" s="170"/>
      <c r="M381" s="170"/>
      <c r="N381" s="169"/>
    </row>
    <row r="382" spans="1:14" ht="18.95" customHeight="1">
      <c r="A382" s="191"/>
      <c r="B382" s="1423"/>
      <c r="C382" s="1423"/>
      <c r="D382" s="1423"/>
      <c r="F382" s="169"/>
      <c r="G382" s="170"/>
      <c r="H382" s="170"/>
      <c r="I382" s="170"/>
      <c r="J382" s="170"/>
      <c r="K382" s="170"/>
      <c r="L382" s="170"/>
      <c r="M382" s="170"/>
      <c r="N382" s="169"/>
    </row>
    <row r="383" spans="1:14" ht="18.95" customHeight="1">
      <c r="A383" s="2"/>
      <c r="B383" s="172"/>
      <c r="C383" s="174"/>
      <c r="D383" s="172"/>
      <c r="E383" s="170"/>
      <c r="F383" s="169"/>
      <c r="G383" s="170"/>
      <c r="H383" s="170"/>
      <c r="I383" s="170"/>
      <c r="J383" s="170"/>
      <c r="K383" s="170"/>
      <c r="L383" s="170"/>
      <c r="M383" s="170"/>
      <c r="N383" s="169"/>
    </row>
    <row r="384" spans="1:14" ht="18.95" customHeight="1">
      <c r="A384" s="2"/>
      <c r="B384" s="172"/>
      <c r="C384" s="174"/>
      <c r="D384" s="172"/>
      <c r="E384" s="170"/>
      <c r="F384" s="169"/>
      <c r="G384" s="170"/>
      <c r="H384" s="170"/>
      <c r="I384" s="170"/>
      <c r="J384" s="170"/>
      <c r="K384" s="170"/>
      <c r="L384" s="170"/>
      <c r="M384" s="170"/>
      <c r="N384" s="169"/>
    </row>
    <row r="385" spans="1:14" ht="18.95" customHeight="1">
      <c r="A385" s="167"/>
      <c r="B385" s="182"/>
      <c r="C385" s="182"/>
      <c r="D385" s="172"/>
      <c r="E385" s="170"/>
      <c r="F385" s="169"/>
      <c r="G385" s="170"/>
      <c r="H385" s="170"/>
      <c r="I385" s="170"/>
      <c r="J385" s="170"/>
      <c r="K385" s="170"/>
      <c r="L385" s="170"/>
      <c r="M385" s="170"/>
      <c r="N385" s="169"/>
    </row>
    <row r="386" spans="1:14" ht="18.95" customHeight="1">
      <c r="A386" s="2"/>
      <c r="B386" s="172"/>
      <c r="C386" s="174"/>
      <c r="D386" s="172"/>
      <c r="E386" s="170"/>
      <c r="F386" s="169"/>
      <c r="G386" s="170"/>
      <c r="H386" s="170"/>
      <c r="I386" s="170"/>
      <c r="J386" s="170"/>
      <c r="K386" s="170"/>
      <c r="L386" s="170"/>
      <c r="M386" s="170"/>
      <c r="N386" s="169"/>
    </row>
    <row r="387" spans="1:14" ht="18.95" customHeight="1">
      <c r="A387" s="179"/>
      <c r="B387" s="168"/>
      <c r="C387" s="187"/>
      <c r="D387" s="172"/>
      <c r="E387" s="170"/>
      <c r="F387" s="169"/>
      <c r="G387" s="170"/>
      <c r="H387" s="170"/>
      <c r="I387" s="170"/>
      <c r="J387" s="170"/>
      <c r="K387" s="170"/>
      <c r="L387" s="170"/>
      <c r="M387" s="170"/>
      <c r="N387" s="169"/>
    </row>
    <row r="388" spans="1:14" ht="18.95" customHeight="1">
      <c r="A388" s="179"/>
      <c r="B388" s="168"/>
      <c r="C388" s="187"/>
      <c r="D388" s="172"/>
      <c r="E388" s="170"/>
      <c r="F388" s="169"/>
      <c r="G388" s="170"/>
      <c r="H388" s="170"/>
      <c r="I388" s="170"/>
      <c r="J388" s="170"/>
      <c r="K388" s="170"/>
      <c r="L388" s="170"/>
      <c r="M388" s="170"/>
      <c r="N388" s="169"/>
    </row>
    <row r="389" spans="1:14" ht="18.95" customHeight="1">
      <c r="A389" s="167"/>
      <c r="B389" s="188"/>
      <c r="C389" s="187"/>
      <c r="D389" s="172"/>
      <c r="F389" s="169"/>
      <c r="G389" s="170"/>
      <c r="H389" s="170"/>
      <c r="I389" s="170"/>
      <c r="J389" s="170"/>
      <c r="K389" s="170"/>
      <c r="L389" s="170"/>
      <c r="M389" s="170"/>
      <c r="N389" s="169"/>
    </row>
    <row r="390" spans="1:14" ht="18.95" customHeight="1">
      <c r="A390" s="167"/>
      <c r="B390" s="168"/>
      <c r="C390" s="182"/>
      <c r="D390" s="189"/>
      <c r="F390" s="169"/>
      <c r="G390" s="170"/>
      <c r="H390" s="170"/>
      <c r="I390" s="170"/>
      <c r="J390" s="170"/>
      <c r="K390" s="170"/>
      <c r="L390" s="170"/>
      <c r="M390" s="170"/>
      <c r="N390" s="169"/>
    </row>
    <row r="391" spans="1:14" ht="18.95" customHeight="1">
      <c r="A391" s="167"/>
      <c r="B391" s="168"/>
      <c r="C391" s="186"/>
      <c r="D391" s="172"/>
      <c r="F391" s="169"/>
      <c r="G391" s="170"/>
      <c r="H391" s="170"/>
      <c r="I391" s="170"/>
      <c r="J391" s="170"/>
      <c r="K391" s="170"/>
      <c r="L391" s="170"/>
      <c r="M391" s="170"/>
      <c r="N391" s="169"/>
    </row>
    <row r="392" spans="1:14" ht="18.95" customHeight="1">
      <c r="A392" s="2"/>
      <c r="B392" s="168"/>
      <c r="C392" s="186"/>
      <c r="D392" s="168"/>
      <c r="F392" s="169"/>
      <c r="G392" s="170"/>
      <c r="H392" s="170"/>
      <c r="I392" s="170"/>
      <c r="J392" s="170"/>
      <c r="K392" s="170"/>
      <c r="L392" s="170"/>
      <c r="M392" s="170"/>
      <c r="N392" s="169"/>
    </row>
    <row r="393" spans="1:14" ht="18.95" customHeight="1">
      <c r="A393" s="167"/>
      <c r="B393" s="168"/>
      <c r="C393" s="186"/>
      <c r="D393" s="172"/>
      <c r="F393" s="169"/>
      <c r="G393" s="170"/>
      <c r="H393" s="170"/>
      <c r="I393" s="170"/>
      <c r="J393" s="170"/>
      <c r="K393" s="170"/>
      <c r="L393" s="170"/>
      <c r="M393" s="170"/>
      <c r="N393" s="169"/>
    </row>
    <row r="394" spans="1:14" ht="18.95" customHeight="1">
      <c r="A394" s="167"/>
      <c r="B394" s="174"/>
      <c r="C394" s="174"/>
      <c r="D394" s="174"/>
      <c r="F394" s="169"/>
      <c r="G394" s="170"/>
      <c r="H394" s="170"/>
      <c r="I394" s="170"/>
      <c r="J394" s="170"/>
      <c r="K394" s="170"/>
      <c r="L394" s="170"/>
      <c r="M394" s="170"/>
      <c r="N394" s="169"/>
    </row>
    <row r="395" spans="1:14" ht="18.95" customHeight="1">
      <c r="B395" s="174"/>
      <c r="C395" s="174"/>
      <c r="D395" s="174"/>
      <c r="F395" s="169"/>
      <c r="G395" s="170"/>
      <c r="H395" s="170"/>
      <c r="I395" s="170"/>
      <c r="J395" s="170"/>
      <c r="K395" s="170"/>
      <c r="L395" s="170"/>
      <c r="M395" s="170"/>
      <c r="N395" s="169"/>
    </row>
    <row r="396" spans="1:14" ht="18.95" customHeight="1">
      <c r="B396" s="174"/>
      <c r="C396" s="174"/>
      <c r="D396" s="174"/>
      <c r="F396" s="169"/>
      <c r="G396" s="170"/>
      <c r="H396" s="170"/>
      <c r="I396" s="170"/>
      <c r="J396" s="170"/>
      <c r="K396" s="170"/>
      <c r="L396" s="170"/>
      <c r="M396" s="170"/>
      <c r="N396" s="169"/>
    </row>
    <row r="397" spans="1:14" ht="18.95" customHeight="1">
      <c r="A397" s="179"/>
      <c r="B397" s="168"/>
      <c r="C397" s="182"/>
      <c r="D397" s="168"/>
      <c r="E397" s="170"/>
      <c r="F397" s="169"/>
      <c r="G397" s="170"/>
      <c r="H397" s="170"/>
      <c r="I397" s="170"/>
      <c r="J397" s="184"/>
      <c r="K397" s="184"/>
      <c r="L397" s="184"/>
      <c r="M397" s="170"/>
      <c r="N397" s="169"/>
    </row>
    <row r="398" spans="1:14" ht="18.95" customHeight="1">
      <c r="A398" s="179"/>
      <c r="B398" s="168"/>
      <c r="C398" s="182"/>
      <c r="D398" s="168"/>
      <c r="E398" s="170"/>
      <c r="F398" s="169"/>
      <c r="G398" s="170"/>
      <c r="H398" s="170"/>
      <c r="I398" s="170"/>
      <c r="J398" s="184"/>
      <c r="K398" s="184"/>
      <c r="L398" s="184"/>
      <c r="M398" s="170"/>
    </row>
    <row r="399" spans="1:14" ht="18.95" customHeight="1">
      <c r="A399" s="167"/>
      <c r="B399" s="168"/>
      <c r="C399" s="168"/>
      <c r="D399" s="168"/>
      <c r="E399" s="170"/>
      <c r="F399" s="192"/>
      <c r="G399" s="170"/>
      <c r="H399" s="170"/>
      <c r="I399" s="170"/>
      <c r="J399" s="184"/>
      <c r="K399" s="184"/>
      <c r="L399" s="184"/>
      <c r="M399" s="170"/>
    </row>
    <row r="400" spans="1:14" ht="18.95" customHeight="1">
      <c r="A400" s="173"/>
      <c r="B400" s="171"/>
      <c r="C400" s="168"/>
      <c r="D400" s="168"/>
      <c r="F400" s="169"/>
      <c r="G400" s="170"/>
      <c r="H400" s="170"/>
      <c r="I400" s="170"/>
      <c r="J400" s="170"/>
      <c r="K400" s="170"/>
      <c r="L400" s="170"/>
      <c r="M400" s="170"/>
    </row>
    <row r="401" spans="1:14" ht="18.95" customHeight="1">
      <c r="A401" s="167"/>
      <c r="B401" s="171"/>
      <c r="C401" s="168"/>
      <c r="D401" s="168"/>
      <c r="F401" s="169"/>
      <c r="G401" s="170"/>
      <c r="H401" s="170"/>
      <c r="I401" s="170"/>
      <c r="J401" s="170"/>
      <c r="K401" s="170"/>
      <c r="L401" s="170"/>
      <c r="M401" s="170"/>
    </row>
    <row r="402" spans="1:14" ht="18.95" customHeight="1">
      <c r="A402" s="167"/>
      <c r="B402" s="171"/>
      <c r="C402" s="168"/>
      <c r="D402" s="172"/>
      <c r="F402" s="169"/>
      <c r="G402" s="170"/>
      <c r="H402" s="170"/>
      <c r="I402" s="170"/>
      <c r="J402" s="170"/>
      <c r="K402" s="170"/>
      <c r="L402" s="170"/>
      <c r="M402" s="170"/>
    </row>
    <row r="403" spans="1:14" ht="18.95" customHeight="1">
      <c r="A403" s="167"/>
      <c r="B403" s="171"/>
      <c r="C403" s="168"/>
      <c r="D403" s="172"/>
      <c r="F403" s="169"/>
      <c r="G403" s="170"/>
      <c r="H403" s="170"/>
      <c r="I403" s="170"/>
      <c r="J403" s="170"/>
      <c r="K403" s="170"/>
      <c r="L403" s="170"/>
      <c r="M403" s="170"/>
    </row>
    <row r="404" spans="1:14" ht="18.95" customHeight="1">
      <c r="A404" s="167"/>
      <c r="B404" s="171"/>
      <c r="C404" s="168"/>
      <c r="D404" s="168"/>
      <c r="F404" s="169"/>
      <c r="G404" s="170"/>
      <c r="H404" s="170"/>
      <c r="I404" s="170"/>
      <c r="J404" s="170"/>
      <c r="K404" s="170"/>
      <c r="L404" s="170"/>
      <c r="M404" s="170"/>
    </row>
    <row r="405" spans="1:14" ht="18.95" customHeight="1">
      <c r="A405" s="167"/>
      <c r="B405" s="171"/>
      <c r="C405" s="168"/>
      <c r="D405" s="168"/>
      <c r="F405" s="169"/>
      <c r="G405" s="170"/>
      <c r="H405" s="170"/>
      <c r="I405" s="170"/>
      <c r="J405" s="170"/>
      <c r="K405" s="170"/>
      <c r="L405" s="170"/>
      <c r="M405" s="170"/>
      <c r="N405" s="169"/>
    </row>
    <row r="406" spans="1:14" ht="18.95" customHeight="1">
      <c r="A406" s="167"/>
      <c r="B406" s="1426"/>
      <c r="C406" s="1426"/>
      <c r="D406" s="1426"/>
      <c r="E406" s="170"/>
      <c r="F406" s="184"/>
      <c r="G406" s="193"/>
      <c r="H406" s="193"/>
      <c r="I406" s="170"/>
      <c r="J406" s="170"/>
      <c r="K406" s="170"/>
      <c r="L406" s="170"/>
      <c r="M406" s="170"/>
      <c r="N406" s="169"/>
    </row>
    <row r="407" spans="1:14" ht="18.95" customHeight="1">
      <c r="B407" s="172"/>
      <c r="C407" s="174"/>
      <c r="D407" s="174"/>
      <c r="F407" s="169"/>
      <c r="G407" s="170"/>
      <c r="H407" s="170"/>
      <c r="I407" s="170"/>
      <c r="J407" s="170"/>
      <c r="K407" s="170"/>
      <c r="L407" s="184"/>
      <c r="M407" s="170"/>
      <c r="N407" s="169"/>
    </row>
    <row r="408" spans="1:14" ht="18.95" customHeight="1">
      <c r="A408" s="167"/>
      <c r="B408" s="168"/>
      <c r="C408" s="168"/>
      <c r="D408" s="168"/>
      <c r="E408" s="170"/>
      <c r="F408" s="192"/>
      <c r="G408" s="170"/>
      <c r="H408" s="170"/>
      <c r="I408" s="193"/>
      <c r="J408" s="193"/>
      <c r="K408" s="193"/>
      <c r="L408" s="193"/>
      <c r="M408" s="170"/>
      <c r="N408" s="169"/>
    </row>
    <row r="409" spans="1:14" ht="18.95" customHeight="1">
      <c r="A409" s="177"/>
      <c r="B409" s="171"/>
      <c r="C409" s="168"/>
      <c r="D409" s="168"/>
      <c r="F409" s="169"/>
      <c r="G409" s="170"/>
      <c r="H409" s="170"/>
      <c r="I409" s="170"/>
      <c r="J409" s="170"/>
      <c r="K409" s="170"/>
      <c r="L409" s="170"/>
      <c r="M409" s="170"/>
      <c r="N409" s="169"/>
    </row>
    <row r="410" spans="1:14" ht="18.95" customHeight="1">
      <c r="A410" s="191"/>
      <c r="B410" s="171"/>
      <c r="C410" s="168"/>
      <c r="D410" s="168"/>
      <c r="F410" s="169"/>
      <c r="G410" s="170"/>
      <c r="H410" s="170"/>
      <c r="I410" s="170"/>
      <c r="J410" s="170"/>
      <c r="K410" s="170"/>
      <c r="L410" s="170"/>
      <c r="M410" s="170"/>
      <c r="N410" s="169"/>
    </row>
    <row r="411" spans="1:14" ht="18.95" customHeight="1">
      <c r="A411" s="2"/>
      <c r="B411" s="171"/>
      <c r="C411" s="168"/>
      <c r="D411" s="168"/>
      <c r="F411" s="169"/>
      <c r="G411" s="170"/>
      <c r="H411" s="170"/>
      <c r="I411" s="170"/>
      <c r="J411" s="170"/>
      <c r="K411" s="170"/>
      <c r="L411" s="170"/>
      <c r="M411" s="170"/>
      <c r="N411" s="169"/>
    </row>
    <row r="412" spans="1:14" ht="18.95" customHeight="1">
      <c r="A412" s="2"/>
      <c r="B412" s="171"/>
      <c r="C412" s="168"/>
      <c r="D412" s="168"/>
      <c r="F412" s="169"/>
      <c r="G412" s="170"/>
      <c r="H412" s="170"/>
      <c r="I412" s="170"/>
      <c r="J412" s="170"/>
      <c r="K412" s="170"/>
      <c r="L412" s="170"/>
      <c r="M412" s="170"/>
      <c r="N412" s="169"/>
    </row>
    <row r="413" spans="1:14" ht="18.95" customHeight="1">
      <c r="A413" s="2"/>
      <c r="B413" s="171"/>
      <c r="C413" s="168"/>
      <c r="D413" s="168"/>
      <c r="F413" s="169"/>
      <c r="G413" s="170"/>
      <c r="H413" s="170"/>
      <c r="I413" s="170"/>
      <c r="J413" s="170"/>
      <c r="K413" s="170"/>
      <c r="L413" s="170"/>
      <c r="M413" s="170"/>
      <c r="N413" s="169"/>
    </row>
    <row r="414" spans="1:14" ht="18.95" customHeight="1">
      <c r="A414" s="2"/>
      <c r="B414" s="171"/>
      <c r="C414" s="168"/>
      <c r="D414" s="168"/>
      <c r="F414" s="169"/>
      <c r="G414" s="170"/>
      <c r="H414" s="170"/>
      <c r="I414" s="170"/>
      <c r="J414" s="170"/>
      <c r="K414" s="170"/>
      <c r="L414" s="170"/>
      <c r="M414" s="170"/>
      <c r="N414" s="169"/>
    </row>
    <row r="415" spans="1:14" ht="18.95" customHeight="1">
      <c r="A415" s="179"/>
      <c r="B415" s="1426"/>
      <c r="C415" s="1426"/>
      <c r="D415" s="1426"/>
      <c r="E415" s="170"/>
      <c r="F415" s="184"/>
      <c r="G415" s="193"/>
      <c r="H415" s="193"/>
      <c r="I415" s="170"/>
      <c r="J415" s="170"/>
      <c r="K415" s="170"/>
      <c r="L415" s="170"/>
      <c r="M415" s="170"/>
      <c r="N415" s="169"/>
    </row>
    <row r="416" spans="1:14" ht="18.95" customHeight="1">
      <c r="A416" s="179"/>
      <c r="B416" s="168"/>
      <c r="C416" s="187"/>
      <c r="D416" s="172"/>
      <c r="E416" s="170"/>
      <c r="F416" s="169"/>
      <c r="G416" s="170"/>
      <c r="H416" s="170"/>
      <c r="I416" s="170"/>
      <c r="J416" s="170"/>
      <c r="K416" s="170"/>
      <c r="L416" s="170"/>
      <c r="M416" s="170"/>
      <c r="N416" s="169"/>
    </row>
    <row r="417" spans="1:14" ht="18.95" customHeight="1">
      <c r="A417" s="167"/>
      <c r="B417" s="168"/>
      <c r="C417" s="168"/>
      <c r="D417" s="172"/>
      <c r="F417" s="169"/>
      <c r="G417" s="170"/>
      <c r="H417" s="170"/>
      <c r="I417" s="170"/>
      <c r="J417" s="170"/>
      <c r="K417" s="170"/>
      <c r="L417" s="170"/>
      <c r="M417" s="170"/>
      <c r="N417" s="169"/>
    </row>
    <row r="418" spans="1:14" ht="18.95" customHeight="1">
      <c r="A418" s="167"/>
      <c r="B418" s="194"/>
      <c r="C418" s="195"/>
      <c r="D418" s="195"/>
      <c r="F418" s="169"/>
      <c r="G418" s="170"/>
      <c r="H418" s="170"/>
      <c r="I418" s="170"/>
      <c r="J418" s="170"/>
      <c r="K418" s="170"/>
      <c r="L418" s="170"/>
      <c r="M418" s="170"/>
      <c r="N418" s="169"/>
    </row>
    <row r="419" spans="1:14" ht="18.95" customHeight="1">
      <c r="A419" s="167"/>
      <c r="B419" s="194"/>
      <c r="C419" s="195"/>
      <c r="D419" s="195"/>
      <c r="F419" s="169"/>
      <c r="G419" s="170"/>
      <c r="H419" s="170"/>
      <c r="I419" s="170"/>
      <c r="J419" s="170"/>
      <c r="K419" s="170"/>
      <c r="L419" s="170"/>
      <c r="M419" s="170"/>
      <c r="N419" s="169"/>
    </row>
    <row r="420" spans="1:14" ht="18.95" customHeight="1">
      <c r="A420" s="167"/>
      <c r="B420" s="171"/>
      <c r="C420" s="174"/>
      <c r="D420" s="174"/>
      <c r="F420" s="169"/>
      <c r="G420" s="170"/>
      <c r="H420" s="170"/>
      <c r="I420" s="170"/>
      <c r="J420" s="170"/>
      <c r="K420" s="170"/>
      <c r="L420" s="170"/>
      <c r="M420" s="170"/>
    </row>
    <row r="421" spans="1:14" ht="18.95" customHeight="1">
      <c r="A421" s="177"/>
      <c r="B421" s="171"/>
      <c r="C421" s="174"/>
      <c r="D421" s="174"/>
      <c r="F421" s="169"/>
      <c r="G421" s="170"/>
      <c r="H421" s="170"/>
      <c r="I421" s="170"/>
      <c r="J421" s="170"/>
      <c r="K421" s="170"/>
      <c r="L421" s="170"/>
      <c r="M421" s="170"/>
      <c r="N421" s="169"/>
    </row>
    <row r="422" spans="1:14" ht="18.95" customHeight="1">
      <c r="A422" s="2"/>
      <c r="B422" s="171"/>
      <c r="C422" s="168"/>
      <c r="D422" s="168"/>
      <c r="F422" s="169"/>
      <c r="G422" s="170"/>
      <c r="H422" s="170"/>
      <c r="I422" s="170"/>
      <c r="J422" s="170"/>
      <c r="K422" s="170"/>
      <c r="L422" s="170"/>
      <c r="M422" s="170"/>
      <c r="N422" s="169"/>
    </row>
    <row r="423" spans="1:14" ht="18.95" customHeight="1">
      <c r="A423" s="2"/>
      <c r="B423" s="194"/>
      <c r="C423" s="195"/>
      <c r="D423" s="195"/>
      <c r="F423" s="169"/>
      <c r="G423" s="170"/>
      <c r="H423" s="170"/>
      <c r="I423" s="170"/>
      <c r="J423" s="170"/>
      <c r="K423" s="170"/>
      <c r="L423" s="170"/>
      <c r="M423" s="170"/>
      <c r="N423" s="169"/>
    </row>
    <row r="424" spans="1:14" ht="18.95" customHeight="1">
      <c r="B424" s="1423"/>
      <c r="C424" s="1423"/>
      <c r="D424" s="1423"/>
      <c r="F424" s="169"/>
      <c r="G424" s="170"/>
      <c r="H424" s="170"/>
      <c r="I424" s="170"/>
      <c r="J424" s="170"/>
      <c r="K424" s="170"/>
      <c r="L424" s="170"/>
      <c r="M424" s="170"/>
      <c r="N424" s="169"/>
    </row>
    <row r="425" spans="1:14" ht="18.95" customHeight="1">
      <c r="A425" s="179"/>
      <c r="B425" s="182"/>
      <c r="C425" s="182"/>
      <c r="D425" s="172"/>
      <c r="E425" s="170"/>
      <c r="F425" s="169"/>
      <c r="G425" s="170"/>
      <c r="H425" s="170"/>
      <c r="I425" s="170"/>
      <c r="J425" s="170"/>
      <c r="K425" s="170"/>
      <c r="L425" s="184"/>
      <c r="M425" s="170"/>
    </row>
    <row r="426" spans="1:14" ht="18.95" customHeight="1">
      <c r="A426" s="177"/>
      <c r="B426" s="171"/>
      <c r="C426" s="174"/>
      <c r="D426" s="174"/>
      <c r="F426" s="169"/>
      <c r="G426" s="170"/>
      <c r="H426" s="170"/>
      <c r="I426" s="170"/>
      <c r="J426" s="170"/>
      <c r="K426" s="170"/>
      <c r="L426" s="170"/>
      <c r="M426" s="170"/>
      <c r="N426" s="169"/>
    </row>
    <row r="427" spans="1:14" ht="18.95" customHeight="1">
      <c r="A427" s="167"/>
      <c r="B427" s="171"/>
      <c r="C427" s="168"/>
      <c r="D427" s="168"/>
      <c r="F427" s="169"/>
      <c r="G427" s="170"/>
      <c r="H427" s="170"/>
      <c r="I427" s="170"/>
      <c r="J427" s="170"/>
      <c r="K427" s="170"/>
      <c r="L427" s="170"/>
      <c r="M427" s="170"/>
      <c r="N427" s="169"/>
    </row>
    <row r="428" spans="1:14" ht="18.95" customHeight="1">
      <c r="B428" s="171"/>
      <c r="C428" s="168"/>
      <c r="D428" s="168"/>
      <c r="F428" s="169"/>
      <c r="G428" s="170"/>
      <c r="H428" s="170"/>
      <c r="I428" s="170"/>
      <c r="J428" s="170"/>
      <c r="K428" s="170"/>
      <c r="L428" s="170"/>
      <c r="M428" s="170"/>
    </row>
    <row r="429" spans="1:14" ht="18.95" customHeight="1">
      <c r="A429" s="177"/>
      <c r="B429" s="1423"/>
      <c r="C429" s="1423"/>
      <c r="D429" s="1423"/>
      <c r="F429" s="169"/>
      <c r="G429" s="170"/>
      <c r="H429" s="170"/>
      <c r="I429" s="170"/>
      <c r="J429" s="170"/>
      <c r="K429" s="170"/>
      <c r="L429" s="170"/>
      <c r="M429" s="170"/>
    </row>
    <row r="430" spans="1:14" ht="18.95" customHeight="1">
      <c r="A430" s="177"/>
      <c r="B430" s="178"/>
      <c r="C430" s="178"/>
      <c r="D430" s="178"/>
      <c r="F430" s="169"/>
      <c r="G430" s="170"/>
      <c r="H430" s="170"/>
      <c r="I430" s="170"/>
      <c r="J430" s="170"/>
      <c r="K430" s="170"/>
      <c r="L430" s="170"/>
      <c r="M430" s="170"/>
      <c r="N430" s="169"/>
    </row>
    <row r="431" spans="1:14" ht="18.95" customHeight="1">
      <c r="A431" s="177"/>
      <c r="B431" s="168"/>
      <c r="C431" s="168"/>
      <c r="D431" s="172"/>
      <c r="F431" s="169"/>
      <c r="G431" s="170"/>
      <c r="H431" s="170"/>
      <c r="I431" s="170"/>
      <c r="J431" s="170"/>
      <c r="K431" s="170"/>
      <c r="L431" s="170"/>
      <c r="M431" s="170"/>
      <c r="N431" s="169"/>
    </row>
    <row r="432" spans="1:14" ht="18.95" customHeight="1">
      <c r="A432" s="177"/>
      <c r="B432" s="194"/>
      <c r="C432" s="195"/>
      <c r="D432" s="195"/>
      <c r="F432" s="169"/>
      <c r="G432" s="170"/>
      <c r="H432" s="170"/>
      <c r="I432" s="170"/>
      <c r="J432" s="170"/>
      <c r="K432" s="170"/>
      <c r="L432" s="170"/>
      <c r="M432" s="170"/>
      <c r="N432" s="169"/>
    </row>
    <row r="433" spans="1:14" ht="18.95" customHeight="1">
      <c r="A433" s="177"/>
      <c r="B433" s="194"/>
      <c r="C433" s="195"/>
      <c r="D433" s="195"/>
      <c r="F433" s="169"/>
      <c r="G433" s="170"/>
      <c r="H433" s="170"/>
      <c r="I433" s="170"/>
      <c r="J433" s="170"/>
      <c r="K433" s="170"/>
      <c r="L433" s="170"/>
      <c r="M433" s="170"/>
      <c r="N433" s="169"/>
    </row>
    <row r="434" spans="1:14" ht="18.95" customHeight="1">
      <c r="A434" s="2"/>
      <c r="B434" s="171"/>
      <c r="C434" s="195"/>
      <c r="D434" s="174"/>
      <c r="F434" s="169"/>
      <c r="G434" s="170"/>
      <c r="H434" s="170"/>
      <c r="I434" s="170"/>
      <c r="J434" s="170"/>
      <c r="K434" s="170"/>
      <c r="L434" s="170"/>
      <c r="M434" s="170"/>
    </row>
    <row r="435" spans="1:14" ht="18.95" customHeight="1">
      <c r="B435" s="171"/>
      <c r="C435" s="174"/>
      <c r="D435" s="174"/>
      <c r="F435" s="169"/>
      <c r="G435" s="170"/>
      <c r="H435" s="170"/>
      <c r="I435" s="170"/>
      <c r="J435" s="170"/>
      <c r="K435" s="170"/>
      <c r="L435" s="170"/>
      <c r="M435" s="170"/>
      <c r="N435" s="169"/>
    </row>
    <row r="436" spans="1:14" ht="18.95" customHeight="1">
      <c r="A436" s="2"/>
      <c r="B436" s="171"/>
      <c r="C436" s="168"/>
      <c r="D436" s="168"/>
      <c r="F436" s="169"/>
      <c r="G436" s="170"/>
      <c r="H436" s="170"/>
      <c r="I436" s="170"/>
      <c r="J436" s="170"/>
      <c r="K436" s="170"/>
      <c r="L436" s="170"/>
      <c r="M436" s="170"/>
      <c r="N436" s="169"/>
    </row>
    <row r="437" spans="1:14" ht="18.95" customHeight="1">
      <c r="A437" s="177"/>
      <c r="B437" s="171"/>
      <c r="C437" s="168"/>
      <c r="D437" s="168"/>
      <c r="E437" s="1425"/>
      <c r="F437" s="1425"/>
      <c r="G437" s="1425"/>
      <c r="H437" s="169"/>
      <c r="I437" s="170"/>
      <c r="J437" s="170"/>
      <c r="K437" s="170"/>
      <c r="L437" s="170"/>
      <c r="M437" s="170"/>
      <c r="N437" s="196"/>
    </row>
    <row r="438" spans="1:14" ht="18.95" customHeight="1">
      <c r="A438" s="177"/>
      <c r="B438" s="171"/>
      <c r="C438" s="168"/>
      <c r="D438" s="168"/>
      <c r="F438" s="169"/>
      <c r="G438" s="170"/>
      <c r="H438" s="170"/>
      <c r="I438" s="170"/>
      <c r="J438" s="170"/>
      <c r="K438" s="170"/>
      <c r="L438" s="170"/>
      <c r="M438" s="170"/>
      <c r="N438" s="169"/>
    </row>
    <row r="439" spans="1:14" ht="18.95" customHeight="1">
      <c r="A439" s="191"/>
      <c r="B439" s="171"/>
      <c r="C439" s="168"/>
      <c r="D439" s="168"/>
      <c r="F439" s="169"/>
      <c r="G439" s="170"/>
      <c r="H439" s="170"/>
      <c r="I439" s="170"/>
      <c r="J439" s="170"/>
      <c r="K439" s="170"/>
      <c r="L439" s="170"/>
      <c r="M439" s="170"/>
      <c r="N439" s="169"/>
    </row>
    <row r="440" spans="1:14" ht="18.95" customHeight="1">
      <c r="A440" s="2"/>
      <c r="B440" s="171"/>
      <c r="C440" s="168"/>
      <c r="D440" s="168"/>
      <c r="F440" s="169"/>
      <c r="G440" s="170"/>
      <c r="H440" s="170"/>
      <c r="I440" s="170"/>
      <c r="J440" s="170"/>
      <c r="K440" s="170"/>
      <c r="L440" s="170"/>
      <c r="M440" s="170"/>
      <c r="N440" s="169"/>
    </row>
    <row r="441" spans="1:14" ht="18.95" customHeight="1">
      <c r="A441" s="2"/>
      <c r="B441" s="171"/>
      <c r="C441" s="174"/>
      <c r="D441" s="168"/>
      <c r="F441" s="169"/>
      <c r="G441" s="170"/>
      <c r="H441" s="170"/>
      <c r="I441" s="170"/>
      <c r="J441" s="170"/>
      <c r="K441" s="170"/>
      <c r="L441" s="170"/>
      <c r="M441" s="170"/>
    </row>
    <row r="442" spans="1:14" ht="18.95" customHeight="1">
      <c r="A442" s="177"/>
      <c r="B442" s="171"/>
      <c r="C442" s="185"/>
      <c r="D442" s="172"/>
      <c r="E442" s="170"/>
      <c r="F442" s="169"/>
      <c r="G442" s="170"/>
      <c r="H442" s="170"/>
      <c r="I442" s="170"/>
      <c r="J442" s="170"/>
      <c r="K442" s="170"/>
      <c r="L442" s="184"/>
      <c r="M442" s="170"/>
      <c r="N442" s="169"/>
    </row>
    <row r="443" spans="1:14" ht="18.95" customHeight="1">
      <c r="A443" s="2"/>
      <c r="B443" s="1423"/>
      <c r="C443" s="1423"/>
      <c r="D443" s="1423"/>
      <c r="F443" s="169"/>
      <c r="G443" s="170"/>
      <c r="H443" s="170"/>
      <c r="I443" s="170"/>
      <c r="J443" s="170"/>
      <c r="K443" s="170"/>
      <c r="L443" s="170"/>
      <c r="M443" s="170"/>
      <c r="N443" s="169"/>
    </row>
    <row r="444" spans="1:14" ht="18.95" customHeight="1">
      <c r="A444" s="2"/>
      <c r="B444" s="172"/>
      <c r="C444" s="174"/>
      <c r="D444" s="172"/>
      <c r="E444" s="170"/>
      <c r="F444" s="169"/>
      <c r="G444" s="170"/>
      <c r="H444" s="170"/>
      <c r="I444" s="170"/>
      <c r="J444" s="170"/>
      <c r="K444" s="170"/>
      <c r="L444" s="170"/>
      <c r="M444" s="170"/>
      <c r="N444" s="169"/>
    </row>
    <row r="445" spans="1:14" ht="18.95" customHeight="1">
      <c r="A445" s="177"/>
      <c r="B445" s="168"/>
      <c r="C445" s="168"/>
      <c r="D445" s="172"/>
      <c r="F445" s="169"/>
      <c r="G445" s="170"/>
      <c r="H445" s="170"/>
      <c r="I445" s="170"/>
      <c r="J445" s="170"/>
      <c r="K445" s="170"/>
      <c r="L445" s="170"/>
      <c r="M445" s="170"/>
      <c r="N445" s="169"/>
    </row>
    <row r="446" spans="1:14" ht="18.95" customHeight="1">
      <c r="A446" s="177"/>
      <c r="B446" s="194"/>
      <c r="C446" s="195"/>
      <c r="D446" s="195"/>
      <c r="F446" s="169"/>
      <c r="G446" s="170"/>
      <c r="H446" s="170"/>
      <c r="I446" s="170"/>
      <c r="J446" s="170"/>
      <c r="K446" s="170"/>
      <c r="L446" s="170"/>
      <c r="M446" s="170"/>
      <c r="N446" s="169"/>
    </row>
    <row r="447" spans="1:14" ht="18.95" customHeight="1">
      <c r="A447" s="177"/>
      <c r="B447" s="194"/>
      <c r="C447" s="195"/>
      <c r="D447" s="195"/>
      <c r="F447" s="169"/>
      <c r="G447" s="170"/>
      <c r="H447" s="170"/>
      <c r="I447" s="170"/>
      <c r="J447" s="170"/>
      <c r="K447" s="170"/>
      <c r="L447" s="170"/>
      <c r="M447" s="170"/>
      <c r="N447" s="169"/>
    </row>
    <row r="448" spans="1:14" ht="18.95" customHeight="1">
      <c r="A448" s="167"/>
      <c r="B448" s="171"/>
      <c r="C448" s="168"/>
      <c r="D448" s="168"/>
      <c r="F448" s="169"/>
      <c r="G448" s="170"/>
      <c r="H448" s="170"/>
      <c r="I448" s="170"/>
      <c r="J448" s="170"/>
      <c r="K448" s="170"/>
      <c r="L448" s="170"/>
      <c r="M448" s="170"/>
      <c r="N448" s="169"/>
    </row>
    <row r="449" spans="1:14" ht="18.95" customHeight="1">
      <c r="A449" s="167"/>
      <c r="B449" s="171"/>
      <c r="C449" s="168"/>
      <c r="D449" s="168"/>
      <c r="F449" s="169"/>
      <c r="G449" s="170"/>
      <c r="H449" s="170"/>
      <c r="I449" s="170"/>
      <c r="J449" s="170"/>
      <c r="K449" s="170"/>
      <c r="L449" s="170"/>
      <c r="M449" s="170"/>
      <c r="N449" s="169"/>
    </row>
    <row r="450" spans="1:14" ht="18.95" customHeight="1">
      <c r="B450" s="171"/>
      <c r="C450" s="168"/>
      <c r="D450" s="168"/>
      <c r="F450" s="169"/>
      <c r="G450" s="170"/>
      <c r="H450" s="170"/>
      <c r="I450" s="170"/>
      <c r="J450" s="170"/>
      <c r="K450" s="170"/>
      <c r="L450" s="170"/>
      <c r="M450" s="170"/>
      <c r="N450" s="169"/>
    </row>
    <row r="451" spans="1:14" ht="18.95" customHeight="1">
      <c r="A451" s="177"/>
      <c r="B451" s="171"/>
      <c r="C451" s="168"/>
      <c r="D451" s="168"/>
      <c r="F451" s="169"/>
      <c r="G451" s="170"/>
      <c r="H451" s="170"/>
      <c r="I451" s="170"/>
      <c r="J451" s="170"/>
      <c r="K451" s="170"/>
      <c r="L451" s="170"/>
      <c r="M451" s="170"/>
      <c r="N451" s="169"/>
    </row>
    <row r="452" spans="1:14" ht="18.95" customHeight="1">
      <c r="B452" s="171"/>
      <c r="C452" s="195"/>
      <c r="D452" s="168"/>
      <c r="F452" s="169"/>
      <c r="G452" s="170"/>
      <c r="H452" s="170"/>
      <c r="I452" s="170"/>
      <c r="J452" s="170"/>
      <c r="K452" s="170"/>
      <c r="L452" s="170"/>
      <c r="M452" s="170"/>
      <c r="N452" s="169"/>
    </row>
    <row r="453" spans="1:14" ht="18.95" customHeight="1">
      <c r="A453" s="179"/>
      <c r="B453" s="182"/>
      <c r="C453" s="197"/>
      <c r="D453" s="172"/>
      <c r="E453" s="170"/>
      <c r="F453" s="169"/>
      <c r="G453" s="170"/>
      <c r="H453" s="170"/>
      <c r="I453" s="170"/>
      <c r="J453" s="170"/>
      <c r="K453" s="170"/>
      <c r="L453" s="184"/>
      <c r="M453" s="170"/>
    </row>
    <row r="454" spans="1:14" ht="18.95" customHeight="1">
      <c r="A454" s="177"/>
      <c r="B454" s="171"/>
      <c r="C454" s="174"/>
      <c r="D454" s="168"/>
      <c r="F454" s="169"/>
      <c r="G454" s="170"/>
      <c r="H454" s="170"/>
      <c r="I454" s="170"/>
      <c r="J454" s="170"/>
      <c r="K454" s="170"/>
      <c r="L454" s="170"/>
      <c r="M454" s="170"/>
    </row>
    <row r="455" spans="1:14" ht="18.95" customHeight="1">
      <c r="A455" s="177"/>
      <c r="B455" s="171"/>
      <c r="C455" s="198"/>
      <c r="D455" s="172"/>
      <c r="E455" s="170"/>
      <c r="F455" s="169"/>
      <c r="G455" s="170"/>
      <c r="H455" s="170"/>
      <c r="I455" s="170"/>
      <c r="J455" s="170"/>
      <c r="K455" s="170"/>
      <c r="L455" s="184"/>
      <c r="M455" s="170"/>
    </row>
    <row r="456" spans="1:14" ht="18.95" customHeight="1">
      <c r="A456" s="167"/>
      <c r="B456" s="1423"/>
      <c r="C456" s="1423"/>
      <c r="D456" s="1423"/>
      <c r="F456" s="169"/>
      <c r="G456" s="170"/>
      <c r="H456" s="170"/>
      <c r="I456" s="170"/>
      <c r="J456" s="170"/>
      <c r="K456" s="170"/>
      <c r="L456" s="170"/>
      <c r="M456" s="170"/>
    </row>
    <row r="457" spans="1:14" ht="18.95" customHeight="1">
      <c r="A457" s="177"/>
      <c r="B457" s="171"/>
      <c r="C457" s="185"/>
      <c r="D457" s="172"/>
      <c r="E457" s="170"/>
      <c r="F457" s="169"/>
      <c r="G457" s="170"/>
      <c r="H457" s="170"/>
      <c r="I457" s="170"/>
      <c r="J457" s="170"/>
      <c r="K457" s="170"/>
      <c r="L457" s="184"/>
      <c r="M457" s="170"/>
    </row>
    <row r="458" spans="1:14" ht="18.95" customHeight="1">
      <c r="A458" s="177"/>
      <c r="B458" s="168"/>
      <c r="C458" s="168"/>
      <c r="D458" s="174"/>
      <c r="F458" s="169"/>
      <c r="G458" s="170"/>
      <c r="H458" s="170"/>
      <c r="I458" s="170"/>
      <c r="J458" s="170"/>
      <c r="K458" s="170"/>
      <c r="L458" s="170"/>
      <c r="M458" s="170"/>
    </row>
    <row r="459" spans="1:14" ht="18.95" customHeight="1">
      <c r="A459" s="177"/>
      <c r="B459" s="194"/>
      <c r="C459" s="195"/>
      <c r="D459" s="195"/>
      <c r="F459" s="169"/>
      <c r="G459" s="170"/>
      <c r="H459" s="170"/>
      <c r="I459" s="170"/>
      <c r="J459" s="170"/>
      <c r="K459" s="170"/>
      <c r="L459" s="170"/>
      <c r="M459" s="170"/>
    </row>
    <row r="460" spans="1:14" ht="18.95" customHeight="1">
      <c r="A460" s="177"/>
      <c r="B460" s="194"/>
      <c r="C460" s="195"/>
      <c r="D460" s="195"/>
      <c r="F460" s="169"/>
      <c r="G460" s="170"/>
      <c r="H460" s="170"/>
      <c r="I460" s="170"/>
      <c r="J460" s="170"/>
      <c r="K460" s="170"/>
      <c r="L460" s="170"/>
      <c r="M460" s="170"/>
      <c r="N460" s="169"/>
    </row>
    <row r="461" spans="1:14" ht="18.95" customHeight="1">
      <c r="A461" s="2"/>
      <c r="B461" s="171"/>
      <c r="C461" s="168"/>
      <c r="D461" s="168"/>
      <c r="F461" s="169"/>
      <c r="G461" s="170"/>
      <c r="H461" s="170"/>
      <c r="I461" s="170"/>
      <c r="J461" s="170"/>
      <c r="K461" s="170"/>
      <c r="L461" s="170"/>
      <c r="M461" s="170"/>
      <c r="N461" s="169"/>
    </row>
    <row r="462" spans="1:14" ht="18.95" customHeight="1">
      <c r="B462" s="171"/>
      <c r="C462" s="168"/>
      <c r="D462" s="168"/>
      <c r="F462" s="169"/>
      <c r="G462" s="170"/>
      <c r="H462" s="170"/>
      <c r="I462" s="170"/>
      <c r="J462" s="170"/>
      <c r="K462" s="170"/>
      <c r="L462" s="170"/>
      <c r="M462" s="170"/>
      <c r="N462" s="169"/>
    </row>
    <row r="463" spans="1:14" ht="18.95" customHeight="1">
      <c r="A463" s="177"/>
      <c r="B463" s="171"/>
      <c r="C463" s="168"/>
      <c r="D463" s="168"/>
      <c r="F463" s="169"/>
      <c r="G463" s="170"/>
      <c r="H463" s="170"/>
      <c r="I463" s="170"/>
      <c r="J463" s="170"/>
      <c r="K463" s="170"/>
      <c r="L463" s="170"/>
      <c r="M463" s="170"/>
      <c r="N463" s="169"/>
    </row>
    <row r="464" spans="1:14" ht="18.95" customHeight="1">
      <c r="A464" s="177"/>
      <c r="B464" s="171"/>
      <c r="C464" s="168"/>
      <c r="D464" s="168"/>
      <c r="F464" s="169"/>
      <c r="G464" s="170"/>
      <c r="H464" s="170"/>
      <c r="I464" s="170"/>
      <c r="J464" s="170"/>
      <c r="K464" s="170"/>
      <c r="L464" s="170"/>
      <c r="M464" s="170"/>
      <c r="N464" s="169"/>
    </row>
    <row r="465" spans="1:14" ht="18.95" customHeight="1">
      <c r="A465" s="191"/>
      <c r="B465" s="1423"/>
      <c r="C465" s="1423"/>
      <c r="D465" s="1423"/>
      <c r="F465" s="169"/>
      <c r="G465" s="170"/>
      <c r="H465" s="170"/>
      <c r="I465" s="170"/>
      <c r="J465" s="170"/>
      <c r="K465" s="170"/>
      <c r="L465" s="170"/>
      <c r="M465" s="170"/>
      <c r="N465" s="169"/>
    </row>
    <row r="466" spans="1:14" ht="18.95" customHeight="1">
      <c r="A466" s="191"/>
      <c r="B466" s="178"/>
      <c r="C466" s="178"/>
      <c r="D466" s="178"/>
      <c r="F466" s="169"/>
      <c r="G466" s="170"/>
      <c r="H466" s="170"/>
      <c r="I466" s="170"/>
      <c r="J466" s="170"/>
      <c r="K466" s="170"/>
      <c r="L466" s="170"/>
      <c r="M466" s="170"/>
      <c r="N466" s="169"/>
    </row>
    <row r="467" spans="1:14" ht="18.95" customHeight="1">
      <c r="A467" s="2"/>
      <c r="B467" s="172"/>
      <c r="C467" s="174"/>
      <c r="D467" s="172"/>
      <c r="E467" s="170"/>
      <c r="F467" s="169"/>
      <c r="G467" s="170"/>
      <c r="H467" s="170"/>
      <c r="I467" s="170"/>
      <c r="J467" s="170"/>
      <c r="K467" s="170"/>
      <c r="L467" s="170"/>
      <c r="M467" s="170"/>
      <c r="N467" s="169"/>
    </row>
    <row r="468" spans="1:14" ht="18.95" customHeight="1">
      <c r="A468" s="2"/>
      <c r="B468" s="171"/>
      <c r="C468" s="168"/>
      <c r="D468" s="172"/>
      <c r="E468" s="170"/>
      <c r="F468" s="169"/>
      <c r="G468" s="170"/>
      <c r="H468" s="170"/>
      <c r="I468" s="170"/>
      <c r="J468" s="170"/>
      <c r="K468" s="170"/>
      <c r="L468" s="170"/>
      <c r="M468" s="170"/>
      <c r="N468" s="169"/>
    </row>
    <row r="469" spans="1:14" ht="18.95" customHeight="1">
      <c r="A469" s="2"/>
      <c r="B469" s="171"/>
      <c r="C469" s="168"/>
      <c r="D469" s="172"/>
      <c r="E469" s="170"/>
      <c r="F469" s="169"/>
      <c r="G469" s="170"/>
      <c r="H469" s="170"/>
      <c r="I469" s="170"/>
      <c r="J469" s="170"/>
      <c r="K469" s="170"/>
      <c r="L469" s="170"/>
      <c r="M469" s="170"/>
      <c r="N469" s="169"/>
    </row>
    <row r="470" spans="1:14" ht="18.95" customHeight="1">
      <c r="A470" s="2"/>
      <c r="B470" s="171"/>
      <c r="C470" s="168"/>
      <c r="D470" s="172"/>
      <c r="E470" s="170"/>
      <c r="F470" s="169"/>
      <c r="G470" s="170"/>
      <c r="H470" s="170"/>
      <c r="I470" s="170"/>
      <c r="J470" s="170"/>
      <c r="K470" s="170"/>
      <c r="L470" s="170"/>
      <c r="M470" s="170"/>
      <c r="N470" s="169"/>
    </row>
    <row r="471" spans="1:14" ht="18.95" customHeight="1">
      <c r="A471" s="179"/>
      <c r="B471" s="171"/>
      <c r="C471" s="168"/>
      <c r="D471" s="172"/>
      <c r="E471" s="170"/>
      <c r="F471" s="169"/>
      <c r="G471" s="170"/>
      <c r="H471" s="170"/>
      <c r="I471" s="170"/>
      <c r="J471" s="170"/>
      <c r="K471" s="170"/>
      <c r="L471" s="170"/>
      <c r="M471" s="170"/>
      <c r="N471" s="169"/>
    </row>
    <row r="472" spans="1:14" ht="18.95" customHeight="1">
      <c r="A472" s="179"/>
      <c r="B472" s="171"/>
      <c r="C472" s="168"/>
      <c r="D472" s="172"/>
      <c r="E472" s="170"/>
      <c r="F472" s="169"/>
      <c r="G472" s="170"/>
      <c r="H472" s="170"/>
      <c r="I472" s="170"/>
      <c r="J472" s="170"/>
      <c r="K472" s="170"/>
      <c r="L472" s="170"/>
      <c r="M472" s="170"/>
      <c r="N472" s="169"/>
    </row>
    <row r="473" spans="1:14" ht="18.95" customHeight="1">
      <c r="A473" s="167"/>
      <c r="B473" s="1423"/>
      <c r="C473" s="1423"/>
      <c r="D473" s="1423"/>
      <c r="F473" s="169"/>
      <c r="G473" s="170"/>
      <c r="H473" s="170"/>
      <c r="I473" s="170"/>
      <c r="J473" s="170"/>
      <c r="K473" s="170"/>
      <c r="L473" s="170"/>
      <c r="M473" s="170"/>
      <c r="N473" s="169"/>
    </row>
    <row r="474" spans="1:14" ht="18.95" customHeight="1">
      <c r="A474" s="167"/>
      <c r="B474" s="178"/>
      <c r="C474" s="178"/>
      <c r="D474" s="178"/>
      <c r="F474" s="169"/>
      <c r="G474" s="170"/>
      <c r="H474" s="170"/>
      <c r="I474" s="170"/>
      <c r="J474" s="170"/>
      <c r="K474" s="170"/>
      <c r="L474" s="170"/>
      <c r="M474" s="170"/>
      <c r="N474" s="169"/>
    </row>
    <row r="475" spans="1:14" ht="18.95" customHeight="1">
      <c r="A475" s="2"/>
      <c r="B475" s="168"/>
      <c r="C475" s="195"/>
      <c r="D475" s="199"/>
      <c r="E475" s="170"/>
      <c r="F475" s="192"/>
      <c r="G475" s="170"/>
      <c r="H475" s="170"/>
      <c r="I475" s="170"/>
      <c r="J475" s="184"/>
      <c r="K475" s="184"/>
      <c r="L475" s="184"/>
      <c r="M475" s="170"/>
      <c r="N475" s="169"/>
    </row>
    <row r="476" spans="1:14" ht="18.95" customHeight="1">
      <c r="A476" s="2"/>
      <c r="B476" s="194"/>
      <c r="C476" s="195"/>
      <c r="D476" s="195"/>
      <c r="F476" s="169"/>
      <c r="G476" s="170"/>
      <c r="H476" s="170"/>
      <c r="I476" s="170"/>
      <c r="J476" s="170"/>
      <c r="K476" s="170"/>
      <c r="L476" s="170"/>
      <c r="M476" s="170"/>
      <c r="N476" s="169"/>
    </row>
    <row r="477" spans="1:14" ht="18.95" customHeight="1">
      <c r="A477" s="167"/>
      <c r="B477" s="171"/>
      <c r="C477" s="168"/>
      <c r="D477" s="172"/>
      <c r="E477" s="170"/>
      <c r="F477" s="192"/>
      <c r="G477" s="170"/>
      <c r="H477" s="170"/>
      <c r="I477" s="170"/>
      <c r="J477" s="170"/>
      <c r="K477" s="170"/>
      <c r="L477" s="170"/>
      <c r="M477" s="170"/>
      <c r="N477" s="169"/>
    </row>
    <row r="478" spans="1:14" ht="18.95" customHeight="1">
      <c r="A478" s="167"/>
      <c r="B478" s="1423"/>
      <c r="C478" s="1423"/>
      <c r="D478" s="1423"/>
      <c r="F478" s="169"/>
      <c r="G478" s="170"/>
      <c r="H478" s="170"/>
      <c r="I478" s="170"/>
      <c r="J478" s="170"/>
      <c r="K478" s="170"/>
      <c r="L478" s="170"/>
      <c r="M478" s="170"/>
      <c r="N478" s="169"/>
    </row>
    <row r="479" spans="1:14" ht="18.95" customHeight="1">
      <c r="B479" s="1426"/>
      <c r="C479" s="1426"/>
      <c r="D479" s="1426"/>
      <c r="F479" s="169"/>
      <c r="G479" s="170"/>
      <c r="H479" s="170"/>
      <c r="I479" s="170"/>
      <c r="J479" s="170"/>
      <c r="K479" s="170"/>
      <c r="L479" s="170"/>
      <c r="M479" s="170"/>
      <c r="N479" s="169"/>
    </row>
    <row r="480" spans="1:14" ht="18.95" customHeight="1">
      <c r="B480" s="174"/>
      <c r="C480" s="174"/>
      <c r="D480" s="174"/>
      <c r="F480" s="169"/>
      <c r="G480" s="170"/>
      <c r="H480" s="170"/>
      <c r="I480" s="170"/>
      <c r="J480" s="170"/>
      <c r="K480" s="170"/>
      <c r="L480" s="170"/>
      <c r="M480" s="170"/>
      <c r="N480" s="169"/>
    </row>
    <row r="481" spans="1:14" ht="18.95" customHeight="1">
      <c r="B481" s="174"/>
      <c r="C481" s="174"/>
      <c r="D481" s="174"/>
      <c r="F481" s="169"/>
      <c r="G481" s="170"/>
      <c r="H481" s="170"/>
      <c r="I481" s="170"/>
      <c r="J481" s="170"/>
      <c r="K481" s="170"/>
      <c r="L481" s="170"/>
      <c r="M481" s="170"/>
      <c r="N481" s="169"/>
    </row>
    <row r="482" spans="1:14" ht="18.95" customHeight="1">
      <c r="A482" s="167"/>
      <c r="B482" s="168"/>
      <c r="C482" s="187"/>
      <c r="D482" s="172"/>
      <c r="F482" s="169"/>
      <c r="G482" s="170"/>
      <c r="H482" s="170"/>
      <c r="I482" s="170"/>
      <c r="J482" s="170"/>
      <c r="K482" s="170"/>
      <c r="L482" s="170"/>
      <c r="M482" s="170"/>
      <c r="N482" s="169"/>
    </row>
    <row r="483" spans="1:14" ht="18.95" customHeight="1">
      <c r="A483" s="179"/>
      <c r="B483" s="171"/>
      <c r="C483" s="187"/>
      <c r="D483" s="172"/>
      <c r="F483" s="169"/>
      <c r="G483" s="170"/>
      <c r="H483" s="170"/>
      <c r="I483" s="170"/>
      <c r="J483" s="170"/>
      <c r="K483" s="170"/>
      <c r="L483" s="170"/>
      <c r="M483" s="170"/>
      <c r="N483" s="169"/>
    </row>
    <row r="484" spans="1:14" ht="18.95" customHeight="1">
      <c r="B484" s="171"/>
      <c r="C484" s="174"/>
      <c r="D484" s="174"/>
      <c r="F484" s="169"/>
      <c r="G484" s="170"/>
      <c r="H484" s="170"/>
      <c r="I484" s="170"/>
      <c r="J484" s="170"/>
      <c r="K484" s="170"/>
      <c r="L484" s="170"/>
      <c r="M484" s="170"/>
      <c r="N484" s="169"/>
    </row>
    <row r="485" spans="1:14" ht="18.95" customHeight="1">
      <c r="B485" s="171"/>
      <c r="C485" s="174"/>
      <c r="D485" s="174"/>
      <c r="F485" s="169"/>
      <c r="G485" s="170"/>
      <c r="H485" s="170"/>
      <c r="I485" s="170"/>
      <c r="J485" s="170"/>
      <c r="K485" s="170"/>
      <c r="L485" s="170"/>
      <c r="M485" s="170"/>
      <c r="N485" s="169"/>
    </row>
    <row r="486" spans="1:14" ht="18.95" customHeight="1">
      <c r="B486" s="171"/>
      <c r="C486" s="174"/>
      <c r="D486" s="174"/>
      <c r="F486" s="169"/>
      <c r="G486" s="170"/>
      <c r="H486" s="170"/>
      <c r="I486" s="170"/>
      <c r="J486" s="170"/>
      <c r="K486" s="170"/>
      <c r="L486" s="170"/>
      <c r="M486" s="170"/>
      <c r="N486" s="169"/>
    </row>
    <row r="487" spans="1:14" ht="18.95" customHeight="1">
      <c r="B487" s="171"/>
      <c r="C487" s="174"/>
      <c r="D487" s="174"/>
      <c r="F487" s="169"/>
      <c r="G487" s="170"/>
      <c r="H487" s="170"/>
      <c r="I487" s="170"/>
      <c r="J487" s="170"/>
      <c r="K487" s="170"/>
      <c r="L487" s="170"/>
      <c r="M487" s="170"/>
    </row>
    <row r="488" spans="1:14" ht="18.95" customHeight="1">
      <c r="B488" s="171"/>
      <c r="C488" s="185"/>
      <c r="D488" s="172"/>
      <c r="E488" s="170"/>
      <c r="F488" s="169"/>
      <c r="G488" s="170"/>
      <c r="H488" s="170"/>
      <c r="I488" s="170"/>
      <c r="J488" s="170"/>
      <c r="K488" s="170"/>
      <c r="L488" s="184"/>
      <c r="M488" s="170"/>
      <c r="N488" s="169"/>
    </row>
    <row r="489" spans="1:14" ht="18.95" customHeight="1">
      <c r="B489" s="1423"/>
      <c r="C489" s="1423"/>
      <c r="D489" s="1423"/>
      <c r="F489" s="169"/>
      <c r="G489" s="170"/>
      <c r="H489" s="170"/>
      <c r="I489" s="170"/>
      <c r="J489" s="170"/>
      <c r="K489" s="170"/>
      <c r="L489" s="170"/>
      <c r="M489" s="170"/>
      <c r="N489" s="169"/>
    </row>
    <row r="490" spans="1:14" ht="18.95" customHeight="1">
      <c r="B490" s="174"/>
      <c r="C490" s="174"/>
      <c r="D490" s="174"/>
      <c r="F490" s="169"/>
      <c r="G490" s="170"/>
      <c r="H490" s="170"/>
      <c r="I490" s="170"/>
      <c r="J490" s="170"/>
      <c r="K490" s="170"/>
      <c r="L490" s="170"/>
      <c r="M490" s="170"/>
      <c r="N490" s="169"/>
    </row>
    <row r="491" spans="1:14" ht="18.95" customHeight="1">
      <c r="A491" s="173"/>
      <c r="B491" s="168"/>
      <c r="C491" s="187"/>
      <c r="D491" s="172"/>
      <c r="F491" s="169"/>
      <c r="G491" s="170"/>
      <c r="H491" s="170"/>
      <c r="I491" s="170"/>
      <c r="J491" s="170"/>
      <c r="K491" s="170"/>
      <c r="L491" s="170"/>
      <c r="M491" s="170"/>
      <c r="N491" s="169"/>
    </row>
    <row r="492" spans="1:14" ht="18.95" customHeight="1">
      <c r="A492" s="179"/>
      <c r="B492" s="171"/>
      <c r="C492" s="187"/>
      <c r="D492" s="172"/>
      <c r="F492" s="169"/>
      <c r="G492" s="170"/>
      <c r="H492" s="170"/>
      <c r="I492" s="170"/>
      <c r="J492" s="170"/>
      <c r="K492" s="170"/>
      <c r="L492" s="170"/>
      <c r="M492" s="170"/>
      <c r="N492" s="169"/>
    </row>
    <row r="493" spans="1:14" ht="18.95" customHeight="1">
      <c r="B493" s="171"/>
      <c r="C493" s="174"/>
      <c r="D493" s="174"/>
      <c r="F493" s="169"/>
      <c r="G493" s="170"/>
      <c r="H493" s="170"/>
      <c r="I493" s="170"/>
      <c r="J493" s="170"/>
      <c r="K493" s="170"/>
      <c r="L493" s="170"/>
      <c r="M493" s="170"/>
      <c r="N493" s="169"/>
    </row>
    <row r="494" spans="1:14" ht="18.95" customHeight="1">
      <c r="B494" s="171"/>
      <c r="C494" s="174"/>
      <c r="D494" s="174"/>
      <c r="F494" s="169"/>
      <c r="G494" s="170"/>
      <c r="H494" s="170"/>
      <c r="I494" s="170"/>
      <c r="J494" s="170"/>
      <c r="K494" s="170"/>
      <c r="L494" s="170"/>
      <c r="M494" s="170"/>
      <c r="N494" s="169"/>
    </row>
    <row r="495" spans="1:14" ht="18.95" customHeight="1">
      <c r="B495" s="171"/>
      <c r="C495" s="174"/>
      <c r="D495" s="174"/>
      <c r="F495" s="169"/>
      <c r="G495" s="170"/>
      <c r="H495" s="170"/>
      <c r="I495" s="170"/>
      <c r="J495" s="170"/>
      <c r="K495" s="170"/>
      <c r="L495" s="170"/>
      <c r="M495" s="170"/>
      <c r="N495" s="169"/>
    </row>
    <row r="496" spans="1:14" ht="18.95" customHeight="1">
      <c r="B496" s="171"/>
      <c r="C496" s="174"/>
      <c r="D496" s="174"/>
      <c r="F496" s="169"/>
      <c r="G496" s="170"/>
      <c r="H496" s="170"/>
      <c r="I496" s="170"/>
      <c r="J496" s="170"/>
      <c r="K496" s="170"/>
      <c r="L496" s="170"/>
      <c r="M496" s="170"/>
      <c r="N496" s="169"/>
    </row>
    <row r="497" spans="1:14" ht="18.95" customHeight="1">
      <c r="B497" s="171"/>
      <c r="C497" s="185"/>
      <c r="D497" s="172"/>
      <c r="E497" s="170"/>
      <c r="F497" s="169"/>
      <c r="G497" s="170"/>
      <c r="H497" s="170"/>
      <c r="I497" s="170"/>
      <c r="J497" s="170"/>
      <c r="K497" s="170"/>
      <c r="L497" s="184"/>
      <c r="M497" s="170"/>
      <c r="N497" s="169"/>
    </row>
    <row r="498" spans="1:14" ht="18.95" customHeight="1">
      <c r="B498" s="1423"/>
      <c r="C498" s="1423"/>
      <c r="D498" s="1423"/>
      <c r="F498" s="169"/>
      <c r="G498" s="170"/>
      <c r="H498" s="170"/>
      <c r="I498" s="170"/>
      <c r="J498" s="170"/>
      <c r="K498" s="170"/>
      <c r="L498" s="170"/>
      <c r="M498" s="170"/>
      <c r="N498" s="169"/>
    </row>
    <row r="499" spans="1:14" ht="18.95" customHeight="1">
      <c r="B499" s="178"/>
      <c r="C499" s="178"/>
      <c r="D499" s="178"/>
      <c r="F499" s="169"/>
      <c r="G499" s="170"/>
      <c r="H499" s="170"/>
      <c r="I499" s="170"/>
      <c r="J499" s="170"/>
      <c r="K499" s="170"/>
      <c r="L499" s="170"/>
      <c r="M499" s="170"/>
      <c r="N499" s="169"/>
    </row>
    <row r="500" spans="1:14" ht="18.95" customHeight="1">
      <c r="B500" s="1426"/>
      <c r="C500" s="1426"/>
      <c r="D500" s="1426"/>
      <c r="F500" s="169"/>
      <c r="G500" s="170"/>
      <c r="H500" s="170"/>
      <c r="I500" s="170"/>
      <c r="J500" s="170"/>
      <c r="K500" s="170"/>
      <c r="L500" s="170"/>
      <c r="M500" s="170"/>
      <c r="N500" s="169"/>
    </row>
    <row r="501" spans="1:14" ht="18.95" customHeight="1">
      <c r="B501" s="174"/>
      <c r="C501" s="174"/>
      <c r="D501" s="174"/>
      <c r="F501" s="169"/>
      <c r="G501" s="170"/>
      <c r="H501" s="170"/>
      <c r="I501" s="170"/>
      <c r="J501" s="170"/>
      <c r="K501" s="170"/>
      <c r="L501" s="170"/>
      <c r="M501" s="170"/>
      <c r="N501" s="169"/>
    </row>
    <row r="502" spans="1:14" ht="18.95" customHeight="1">
      <c r="B502" s="174"/>
      <c r="C502" s="174"/>
      <c r="D502" s="174"/>
      <c r="F502" s="169"/>
      <c r="G502" s="170"/>
      <c r="H502" s="170"/>
      <c r="I502" s="170"/>
      <c r="J502" s="170"/>
      <c r="K502" s="170"/>
      <c r="L502" s="170"/>
      <c r="M502" s="170"/>
      <c r="N502" s="169"/>
    </row>
    <row r="503" spans="1:14" ht="18.95" customHeight="1">
      <c r="B503" s="174"/>
      <c r="C503" s="174"/>
      <c r="D503" s="174"/>
      <c r="F503" s="169"/>
      <c r="G503" s="170"/>
      <c r="H503" s="170"/>
      <c r="I503" s="170"/>
      <c r="J503" s="170"/>
      <c r="K503" s="170"/>
      <c r="L503" s="170"/>
      <c r="M503" s="170"/>
      <c r="N503" s="169"/>
    </row>
    <row r="504" spans="1:14" ht="18.95" customHeight="1">
      <c r="B504" s="174"/>
      <c r="C504" s="174"/>
      <c r="D504" s="174"/>
      <c r="F504" s="169"/>
      <c r="G504" s="170"/>
      <c r="H504" s="170"/>
      <c r="I504" s="170"/>
      <c r="J504" s="170"/>
      <c r="K504" s="170"/>
      <c r="L504" s="170"/>
      <c r="M504" s="170"/>
      <c r="N504" s="169"/>
    </row>
    <row r="505" spans="1:14" ht="18.95" customHeight="1">
      <c r="B505" s="174"/>
      <c r="C505" s="174"/>
      <c r="D505" s="174"/>
      <c r="F505" s="169"/>
      <c r="G505" s="170"/>
      <c r="H505" s="170"/>
      <c r="I505" s="170"/>
      <c r="J505" s="170"/>
      <c r="K505" s="170"/>
      <c r="L505" s="170"/>
      <c r="M505" s="170"/>
      <c r="N505" s="169"/>
    </row>
    <row r="506" spans="1:14" ht="18.95" customHeight="1">
      <c r="B506" s="174"/>
      <c r="C506" s="174"/>
      <c r="D506" s="174"/>
      <c r="F506" s="169"/>
      <c r="G506" s="170"/>
      <c r="H506" s="170"/>
      <c r="I506" s="170"/>
      <c r="J506" s="170"/>
      <c r="K506" s="170"/>
      <c r="L506" s="170"/>
      <c r="M506" s="170"/>
      <c r="N506" s="169"/>
    </row>
    <row r="507" spans="1:14" ht="18.95" customHeight="1">
      <c r="B507" s="174"/>
      <c r="C507" s="174"/>
      <c r="D507" s="174"/>
      <c r="F507" s="169"/>
      <c r="G507" s="170"/>
      <c r="H507" s="170"/>
      <c r="I507" s="170"/>
      <c r="J507" s="170"/>
      <c r="K507" s="170"/>
      <c r="L507" s="170"/>
      <c r="M507" s="170"/>
      <c r="N507" s="169"/>
    </row>
    <row r="508" spans="1:14" ht="18.95" customHeight="1">
      <c r="B508" s="174"/>
      <c r="C508" s="174"/>
      <c r="D508" s="174"/>
      <c r="F508" s="169"/>
      <c r="G508" s="170"/>
      <c r="H508" s="170"/>
      <c r="I508" s="170"/>
      <c r="J508" s="170"/>
      <c r="K508" s="170"/>
      <c r="L508" s="170"/>
      <c r="M508" s="170"/>
      <c r="N508" s="169"/>
    </row>
    <row r="509" spans="1:14" ht="18.95" customHeight="1">
      <c r="A509" s="179"/>
      <c r="B509" s="182"/>
      <c r="C509" s="168"/>
      <c r="D509" s="172"/>
      <c r="E509" s="170"/>
      <c r="F509" s="169"/>
      <c r="G509" s="170"/>
      <c r="H509" s="170"/>
      <c r="I509" s="170"/>
      <c r="J509" s="170"/>
      <c r="K509" s="170"/>
      <c r="L509" s="184"/>
      <c r="M509" s="170"/>
      <c r="N509" s="169"/>
    </row>
    <row r="510" spans="1:14" ht="18.95" customHeight="1">
      <c r="A510" s="179"/>
      <c r="B510" s="182"/>
      <c r="C510" s="182"/>
      <c r="D510" s="172"/>
      <c r="E510" s="170"/>
      <c r="F510" s="169"/>
      <c r="G510" s="170"/>
      <c r="H510" s="170"/>
      <c r="I510" s="170"/>
      <c r="J510" s="170"/>
      <c r="K510" s="170"/>
      <c r="L510" s="184"/>
      <c r="M510" s="170"/>
    </row>
    <row r="511" spans="1:14" ht="18.95" customHeight="1">
      <c r="A511" s="177"/>
      <c r="B511" s="197"/>
      <c r="C511" s="195"/>
      <c r="D511" s="199"/>
      <c r="F511" s="169"/>
      <c r="G511" s="170"/>
      <c r="H511" s="170"/>
      <c r="I511" s="170"/>
      <c r="J511" s="170"/>
      <c r="K511" s="170"/>
      <c r="L511" s="170"/>
      <c r="M511" s="170"/>
    </row>
    <row r="512" spans="1:14" ht="18.95" customHeight="1">
      <c r="A512" s="177"/>
      <c r="B512" s="174"/>
      <c r="C512" s="174"/>
      <c r="D512" s="174"/>
      <c r="F512" s="192"/>
      <c r="G512" s="170"/>
      <c r="H512" s="170"/>
      <c r="I512" s="170"/>
      <c r="J512" s="193"/>
      <c r="K512" s="193"/>
      <c r="L512" s="170"/>
      <c r="M512" s="170"/>
    </row>
    <row r="513" spans="1:14" ht="18.95" customHeight="1">
      <c r="A513" s="177"/>
      <c r="B513" s="174"/>
      <c r="C513" s="174"/>
      <c r="D513" s="174"/>
      <c r="F513" s="192"/>
      <c r="G513" s="170"/>
      <c r="H513" s="170"/>
      <c r="I513" s="170"/>
      <c r="J513" s="193"/>
      <c r="K513" s="193"/>
      <c r="L513" s="170"/>
      <c r="M513" s="170"/>
    </row>
    <row r="514" spans="1:14" ht="18.95" customHeight="1">
      <c r="A514" s="200"/>
      <c r="B514" s="195"/>
      <c r="C514" s="195"/>
      <c r="D514" s="195"/>
      <c r="F514" s="169"/>
      <c r="G514" s="170"/>
      <c r="H514" s="170"/>
      <c r="I514" s="170"/>
      <c r="J514" s="170"/>
      <c r="K514" s="170"/>
      <c r="L514" s="170"/>
      <c r="M514" s="170"/>
    </row>
    <row r="515" spans="1:14" ht="18.95" customHeight="1">
      <c r="A515" s="177"/>
      <c r="B515" s="201"/>
      <c r="C515" s="202"/>
      <c r="D515" s="195"/>
      <c r="F515" s="192"/>
      <c r="G515" s="170"/>
      <c r="H515" s="170"/>
      <c r="I515" s="170"/>
      <c r="J515" s="170"/>
      <c r="K515" s="170"/>
      <c r="L515" s="170"/>
      <c r="M515" s="170"/>
    </row>
    <row r="516" spans="1:14" ht="18.95" customHeight="1">
      <c r="A516" s="177"/>
      <c r="B516" s="201"/>
      <c r="C516" s="202"/>
      <c r="D516" s="195"/>
      <c r="F516" s="192"/>
      <c r="G516" s="170"/>
      <c r="H516" s="170"/>
      <c r="I516" s="170"/>
      <c r="J516" s="170"/>
      <c r="K516" s="170"/>
      <c r="L516" s="170"/>
      <c r="M516" s="170"/>
    </row>
    <row r="517" spans="1:14" ht="18.95" customHeight="1">
      <c r="A517" s="177"/>
      <c r="B517" s="201"/>
      <c r="C517" s="202"/>
      <c r="D517" s="195"/>
      <c r="E517" s="170"/>
      <c r="F517" s="192"/>
      <c r="G517" s="170"/>
      <c r="H517" s="170"/>
      <c r="I517" s="170"/>
      <c r="J517" s="170"/>
      <c r="K517" s="170"/>
      <c r="L517" s="170"/>
      <c r="M517" s="170"/>
    </row>
    <row r="518" spans="1:14" ht="18.95" customHeight="1">
      <c r="A518" s="177"/>
      <c r="B518" s="201"/>
      <c r="C518" s="202"/>
      <c r="D518" s="195"/>
      <c r="F518" s="169"/>
      <c r="G518" s="170"/>
      <c r="H518" s="170"/>
      <c r="I518" s="170"/>
      <c r="J518" s="170"/>
      <c r="K518" s="170"/>
      <c r="L518" s="170"/>
      <c r="M518" s="170"/>
      <c r="N518" s="169"/>
    </row>
    <row r="519" spans="1:14" ht="18.95" customHeight="1">
      <c r="B519" s="201"/>
      <c r="C519" s="202"/>
      <c r="D519" s="195"/>
      <c r="E519" s="170"/>
      <c r="F519" s="192"/>
      <c r="G519" s="170"/>
      <c r="H519" s="170"/>
      <c r="I519" s="170"/>
      <c r="J519" s="170"/>
      <c r="K519" s="170"/>
      <c r="L519" s="170"/>
      <c r="M519" s="170"/>
      <c r="N519" s="169"/>
    </row>
    <row r="520" spans="1:14" ht="18.95" customHeight="1">
      <c r="A520" s="177"/>
      <c r="B520" s="201"/>
      <c r="C520" s="195"/>
      <c r="D520" s="195"/>
      <c r="F520" s="169"/>
      <c r="G520" s="170"/>
      <c r="H520" s="170"/>
      <c r="I520" s="170"/>
      <c r="J520" s="170"/>
      <c r="K520" s="170"/>
      <c r="L520" s="170"/>
      <c r="M520" s="170"/>
      <c r="N520" s="169"/>
    </row>
    <row r="521" spans="1:14" ht="18.95" customHeight="1">
      <c r="A521" s="177"/>
      <c r="B521" s="201"/>
      <c r="C521" s="195"/>
      <c r="D521" s="195"/>
      <c r="F521" s="169"/>
      <c r="G521" s="170"/>
      <c r="H521" s="170"/>
      <c r="I521" s="170"/>
      <c r="J521" s="170"/>
      <c r="K521" s="170"/>
      <c r="L521" s="170"/>
      <c r="M521" s="170"/>
      <c r="N521" s="169"/>
    </row>
    <row r="522" spans="1:14" ht="18.95" customHeight="1">
      <c r="A522" s="191"/>
      <c r="B522" s="201"/>
      <c r="C522" s="202"/>
      <c r="D522" s="195"/>
      <c r="E522" s="170"/>
      <c r="F522" s="192"/>
      <c r="G522" s="170"/>
      <c r="H522" s="170"/>
      <c r="I522" s="170"/>
      <c r="J522" s="170"/>
      <c r="K522" s="170"/>
      <c r="L522" s="170"/>
      <c r="M522" s="170"/>
      <c r="N522" s="169"/>
    </row>
    <row r="523" spans="1:14" ht="18.95" customHeight="1">
      <c r="A523" s="2"/>
      <c r="B523" s="201"/>
      <c r="C523" s="195"/>
      <c r="D523" s="195"/>
      <c r="E523" s="170"/>
      <c r="F523" s="169"/>
      <c r="G523" s="170"/>
      <c r="H523" s="170"/>
      <c r="I523" s="170"/>
      <c r="J523" s="170"/>
      <c r="K523" s="170"/>
      <c r="L523" s="170"/>
      <c r="M523" s="170"/>
      <c r="N523" s="169"/>
    </row>
    <row r="524" spans="1:14" ht="18.95" customHeight="1">
      <c r="A524" s="2"/>
      <c r="B524" s="201"/>
      <c r="C524" s="195"/>
      <c r="D524" s="195"/>
      <c r="E524" s="170"/>
      <c r="F524" s="169"/>
      <c r="G524" s="170"/>
      <c r="H524" s="170"/>
      <c r="I524" s="170"/>
      <c r="J524" s="170"/>
      <c r="K524" s="170"/>
      <c r="L524" s="170"/>
      <c r="M524" s="170"/>
      <c r="N524" s="169"/>
    </row>
    <row r="525" spans="1:14" ht="18.95" customHeight="1">
      <c r="A525" s="2"/>
      <c r="B525" s="201"/>
      <c r="C525" s="195"/>
      <c r="D525" s="195"/>
      <c r="E525" s="170"/>
      <c r="F525" s="169"/>
      <c r="G525" s="170"/>
      <c r="H525" s="170"/>
      <c r="I525" s="170"/>
      <c r="J525" s="170"/>
      <c r="K525" s="170"/>
      <c r="L525" s="170"/>
      <c r="M525" s="170"/>
      <c r="N525" s="169"/>
    </row>
    <row r="526" spans="1:14" ht="18.95" customHeight="1">
      <c r="A526" s="2"/>
      <c r="B526" s="1426"/>
      <c r="C526" s="1426"/>
      <c r="D526" s="1426"/>
      <c r="E526" s="170"/>
      <c r="F526" s="169"/>
      <c r="G526" s="193"/>
      <c r="H526" s="193"/>
      <c r="I526" s="170"/>
      <c r="J526" s="170"/>
      <c r="K526" s="170"/>
      <c r="L526" s="170"/>
      <c r="M526" s="170"/>
      <c r="N526" s="169"/>
    </row>
    <row r="527" spans="1:14" ht="18.95" customHeight="1">
      <c r="A527" s="179"/>
      <c r="B527" s="168"/>
      <c r="C527" s="187"/>
      <c r="D527" s="172"/>
      <c r="E527" s="170"/>
      <c r="F527" s="169"/>
      <c r="G527" s="170"/>
      <c r="H527" s="170"/>
      <c r="I527" s="170"/>
      <c r="J527" s="170"/>
      <c r="K527" s="170"/>
      <c r="L527" s="170"/>
      <c r="M527" s="170"/>
      <c r="N527" s="169"/>
    </row>
    <row r="528" spans="1:14" ht="18.95" customHeight="1">
      <c r="A528" s="179"/>
      <c r="B528" s="168"/>
      <c r="C528" s="187"/>
      <c r="D528" s="172"/>
      <c r="E528" s="170"/>
      <c r="F528" s="169"/>
      <c r="G528" s="170"/>
      <c r="H528" s="170"/>
      <c r="I528" s="170"/>
      <c r="J528" s="170"/>
      <c r="K528" s="170"/>
      <c r="L528" s="170"/>
      <c r="M528" s="170"/>
      <c r="N528" s="169"/>
    </row>
    <row r="529" spans="1:14" ht="18.95" customHeight="1">
      <c r="A529" s="167"/>
      <c r="B529" s="188"/>
      <c r="C529" s="187"/>
      <c r="D529" s="172"/>
      <c r="F529" s="169"/>
      <c r="G529" s="170"/>
      <c r="H529" s="170"/>
      <c r="I529" s="170"/>
      <c r="J529" s="170"/>
      <c r="K529" s="170"/>
      <c r="L529" s="170"/>
      <c r="M529" s="170"/>
      <c r="N529" s="169"/>
    </row>
    <row r="530" spans="1:14" ht="18.95" customHeight="1">
      <c r="A530" s="167"/>
      <c r="B530" s="168"/>
      <c r="C530" s="182"/>
      <c r="D530" s="189"/>
      <c r="F530" s="169"/>
      <c r="G530" s="170"/>
      <c r="H530" s="170"/>
      <c r="I530" s="170"/>
      <c r="J530" s="170"/>
      <c r="K530" s="170"/>
      <c r="L530" s="170"/>
      <c r="M530" s="170"/>
      <c r="N530" s="169"/>
    </row>
    <row r="531" spans="1:14" ht="18.95" customHeight="1">
      <c r="A531" s="167"/>
      <c r="B531" s="168"/>
      <c r="C531" s="186"/>
      <c r="D531" s="172"/>
      <c r="F531" s="169"/>
      <c r="G531" s="170"/>
      <c r="H531" s="170"/>
      <c r="I531" s="170"/>
      <c r="J531" s="170"/>
      <c r="K531" s="170"/>
      <c r="L531" s="170"/>
      <c r="M531" s="170"/>
      <c r="N531" s="169"/>
    </row>
    <row r="532" spans="1:14" ht="18.95" customHeight="1">
      <c r="A532" s="2"/>
      <c r="B532" s="168"/>
      <c r="C532" s="186"/>
      <c r="D532" s="168"/>
      <c r="F532" s="169"/>
      <c r="G532" s="170"/>
      <c r="H532" s="170"/>
      <c r="I532" s="170"/>
      <c r="J532" s="170"/>
      <c r="K532" s="170"/>
      <c r="L532" s="170"/>
      <c r="M532" s="170"/>
      <c r="N532" s="169"/>
    </row>
    <row r="533" spans="1:14" ht="18.95" customHeight="1">
      <c r="A533" s="167"/>
      <c r="B533" s="168"/>
      <c r="C533" s="186"/>
      <c r="D533" s="172"/>
      <c r="F533" s="169"/>
      <c r="G533" s="170"/>
      <c r="H533" s="170"/>
      <c r="I533" s="170"/>
      <c r="J533" s="170"/>
      <c r="K533" s="170"/>
      <c r="L533" s="170"/>
      <c r="M533" s="170"/>
      <c r="N533" s="169"/>
    </row>
    <row r="534" spans="1:14" ht="18.95" customHeight="1">
      <c r="A534" s="167"/>
      <c r="B534" s="174"/>
      <c r="C534" s="174"/>
      <c r="D534" s="174"/>
      <c r="F534" s="169"/>
      <c r="G534" s="170"/>
      <c r="H534" s="170"/>
      <c r="I534" s="170"/>
      <c r="J534" s="170"/>
      <c r="K534" s="170"/>
      <c r="L534" s="170"/>
      <c r="M534" s="170"/>
      <c r="N534" s="169"/>
    </row>
    <row r="535" spans="1:14" ht="18.95" customHeight="1">
      <c r="B535" s="174"/>
      <c r="C535" s="174"/>
      <c r="D535" s="174"/>
      <c r="F535" s="169"/>
      <c r="G535" s="170"/>
      <c r="H535" s="170"/>
      <c r="I535" s="170"/>
      <c r="J535" s="170"/>
      <c r="K535" s="170"/>
      <c r="L535" s="170"/>
      <c r="M535" s="170"/>
      <c r="N535" s="169"/>
    </row>
    <row r="536" spans="1:14" ht="18.95" customHeight="1">
      <c r="B536" s="174"/>
      <c r="C536" s="174"/>
      <c r="D536" s="174"/>
      <c r="F536" s="169"/>
      <c r="G536" s="170"/>
      <c r="H536" s="170"/>
      <c r="I536" s="170"/>
      <c r="J536" s="170"/>
      <c r="K536" s="170"/>
      <c r="L536" s="170"/>
      <c r="M536" s="170"/>
      <c r="N536" s="169"/>
    </row>
    <row r="537" spans="1:14" ht="18.95" customHeight="1">
      <c r="A537" s="179"/>
      <c r="B537" s="182"/>
      <c r="C537" s="168"/>
      <c r="D537" s="172"/>
      <c r="E537" s="170"/>
      <c r="F537" s="169"/>
      <c r="G537" s="170"/>
      <c r="H537" s="170"/>
      <c r="I537" s="170"/>
      <c r="J537" s="170"/>
      <c r="K537" s="170"/>
      <c r="L537" s="184"/>
      <c r="M537" s="170"/>
      <c r="N537" s="169"/>
    </row>
    <row r="538" spans="1:14" ht="18.95" customHeight="1">
      <c r="A538" s="179"/>
      <c r="B538" s="182"/>
      <c r="C538" s="182"/>
      <c r="D538" s="172"/>
      <c r="E538" s="170"/>
      <c r="F538" s="169"/>
      <c r="G538" s="170"/>
      <c r="H538" s="170"/>
      <c r="I538" s="170"/>
      <c r="J538" s="170"/>
      <c r="K538" s="170"/>
      <c r="L538" s="184"/>
      <c r="M538" s="170"/>
    </row>
    <row r="539" spans="1:14" ht="18.95" customHeight="1">
      <c r="A539" s="177"/>
      <c r="B539" s="174"/>
      <c r="C539" s="174"/>
      <c r="D539" s="174"/>
      <c r="F539" s="169"/>
      <c r="G539" s="170"/>
      <c r="H539" s="170"/>
      <c r="I539" s="170"/>
      <c r="J539" s="170"/>
      <c r="K539" s="170"/>
      <c r="L539" s="170"/>
      <c r="M539" s="170"/>
    </row>
    <row r="540" spans="1:14" ht="18.95" customHeight="1">
      <c r="A540" s="177"/>
      <c r="B540" s="174"/>
      <c r="C540" s="174"/>
      <c r="D540" s="174"/>
      <c r="F540" s="169"/>
      <c r="G540" s="170"/>
      <c r="H540" s="170"/>
      <c r="I540" s="170"/>
      <c r="J540" s="170"/>
      <c r="K540" s="170"/>
      <c r="L540" s="170"/>
      <c r="M540" s="170"/>
    </row>
    <row r="541" spans="1:14" ht="18.95" customHeight="1">
      <c r="A541" s="177"/>
      <c r="B541" s="174"/>
      <c r="C541" s="174"/>
      <c r="D541" s="174"/>
      <c r="F541" s="169"/>
      <c r="G541" s="170"/>
      <c r="H541" s="170"/>
      <c r="I541" s="170"/>
      <c r="J541" s="170"/>
      <c r="K541" s="170"/>
      <c r="L541" s="170"/>
      <c r="M541" s="170"/>
    </row>
    <row r="542" spans="1:14" ht="18.95" customHeight="1">
      <c r="A542" s="177"/>
      <c r="B542" s="174"/>
      <c r="C542" s="174"/>
      <c r="D542" s="174"/>
      <c r="F542" s="169"/>
      <c r="G542" s="170"/>
      <c r="H542" s="170"/>
      <c r="I542" s="170"/>
      <c r="J542" s="170"/>
      <c r="K542" s="170"/>
      <c r="L542" s="170"/>
      <c r="M542" s="170"/>
    </row>
    <row r="543" spans="1:14" ht="18.95" customHeight="1">
      <c r="A543" s="177"/>
      <c r="B543" s="174"/>
      <c r="C543" s="174"/>
      <c r="D543" s="174"/>
      <c r="F543" s="169"/>
      <c r="G543" s="170"/>
      <c r="H543" s="170"/>
      <c r="I543" s="170"/>
      <c r="J543" s="170"/>
      <c r="K543" s="170"/>
      <c r="L543" s="170"/>
      <c r="M543" s="170"/>
    </row>
    <row r="544" spans="1:14" ht="18.95" customHeight="1">
      <c r="A544" s="177"/>
      <c r="B544" s="174"/>
      <c r="C544" s="174"/>
      <c r="D544" s="174"/>
      <c r="F544" s="169"/>
      <c r="G544" s="170"/>
      <c r="H544" s="170"/>
      <c r="I544" s="170"/>
      <c r="J544" s="170"/>
      <c r="K544" s="170"/>
      <c r="L544" s="170"/>
      <c r="M544" s="170"/>
    </row>
    <row r="545" spans="1:14" ht="18.95" customHeight="1">
      <c r="A545" s="177"/>
      <c r="B545" s="174"/>
      <c r="C545" s="174"/>
      <c r="D545" s="174"/>
      <c r="F545" s="169"/>
      <c r="G545" s="170"/>
      <c r="H545" s="170"/>
      <c r="I545" s="170"/>
      <c r="J545" s="170"/>
      <c r="K545" s="170"/>
      <c r="L545" s="170"/>
      <c r="M545" s="170"/>
      <c r="N545" s="169"/>
    </row>
    <row r="546" spans="1:14" ht="18.95" customHeight="1">
      <c r="A546" s="2"/>
      <c r="B546" s="172"/>
      <c r="C546" s="174"/>
      <c r="D546" s="172"/>
      <c r="F546" s="169"/>
      <c r="G546" s="170"/>
      <c r="H546" s="170"/>
      <c r="I546" s="170"/>
      <c r="J546" s="170"/>
      <c r="K546" s="170"/>
      <c r="L546" s="170"/>
      <c r="M546" s="170"/>
      <c r="N546" s="169"/>
    </row>
    <row r="547" spans="1:14" ht="18.95" customHeight="1">
      <c r="B547" s="172"/>
      <c r="C547" s="174"/>
      <c r="D547" s="174"/>
      <c r="F547" s="169"/>
      <c r="G547" s="170"/>
      <c r="H547" s="170"/>
      <c r="I547" s="170"/>
      <c r="J547" s="170"/>
      <c r="K547" s="170"/>
      <c r="L547" s="184"/>
      <c r="M547" s="170"/>
      <c r="N547" s="169"/>
    </row>
    <row r="548" spans="1:14" ht="18.95" customHeight="1">
      <c r="A548" s="177"/>
      <c r="B548" s="174"/>
      <c r="C548" s="174"/>
      <c r="D548" s="174"/>
      <c r="F548" s="169"/>
      <c r="G548" s="170"/>
      <c r="H548" s="170"/>
      <c r="I548" s="170"/>
      <c r="J548" s="170"/>
      <c r="K548" s="170"/>
      <c r="L548" s="170"/>
      <c r="M548" s="170"/>
      <c r="N548" s="169"/>
    </row>
    <row r="549" spans="1:14" ht="18.95" customHeight="1">
      <c r="A549" s="177"/>
      <c r="B549" s="174"/>
      <c r="C549" s="174"/>
      <c r="D549" s="174"/>
      <c r="F549" s="169"/>
      <c r="G549" s="170"/>
      <c r="H549" s="170"/>
      <c r="I549" s="170"/>
      <c r="J549" s="170"/>
      <c r="K549" s="170"/>
      <c r="L549" s="170"/>
      <c r="M549" s="170"/>
      <c r="N549" s="169"/>
    </row>
    <row r="550" spans="1:14" ht="18.95" customHeight="1">
      <c r="A550" s="191"/>
      <c r="B550" s="174"/>
      <c r="C550" s="174"/>
      <c r="D550" s="174"/>
      <c r="F550" s="169"/>
      <c r="G550" s="170"/>
      <c r="H550" s="170"/>
      <c r="I550" s="170"/>
      <c r="J550" s="170"/>
      <c r="K550" s="170"/>
      <c r="L550" s="170"/>
      <c r="M550" s="170"/>
      <c r="N550" s="169"/>
    </row>
    <row r="551" spans="1:14" ht="18.95" customHeight="1">
      <c r="A551" s="2"/>
      <c r="B551" s="172"/>
      <c r="C551" s="174"/>
      <c r="D551" s="172"/>
      <c r="E551" s="170"/>
      <c r="F551" s="169"/>
      <c r="G551" s="170"/>
      <c r="H551" s="170"/>
      <c r="I551" s="170"/>
      <c r="J551" s="170"/>
      <c r="K551" s="170"/>
      <c r="L551" s="170"/>
      <c r="M551" s="170"/>
      <c r="N551" s="169"/>
    </row>
    <row r="552" spans="1:14" ht="18.95" customHeight="1">
      <c r="A552" s="2"/>
      <c r="B552" s="172"/>
      <c r="C552" s="174"/>
      <c r="D552" s="172"/>
      <c r="E552" s="170"/>
      <c r="F552" s="169"/>
      <c r="G552" s="170"/>
      <c r="H552" s="170"/>
      <c r="I552" s="170"/>
      <c r="J552" s="170"/>
      <c r="K552" s="170"/>
      <c r="L552" s="170"/>
      <c r="M552" s="170"/>
      <c r="N552" s="169"/>
    </row>
    <row r="553" spans="1:14" ht="18.95" customHeight="1">
      <c r="A553" s="2"/>
      <c r="B553" s="172"/>
      <c r="C553" s="174"/>
      <c r="D553" s="172"/>
      <c r="E553" s="170"/>
      <c r="F553" s="169"/>
      <c r="G553" s="170"/>
      <c r="H553" s="170"/>
      <c r="I553" s="170"/>
      <c r="J553" s="170"/>
      <c r="K553" s="170"/>
      <c r="L553" s="170"/>
      <c r="M553" s="170"/>
      <c r="N553" s="169"/>
    </row>
    <row r="554" spans="1:14" ht="18.95" customHeight="1">
      <c r="A554" s="2"/>
      <c r="B554" s="172"/>
      <c r="C554" s="174"/>
      <c r="D554" s="172"/>
      <c r="E554" s="170"/>
      <c r="F554" s="169"/>
      <c r="G554" s="170"/>
      <c r="H554" s="170"/>
      <c r="I554" s="170"/>
      <c r="J554" s="170"/>
      <c r="K554" s="170"/>
      <c r="L554" s="170"/>
      <c r="M554" s="170"/>
      <c r="N554" s="169"/>
    </row>
    <row r="555" spans="1:14" ht="18.95" customHeight="1">
      <c r="A555" s="179"/>
      <c r="B555" s="168"/>
      <c r="C555" s="187"/>
      <c r="D555" s="172"/>
      <c r="E555" s="170"/>
      <c r="F555" s="169"/>
      <c r="G555" s="170"/>
      <c r="H555" s="170"/>
      <c r="I555" s="170"/>
      <c r="J555" s="170"/>
      <c r="K555" s="170"/>
      <c r="L555" s="170"/>
      <c r="M555" s="170"/>
      <c r="N555" s="169"/>
    </row>
    <row r="556" spans="1:14" ht="18.95" customHeight="1">
      <c r="A556" s="179"/>
      <c r="B556" s="168"/>
      <c r="C556" s="187"/>
      <c r="D556" s="172"/>
      <c r="E556" s="170"/>
      <c r="F556" s="169"/>
      <c r="G556" s="170"/>
      <c r="H556" s="170"/>
      <c r="I556" s="170"/>
      <c r="J556" s="170"/>
      <c r="K556" s="170"/>
      <c r="L556" s="170"/>
      <c r="M556" s="170"/>
      <c r="N556" s="169"/>
    </row>
    <row r="557" spans="1:14" ht="18.95" customHeight="1">
      <c r="A557" s="167"/>
      <c r="B557" s="188"/>
      <c r="C557" s="187"/>
      <c r="D557" s="172"/>
      <c r="F557" s="169"/>
      <c r="G557" s="170"/>
      <c r="H557" s="170"/>
      <c r="I557" s="170"/>
      <c r="J557" s="170"/>
      <c r="K557" s="170"/>
      <c r="L557" s="170"/>
      <c r="M557" s="170"/>
      <c r="N557" s="169"/>
    </row>
    <row r="558" spans="1:14" ht="18.95" customHeight="1">
      <c r="A558" s="167"/>
      <c r="B558" s="168"/>
      <c r="C558" s="182"/>
      <c r="D558" s="189"/>
      <c r="F558" s="169"/>
      <c r="G558" s="170"/>
      <c r="H558" s="170"/>
      <c r="I558" s="170"/>
      <c r="J558" s="170"/>
      <c r="K558" s="170"/>
      <c r="L558" s="170"/>
      <c r="M558" s="170"/>
      <c r="N558" s="169"/>
    </row>
    <row r="559" spans="1:14" ht="18.95" customHeight="1">
      <c r="A559" s="167"/>
      <c r="B559" s="168"/>
      <c r="C559" s="186"/>
      <c r="D559" s="172"/>
      <c r="F559" s="169"/>
      <c r="G559" s="170"/>
      <c r="H559" s="170"/>
      <c r="I559" s="170"/>
      <c r="J559" s="170"/>
      <c r="K559" s="170"/>
      <c r="L559" s="170"/>
      <c r="M559" s="170"/>
      <c r="N559" s="169"/>
    </row>
    <row r="560" spans="1:14" ht="18.95" customHeight="1">
      <c r="A560" s="2"/>
      <c r="B560" s="168"/>
      <c r="C560" s="186"/>
      <c r="D560" s="168"/>
      <c r="F560" s="169"/>
      <c r="G560" s="170"/>
      <c r="H560" s="170"/>
      <c r="I560" s="170"/>
      <c r="J560" s="170"/>
      <c r="K560" s="170"/>
      <c r="L560" s="170"/>
      <c r="M560" s="170"/>
      <c r="N560" s="169"/>
    </row>
    <row r="561" spans="1:14" ht="18.95" customHeight="1">
      <c r="A561" s="167"/>
      <c r="B561" s="168"/>
      <c r="C561" s="186"/>
      <c r="D561" s="172"/>
      <c r="F561" s="169"/>
      <c r="G561" s="170"/>
      <c r="H561" s="170"/>
      <c r="I561" s="170"/>
      <c r="J561" s="170"/>
      <c r="K561" s="170"/>
      <c r="L561" s="170"/>
      <c r="M561" s="170"/>
      <c r="N561" s="169"/>
    </row>
    <row r="562" spans="1:14" ht="18.95" customHeight="1">
      <c r="A562" s="167"/>
      <c r="B562" s="174"/>
      <c r="C562" s="174"/>
      <c r="D562" s="174"/>
      <c r="F562" s="169"/>
      <c r="G562" s="170"/>
      <c r="H562" s="170"/>
      <c r="I562" s="170"/>
      <c r="J562" s="170"/>
      <c r="K562" s="170"/>
      <c r="L562" s="170"/>
      <c r="M562" s="170"/>
      <c r="N562" s="169"/>
    </row>
    <row r="563" spans="1:14" ht="18.95" customHeight="1">
      <c r="B563" s="174"/>
      <c r="C563" s="174"/>
      <c r="D563" s="174"/>
      <c r="F563" s="169"/>
      <c r="G563" s="170"/>
      <c r="H563" s="170"/>
      <c r="I563" s="170"/>
      <c r="J563" s="170"/>
      <c r="K563" s="170"/>
      <c r="L563" s="170"/>
      <c r="M563" s="170"/>
      <c r="N563" s="169"/>
    </row>
    <row r="564" spans="1:14" ht="18.95" customHeight="1">
      <c r="B564" s="174"/>
      <c r="C564" s="174"/>
      <c r="D564" s="174"/>
      <c r="F564" s="169"/>
      <c r="G564" s="170"/>
      <c r="H564" s="170"/>
      <c r="I564" s="170"/>
      <c r="J564" s="170"/>
      <c r="K564" s="170"/>
      <c r="L564" s="170"/>
      <c r="M564" s="170"/>
      <c r="N564" s="169"/>
    </row>
    <row r="565" spans="1:14" ht="18.95" customHeight="1">
      <c r="A565" s="179"/>
      <c r="B565" s="182"/>
      <c r="C565" s="182"/>
      <c r="D565" s="172"/>
      <c r="E565" s="170"/>
      <c r="F565" s="169"/>
      <c r="G565" s="170"/>
      <c r="H565" s="170"/>
      <c r="I565" s="170"/>
      <c r="J565" s="170"/>
      <c r="K565" s="170"/>
      <c r="L565" s="184"/>
      <c r="M565" s="170"/>
      <c r="N565" s="169"/>
    </row>
    <row r="566" spans="1:14" ht="18.95" customHeight="1">
      <c r="A566" s="179"/>
      <c r="B566" s="182"/>
      <c r="C566" s="182"/>
      <c r="D566" s="172"/>
      <c r="E566" s="170"/>
      <c r="F566" s="169"/>
      <c r="G566" s="170"/>
      <c r="H566" s="170"/>
      <c r="I566" s="170"/>
      <c r="J566" s="170"/>
      <c r="K566" s="170"/>
      <c r="L566" s="184"/>
      <c r="M566" s="170"/>
    </row>
    <row r="567" spans="1:14" ht="18.95" customHeight="1">
      <c r="A567" s="177"/>
      <c r="B567" s="174"/>
      <c r="C567" s="174"/>
      <c r="D567" s="174"/>
      <c r="F567" s="169"/>
      <c r="G567" s="170"/>
      <c r="H567" s="170"/>
      <c r="I567" s="170"/>
      <c r="J567" s="170"/>
      <c r="K567" s="170"/>
      <c r="L567" s="170"/>
      <c r="M567" s="170"/>
    </row>
    <row r="568" spans="1:14" ht="18.95" customHeight="1">
      <c r="A568" s="177"/>
      <c r="B568" s="174"/>
      <c r="C568" s="174"/>
      <c r="D568" s="174"/>
      <c r="F568" s="169"/>
      <c r="G568" s="170"/>
      <c r="H568" s="170"/>
      <c r="I568" s="170"/>
      <c r="J568" s="170"/>
      <c r="K568" s="170"/>
      <c r="L568" s="170"/>
      <c r="M568" s="170"/>
    </row>
    <row r="569" spans="1:14" ht="18.95" customHeight="1">
      <c r="A569" s="177"/>
      <c r="B569" s="174"/>
      <c r="C569" s="174"/>
      <c r="D569" s="174"/>
      <c r="F569" s="169"/>
      <c r="G569" s="170"/>
      <c r="H569" s="170"/>
      <c r="I569" s="170"/>
      <c r="J569" s="170"/>
      <c r="K569" s="170"/>
      <c r="L569" s="170"/>
      <c r="M569" s="170"/>
    </row>
    <row r="570" spans="1:14" ht="18.95" customHeight="1">
      <c r="A570" s="177"/>
      <c r="B570" s="174"/>
      <c r="C570" s="174"/>
      <c r="D570" s="174"/>
      <c r="F570" s="169"/>
      <c r="G570" s="170"/>
      <c r="H570" s="170"/>
      <c r="I570" s="170"/>
      <c r="J570" s="170"/>
      <c r="K570" s="170"/>
      <c r="L570" s="170"/>
      <c r="M570" s="170"/>
    </row>
    <row r="571" spans="1:14" ht="18.95" customHeight="1">
      <c r="A571" s="177"/>
      <c r="B571" s="174"/>
      <c r="C571" s="174"/>
      <c r="D571" s="174"/>
      <c r="F571" s="169"/>
      <c r="G571" s="170"/>
      <c r="H571" s="170"/>
      <c r="I571" s="170"/>
      <c r="J571" s="170"/>
      <c r="K571" s="170"/>
      <c r="L571" s="170"/>
      <c r="M571" s="170"/>
    </row>
    <row r="572" spans="1:14" ht="18.95" customHeight="1">
      <c r="A572" s="177"/>
      <c r="B572" s="174"/>
      <c r="C572" s="174"/>
      <c r="D572" s="174"/>
      <c r="F572" s="169"/>
      <c r="G572" s="170"/>
      <c r="H572" s="170"/>
      <c r="I572" s="170"/>
      <c r="J572" s="170"/>
      <c r="K572" s="170"/>
      <c r="L572" s="170"/>
      <c r="M572" s="170"/>
    </row>
    <row r="573" spans="1:14" ht="18.95" customHeight="1">
      <c r="A573" s="177"/>
      <c r="B573" s="174"/>
      <c r="C573" s="174"/>
      <c r="D573" s="174"/>
      <c r="F573" s="169"/>
      <c r="G573" s="170"/>
      <c r="H573" s="170"/>
      <c r="I573" s="170"/>
      <c r="J573" s="170"/>
      <c r="K573" s="170"/>
      <c r="L573" s="170"/>
      <c r="M573" s="170"/>
      <c r="N573" s="169"/>
    </row>
    <row r="574" spans="1:14" ht="18.95" customHeight="1">
      <c r="A574" s="2"/>
      <c r="B574" s="172"/>
      <c r="C574" s="174"/>
      <c r="D574" s="172"/>
      <c r="F574" s="169"/>
      <c r="G574" s="170"/>
      <c r="H574" s="170"/>
      <c r="I574" s="170"/>
      <c r="J574" s="170"/>
      <c r="K574" s="170"/>
      <c r="L574" s="170"/>
      <c r="M574" s="170"/>
      <c r="N574" s="169"/>
    </row>
    <row r="575" spans="1:14" ht="18.95" customHeight="1">
      <c r="B575" s="172"/>
      <c r="C575" s="174"/>
      <c r="D575" s="174"/>
      <c r="F575" s="169"/>
      <c r="G575" s="170"/>
      <c r="H575" s="170"/>
      <c r="I575" s="170"/>
      <c r="J575" s="170"/>
      <c r="K575" s="170"/>
      <c r="L575" s="184"/>
      <c r="M575" s="170"/>
      <c r="N575" s="169"/>
    </row>
    <row r="576" spans="1:14" ht="18.95" customHeight="1">
      <c r="A576" s="177"/>
      <c r="B576" s="174"/>
      <c r="C576" s="174"/>
      <c r="D576" s="174"/>
      <c r="F576" s="169"/>
      <c r="G576" s="170"/>
      <c r="H576" s="170"/>
      <c r="I576" s="170"/>
      <c r="J576" s="170"/>
      <c r="K576" s="170"/>
      <c r="L576" s="170"/>
      <c r="M576" s="170"/>
      <c r="N576" s="169"/>
    </row>
    <row r="577" spans="1:14" ht="18.95" customHeight="1">
      <c r="A577" s="177"/>
      <c r="B577" s="174"/>
      <c r="C577" s="174"/>
      <c r="D577" s="174"/>
      <c r="F577" s="169"/>
      <c r="G577" s="170"/>
      <c r="H577" s="170"/>
      <c r="I577" s="170"/>
      <c r="J577" s="170"/>
      <c r="K577" s="170"/>
      <c r="L577" s="170"/>
      <c r="M577" s="170"/>
      <c r="N577" s="169"/>
    </row>
    <row r="578" spans="1:14" ht="18.95" customHeight="1">
      <c r="A578" s="191"/>
      <c r="B578" s="174"/>
      <c r="C578" s="174"/>
      <c r="D578" s="174"/>
      <c r="F578" s="169"/>
      <c r="G578" s="170"/>
      <c r="H578" s="170"/>
      <c r="I578" s="170"/>
      <c r="J578" s="170"/>
      <c r="K578" s="170"/>
      <c r="L578" s="170"/>
      <c r="M578" s="170"/>
      <c r="N578" s="169"/>
    </row>
    <row r="579" spans="1:14" ht="18.95" customHeight="1">
      <c r="A579" s="2"/>
      <c r="B579" s="172"/>
      <c r="C579" s="174"/>
      <c r="D579" s="172"/>
      <c r="E579" s="170"/>
      <c r="F579" s="169"/>
      <c r="G579" s="170"/>
      <c r="H579" s="170"/>
      <c r="I579" s="170"/>
      <c r="J579" s="170"/>
      <c r="K579" s="170"/>
      <c r="L579" s="170"/>
      <c r="M579" s="170"/>
      <c r="N579" s="169"/>
    </row>
    <row r="580" spans="1:14" ht="18.95" customHeight="1">
      <c r="A580" s="2"/>
      <c r="B580" s="172"/>
      <c r="C580" s="174"/>
      <c r="D580" s="172"/>
      <c r="E580" s="170"/>
      <c r="F580" s="169"/>
      <c r="G580" s="170"/>
      <c r="H580" s="170"/>
      <c r="I580" s="170"/>
      <c r="J580" s="170"/>
      <c r="K580" s="170"/>
      <c r="L580" s="170"/>
      <c r="M580" s="170"/>
      <c r="N580" s="169"/>
    </row>
    <row r="581" spans="1:14" ht="18.95" customHeight="1">
      <c r="A581" s="2"/>
      <c r="B581" s="172"/>
      <c r="C581" s="174"/>
      <c r="D581" s="172"/>
      <c r="E581" s="170"/>
      <c r="F581" s="169"/>
      <c r="G581" s="170"/>
      <c r="H581" s="170"/>
      <c r="I581" s="170"/>
      <c r="J581" s="170"/>
      <c r="K581" s="170"/>
      <c r="L581" s="170"/>
      <c r="M581" s="170"/>
      <c r="N581" s="169"/>
    </row>
    <row r="582" spans="1:14" ht="18.95" customHeight="1">
      <c r="A582" s="2"/>
      <c r="B582" s="172"/>
      <c r="C582" s="174"/>
      <c r="D582" s="172"/>
      <c r="E582" s="170"/>
      <c r="F582" s="169"/>
      <c r="G582" s="170"/>
      <c r="H582" s="170"/>
      <c r="I582" s="170"/>
      <c r="J582" s="170"/>
      <c r="K582" s="170"/>
      <c r="L582" s="170"/>
      <c r="M582" s="170"/>
      <c r="N582" s="169"/>
    </row>
    <row r="583" spans="1:14" ht="18.95" customHeight="1">
      <c r="A583" s="179"/>
      <c r="B583" s="168"/>
      <c r="C583" s="187"/>
      <c r="D583" s="172"/>
      <c r="E583" s="170"/>
      <c r="F583" s="169"/>
      <c r="G583" s="170"/>
      <c r="H583" s="170"/>
      <c r="I583" s="170"/>
      <c r="J583" s="170"/>
      <c r="K583" s="170"/>
      <c r="L583" s="170"/>
      <c r="M583" s="170"/>
      <c r="N583" s="169"/>
    </row>
    <row r="584" spans="1:14" ht="18.95" customHeight="1">
      <c r="A584" s="179"/>
      <c r="B584" s="168"/>
      <c r="C584" s="187"/>
      <c r="D584" s="172"/>
      <c r="E584" s="170"/>
      <c r="F584" s="169"/>
      <c r="G584" s="170"/>
      <c r="H584" s="170"/>
      <c r="I584" s="170"/>
      <c r="J584" s="170"/>
      <c r="K584" s="170"/>
      <c r="L584" s="170"/>
      <c r="M584" s="170"/>
      <c r="N584" s="169"/>
    </row>
    <row r="585" spans="1:14" ht="18.95" customHeight="1">
      <c r="A585" s="167"/>
      <c r="B585" s="188"/>
      <c r="C585" s="187"/>
      <c r="D585" s="172"/>
      <c r="F585" s="169"/>
      <c r="G585" s="170"/>
      <c r="H585" s="170"/>
      <c r="I585" s="170"/>
      <c r="J585" s="170"/>
      <c r="K585" s="170"/>
      <c r="L585" s="170"/>
      <c r="M585" s="170"/>
      <c r="N585" s="169"/>
    </row>
    <row r="586" spans="1:14" ht="18.95" customHeight="1">
      <c r="A586" s="167"/>
      <c r="B586" s="168"/>
      <c r="C586" s="182"/>
      <c r="D586" s="189"/>
      <c r="F586" s="169"/>
      <c r="G586" s="170"/>
      <c r="H586" s="170"/>
      <c r="I586" s="170"/>
      <c r="J586" s="170"/>
      <c r="K586" s="170"/>
      <c r="L586" s="170"/>
      <c r="M586" s="170"/>
      <c r="N586" s="169"/>
    </row>
    <row r="587" spans="1:14" ht="18.95" customHeight="1">
      <c r="A587" s="167"/>
      <c r="B587" s="168"/>
      <c r="C587" s="186"/>
      <c r="D587" s="172"/>
      <c r="F587" s="169"/>
      <c r="G587" s="170"/>
      <c r="H587" s="170"/>
      <c r="I587" s="170"/>
      <c r="J587" s="170"/>
      <c r="K587" s="170"/>
      <c r="L587" s="170"/>
      <c r="M587" s="170"/>
      <c r="N587" s="169"/>
    </row>
    <row r="588" spans="1:14" ht="18.95" customHeight="1">
      <c r="A588" s="2"/>
      <c r="B588" s="168"/>
      <c r="C588" s="186"/>
      <c r="D588" s="168"/>
      <c r="F588" s="169"/>
      <c r="G588" s="170"/>
      <c r="H588" s="170"/>
      <c r="I588" s="170"/>
      <c r="J588" s="170"/>
      <c r="K588" s="170"/>
      <c r="L588" s="170"/>
      <c r="M588" s="170"/>
      <c r="N588" s="169"/>
    </row>
    <row r="589" spans="1:14" ht="18.95" customHeight="1">
      <c r="A589" s="167"/>
      <c r="B589" s="168"/>
      <c r="C589" s="186"/>
      <c r="D589" s="172"/>
      <c r="F589" s="169"/>
      <c r="G589" s="170"/>
      <c r="H589" s="170"/>
      <c r="I589" s="170"/>
      <c r="J589" s="170"/>
      <c r="K589" s="170"/>
      <c r="L589" s="170"/>
      <c r="M589" s="170"/>
      <c r="N589" s="169"/>
    </row>
    <row r="590" spans="1:14" ht="18.95" customHeight="1">
      <c r="A590" s="167"/>
      <c r="B590" s="174"/>
      <c r="C590" s="174"/>
      <c r="D590" s="174"/>
      <c r="F590" s="169"/>
      <c r="G590" s="170"/>
      <c r="H590" s="170"/>
      <c r="I590" s="170"/>
      <c r="J590" s="170"/>
      <c r="K590" s="170"/>
      <c r="L590" s="170"/>
      <c r="M590" s="170"/>
      <c r="N590" s="169"/>
    </row>
    <row r="591" spans="1:14" ht="18.95" customHeight="1">
      <c r="B591" s="174"/>
      <c r="C591" s="174"/>
      <c r="D591" s="174"/>
      <c r="F591" s="169"/>
      <c r="G591" s="170"/>
      <c r="H591" s="170"/>
      <c r="I591" s="170"/>
      <c r="J591" s="170"/>
      <c r="K591" s="170"/>
      <c r="L591" s="170"/>
      <c r="M591" s="170"/>
      <c r="N591" s="169"/>
    </row>
    <row r="592" spans="1:14" ht="18.95" customHeight="1">
      <c r="B592" s="174"/>
      <c r="C592" s="174"/>
      <c r="D592" s="174"/>
      <c r="F592" s="169"/>
      <c r="G592" s="170"/>
      <c r="H592" s="170"/>
      <c r="I592" s="170"/>
      <c r="J592" s="170"/>
      <c r="K592" s="170"/>
      <c r="L592" s="170"/>
      <c r="M592" s="170"/>
    </row>
    <row r="593" spans="7:13" ht="18.95" customHeight="1">
      <c r="G593" s="170"/>
      <c r="H593" s="170"/>
      <c r="I593" s="170"/>
      <c r="J593" s="170"/>
      <c r="K593" s="170"/>
      <c r="L593" s="170"/>
      <c r="M593" s="170"/>
    </row>
  </sheetData>
  <mergeCells count="111">
    <mergeCell ref="B473:D473"/>
    <mergeCell ref="B478:D478"/>
    <mergeCell ref="B479:D479"/>
    <mergeCell ref="B489:D489"/>
    <mergeCell ref="B498:D498"/>
    <mergeCell ref="B500:D500"/>
    <mergeCell ref="B526:D526"/>
    <mergeCell ref="A5:A6"/>
    <mergeCell ref="E5:E6"/>
    <mergeCell ref="B5:D6"/>
    <mergeCell ref="B382:D382"/>
    <mergeCell ref="B406:D406"/>
    <mergeCell ref="B415:D415"/>
    <mergeCell ref="B424:D424"/>
    <mergeCell ref="B429:D429"/>
    <mergeCell ref="E437:G437"/>
    <mergeCell ref="B443:D443"/>
    <mergeCell ref="B456:D456"/>
    <mergeCell ref="B465:D465"/>
    <mergeCell ref="B356:D356"/>
    <mergeCell ref="E361:G361"/>
    <mergeCell ref="B362:D362"/>
    <mergeCell ref="E367:G367"/>
    <mergeCell ref="B368:D368"/>
    <mergeCell ref="E373:G373"/>
    <mergeCell ref="B374:D374"/>
    <mergeCell ref="E379:G379"/>
    <mergeCell ref="B380:D380"/>
    <mergeCell ref="B300:D300"/>
    <mergeCell ref="E316:G316"/>
    <mergeCell ref="B319:D319"/>
    <mergeCell ref="B320:D320"/>
    <mergeCell ref="B328:D328"/>
    <mergeCell ref="E338:G338"/>
    <mergeCell ref="B339:D339"/>
    <mergeCell ref="B350:D350"/>
    <mergeCell ref="E355:G355"/>
    <mergeCell ref="B134:D134"/>
    <mergeCell ref="B135:D135"/>
    <mergeCell ref="B136:D136"/>
    <mergeCell ref="B137:D137"/>
    <mergeCell ref="B138:D138"/>
    <mergeCell ref="B139:D139"/>
    <mergeCell ref="B296:D296"/>
    <mergeCell ref="B297:D297"/>
    <mergeCell ref="B299:D299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4:D124"/>
    <mergeCell ref="B100:D100"/>
    <mergeCell ref="B101:D101"/>
    <mergeCell ref="B103:D103"/>
    <mergeCell ref="B104:D104"/>
    <mergeCell ref="B105:D105"/>
    <mergeCell ref="B106:D106"/>
    <mergeCell ref="B107:D107"/>
    <mergeCell ref="B108:D108"/>
    <mergeCell ref="B109:D109"/>
    <mergeCell ref="B90:D90"/>
    <mergeCell ref="B91:D91"/>
    <mergeCell ref="B92:D92"/>
    <mergeCell ref="B93:D93"/>
    <mergeCell ref="B94:D94"/>
    <mergeCell ref="B95:D95"/>
    <mergeCell ref="B96:D96"/>
    <mergeCell ref="B97:D97"/>
    <mergeCell ref="B99:D99"/>
    <mergeCell ref="B80:D80"/>
    <mergeCell ref="B81:D81"/>
    <mergeCell ref="B82:D82"/>
    <mergeCell ref="B83:D83"/>
    <mergeCell ref="B84:D84"/>
    <mergeCell ref="B85:D85"/>
    <mergeCell ref="B86:D86"/>
    <mergeCell ref="B88:D88"/>
    <mergeCell ref="B89:D89"/>
    <mergeCell ref="B21:D21"/>
    <mergeCell ref="B23:D23"/>
    <mergeCell ref="B25:D25"/>
    <mergeCell ref="B30:D30"/>
    <mergeCell ref="B41:D41"/>
    <mergeCell ref="B54:D54"/>
    <mergeCell ref="B64:D64"/>
    <mergeCell ref="B75:D75"/>
    <mergeCell ref="B77:D77"/>
    <mergeCell ref="A1:C1"/>
    <mergeCell ref="D1:I1"/>
    <mergeCell ref="L1:N1"/>
    <mergeCell ref="A2:C2"/>
    <mergeCell ref="A3:C3"/>
    <mergeCell ref="G5:I5"/>
    <mergeCell ref="J5:L5"/>
    <mergeCell ref="B13:D13"/>
    <mergeCell ref="B14:D14"/>
    <mergeCell ref="F5:F6"/>
    <mergeCell ref="N5:N6"/>
  </mergeCells>
  <printOptions horizontalCentered="1"/>
  <pageMargins left="0.39370078740157499" right="0.39370078740157499" top="1.1811023622047201" bottom="0" header="0.78740157480314998" footer="0"/>
  <pageSetup paperSize="9" scale="71" firstPageNumber="40" orientation="landscape" useFirstPageNumber="1"/>
  <headerFooter alignWithMargins="0">
    <oddHeader>&amp;C&amp;"Cordia New,Regular"&amp;14แบบแสดงรายการ ปริมาณงาน และราคา&amp;R&amp;"Cordia New,Regular"&amp;14แบบปร.4(ข) แผ่นที่ &amp;P/44</oddHeader>
  </headerFooter>
  <rowBreaks count="17" manualBreakCount="17">
    <brk id="30" max="11" man="1"/>
    <brk id="58" max="11" man="1"/>
    <brk id="86" max="11" man="1"/>
    <brk id="114" max="11" man="1"/>
    <brk id="143" max="11" man="1"/>
    <brk id="171" max="11" man="1"/>
    <brk id="199" max="11" man="1"/>
    <brk id="227" max="11" man="1"/>
    <brk id="255" max="11" man="1"/>
    <brk id="283" max="11" man="1"/>
    <brk id="311" max="11" man="1"/>
    <brk id="339" max="11" man="1"/>
    <brk id="367" max="11" man="1"/>
    <brk id="395" max="11" man="1"/>
    <brk id="451" max="11" man="1"/>
    <brk id="479" max="11" man="1"/>
    <brk id="50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kwanlux p</dc:creator>
  <cp:keywords/>
  <dc:description/>
  <cp:lastModifiedBy>วิทยา โสมานันท์</cp:lastModifiedBy>
  <cp:revision/>
  <dcterms:created xsi:type="dcterms:W3CDTF">2023-09-20T10:36:00Z</dcterms:created>
  <dcterms:modified xsi:type="dcterms:W3CDTF">2026-01-27T14:01:49Z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1033-11.2.0.10006</vt:lpwstr>
  </property>
</Properties>
</file>