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HTTPS ONLY/DEFAULT</t>
      </text>
    </comment>
    <comment authorId="0" ref="K1">
      <text>
        <t xml:space="preserve">Allows the user to upload a file and keeps it for a temporary amount of time.</t>
      </text>
    </comment>
    <comment authorId="0" ref="S1">
      <text>
        <t xml:space="preserve">Just a joke god damn it
</t>
      </text>
    </comment>
    <comment authorId="0" ref="A5">
      <text>
        <t xml:space="preserve">Criteria for Pomf.se clones to be listed as Recommended:
-No major domain changes unless it redirects to the new domain(s)
-Performs malware scanning checks and is free of being on blacklists and make active efforts to remove itself off them (2 weeks from notification of being on a blacklist, 4 weeks from notification of being marked suspicious on a blacklist)
-Has reliable uptime
-No major outages or failures on their system
-Existed for several months to a year at least
-Has contact information for contacting the sysadmin/owner
-Financial status of that clone is questionable. Subjective, but w/e</t>
      </text>
    </comment>
    <comment authorId="0" ref="B5">
      <text>
        <t xml:space="preserve">Criteria for Pomf.se clones to be listed as Recommended:
-No major domain changes unless it redirects to the new domain(s)
-Performs malware scanning checks and is free of being on blacklists and make active efforts to remove itself off them
-Has reliable uptime
-No major outages or failures on their system
-Existed for several months to a year at least
-Has contact information for contacting the sysadmin/owner
-Financial status of that clone is questionable. Subjective, but w/e</t>
      </text>
    </comment>
    <comment authorId="0" ref="D6">
      <text>
        <t xml:space="preserve">HTTPS ONLY/DEFAULT</t>
      </text>
    </comment>
    <comment authorId="0" ref="K6">
      <text>
        <t xml:space="preserve">Allows the user to upload a file and keeps it for a temporary amount of time.</t>
      </text>
    </comment>
    <comment authorId="0" ref="S6">
      <text>
        <t xml:space="preserve">Just a joke god damn it
</t>
      </text>
    </comment>
    <comment authorId="0" ref="O7">
      <text>
        <t xml:space="preserve">Sapphire/mixtape.moe is a fork of nokonoko/pomf</t>
      </text>
    </comment>
    <comment authorId="0" ref="B8">
      <text>
        <t xml:space="preserve">June 22nd, 2016
Site came back online: https://tweetsave.com/lolihookdev/status/745669571449917440
June 20th, 2016
Pomfe.co went down due to technical issues and is expected to not be back for a couple of weeks to a month: https://tweetsave.com/lolihookdev/status/744852610335776768</t>
      </text>
    </comment>
    <comment authorId="0" ref="C8">
      <text>
        <t xml:space="preserve">Jan 24th, 2016 - Changed from 312MB to 100MB</t>
      </text>
    </comment>
    <comment authorId="0" ref="D11">
      <text>
        <t xml:space="preserve">HTTPS ONLY/DEFAULT</t>
      </text>
    </comment>
    <comment authorId="0" ref="K11">
      <text>
        <t xml:space="preserve">Allows the user to upload a file and keeps it for a temporary amount of time.</t>
      </text>
    </comment>
    <comment authorId="0" ref="S11">
      <text>
        <t xml:space="preserve">Just a joke god damn it
</t>
      </text>
    </comment>
    <comment authorId="0" ref="B12">
      <text>
        <t xml:space="preserve">Jan 22nd, 2017 - Lost server, claims it will get a new one within a week
Feb 6th, 2017 - Still no new server
Fab 24th, 2017 - Still no server
March 2nd, 2017 - Finally back up</t>
      </text>
    </comment>
    <comment authorId="0" ref="A13">
      <text>
        <t xml:space="preserve">Changed name from tpb.lc to Nekko.io in January 2016
Changed named from Nekko.io to uhnya.net February 2016
March 2016, they changed from Uhnya.net to tpb.lc
April 2016, they changed from tpb.lc to desu.sh
January 5th, 2017 - Removed from recommended list due to be on Malwarebytes blacklist for too long
Feburary 11th, 2017 - They change the domain from desu.sh to doko.moe</t>
      </text>
    </comment>
    <comment authorId="0" ref="B13">
      <text>
        <t xml:space="preserve">Major hardware failure on October 8th</t>
      </text>
    </comment>
    <comment authorId="0" ref="C13">
      <text>
        <t xml:space="preserve">After the hardware failure October 10th, uploads were limited to 512MB
November 1st, 2016 back to 512MB
December 2nd, 2016 increased to 10GB to spite Neko
Christmas 2016, changed to 2GB
July 2017 - Changed to 512MB
August 2017 - Changed back to 2GB
September 2017 - BACK to 512MB</t>
      </text>
    </comment>
    <comment authorId="0" ref="A20">
      <text>
        <t xml:space="preserve">April 14th, 2017 - Removed from recommended list due to outstanding blacklists for over 2 weeks
Changed name from cuntflaps.me to safe.moe February 2017</t>
      </text>
    </comment>
    <comment authorId="0" ref="C20">
      <text>
        <t xml:space="preserve">Due to cost issues, Nov 12th, limit was reduced to 200MB from 500MB</t>
      </text>
    </comment>
    <comment authorId="0" ref="A21">
      <text>
        <t xml:space="preserve">December 1st, 2016 - Removed from recommended list due to inactivity in removing itself from CLEAN MX list</t>
      </text>
    </comment>
    <comment authorId="0" ref="C22">
      <text>
        <t xml:space="preserve">increased from 50MB to 100MB</t>
      </text>
    </comment>
    <comment authorId="0" ref="A26">
      <text>
        <t xml:space="preserve">These other uploaders are File Uploaders similar to Pomf but don't have the same API standards with Pomf.se clones</t>
      </text>
    </comment>
    <comment authorId="0" ref="D26">
      <text>
        <t xml:space="preserve">HTTPS ONLY/DEFAULT</t>
      </text>
    </comment>
    <comment authorId="0" ref="K26">
      <text>
        <t xml:space="preserve">Allows the user to upload a file and keeps it for a temporary amount of time.</t>
      </text>
    </comment>
    <comment authorId="0" ref="S26">
      <text>
        <t xml:space="preserve">Just a joke god damn it
</t>
      </text>
    </comment>
    <comment authorId="0" ref="A27">
      <text>
        <t xml:space="preserve">April 14th, 2017 - Removed from recommended list due to outstanding blacklists for over 2 weeks
</t>
      </text>
    </comment>
    <comment authorId="0" ref="B28">
      <text>
        <t xml:space="preserve">Large blackout from Jan 9th - Jan 14th (8pm EST)</t>
      </text>
    </comment>
    <comment authorId="0" ref="C28">
      <text>
        <t xml:space="preserve">June 16th, 2017 - Registered: 1GB, Unregistered: 100MB
Feb 25th, 2017 - Changed from 100MB to 1GB limit</t>
      </text>
    </comment>
    <comment authorId="0" ref="A30">
      <text>
        <t xml:space="preserve">October 20th, domain changed from filedropper.pw to pomf.host
Some time around november 2016, pomf.host domain was seized, Reverting listing back to https://filedropper.pw/
On December 5th, Pomf.host changed to Filebox.moe</t>
      </text>
    </comment>
    <comment authorId="0" ref="B30">
      <text>
        <t xml:space="preserve">May 6th, 2017 - decided to remain online
May 5th, 2017 - Posted notice:
Shutdown
FileBox.moe will shutdown tomorrow. To keep it simple: Box isnt willd anymore to pay a 50$ bill alone.
People offered me money but wanted admin rights in return.
That woudl've been a danger to the privacy of u guys so turned them down.</t>
      </text>
    </comment>
    <comment authorId="0" ref="C30">
      <text>
        <t xml:space="preserve">Dec 7th, 2016 - 100MB limit to 1GB
March 2017 - 1GB limit to 3GB</t>
      </text>
    </comment>
    <comment authorId="0" ref="C32">
      <text>
        <t xml:space="preserve">Up to 1GB, based on account space left</t>
      </text>
    </comment>
    <comment authorId="0" ref="A33">
      <text>
        <t xml:space="preserve">July 22nd, 2016 - Domain changed from uguu.memenet.org to memenet.org
May 10th 2016, owner switched from Pomf to Uguu</t>
      </text>
    </comment>
    <comment authorId="0" ref="C33">
      <text>
        <t xml:space="preserve">Changed from 50MB to 128MB</t>
      </text>
    </comment>
    <comment authorId="0" ref="K34">
      <text>
        <t xml:space="preserve">After 1 week of no access or activity on a file, it is deleted automatically.</t>
      </text>
    </comment>
    <comment authorId="0" ref="A37">
      <text>
        <t xml:space="preserve">These uploaders are file uploaders that enforce temporary hosting only.</t>
      </text>
    </comment>
    <comment authorId="0" ref="D37">
      <text>
        <t xml:space="preserve">HTTPS ONLY/DEFAULT</t>
      </text>
    </comment>
    <comment authorId="0" ref="K37">
      <text>
        <t xml:space="preserve">Allows the user to upload a file and keeps it for a temporary amount of time.</t>
      </text>
    </comment>
    <comment authorId="0" ref="S37">
      <text>
        <t xml:space="preserve">Just a joke god damn it
</t>
      </text>
    </comment>
    <comment authorId="0" ref="B43">
      <text>
        <t xml:space="preserve">On December 6th 2016 uguu.se went down for a short period of time due to DNS errors.</t>
      </text>
    </comment>
    <comment authorId="0" ref="A44">
      <text>
        <t xml:space="preserve">Feb 4th, 2017 - Change from Upek.tk to Upek.cf</t>
      </text>
    </comment>
    <comment authorId="0" ref="A46">
      <text>
        <t xml:space="preserve">These uploaders are for images only, including gif. They don't allow anything else.</t>
      </text>
    </comment>
    <comment authorId="0" ref="D46">
      <text>
        <t xml:space="preserve">HTTPS ONLY/DEFAULT</t>
      </text>
    </comment>
    <comment authorId="0" ref="K46">
      <text>
        <t xml:space="preserve">Allows the user to upload a file and keeps it for a temporary amount of time.</t>
      </text>
    </comment>
    <comment authorId="0" ref="S46">
      <text>
        <t xml:space="preserve">Just a joke god damn it
</t>
      </text>
    </comment>
    <comment authorId="0" ref="B47">
      <text>
        <t xml:space="preserve">October 1st-October 9th 2016 - down</t>
      </text>
    </comment>
    <comment authorId="0" ref="A52">
      <text>
        <t xml:space="preserve">March 2017 - Changed domain from postimage.org to postimage.io
I do not recommend this host to anyone. They physically check all uploads, enforce ridiculous content policies, and even require that images linked elsewhere must link back to their website html page.
Additionally uploads take literal minutes to process once actually uploaded.
On top of this, it is reported they do heavy lossy compression on images now</t>
      </text>
    </comment>
    <comment authorId="0" ref="A57">
      <text>
        <t xml:space="preserve">These uploaders are media only but only meant for screenshots and similar uses.</t>
      </text>
    </comment>
    <comment authorId="0" ref="D57">
      <text>
        <t xml:space="preserve">HTTPS ONLY/DEFAULT</t>
      </text>
    </comment>
    <comment authorId="0" ref="K57">
      <text>
        <t xml:space="preserve">Allows the user to upload a file and keeps it for a temporary amount of time.</t>
      </text>
    </comment>
    <comment authorId="0" ref="S57">
      <text>
        <t xml:space="preserve">Just a joke god damn it
</t>
      </text>
    </comment>
    <comment authorId="0" ref="K58">
      <text>
        <t xml:space="preserve">After 1 week of no access or activity on a file, it is deleted automatically.</t>
      </text>
    </comment>
    <comment authorId="0" ref="B63">
      <text>
        <t xml:space="preserve">On August 22nd, 2016, the 1339.cf domain was lost from the owner and bought by someone else who used it to hijack users to malicious ads and web pages.</t>
      </text>
    </comment>
    <comment authorId="0" ref="O63">
      <text>
        <t xml:space="preserve">bohrmeista/1338 is a fork of nokonoko/pomf</t>
      </text>
    </comment>
    <comment authorId="0" ref="B64">
      <text>
        <t xml:space="preserve">Pomf Clone replaced with an OwnCloud instance around Jan 5th, 2016</t>
      </text>
    </comment>
    <comment authorId="0" ref="B65">
      <text>
        <t xml:space="preserve">Mid September, it just disappeared</t>
      </text>
    </comment>
    <comment authorId="0" ref="A66">
      <text>
        <t xml:space="preserve">Oct 1st, 2016 - Removed from Recommended list for blacklist issues</t>
      </text>
    </comment>
    <comment authorId="0" ref="B66">
      <text>
        <t xml:space="preserve">March 25th 2017 - Posted that it will be going private on April 3rd 2017</t>
      </text>
    </comment>
    <comment authorId="0" ref="B67">
      <text>
        <t xml:space="preserve">Sometime between April and May 2016, the site went private. Users must request accounts.
This is a list of publically accessible pomf like file hosts, users must be able to freely upload or instantly get an account.</t>
      </text>
    </comment>
    <comment authorId="0" ref="B68">
      <text>
        <t xml:space="preserve">June 18th, 2017 - Removed all of Lesderid's pomfs due to being disabled for almost a month
July 14th - The .Ninja domain registry put a ServerHold on the Cocaine.ninja domain. Until this hold is lifted, Cocaine.ninja will be down.
June 1st 2016
This is Lance Brignoni, AKA happybox, and I'm writing this to explain what the fuck is happening. I'm busy with life, school, work, your mother. Don't really have time to deal with all the maintenence and abuse reports and I'm tired of patching fucking pomf spaghetti code. There were other factors that led to my decision but that's another story for another decade. I'm transferring ownership to lesderid. He's the owner of https://p.fuwafuwa.moe and https://pomf.lesderid.net, and now https://cocaine.ninja 
The site will remain up under his control, though hosting may move away from Russia. He can be contacted at les@fuwafuwa.moe or on rizon #pomfret. We made dank memes together lads and had alot of lels and gegs and quqs and keks and hehs. It's been dank. 
p.s. steel fuels cant melt jet beams</t>
      </text>
    </comment>
    <comment authorId="0" ref="B69">
      <text>
        <t xml:space="preserve">Removed 1/28 assumed dead
</t>
      </text>
    </comment>
    <comment authorId="0" ref="C69">
      <text>
        <t xml:space="preserve">Changed from 650MB to 128MB</t>
      </text>
    </comment>
    <comment authorId="0" ref="O69">
      <text>
        <t xml:space="preserve">bohrmeista/1338 is a fork of nokonoko/pomf</t>
      </text>
    </comment>
    <comment authorId="0" ref="B70">
      <text>
        <t xml:space="preserve">December 23rd, Filebunker.pw's domain seemed to have expired
Dec 31st - removed from list due to 7 days of being down</t>
      </text>
    </comment>
    <comment authorId="0" ref="O70">
      <text>
        <t xml:space="preserve">Sapphire/mixtape.moe is a fork of nokonoko/pomf</t>
      </text>
    </comment>
    <comment authorId="0" ref="B71">
      <text>
        <t xml:space="preserve">June 18th, 2017 - Removed all of Lesderid's pomfs due to being disabled for almost a month
March 2017 - Uploads disabled
May 28 2017 - Les took over the site</t>
      </text>
    </comment>
    <comment authorId="0" ref="C71">
      <text>
        <t xml:space="preserve">Changed on Les take over from 10MB to 16MB</t>
      </text>
    </comment>
    <comment authorId="0" ref="P71">
      <text>
        <t xml:space="preserve">Previously: https://luminarys.com/</t>
      </text>
    </comment>
    <comment authorId="0" ref="Q71">
      <text>
        <t xml:space="preserve">Previously: https://twitter.com/idleactivities</t>
      </text>
    </comment>
    <comment authorId="0" ref="A72">
      <text>
        <t xml:space="preserve">May 2016 changed domain from pomf.lesderid.net to p.fuwafuwa.moe</t>
      </text>
    </comment>
    <comment authorId="0" ref="B72">
      <text>
        <t xml:space="preserve">June 18th, 2017 - Removed all of Lesderid's pomfs due to being disabled for almost a month</t>
      </text>
    </comment>
    <comment authorId="0" ref="B73">
      <text>
        <t xml:space="preserve">April 30th, 2017 - Site shutdown with this notice:
Bye
I'm not gonna tell you about 'My Incredible Journey' because it was neither a journey nor incredible. Basically, g.zxq.co was something I made for me and a couple of friends, then well shit happened and it got onto the pomf clone list, we went onto ShareX etc. but really I can't give a single fuck about continuing to develop this piece of crap, especially for protecting it against viruses which have been uploaded on the server as of lately. And while I did take countermeasures to protect against those, I really can't be bothered anymore to keep this service up, and furthermore, as one of the person I admire the most (SirCmpwn) puts it, image hosting websites are rather unprofitable.
If you were using g.zxq.co, worry not, files will be kept and those will stay there for as long as I can pay this server and this domain, which hopefully is for a very long time, so yay no borken images. If you need an alternative, I suggest nya.is, the guy is cool, the software is cool, it's all cool, but if you still don't like it then you can check out this list, it's got some p cool pomf clones.
Now, let's take a closer look at absolutely nothing.
Finally, to cheer you up, have a qt anime grill waving her hand.
Howl</t>
      </text>
    </comment>
    <comment authorId="0" ref="B74">
      <text>
        <t xml:space="preserve">Around February 21st it disappeared</t>
      </text>
    </comment>
    <comment authorId="0" ref="B75">
      <text>
        <t xml:space="preserve">June 30th, 2017 - Dear User, 
We’d like to inform you that we will be shutting down services on June 30th, 2017. Please download and backup your files before this date. 
Sincerely, 
The Team</t>
      </text>
    </comment>
    <comment authorId="0" ref="B76">
      <text>
        <t xml:space="preserve">April 8th - "Going private. Only had it public as a fun little project, but having to deal with malware and now massive CP dumps it's just not worth it anymore.
Good luck guys."
17/06/01
Harddrive failure (don't buy seagate archive disks), all previously uploaded data has been lost.</t>
      </text>
    </comment>
    <comment authorId="0" ref="C76">
      <text>
        <t xml:space="preserve">Changed from 5GB to 5.12GB Christmas 2016</t>
      </text>
    </comment>
    <comment authorId="0" ref="A77">
      <text>
        <t xml:space="preserve">Oct 1st, 2016 - Removed from Recommended list for blacklist issues</t>
      </text>
    </comment>
    <comment authorId="0" ref="B77">
      <text>
        <t xml:space="preserve">On October 26th, 2016, Kyaa.sg went private</t>
      </text>
    </comment>
    <comment authorId="0" ref="B78">
      <text>
        <t xml:space="preserve">March 2017 - Domain DNS no longer resolves</t>
      </text>
    </comment>
    <comment authorId="0" ref="B79">
      <text>
        <t xml:space="preserve">Jan 13th, 2017 - Closed
Reason: Shut down magnolia.moe due to skids trying to abuse it constantly
https://tweetsave.com/sleeplessneet/status/819997917196980228</t>
      </text>
    </comment>
    <comment authorId="0" ref="B80">
      <text>
        <t xml:space="preserve">suffered acute hard drive failure on December 8th, 2015. All 87GB of data was lost.</t>
      </text>
    </comment>
    <comment authorId="0" ref="B81">
      <text>
        <t xml:space="preserve">Went private sometime in Mid 2015 after the owner didn't want to handle malware abuse. Sometime at the end of 2015 it closed for good.</t>
      </text>
    </comment>
    <comment authorId="0" ref="B82">
      <text>
        <t xml:space="preserve">On April 23rd, Maxfile.ro posted a message on their site saying it would go down April 26th:
8TB of data later...
Maxfile.ro officially closes it service on 26 April 2016.
It's been a great 3 years but server bill has gone sky-rocket and I can't afford to pay it anymore.
There are alot of other clones of pomf.se that you can start yourself (check source code @ http://github.com/nokonoko/Pomf)
Upload is disabled and all data will be gone forever in 26 April.
Some statistics for nerds:
Total traffic per month : 12~15 TB (cloudflare saving us 50% of this bandwitdh with their cache) 
Total requests per month : 4-5milion (well that's a lot!) (90% of monthly requests were served via HTTPS!)</t>
      </text>
    </comment>
    <comment authorId="0" ref="B83">
      <text>
        <t xml:space="preserve">May 7th 2017 - Removed for being down more than 2 weeks</t>
      </text>
    </comment>
    <comment authorId="0" ref="B84">
      <text>
        <t xml:space="preserve">June 18th, 2017 - Removed due to being down for over a week</t>
      </text>
    </comment>
    <comment authorId="0" ref="B85">
      <text>
        <t xml:space="preserve">June 30th, 2016 - Due to the site being down for over 7 days, it has been removed from the list.
June 25th, 2016 - an outage occurred and it has spanned several days now.
March 2016 it came back online
Unknown death, at the end of February 2016, the nigger.cat domain stop resolving</t>
      </text>
    </comment>
    <comment authorId="0" ref="A86">
      <text>
        <t xml:space="preserve">Renamed from Pomf.io to Pomf.is around Christmas 2015
November 2016, renamed from pomf.is to nya.is and changed code base form Pomf to cPomf</t>
      </text>
    </comment>
    <comment authorId="0" ref="B86">
      <text>
        <t xml:space="preserve">July 28th, 2017 - Official statement about the site being shutdown
"I have spoken to Josh, and he has decided to close the service down after receiving reports of child pornography being uploaded to the service.
He spoke to his lawyers and they told him that he could be held accountable for it due to the unmoderated nature of Nya enabling the mis-use of the service.
I'm currently in the process of getting him to transfer the domain(s) back to me, so I can put up a notice."
https://lewd.sx/t/nya-is-is-now-under-new-ownership?pid=71985#pid71985
March 28th, 2017 - Nya.is was bought out by Hummingbird/Kitsu owner, Josh
March 27th, 2017 - Nya.is announced they would shut down and go private after running out of space
On Jan 31st, the server wasn't paid for and the host wiped the servers. No backup existed. Most data was lost.
More:
On the 1st of February, due to medical reasons, the owner of pomf.is' previous server was in hospital and was unable to/forgot to pay the bill; resulting in the server being what I assumed as "suspended". But unfortunately, unlike other hosting providers, there was no grace period after the server was taken offline and the server was terminated immediately, effectively causing the loss of all data uploaded from the 11th of January onwards (as that's when our last backup was taken).
I have restored the latest backup. Needless to say, I'm pretty upset about the loss of data, and am taking measures to ensure it doesn't happen again.
- Neko</t>
      </text>
    </comment>
    <comment authorId="0" ref="C86">
      <text>
        <t xml:space="preserve">On December 1st neko increased nya.is file limit to 3 Gigabytes</t>
      </text>
    </comment>
    <comment authorId="0" ref="B87">
      <text>
        <t xml:space="preserve">June 18th, 2017 - Removed due tot he domain being expired for half the month of June
June 2017 - Domain expired</t>
      </text>
    </comment>
    <comment authorId="0" ref="C87">
      <text>
        <t xml:space="preserve">March 2017 - Changed from 10MB to 20MB</t>
      </text>
    </comment>
    <comment authorId="0" ref="O87">
      <text>
        <t xml:space="preserve">March 2017 - Changed from chevereto to a script upload (https://github.com/samayo/bulletproof)</t>
      </text>
    </comment>
    <comment authorId="0" ref="B88">
      <text>
        <t xml:space="preserve">Removed on March 5th 2016 because the Uploader has been down for 3 months and no fix has been done or any response to emails.</t>
      </text>
    </comment>
    <comment authorId="0" ref="C88">
      <text>
        <t xml:space="preserve">Claims 1024MB on a direct address, but it doesn't function.</t>
      </text>
    </comment>
    <comment authorId="0" ref="B89">
      <text>
        <t xml:space="preserve">Closed after taking Nyaa up
Closed down December 4th, 2015 due to bandwidth issues. Files were give to Mixtape.
It is online but PRIVATE. You can see it but it has no public files and it requires a login to upload to.</t>
      </text>
    </comment>
    <comment authorId="0" ref="O89">
      <text>
        <t xml:space="preserve">Pantsu/pomf is a fork of nokonoko/pomf</t>
      </text>
    </comment>
    <comment authorId="0" ref="B90">
      <text>
        <t xml:space="preserve">April 14th, the site went down and hasn't been up since</t>
      </text>
    </comment>
    <comment authorId="0" ref="B91">
      <text>
        <t xml:space="preserve">June 2017 - Site reported to have been down for over a month
Feb 5th, 2017 - Uploads broken, owner claims he was `raided`, Twitter account gone, existing uploads are not effected (for now at least).</t>
      </text>
    </comment>
    <comment authorId="0" ref="B92">
      <text>
        <t xml:space="preserve">June 26th, 2017 - Removed from list dude to being down for over 8 days
January 11th, 2016 - Large blackout from Jan 8th - Jan 10th</t>
      </text>
    </comment>
    <comment authorId="0" ref="B93">
      <text>
        <t xml:space="preserve">Closed down December 13th, 2015 due to issues. Merged into Pomf.io
"Satori was just tired of paying/dealing with it, so he let pomf.is incorporate it."</t>
      </text>
    </comment>
    <comment authorId="0" ref="B94">
      <text>
        <t xml:space="preserve">June 30th, 2016 - Due to the site being down for over 7 days, it has been removed from the list.
June 25th, 2016 - an outage occurred and it has spanned several days now.</t>
      </text>
    </comment>
    <comment authorId="0" ref="B95">
      <text>
        <t xml:space="preserve">February 2017 - Went down and never came back. Suspected of a slow and hostile takeover</t>
      </text>
    </comment>
    <comment authorId="0" ref="B96">
      <text>
        <t xml:space="preserve">Closed as of 3/5/2017
</t>
      </text>
    </comment>
    <comment authorId="0" ref="B97">
      <text>
        <t xml:space="preserve">July 3rd, 2016 - Up1.ca has been down for almost 7 days. It appears to be the PHP server being down. No response has been received from the owner and it hasn't been up since it went down exactly a week ago.
June 27th, 2016 - Up1.ca went down and hasn't been up for a few days with no communication.</t>
      </text>
    </comment>
    <comment authorId="0" ref="A98">
      <text>
        <t xml:space="preserve">On March 4th 2016, u.thebitstick.xyz changed to upflask.cf
</t>
      </text>
    </comment>
    <comment authorId="0" ref="B98">
      <text>
        <t xml:space="preserve">On May 28th, 2016, Upflask.cf domain was terminated by the registrar for copyright issues. The owner decided to shut the site down after that.
https://tweetsave.com/thebitstick/status/736373781074042880
https://tweetsave.com/thebitstick/status/736376290912174080</t>
      </text>
    </comment>
    <comment authorId="0" ref="B99">
      <text>
        <t xml:space="preserve">August/September 2016:
Uploadly will discontinue its services after the 31.08.2016. Please backup your files.</t>
      </text>
    </comment>
    <comment authorId="0" ref="B100">
      <text>
        <t xml:space="preserve">Second week of June 2016, Wakaba went offline with no DNS response.</t>
      </text>
    </comment>
    <comment authorId="0" ref="A101">
      <text>
        <t xml:space="preserve">September 2016, Steamy.moe changed it's Domain to Yiff.moe
1. It violates the recommended Pomf listing rules
and if not:
2. No, not having that on this spreadsheet</t>
      </text>
    </comment>
    <comment authorId="0" ref="R40">
      <text>
        <t xml:space="preserve">N/A
	-Magnus Boman</t>
      </text>
    </comment>
    <comment authorId="0" ref="F40">
      <text>
        <t xml:space="preserve">https://www.virustotal.com/en/url/37fc194a2d49589153cdc5e72ad5d8bbcfc2cd723a4990ae50bf7b03586fc365/analysis/1506560374/
1 malware
	-Magnus Boman</t>
      </text>
    </comment>
    <comment authorId="0" ref="B21">
      <text>
        <t xml:space="preserve">Appears to have been taken down on September 7th
	-Hitechcomputergeek</t>
      </text>
    </comment>
    <comment authorId="0" ref="A45">
      <text>
        <t xml:space="preserve">add put.nu to temp uploaders
	-John Sand</t>
      </text>
    </comment>
    <comment authorId="0" ref="L40">
      <text>
        <t xml:space="preserve">Cloudflare
	-Magnus Boman</t>
      </text>
    </comment>
    <comment authorId="0" ref="O19">
      <text>
        <t xml:space="preserve">https://github.com/xatasan/registrars
	-Otto Hooper</t>
      </text>
    </comment>
    <comment authorId="0" ref="A28">
      <text>
        <t xml:space="preserve">Around June 15th, 2016, temp.venipa.net changed the domain to biyori.moe
Around November 2016, Biyori.moe changed from Pomf to a Laravel based site
----
Will be back in the first month of the new Year. See webpage for info: https://biyori.moe/
	-Venipa
im fast af boi, it will be back in prob a week.
	-Venipa</t>
      </text>
    </comment>
    <comment authorId="0" ref="A19">
      <text>
        <t xml:space="preserve">The new domain seems to be "https://sub.god.jp/"
	-Otto Hooper
Can confirm. Also the source in now on github: https://github.com/xatasan/registrars
	-Z Xatasan</t>
      </text>
    </comment>
    <comment authorId="0" ref="B19">
      <text>
        <t xml:space="preserve">June 18th, 2017 - Removed due to the site being down with a default lighttpd page
----
seems to be down.
	-SmirGel
https://who.is/dns/regist.ra.rs
DNS not pointing anywhere.
	-Otto Hooper
_Marked as resolved_
	-Dry Bones
_Re-opened_
ra.rs seems to be broken, but the server is still up. Depending on how long it takes for the domain owner to fix it, the host will be unacessible, or in the worst case will need a new domain.
	-Анонимный
Due to the DNS error, and my lack of hope that the issue will be repaired soon, I have given up on the regist.ra.rs domain, and decided to just use the s.te.rs domain instead, which was until now just used for uploaded files. So all that has to be done is to replace every regist.ra.rs with a s.te.rs, and all should be ok. Oh, and the https is broken, so that should be noted
	-Z Xatasan</t>
      </text>
    </comment>
    <comment authorId="0" ref="A24">
      <text>
        <t xml:space="preserve">Merged into catbox.moe, redirects are in place for existing files and page itself redirects to catbox.moe
	-Max Gurela</t>
      </text>
    </comment>
  </commentList>
</comments>
</file>

<file path=xl/sharedStrings.xml><?xml version="1.0" encoding="utf-8"?>
<sst xmlns="http://schemas.openxmlformats.org/spreadsheetml/2006/main" count="1191" uniqueCount="159">
  <si>
    <t>File Uploaders</t>
  </si>
  <si>
    <t>Limit</t>
  </si>
  <si>
    <t>HTTPS</t>
  </si>
  <si>
    <t>Paste</t>
  </si>
  <si>
    <t>VirusTotal Status</t>
  </si>
  <si>
    <t>Checked</t>
  </si>
  <si>
    <t>Scanning</t>
  </si>
  <si>
    <t>.EXEs</t>
  </si>
  <si>
    <t>Transparency</t>
  </si>
  <si>
    <t>Temp Hosting</t>
  </si>
  <si>
    <t>CDN</t>
  </si>
  <si>
    <t>Logging</t>
  </si>
  <si>
    <t>No JS Page</t>
  </si>
  <si>
    <t>Code Base</t>
  </si>
  <si>
    <t>Admin [Website]</t>
  </si>
  <si>
    <t>Twitter</t>
  </si>
  <si>
    <t>Email</t>
  </si>
  <si>
    <t>Radical! Design</t>
  </si>
  <si>
    <t>Upload Speed</t>
  </si>
  <si>
    <t>US East</t>
  </si>
  <si>
    <t>US West</t>
  </si>
  <si>
    <t>UK</t>
  </si>
  <si>
    <t>Europe</t>
  </si>
  <si>
    <t>Asia</t>
  </si>
  <si>
    <t>Global Avg</t>
  </si>
  <si>
    <t>If you'd like to make a change on this, use the Google Docs Comment feature and I'll get to it eventually.</t>
  </si>
  <si>
    <t>https://getsharex.com/</t>
  </si>
  <si>
    <t>All Tests are in MB/s</t>
  </si>
  <si>
    <t>Recommended</t>
  </si>
  <si>
    <t>My Recommend list of Pomf.se clones based on a criteria. View the NOTE hover over the Recommend blue title box. Due to a flood of Pomf.se clones and so many that disappear and shutdown, I decided this was one way to help filter the noise.</t>
  </si>
  <si>
    <t>Pomf.se Clones</t>
  </si>
  <si>
    <t>Up</t>
  </si>
  <si>
    <t>100MB</t>
  </si>
  <si>
    <t>Yes</t>
  </si>
  <si>
    <t>No</t>
  </si>
  <si>
    <t>Cloudflare</t>
  </si>
  <si>
    <t>???</t>
  </si>
  <si>
    <t>Votton</t>
  </si>
  <si>
    <t>Pomf.se Clones p2</t>
  </si>
  <si>
    <t>50MB</t>
  </si>
  <si>
    <t>nekomune</t>
  </si>
  <si>
    <t>512MB</t>
  </si>
  <si>
    <t>Miao</t>
  </si>
  <si>
    <t>glop.me</t>
  </si>
  <si>
    <t>10MB</t>
  </si>
  <si>
    <t>Down</t>
  </si>
  <si>
    <t>8MB</t>
  </si>
  <si>
    <t>gen2@kek.club</t>
  </si>
  <si>
    <t>256MB</t>
  </si>
  <si>
    <t>archangel</t>
  </si>
  <si>
    <t>kontakt</t>
  </si>
  <si>
    <t>32MB</t>
  </si>
  <si>
    <t>Options</t>
  </si>
  <si>
    <t>Xatasan</t>
  </si>
  <si>
    <t>200MB</t>
  </si>
  <si>
    <t>heh</t>
  </si>
  <si>
    <t>Temp</t>
  </si>
  <si>
    <t>Pierre Maire</t>
  </si>
  <si>
    <t>oxinai</t>
  </si>
  <si>
    <t>info@vidga.me</t>
  </si>
  <si>
    <t>Other Uploaders</t>
  </si>
  <si>
    <t>1 Month</t>
  </si>
  <si>
    <t>Catbox</t>
  </si>
  <si>
    <t>Cat</t>
  </si>
  <si>
    <t>1GB</t>
  </si>
  <si>
    <t>Accounts Only</t>
  </si>
  <si>
    <t>500MB</t>
  </si>
  <si>
    <t>dbr</t>
  </si>
  <si>
    <t>3GB</t>
  </si>
  <si>
    <t>FileBox</t>
  </si>
  <si>
    <t>25MB</t>
  </si>
  <si>
    <t>Lithiio</t>
  </si>
  <si>
    <t>128MB</t>
  </si>
  <si>
    <t>Illu</t>
  </si>
  <si>
    <t>1 wk w/o access</t>
  </si>
  <si>
    <t>Simple</t>
  </si>
  <si>
    <t>uncled1023</t>
  </si>
  <si>
    <t>Temp File Uploaders</t>
  </si>
  <si>
    <t>Cockfile.com</t>
  </si>
  <si>
    <t>24 Hours</t>
  </si>
  <si>
    <t>24 hours</t>
  </si>
  <si>
    <t>Dropfile.to</t>
  </si>
  <si>
    <t>5GB</t>
  </si>
  <si>
    <t>90 Days</t>
  </si>
  <si>
    <t>Katt</t>
  </si>
  <si>
    <t>150MB</t>
  </si>
  <si>
    <t>48 hours</t>
  </si>
  <si>
    <t>Can't, Encrypted</t>
  </si>
  <si>
    <t>1 Week</t>
  </si>
  <si>
    <t>Can't</t>
  </si>
  <si>
    <t>upek.cf</t>
  </si>
  <si>
    <t>48 Hours</t>
  </si>
  <si>
    <t>Media Uploaders</t>
  </si>
  <si>
    <t>Webm</t>
  </si>
  <si>
    <t>5MB</t>
  </si>
  <si>
    <t>Cubeupload</t>
  </si>
  <si>
    <t>300MB</t>
  </si>
  <si>
    <t>Gfycat</t>
  </si>
  <si>
    <t>Marcus Stojcevich</t>
  </si>
  <si>
    <t>mstojcevich@gmail.com</t>
  </si>
  <si>
    <t>IPs Saved</t>
  </si>
  <si>
    <t>Imgur.com</t>
  </si>
  <si>
    <t>20MB</t>
  </si>
  <si>
    <t>Fastly</t>
  </si>
  <si>
    <t>Imgur</t>
  </si>
  <si>
    <t>Staff Checked</t>
  </si>
  <si>
    <t>Postimage</t>
  </si>
  <si>
    <t>Tinyimg</t>
  </si>
  <si>
    <t>Mykhailo Gorianskyi</t>
  </si>
  <si>
    <t>Vgy.me</t>
  </si>
  <si>
    <t>Screenshot Share</t>
  </si>
  <si>
    <t>6mo w/o access</t>
  </si>
  <si>
    <t>Snag.gy</t>
  </si>
  <si>
    <t>Removed</t>
  </si>
  <si>
    <t>1339.cf</t>
  </si>
  <si>
    <t>Hijacked</t>
  </si>
  <si>
    <t>3 Days</t>
  </si>
  <si>
    <t>Bohrmeista</t>
  </si>
  <si>
    <t>Gone</t>
  </si>
  <si>
    <t>Private</t>
  </si>
  <si>
    <t>Disabled</t>
  </si>
  <si>
    <t>Les</t>
  </si>
  <si>
    <t xml:space="preserve"> 128MB</t>
  </si>
  <si>
    <t>16MB</t>
  </si>
  <si>
    <t>g.zxq.co</t>
  </si>
  <si>
    <t>Closed</t>
  </si>
  <si>
    <t>80MB</t>
  </si>
  <si>
    <t>Howl</t>
  </si>
  <si>
    <t>Epictek (Kieran Coldran)</t>
  </si>
  <si>
    <t>Imgbox</t>
  </si>
  <si>
    <t>5.12GB</t>
  </si>
  <si>
    <t>Boltsie</t>
  </si>
  <si>
    <t>Kind of</t>
  </si>
  <si>
    <t>Hasumi</t>
  </si>
  <si>
    <t>Trash Girl</t>
  </si>
  <si>
    <t>Mango</t>
  </si>
  <si>
    <t>madokami.com</t>
  </si>
  <si>
    <t>FIRE</t>
  </si>
  <si>
    <t>qqueue</t>
  </si>
  <si>
    <t>maxfile.ro</t>
  </si>
  <si>
    <t>ar157</t>
  </si>
  <si>
    <t>Fogle</t>
  </si>
  <si>
    <t>nyanimg.com</t>
  </si>
  <si>
    <t>Littlescout</t>
  </si>
  <si>
    <t>pantsu.cat</t>
  </si>
  <si>
    <t>ewhal</t>
  </si>
  <si>
    <t>files.plebeianparty.com</t>
  </si>
  <si>
    <t>Plexle</t>
  </si>
  <si>
    <t>pomf.cat</t>
  </si>
  <si>
    <t>75MB</t>
  </si>
  <si>
    <t>pomf.pl</t>
  </si>
  <si>
    <t>Mod Logs</t>
  </si>
  <si>
    <t>Sli.mg</t>
  </si>
  <si>
    <t>Partial</t>
  </si>
  <si>
    <t>Uploadly</t>
  </si>
  <si>
    <t>wtf</t>
  </si>
  <si>
    <t>3 Days Anon</t>
  </si>
  <si>
    <t>Zom</t>
  </si>
  <si>
    <t xml:space="preserve">subtweeting drybones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</si>
</sst>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quot;/&quot;m&quot;/&quot;d"/>
  </numFmts>
  <fonts count="38">
    <font>
      <sz val="10.0"/>
      <color rgb="FF000000"/>
      <name val="Arial"/>
    </font>
    <font>
      <b/>
      <sz val="11.0"/>
      <color rgb="FFF3F3F3"/>
    </font>
    <font>
      <b/>
      <u/>
      <sz val="11.0"/>
      <color rgb="FFF3F3F3"/>
    </font>
    <font>
      <b/>
      <sz val="11.0"/>
    </font>
    <font/>
    <font>
      <u/>
      <color rgb="FF0000FF"/>
    </font>
    <font>
      <u/>
      <color rgb="FF0000FF"/>
    </font>
    <font>
      <b/>
      <u/>
      <sz val="11.0"/>
      <color rgb="FFF3F3F3"/>
    </font>
    <font>
      <b/>
      <u/>
      <sz val="11.0"/>
      <color rgb="FFF5F5F5"/>
    </font>
    <font>
      <color rgb="FFFFFFFF"/>
    </font>
    <font>
      <u/>
      <color rgb="FF000000"/>
    </font>
    <font>
      <color rgb="FFF3F3F3"/>
    </font>
    <font>
      <u/>
      <color rgb="FF0000FF"/>
    </font>
    <font>
      <u/>
      <color rgb="FF0000FF"/>
    </font>
    <font>
      <u/>
      <color rgb="FF0000FF"/>
    </font>
    <font>
      <color rgb="FF000000"/>
    </font>
    <font>
      <b/>
      <u/>
      <sz val="11.0"/>
      <color rgb="FFE06666"/>
    </font>
    <font>
      <color rgb="FF434343"/>
    </font>
    <font>
      <u/>
      <color rgb="FF0000FF"/>
    </font>
    <font>
      <u/>
      <color rgb="FF000000"/>
    </font>
    <font>
      <b/>
      <u/>
      <sz val="11.0"/>
      <color rgb="FFCC4125"/>
    </font>
    <font>
      <u/>
      <color rgb="FF0000FF"/>
    </font>
    <font>
      <u/>
      <color rgb="FF0000FF"/>
      <name val="Arial"/>
    </font>
    <font>
      <u/>
      <color rgb="FF0000FF"/>
    </font>
    <font>
      <b/>
      <u/>
      <sz val="11.0"/>
      <color rgb="FF3C78D8"/>
    </font>
    <font>
      <u/>
      <color rgb="FF000000"/>
    </font>
    <font>
      <b/>
      <u/>
      <color rgb="FF434343"/>
    </font>
    <font>
      <u/>
      <color rgb="FF0000FF"/>
    </font>
    <font>
      <b/>
      <u/>
      <sz val="11.0"/>
      <color rgb="FFF3F3F3"/>
    </font>
    <font>
      <u/>
      <color rgb="FF0000FF"/>
    </font>
    <font>
      <b/>
      <u/>
      <sz val="11.0"/>
      <color rgb="FFF3F3F3"/>
    </font>
    <font>
      <b/>
      <u/>
      <color rgb="FF6D9EEB"/>
    </font>
    <font>
      <u/>
      <color rgb="FF0000FF"/>
    </font>
    <font>
      <b/>
      <u/>
      <sz val="11.0"/>
      <color rgb="FFE69CE5"/>
      <name val="Consolas"/>
    </font>
    <font>
      <u/>
      <color rgb="FF0000FF"/>
    </font>
    <font>
      <b/>
      <u/>
      <sz val="11.0"/>
      <color rgb="FF6AA84F"/>
    </font>
    <font>
      <u/>
      <color rgb="FF0000FF"/>
    </font>
    <font>
      <b/>
      <u/>
      <sz val="11.0"/>
      <color rgb="FF5AADD6"/>
    </font>
  </fonts>
  <fills count="35">
    <fill>
      <patternFill patternType="none"/>
    </fill>
    <fill>
      <patternFill patternType="lightGray"/>
    </fill>
    <fill>
      <patternFill patternType="solid">
        <fgColor rgb="FF073763"/>
        <bgColor rgb="FF073763"/>
      </patternFill>
    </fill>
    <fill>
      <patternFill patternType="solid">
        <fgColor rgb="FF333544"/>
        <bgColor rgb="FF333544"/>
      </patternFill>
    </fill>
    <fill>
      <patternFill patternType="solid">
        <fgColor rgb="FFA24235"/>
        <bgColor rgb="FFA24235"/>
      </patternFill>
    </fill>
    <fill>
      <patternFill patternType="solid">
        <fgColor rgb="FF6AA84F"/>
        <bgColor rgb="FF6AA84F"/>
      </patternFill>
    </fill>
    <fill>
      <patternFill patternType="solid">
        <fgColor rgb="FF93C47D"/>
        <bgColor rgb="FF93C47D"/>
      </patternFill>
    </fill>
    <fill>
      <patternFill patternType="solid">
        <fgColor rgb="FF8E7CC3"/>
        <bgColor rgb="FF8E7CC3"/>
      </patternFill>
    </fill>
    <fill>
      <patternFill patternType="solid">
        <fgColor rgb="FFE69138"/>
        <bgColor rgb="FFE69138"/>
      </patternFill>
    </fill>
    <fill>
      <patternFill patternType="solid">
        <fgColor rgb="FFDD7E6B"/>
        <bgColor rgb="FFDD7E6B"/>
      </patternFill>
    </fill>
    <fill>
      <patternFill patternType="solid">
        <fgColor rgb="FFB7B7B7"/>
        <bgColor rgb="FFB7B7B7"/>
      </patternFill>
    </fill>
    <fill>
      <patternFill patternType="solid">
        <fgColor rgb="FF45818E"/>
        <bgColor rgb="FF45818E"/>
      </patternFill>
    </fill>
    <fill>
      <patternFill patternType="solid">
        <fgColor rgb="FFFF9900"/>
        <bgColor rgb="FFFF9900"/>
      </patternFill>
    </fill>
    <fill>
      <patternFill patternType="solid">
        <fgColor rgb="FF434343"/>
        <bgColor rgb="FF434343"/>
      </patternFill>
    </fill>
    <fill>
      <patternFill patternType="solid">
        <fgColor rgb="FFF9CB9C"/>
        <bgColor rgb="FFF9CB9C"/>
      </patternFill>
    </fill>
    <fill>
      <patternFill patternType="solid">
        <fgColor rgb="FFFFFFFF"/>
        <bgColor rgb="FFFFFFFF"/>
      </patternFill>
    </fill>
    <fill>
      <patternFill patternType="solid">
        <fgColor rgb="FFFFD966"/>
        <bgColor rgb="FFFFD966"/>
      </patternFill>
    </fill>
    <fill>
      <patternFill patternType="solid">
        <fgColor rgb="FFF1C232"/>
        <bgColor rgb="FFF1C232"/>
      </patternFill>
    </fill>
    <fill>
      <patternFill patternType="solid">
        <fgColor rgb="FF3D85C6"/>
        <bgColor rgb="FF3D85C6"/>
      </patternFill>
    </fill>
    <fill>
      <patternFill patternType="solid">
        <fgColor rgb="FFD5A6BD"/>
        <bgColor rgb="FFD5A6BD"/>
      </patternFill>
    </fill>
    <fill>
      <patternFill patternType="solid">
        <fgColor rgb="FFCFE2F3"/>
        <bgColor rgb="FFCFE2F3"/>
      </patternFill>
    </fill>
    <fill>
      <patternFill patternType="solid">
        <fgColor rgb="FFD9D2E9"/>
        <bgColor rgb="FFD9D2E9"/>
      </patternFill>
    </fill>
    <fill>
      <patternFill patternType="solid">
        <fgColor rgb="FF76A5AF"/>
        <bgColor rgb="FF76A5AF"/>
      </patternFill>
    </fill>
    <fill>
      <patternFill patternType="solid">
        <fgColor rgb="FFF6B26B"/>
        <bgColor rgb="FFF6B26B"/>
      </patternFill>
    </fill>
    <fill>
      <patternFill patternType="solid">
        <fgColor rgb="FFFFFF00"/>
        <bgColor rgb="FFFFFF00"/>
      </patternFill>
    </fill>
    <fill>
      <patternFill patternType="solid">
        <fgColor rgb="FF351C75"/>
        <bgColor rgb="FF351C75"/>
      </patternFill>
    </fill>
    <fill>
      <patternFill patternType="solid">
        <fgColor rgb="FFFFF2CC"/>
        <bgColor rgb="FFFFF2CC"/>
      </patternFill>
    </fill>
    <fill>
      <patternFill patternType="solid">
        <fgColor rgb="FF0B5394"/>
        <bgColor rgb="FF0B5394"/>
      </patternFill>
    </fill>
    <fill>
      <patternFill patternType="solid">
        <fgColor rgb="FFE06666"/>
        <bgColor rgb="FFE06666"/>
      </patternFill>
    </fill>
    <fill>
      <patternFill patternType="solid">
        <fgColor rgb="FFCC4125"/>
        <bgColor rgb="FFCC4125"/>
      </patternFill>
    </fill>
    <fill>
      <patternFill patternType="solid">
        <fgColor rgb="FF5B0F00"/>
        <bgColor rgb="FF5B0F00"/>
      </patternFill>
    </fill>
    <fill>
      <patternFill patternType="solid">
        <fgColor rgb="FFF8F8F8"/>
        <bgColor rgb="FFF8F8F8"/>
      </patternFill>
    </fill>
    <fill>
      <patternFill patternType="solid">
        <fgColor rgb="FF674EA7"/>
        <bgColor rgb="FF674EA7"/>
      </patternFill>
    </fill>
    <fill>
      <patternFill patternType="solid">
        <fgColor rgb="FFEFEFEF"/>
        <bgColor rgb="FFEFEFEF"/>
      </patternFill>
    </fill>
    <fill>
      <patternFill patternType="solid">
        <fgColor rgb="FF202020"/>
        <bgColor rgb="FF202020"/>
      </patternFill>
    </fill>
  </fills>
  <borders count="1">
    <border/>
  </borders>
  <cellStyleXfs count="1">
    <xf borderId="0" fillId="0" fontId="0" numFmtId="0" applyAlignment="1" applyFont="1"/>
  </cellStyleXfs>
  <cellXfs count="90">
    <xf borderId="0" fillId="0" fontId="0" numFmtId="0" xfId="0" applyAlignment="1" applyFont="1">
      <alignment vertical="bottom"/>
    </xf>
    <xf borderId="0" fillId="2" fontId="1" numFmtId="0" xfId="0" applyAlignment="1" applyFill="1" applyFont="1">
      <alignment/>
    </xf>
    <xf borderId="0" fillId="2" fontId="2" numFmtId="0" xfId="0" applyAlignment="1" applyFont="1">
      <alignment horizontal="center"/>
    </xf>
    <xf borderId="0" fillId="2" fontId="1" numFmtId="0" xfId="0" applyAlignment="1" applyFont="1">
      <alignment horizontal="center"/>
    </xf>
    <xf borderId="0" fillId="2" fontId="3" numFmtId="0" xfId="0" applyFont="1"/>
    <xf borderId="0" fillId="0" fontId="4" numFmtId="0" xfId="0" applyFont="1"/>
    <xf borderId="0" fillId="0" fontId="4" numFmtId="0" xfId="0" applyAlignment="1" applyFont="1">
      <alignment horizontal="left"/>
    </xf>
    <xf borderId="0" fillId="0" fontId="4" numFmtId="0" xfId="0" applyAlignment="1" applyFont="1">
      <alignment horizontal="center"/>
    </xf>
    <xf borderId="0" fillId="0" fontId="4" numFmtId="164" xfId="0" applyAlignment="1" applyFont="1" applyNumberFormat="1">
      <alignment horizontal="left"/>
    </xf>
    <xf borderId="0" fillId="0" fontId="5" numFmtId="0" xfId="0" applyAlignment="1" applyFont="1">
      <alignment/>
    </xf>
    <xf borderId="0" fillId="0" fontId="6" numFmtId="0" xfId="0" applyAlignment="1" applyFont="1">
      <alignment horizontal="left"/>
    </xf>
    <xf borderId="0" fillId="0" fontId="4" numFmtId="0" xfId="0" applyAlignment="1" applyFont="1">
      <alignment/>
    </xf>
    <xf borderId="0" fillId="0" fontId="4" numFmtId="0" xfId="0" applyAlignment="1" applyFont="1">
      <alignment horizontal="center"/>
    </xf>
    <xf borderId="0" fillId="0" fontId="4" numFmtId="164" xfId="0" applyFont="1" applyNumberFormat="1"/>
    <xf borderId="0" fillId="3" fontId="1" numFmtId="0" xfId="0" applyAlignment="1" applyFill="1" applyFont="1">
      <alignment/>
    </xf>
    <xf borderId="0" fillId="0" fontId="4" numFmtId="0" xfId="0" applyAlignment="1" applyFont="1">
      <alignment horizontal="left"/>
    </xf>
    <xf borderId="0" fillId="3" fontId="1" numFmtId="0" xfId="0" applyAlignment="1" applyFont="1">
      <alignment horizontal="left"/>
    </xf>
    <xf borderId="0" fillId="3" fontId="7" numFmtId="0" xfId="0" applyAlignment="1" applyFont="1">
      <alignment horizontal="center"/>
    </xf>
    <xf borderId="0" fillId="3" fontId="1" numFmtId="0" xfId="0" applyAlignment="1" applyFont="1">
      <alignment horizontal="center"/>
    </xf>
    <xf borderId="0" fillId="4" fontId="8" numFmtId="0" xfId="0" applyAlignment="1" applyFill="1" applyFont="1">
      <alignment/>
    </xf>
    <xf borderId="0" fillId="5" fontId="9" numFmtId="0" xfId="0" applyAlignment="1" applyFill="1" applyFont="1">
      <alignment horizontal="center"/>
    </xf>
    <xf borderId="0" fillId="6" fontId="4" numFmtId="0" xfId="0" applyAlignment="1" applyFill="1" applyFont="1">
      <alignment horizontal="center"/>
    </xf>
    <xf borderId="0" fillId="6" fontId="10" numFmtId="0" xfId="0" applyAlignment="1" applyFont="1">
      <alignment horizontal="center"/>
    </xf>
    <xf borderId="0" fillId="7" fontId="11" numFmtId="0" xfId="0" applyAlignment="1" applyFill="1" applyFont="1">
      <alignment horizontal="center"/>
    </xf>
    <xf borderId="0" fillId="8" fontId="11" numFmtId="0" xfId="0" applyAlignment="1" applyFill="1" applyFont="1">
      <alignment horizontal="center"/>
    </xf>
    <xf borderId="0" fillId="9" fontId="4" numFmtId="0" xfId="0" applyAlignment="1" applyFill="1" applyFont="1">
      <alignment horizontal="center"/>
    </xf>
    <xf borderId="0" fillId="0" fontId="12" numFmtId="0" xfId="0" applyAlignment="1" applyFont="1">
      <alignment horizontal="center"/>
    </xf>
    <xf borderId="0" fillId="0" fontId="13" numFmtId="0" xfId="0" applyAlignment="1" applyFont="1">
      <alignment horizontal="center"/>
    </xf>
    <xf borderId="0" fillId="0" fontId="14" numFmtId="0" xfId="0" applyAlignment="1" applyFont="1">
      <alignment horizontal="center"/>
    </xf>
    <xf borderId="0" fillId="10" fontId="4" numFmtId="0" xfId="0" applyAlignment="1" applyFill="1" applyFont="1">
      <alignment horizontal="center"/>
    </xf>
    <xf borderId="0" fillId="5" fontId="11" numFmtId="0" xfId="0" applyAlignment="1" applyFont="1">
      <alignment horizontal="center"/>
    </xf>
    <xf borderId="0" fillId="11" fontId="11" numFmtId="0" xfId="0" applyAlignment="1" applyFill="1" applyFont="1">
      <alignment horizontal="center"/>
    </xf>
    <xf borderId="0" fillId="12" fontId="15" numFmtId="0" xfId="0" applyAlignment="1" applyFill="1" applyFont="1">
      <alignment horizontal="center"/>
    </xf>
    <xf borderId="0" fillId="13" fontId="16" numFmtId="0" xfId="0" applyAlignment="1" applyFill="1" applyFont="1">
      <alignment/>
    </xf>
    <xf borderId="0" fillId="10" fontId="17" numFmtId="0" xfId="0" applyAlignment="1" applyFont="1">
      <alignment horizontal="center"/>
    </xf>
    <xf borderId="0" fillId="9" fontId="18" numFmtId="0" xfId="0" applyAlignment="1" applyFont="1">
      <alignment horizontal="center"/>
    </xf>
    <xf borderId="0" fillId="0" fontId="4" numFmtId="0" xfId="0" applyAlignment="1" applyFont="1">
      <alignment horizontal="center"/>
    </xf>
    <xf borderId="0" fillId="0" fontId="4" numFmtId="0" xfId="0" applyAlignment="1" applyFont="1">
      <alignment horizontal="center"/>
    </xf>
    <xf borderId="0" fillId="2" fontId="4" numFmtId="0" xfId="0" applyFont="1"/>
    <xf borderId="0" fillId="9" fontId="19" numFmtId="0" xfId="0" applyAlignment="1" applyFont="1">
      <alignment horizontal="center"/>
    </xf>
    <xf borderId="0" fillId="14" fontId="4" numFmtId="0" xfId="0" applyAlignment="1" applyFill="1" applyFont="1">
      <alignment horizontal="center"/>
    </xf>
    <xf borderId="0" fillId="13" fontId="20" numFmtId="0" xfId="0" applyAlignment="1" applyFont="1">
      <alignment/>
    </xf>
    <xf borderId="0" fillId="6" fontId="21" numFmtId="0" xfId="0" applyAlignment="1" applyFont="1">
      <alignment horizontal="center"/>
    </xf>
    <xf borderId="0" fillId="15" fontId="22" numFmtId="0" xfId="0" applyAlignment="1" applyFill="1" applyFont="1">
      <alignment horizontal="center"/>
    </xf>
    <xf borderId="0" fillId="0" fontId="23" numFmtId="0" xfId="0" applyAlignment="1" applyFont="1">
      <alignment/>
    </xf>
    <xf borderId="0" fillId="6" fontId="4" numFmtId="0" xfId="0" applyAlignment="1" applyFont="1">
      <alignment horizontal="center"/>
    </xf>
    <xf borderId="0" fillId="16" fontId="4" numFmtId="0" xfId="0" applyAlignment="1" applyFill="1" applyFont="1">
      <alignment horizontal="center"/>
    </xf>
    <xf borderId="0" fillId="0" fontId="4" numFmtId="0" xfId="0" applyAlignment="1" applyFont="1">
      <alignment horizontal="center"/>
    </xf>
    <xf borderId="0" fillId="6" fontId="15" numFmtId="0" xfId="0" applyAlignment="1" applyFont="1">
      <alignment horizontal="center"/>
    </xf>
    <xf borderId="0" fillId="6" fontId="4" numFmtId="0" xfId="0" applyAlignment="1" applyFont="1">
      <alignment horizontal="center"/>
    </xf>
    <xf borderId="0" fillId="17" fontId="15" numFmtId="0" xfId="0" applyAlignment="1" applyFill="1" applyFont="1">
      <alignment horizontal="center"/>
    </xf>
    <xf borderId="0" fillId="18" fontId="11" numFmtId="0" xfId="0" applyAlignment="1" applyFill="1" applyFont="1">
      <alignment horizontal="center"/>
    </xf>
    <xf borderId="0" fillId="13" fontId="24" numFmtId="0" xfId="0" applyAlignment="1" applyFont="1">
      <alignment/>
    </xf>
    <xf borderId="0" fillId="16" fontId="25" numFmtId="0" xfId="0" applyAlignment="1" applyFont="1">
      <alignment horizontal="center"/>
    </xf>
    <xf borderId="0" fillId="19" fontId="4" numFmtId="0" xfId="0" applyAlignment="1" applyFill="1" applyFont="1">
      <alignment horizontal="center"/>
    </xf>
    <xf borderId="0" fillId="0" fontId="4" numFmtId="0" xfId="0" applyAlignment="1" applyFont="1">
      <alignment horizontal="center"/>
    </xf>
    <xf borderId="0" fillId="0" fontId="4" numFmtId="0" xfId="0" applyAlignment="1" applyFont="1">
      <alignment/>
    </xf>
    <xf borderId="0" fillId="20" fontId="26" numFmtId="0" xfId="0" applyAlignment="1" applyFill="1" applyFont="1">
      <alignment/>
    </xf>
    <xf borderId="0" fillId="21" fontId="4" numFmtId="0" xfId="0" applyAlignment="1" applyFill="1" applyFont="1">
      <alignment horizontal="center"/>
    </xf>
    <xf borderId="0" fillId="22" fontId="11" numFmtId="0" xfId="0" applyAlignment="1" applyFill="1" applyFont="1">
      <alignment horizontal="center"/>
    </xf>
    <xf borderId="0" fillId="23" fontId="4" numFmtId="0" xfId="0" applyAlignment="1" applyFill="1" applyFont="1">
      <alignment horizontal="center"/>
    </xf>
    <xf borderId="0" fillId="0" fontId="27" numFmtId="0" xfId="0" applyAlignment="1" applyFont="1">
      <alignment horizontal="center"/>
    </xf>
    <xf borderId="0" fillId="24" fontId="4" numFmtId="0" xfId="0" applyAlignment="1" applyFill="1" applyFont="1">
      <alignment horizontal="center"/>
    </xf>
    <xf borderId="0" fillId="25" fontId="1" numFmtId="0" xfId="0" applyAlignment="1" applyFill="1" applyFont="1">
      <alignment/>
    </xf>
    <xf borderId="0" fillId="25" fontId="28" numFmtId="0" xfId="0" applyAlignment="1" applyFont="1">
      <alignment horizontal="center"/>
    </xf>
    <xf borderId="0" fillId="25" fontId="1" numFmtId="0" xfId="0" applyAlignment="1" applyFont="1">
      <alignment horizontal="center"/>
    </xf>
    <xf borderId="0" fillId="25" fontId="4" numFmtId="0" xfId="0" applyFont="1"/>
    <xf borderId="0" fillId="0" fontId="29" numFmtId="0" xfId="0" applyFont="1"/>
    <xf borderId="0" fillId="26" fontId="4" numFmtId="0" xfId="0" applyAlignment="1" applyFill="1" applyFont="1">
      <alignment horizontal="center"/>
    </xf>
    <xf borderId="0" fillId="27" fontId="1" numFmtId="0" xfId="0" applyAlignment="1" applyFill="1" applyFont="1">
      <alignment/>
    </xf>
    <xf borderId="0" fillId="27" fontId="30" numFmtId="0" xfId="0" applyAlignment="1" applyFont="1">
      <alignment horizontal="center"/>
    </xf>
    <xf borderId="0" fillId="27" fontId="1" numFmtId="0" xfId="0" applyAlignment="1" applyFont="1">
      <alignment horizontal="center"/>
    </xf>
    <xf borderId="0" fillId="27" fontId="4" numFmtId="0" xfId="0" applyFont="1"/>
    <xf borderId="0" fillId="28" fontId="11" numFmtId="0" xfId="0" applyAlignment="1" applyFill="1" applyFont="1">
      <alignment horizontal="center"/>
    </xf>
    <xf borderId="0" fillId="29" fontId="9" numFmtId="0" xfId="0" applyAlignment="1" applyFill="1" applyFont="1">
      <alignment horizontal="center"/>
    </xf>
    <xf borderId="0" fillId="30" fontId="1" numFmtId="0" xfId="0" applyAlignment="1" applyFill="1" applyFont="1">
      <alignment/>
    </xf>
    <xf borderId="0" fillId="30" fontId="1" numFmtId="0" xfId="0" applyAlignment="1" applyFont="1">
      <alignment horizontal="center"/>
    </xf>
    <xf borderId="0" fillId="30" fontId="4" numFmtId="0" xfId="0" applyFont="1"/>
    <xf borderId="0" fillId="31" fontId="31" numFmtId="0" xfId="0" applyAlignment="1" applyFill="1" applyFont="1">
      <alignment/>
    </xf>
    <xf borderId="0" fillId="0" fontId="32" numFmtId="0" xfId="0" applyFont="1"/>
    <xf borderId="0" fillId="8" fontId="9" numFmtId="0" xfId="0" applyAlignment="1" applyFont="1">
      <alignment horizontal="center"/>
    </xf>
    <xf borderId="0" fillId="20" fontId="33" numFmtId="0" xfId="0" applyAlignment="1" applyFont="1">
      <alignment/>
    </xf>
    <xf borderId="0" fillId="6" fontId="34" numFmtId="0" xfId="0" applyAlignment="1" applyFont="1">
      <alignment horizontal="center"/>
    </xf>
    <xf borderId="0" fillId="32" fontId="11" numFmtId="0" xfId="0" applyAlignment="1" applyFill="1" applyFont="1">
      <alignment horizontal="center"/>
    </xf>
    <xf borderId="0" fillId="33" fontId="35" numFmtId="0" xfId="0" applyAlignment="1" applyFill="1" applyFont="1">
      <alignment/>
    </xf>
    <xf borderId="0" fillId="29" fontId="11" numFmtId="0" xfId="0" applyAlignment="1" applyFont="1">
      <alignment horizontal="center"/>
    </xf>
    <xf borderId="0" fillId="0" fontId="36" numFmtId="0" xfId="0" applyAlignment="1" applyFont="1">
      <alignment horizontal="center"/>
    </xf>
    <xf borderId="0" fillId="34" fontId="37" numFmtId="0" xfId="0" applyAlignment="1" applyFill="1" applyFont="1">
      <alignment/>
    </xf>
    <xf borderId="0" fillId="0" fontId="9" numFmtId="0" xfId="0" applyAlignment="1" applyFont="1">
      <alignment horizontal="center"/>
    </xf>
    <xf borderId="0" fillId="0" fontId="4" numFmtId="0" xfId="0" applyAlignment="1" applyFont="1">
      <alignment horizontal="left"/>
    </xf>
  </cellXfs>
  <cellStyles count="1">
    <cellStyle xfId="0" name="Normal" builtinId="0"/>
  </cellStyles>
  <dxfs count="16">
    <dxf>
      <font/>
      <fill>
        <patternFill patternType="solid">
          <fgColor rgb="FF93C47D"/>
          <bgColor rgb="FF93C47D"/>
        </patternFill>
      </fill>
      <alignment/>
      <border/>
    </dxf>
    <dxf>
      <font/>
      <fill>
        <patternFill patternType="solid">
          <fgColor rgb="FFDD7E6B"/>
          <bgColor rgb="FFDD7E6B"/>
        </patternFill>
      </fill>
      <alignment/>
      <border/>
    </dxf>
    <dxf>
      <font/>
      <fill>
        <patternFill patternType="solid">
          <fgColor rgb="FFFFD966"/>
          <bgColor rgb="FFFFD966"/>
        </patternFill>
      </fill>
      <alignment/>
      <border/>
    </dxf>
    <dxf>
      <font>
        <color rgb="FFF3F3F3"/>
      </font>
      <fill>
        <patternFill patternType="solid">
          <fgColor rgb="FFE69138"/>
          <bgColor rgb="FFE69138"/>
        </patternFill>
      </fill>
      <alignment/>
      <border/>
    </dxf>
    <dxf>
      <font/>
      <fill>
        <patternFill patternType="solid">
          <fgColor rgb="FFB4A7D6"/>
          <bgColor rgb="FFB4A7D6"/>
        </patternFill>
      </fill>
      <alignment/>
      <border/>
    </dxf>
    <dxf>
      <font>
        <color rgb="FF434343"/>
      </font>
      <fill>
        <patternFill patternType="solid">
          <fgColor rgb="FFB7B7B7"/>
          <bgColor rgb="FFB7B7B7"/>
        </patternFill>
      </fill>
      <alignment/>
      <border/>
    </dxf>
    <dxf>
      <font/>
      <fill>
        <patternFill patternType="solid">
          <fgColor rgb="FFE06666"/>
          <bgColor rgb="FFE06666"/>
        </patternFill>
      </fill>
      <alignment/>
      <border/>
    </dxf>
    <dxf>
      <font>
        <color rgb="FF000000"/>
      </font>
      <fill>
        <patternFill patternType="solid">
          <fgColor rgb="FFF9CB9C"/>
          <bgColor rgb="FFF9CB9C"/>
        </patternFill>
      </fill>
      <alignment/>
      <border/>
    </dxf>
    <dxf>
      <font>
        <color rgb="FFF3F3F3"/>
      </font>
      <fill>
        <patternFill patternType="solid">
          <fgColor rgb="FF8E7CC3"/>
          <bgColor rgb="FF8E7CC3"/>
        </patternFill>
      </fill>
      <alignment/>
      <border/>
    </dxf>
    <dxf>
      <font/>
      <fill>
        <patternFill patternType="solid">
          <fgColor rgb="FFD5A6BD"/>
          <bgColor rgb="FFD5A6BD"/>
        </patternFill>
      </fill>
      <alignment/>
      <border/>
    </dxf>
    <dxf>
      <font>
        <color rgb="FFFFFFFF"/>
      </font>
      <fill>
        <patternFill patternType="solid">
          <fgColor rgb="FF6AA84F"/>
          <bgColor rgb="FF6AA84F"/>
        </patternFill>
      </fill>
      <alignment/>
      <border/>
    </dxf>
    <dxf>
      <font>
        <color rgb="FFF3F3F3"/>
      </font>
      <fill>
        <patternFill patternType="solid">
          <fgColor rgb="FFCC4125"/>
          <bgColor rgb="FFCC4125"/>
        </patternFill>
      </fill>
      <alignment/>
      <border/>
    </dxf>
    <dxf>
      <font>
        <color rgb="FF000000"/>
      </font>
      <fill>
        <patternFill patternType="solid">
          <fgColor rgb="FFFFD966"/>
          <bgColor rgb="FFFFD966"/>
        </patternFill>
      </fill>
      <alignment/>
      <border/>
    </dxf>
    <dxf>
      <font/>
      <fill>
        <patternFill patternType="solid">
          <fgColor rgb="FFFFF2CC"/>
          <bgColor rgb="FFFFF2CC"/>
        </patternFill>
      </fill>
      <alignment/>
      <border/>
    </dxf>
    <dxf>
      <font>
        <color rgb="FFFFFFFF"/>
      </font>
      <fill>
        <patternFill patternType="solid">
          <fgColor rgb="FFFF9900"/>
          <bgColor rgb="FFFF9900"/>
        </patternFill>
      </fill>
      <alignment/>
      <border/>
    </dxf>
    <dxf>
      <font/>
      <fill>
        <patternFill patternType="solid">
          <fgColor rgb="FFB7E1CD"/>
          <bgColor rgb="FFB7E1CD"/>
        </patternFill>
      </fill>
      <alignment/>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1339.cf" TargetMode="External"/><Relationship Id="rId10" Type="http://schemas.openxmlformats.org/officeDocument/2006/relationships/hyperlink" Target="http://Imgur.com" TargetMode="External"/><Relationship Id="rId21" Type="http://schemas.openxmlformats.org/officeDocument/2006/relationships/vmlDrawing" Target="../drawings/vmlDrawing1.vml"/><Relationship Id="rId13" Type="http://schemas.openxmlformats.org/officeDocument/2006/relationships/hyperlink" Target="http://madokami.com" TargetMode="External"/><Relationship Id="rId12" Type="http://schemas.openxmlformats.org/officeDocument/2006/relationships/hyperlink" Target="http://g.zxq.co" TargetMode="External"/><Relationship Id="rId1" Type="http://schemas.openxmlformats.org/officeDocument/2006/relationships/comments" Target="../comments1.xml"/><Relationship Id="rId2" Type="http://schemas.openxmlformats.org/officeDocument/2006/relationships/hyperlink" Target="https://getsharex.com/" TargetMode="External"/><Relationship Id="rId3" Type="http://schemas.openxmlformats.org/officeDocument/2006/relationships/hyperlink" Target="http://glop.me" TargetMode="External"/><Relationship Id="rId4" Type="http://schemas.openxmlformats.org/officeDocument/2006/relationships/hyperlink" Target="mailto:gen2@kek.club" TargetMode="External"/><Relationship Id="rId9" Type="http://schemas.openxmlformats.org/officeDocument/2006/relationships/hyperlink" Target="mailto:mstojcevich@gmail.com" TargetMode="External"/><Relationship Id="rId15" Type="http://schemas.openxmlformats.org/officeDocument/2006/relationships/hyperlink" Target="http://nyanimg.com" TargetMode="External"/><Relationship Id="rId14" Type="http://schemas.openxmlformats.org/officeDocument/2006/relationships/hyperlink" Target="http://maxfile.ro" TargetMode="External"/><Relationship Id="rId17" Type="http://schemas.openxmlformats.org/officeDocument/2006/relationships/hyperlink" Target="http://files.plebeianparty.com" TargetMode="External"/><Relationship Id="rId16" Type="http://schemas.openxmlformats.org/officeDocument/2006/relationships/hyperlink" Target="http://pantsu.cat" TargetMode="External"/><Relationship Id="rId5" Type="http://schemas.openxmlformats.org/officeDocument/2006/relationships/hyperlink" Target="mailto:info@vidga.me" TargetMode="External"/><Relationship Id="rId19" Type="http://schemas.openxmlformats.org/officeDocument/2006/relationships/hyperlink" Target="http://pomf.pl" TargetMode="External"/><Relationship Id="rId6" Type="http://schemas.openxmlformats.org/officeDocument/2006/relationships/hyperlink" Target="http://Cockfile.com" TargetMode="External"/><Relationship Id="rId18" Type="http://schemas.openxmlformats.org/officeDocument/2006/relationships/hyperlink" Target="http://pomf.cat" TargetMode="External"/><Relationship Id="rId7" Type="http://schemas.openxmlformats.org/officeDocument/2006/relationships/hyperlink" Target="http://Dropfile.to" TargetMode="External"/><Relationship Id="rId8" Type="http://schemas.openxmlformats.org/officeDocument/2006/relationships/hyperlink" Target="http://upek.c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7.0"/>
    <col customWidth="1" min="2" max="2" width="10.57"/>
    <col customWidth="1" min="3" max="3" width="8.0"/>
    <col customWidth="1" min="4" max="4" width="7.86"/>
    <col customWidth="1" min="5" max="5" width="6.57"/>
    <col customWidth="1" min="6" max="6" width="22.14"/>
    <col customWidth="1" min="7" max="7" width="9.57"/>
    <col customWidth="1" min="8" max="8" width="14.71"/>
    <col customWidth="1" min="9" max="9" width="7.0"/>
    <col customWidth="1" min="10" max="10" width="14.57"/>
    <col customWidth="1" min="11" max="11" width="14.86"/>
    <col customWidth="1" min="12" max="12" width="11.29"/>
    <col customWidth="1" min="13" max="13" width="13.29"/>
    <col customWidth="1" min="14" max="14" width="12.43"/>
    <col customWidth="1" min="15" max="15" width="18.0"/>
    <col customWidth="1" min="16" max="16" width="21.14"/>
    <col customWidth="1" min="17" max="17" width="16.14"/>
    <col customWidth="1" min="18" max="18" width="27.57"/>
    <col customWidth="1" hidden="1" min="19" max="19" width="16.43"/>
    <col customWidth="1" hidden="1" min="20" max="20" width="15.57"/>
    <col customWidth="1" hidden="1" min="21" max="21" width="9.0"/>
    <col customWidth="1" hidden="1" min="22" max="22" width="9.29"/>
    <col customWidth="1" hidden="1" min="23" max="23" width="4.57"/>
    <col customWidth="1" hidden="1" min="24" max="24" width="8.29"/>
    <col customWidth="1" hidden="1" min="25" max="25" width="5.29"/>
    <col customWidth="1" hidden="1" min="26" max="26" width="12.0"/>
  </cols>
  <sheetData>
    <row r="1">
      <c r="A1" s="1" t="s">
        <v>0</v>
      </c>
      <c r="B1" s="2" t="str">
        <f>HYPERLINK("http://pomfstatus.sapph.io/","Status")</f>
        <v>Status</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4"/>
      <c r="AB1" s="4"/>
      <c r="AC1" s="4"/>
      <c r="AD1" s="4"/>
      <c r="AE1" s="4"/>
      <c r="AF1" s="4"/>
      <c r="AG1" s="4"/>
    </row>
    <row r="2">
      <c r="A2" s="5"/>
      <c r="B2" s="6" t="s">
        <v>25</v>
      </c>
      <c r="C2" s="7"/>
      <c r="D2" s="5"/>
      <c r="E2" s="5"/>
      <c r="F2" s="5"/>
      <c r="G2" s="8"/>
      <c r="H2" s="5"/>
      <c r="I2" s="5"/>
      <c r="J2" s="5"/>
      <c r="K2" s="5"/>
      <c r="L2" s="5"/>
      <c r="M2" s="5"/>
      <c r="N2" s="5"/>
      <c r="O2" s="5"/>
      <c r="P2" s="5"/>
      <c r="R2" s="5"/>
      <c r="S2" s="5"/>
      <c r="U2" s="9" t="str">
        <f>HYPERLINK("https://gitgud.io/Luminarys/PomfMark","Speed Test Results are via PomfMark")</f>
        <v>Speed Test Results are via PomfMark</v>
      </c>
      <c r="V2" s="5"/>
      <c r="W2" s="5"/>
      <c r="X2" s="5"/>
      <c r="Y2" s="5"/>
      <c r="Z2" s="5"/>
    </row>
    <row r="3">
      <c r="B3" s="10" t="s">
        <v>26</v>
      </c>
      <c r="C3" s="7"/>
      <c r="D3" s="5"/>
      <c r="E3" s="5"/>
      <c r="F3" s="11"/>
      <c r="G3" s="8"/>
      <c r="H3" s="5"/>
      <c r="I3" s="5"/>
      <c r="J3" s="5"/>
      <c r="K3" s="5"/>
      <c r="L3" s="5"/>
      <c r="M3" s="5"/>
      <c r="N3" s="5"/>
      <c r="O3" s="5"/>
      <c r="P3" s="5"/>
      <c r="R3" s="5"/>
      <c r="S3" s="5"/>
      <c r="U3" s="11" t="s">
        <v>27</v>
      </c>
      <c r="V3" s="5"/>
      <c r="W3" s="5"/>
      <c r="X3" s="5"/>
      <c r="Y3" s="5"/>
      <c r="Z3" s="5"/>
    </row>
    <row r="4">
      <c r="B4" s="12"/>
      <c r="C4" s="7"/>
      <c r="D4" s="5"/>
      <c r="E4" s="5"/>
      <c r="F4" s="5"/>
      <c r="G4" s="13"/>
      <c r="H4" s="5"/>
      <c r="I4" s="5"/>
      <c r="J4" s="5"/>
      <c r="K4" s="5"/>
      <c r="L4" s="5"/>
      <c r="M4" s="5"/>
      <c r="N4" s="5"/>
      <c r="O4" s="5"/>
      <c r="P4" s="5"/>
      <c r="Q4" s="5"/>
      <c r="R4" s="5"/>
      <c r="S4" s="5"/>
      <c r="T4" s="5"/>
      <c r="U4" s="5"/>
      <c r="V4" s="5"/>
      <c r="W4" s="5"/>
      <c r="X4" s="5"/>
      <c r="Y4" s="5"/>
      <c r="Z4" s="5"/>
    </row>
    <row r="5">
      <c r="A5" s="14" t="s">
        <v>28</v>
      </c>
      <c r="B5" s="15" t="s">
        <v>29</v>
      </c>
      <c r="C5" s="7"/>
      <c r="D5" s="5"/>
      <c r="E5" s="5"/>
      <c r="F5" s="5"/>
      <c r="G5" s="13"/>
      <c r="H5" s="5"/>
      <c r="I5" s="5"/>
      <c r="J5" s="5"/>
      <c r="K5" s="5"/>
      <c r="L5" s="5"/>
      <c r="M5" s="5"/>
      <c r="N5" s="5"/>
      <c r="O5" s="5"/>
      <c r="P5" s="5"/>
      <c r="Q5" s="5"/>
      <c r="R5" s="5"/>
      <c r="S5" s="5"/>
      <c r="T5" s="5"/>
      <c r="U5" s="5"/>
      <c r="V5" s="5"/>
      <c r="W5" s="5"/>
      <c r="X5" s="5"/>
      <c r="Y5" s="5"/>
      <c r="Z5" s="5"/>
    </row>
    <row r="6">
      <c r="A6" s="16" t="s">
        <v>30</v>
      </c>
      <c r="B6" s="17" t="str">
        <f>HYPERLINK("http://pomfstatus.sapph.io/","Status")</f>
        <v>Status</v>
      </c>
      <c r="C6" s="18" t="s">
        <v>1</v>
      </c>
      <c r="D6" s="18" t="s">
        <v>2</v>
      </c>
      <c r="E6" s="18" t="s">
        <v>3</v>
      </c>
      <c r="F6" s="18" t="s">
        <v>4</v>
      </c>
      <c r="G6" s="18" t="s">
        <v>5</v>
      </c>
      <c r="H6" s="18" t="s">
        <v>6</v>
      </c>
      <c r="I6" s="18" t="s">
        <v>7</v>
      </c>
      <c r="J6" s="18" t="s">
        <v>8</v>
      </c>
      <c r="K6" s="18" t="s">
        <v>9</v>
      </c>
      <c r="L6" s="18" t="s">
        <v>10</v>
      </c>
      <c r="M6" s="18" t="s">
        <v>11</v>
      </c>
      <c r="N6" s="18" t="s">
        <v>12</v>
      </c>
      <c r="O6" s="18" t="s">
        <v>13</v>
      </c>
      <c r="P6" s="18" t="s">
        <v>14</v>
      </c>
      <c r="Q6" s="18" t="s">
        <v>15</v>
      </c>
      <c r="R6" s="18" t="s">
        <v>16</v>
      </c>
      <c r="S6" s="18" t="s">
        <v>17</v>
      </c>
      <c r="T6" s="18" t="s">
        <v>18</v>
      </c>
      <c r="U6" s="18" t="s">
        <v>19</v>
      </c>
      <c r="V6" s="18" t="s">
        <v>20</v>
      </c>
      <c r="W6" s="18" t="s">
        <v>21</v>
      </c>
      <c r="X6" s="18" t="s">
        <v>22</v>
      </c>
      <c r="Y6" s="18" t="s">
        <v>23</v>
      </c>
      <c r="Z6" s="18" t="s">
        <v>24</v>
      </c>
      <c r="AA6" s="18"/>
      <c r="AB6" s="18"/>
      <c r="AC6" s="18"/>
      <c r="AD6" s="18"/>
      <c r="AE6" s="18"/>
      <c r="AF6" s="18"/>
      <c r="AG6" s="18"/>
    </row>
    <row r="7">
      <c r="A7" s="19" t="str">
        <f>HYPERLINK("https://mixtape.moe/","Mixtape.moe")</f>
        <v>Mixtape.moe</v>
      </c>
      <c r="B7" s="20" t="s">
        <v>31</v>
      </c>
      <c r="C7" s="12" t="s">
        <v>32</v>
      </c>
      <c r="D7" s="21" t="s">
        <v>33</v>
      </c>
      <c r="E7" s="21" t="s">
        <v>33</v>
      </c>
      <c r="F7" s="22" t="str">
        <f>HYPERLINK("https://www.virustotal.com/en/url/c8e9174f27cecb66aa6b031b09895eac92160e2ce3cc2cf9bd0d96f4c8eef5c8/analysis/","Clean")</f>
        <v>Clean</v>
      </c>
      <c r="G7" s="8">
        <v>42939.0</v>
      </c>
      <c r="H7" s="21" t="s">
        <v>33</v>
      </c>
      <c r="I7" s="23" t="s">
        <v>34</v>
      </c>
      <c r="J7" s="21" t="s">
        <v>33</v>
      </c>
      <c r="K7" s="23" t="s">
        <v>34</v>
      </c>
      <c r="L7" s="24" t="s">
        <v>35</v>
      </c>
      <c r="M7" s="23" t="s">
        <v>34</v>
      </c>
      <c r="N7" s="25" t="s">
        <v>34</v>
      </c>
      <c r="O7" s="26" t="str">
        <f>HYPERLINK("https://gitgud.io/Sapphire/mixtape.moe/","Mixtape/Pomf")</f>
        <v>Mixtape/Pomf</v>
      </c>
      <c r="P7" s="27" t="str">
        <f>HYPERLINK("https://mikesulsenti.com","Drybones")</f>
        <v>Drybones</v>
      </c>
      <c r="Q7" s="28" t="str">
        <f>HYPERLINK("https://twitter.com/Mixtape_moe","@Mixtape_moe")</f>
        <v>@Mixtape_moe</v>
      </c>
      <c r="R7" s="26" t="str">
        <f>HYPERLINK("mailto:admin@mixtape.moe","admin@mixtape.moe")</f>
        <v>admin@mixtape.moe</v>
      </c>
      <c r="S7" s="21" t="s">
        <v>33</v>
      </c>
      <c r="T7" s="29" t="s">
        <v>36</v>
      </c>
      <c r="U7" s="30">
        <v>43.2</v>
      </c>
      <c r="V7" s="30">
        <v>31.8</v>
      </c>
      <c r="W7" s="31">
        <v>22.0</v>
      </c>
      <c r="X7" s="31">
        <v>27.6</v>
      </c>
      <c r="Y7" s="32">
        <v>2.4</v>
      </c>
      <c r="Z7" s="31">
        <f>AVERAGE(U7:Y7)</f>
        <v>25.4</v>
      </c>
    </row>
    <row r="8">
      <c r="A8" s="33" t="str">
        <f>HYPERLINK("https://pomfe.co/","pomfe.co")</f>
        <v>pomfe.co</v>
      </c>
      <c r="B8" s="20" t="s">
        <v>31</v>
      </c>
      <c r="C8" s="12" t="s">
        <v>32</v>
      </c>
      <c r="D8" s="21" t="s">
        <v>33</v>
      </c>
      <c r="E8" s="34" t="s">
        <v>33</v>
      </c>
      <c r="F8" s="22" t="str">
        <f>HYPERLINK("https://www.virustotal.com/en/url/220ea7e8e18bf6fc9ad32bfcae45fd802cb108cf6732315e8a3f7eb53b088690/analysis/","Clean")</f>
        <v>Clean</v>
      </c>
      <c r="G8" s="8">
        <v>42953.0</v>
      </c>
      <c r="H8" s="21" t="s">
        <v>33</v>
      </c>
      <c r="I8" s="23" t="s">
        <v>34</v>
      </c>
      <c r="J8" s="21" t="s">
        <v>33</v>
      </c>
      <c r="K8" s="23" t="s">
        <v>34</v>
      </c>
      <c r="L8" s="34" t="s">
        <v>35</v>
      </c>
      <c r="M8" s="23" t="s">
        <v>34</v>
      </c>
      <c r="N8" s="35" t="str">
        <f>HYPERLINK("https://pomfe.co/nojs.html","Yes")</f>
        <v>Yes</v>
      </c>
      <c r="O8" s="26" t="str">
        <f>HYPERLINK("https://github.com/Pomfe/pomfe.co","Pomfe/pomfe.co")</f>
        <v>Pomfe/pomfe.co</v>
      </c>
      <c r="P8" s="36" t="s">
        <v>37</v>
      </c>
      <c r="Q8" s="26" t="str">
        <f>HYPERLINK("https://twitter.com/Votton","@Votton")</f>
        <v>@Votton</v>
      </c>
      <c r="R8" s="26" t="str">
        <f>HYPERLINK("mailto:votton@nyanpasu.tv","votton@nyanpasu.tv")</f>
        <v>votton@nyanpasu.tv</v>
      </c>
      <c r="S8" s="25" t="s">
        <v>34</v>
      </c>
      <c r="T8" s="29" t="s">
        <v>36</v>
      </c>
      <c r="U8" s="29"/>
      <c r="V8" s="29"/>
      <c r="W8" s="29"/>
      <c r="X8" s="29"/>
      <c r="Y8" s="29"/>
      <c r="Z8" s="29"/>
    </row>
    <row r="9">
      <c r="B9" s="37"/>
      <c r="C9" s="37"/>
    </row>
    <row r="10">
      <c r="A10" s="5"/>
      <c r="B10" s="7"/>
      <c r="C10" s="7"/>
      <c r="D10" s="5"/>
      <c r="E10" s="5"/>
      <c r="F10" s="5"/>
      <c r="G10" s="13"/>
      <c r="H10" s="5"/>
      <c r="I10" s="5"/>
      <c r="J10" s="5"/>
      <c r="K10" s="5"/>
      <c r="L10" s="5"/>
      <c r="M10" s="5"/>
      <c r="N10" s="5"/>
      <c r="O10" s="5"/>
      <c r="P10" s="5"/>
      <c r="Q10" s="5"/>
      <c r="R10" s="5"/>
      <c r="S10" s="5"/>
      <c r="T10" s="5"/>
      <c r="U10" s="5"/>
      <c r="V10" s="5"/>
      <c r="W10" s="5"/>
      <c r="X10" s="5"/>
      <c r="Y10" s="5"/>
      <c r="Z10" s="5"/>
    </row>
    <row r="11">
      <c r="A11" s="1" t="s">
        <v>38</v>
      </c>
      <c r="B11" s="2" t="str">
        <f>HYPERLINK("http://pomfstatus.sapph.io/","Status")</f>
        <v>Status</v>
      </c>
      <c r="C11" s="3" t="s">
        <v>1</v>
      </c>
      <c r="D11" s="3" t="s">
        <v>2</v>
      </c>
      <c r="E11" s="3" t="s">
        <v>3</v>
      </c>
      <c r="F11" s="3" t="s">
        <v>4</v>
      </c>
      <c r="G11" s="3" t="s">
        <v>5</v>
      </c>
      <c r="H11" s="3" t="s">
        <v>6</v>
      </c>
      <c r="I11" s="3" t="s">
        <v>7</v>
      </c>
      <c r="J11" s="3" t="s">
        <v>8</v>
      </c>
      <c r="K11" s="3" t="s">
        <v>9</v>
      </c>
      <c r="L11" s="3" t="s">
        <v>10</v>
      </c>
      <c r="M11" s="3" t="s">
        <v>11</v>
      </c>
      <c r="N11" s="3" t="s">
        <v>12</v>
      </c>
      <c r="O11" s="3" t="s">
        <v>13</v>
      </c>
      <c r="P11" s="3" t="s">
        <v>14</v>
      </c>
      <c r="Q11" s="3" t="s">
        <v>15</v>
      </c>
      <c r="R11" s="3" t="s">
        <v>16</v>
      </c>
      <c r="S11" s="3" t="s">
        <v>17</v>
      </c>
      <c r="T11" s="3" t="s">
        <v>18</v>
      </c>
      <c r="U11" s="3" t="s">
        <v>19</v>
      </c>
      <c r="V11" s="3" t="s">
        <v>20</v>
      </c>
      <c r="W11" s="3" t="s">
        <v>21</v>
      </c>
      <c r="X11" s="3" t="s">
        <v>22</v>
      </c>
      <c r="Y11" s="3" t="s">
        <v>23</v>
      </c>
      <c r="Z11" s="3" t="s">
        <v>24</v>
      </c>
      <c r="AA11" s="38"/>
      <c r="AB11" s="38"/>
      <c r="AC11" s="38"/>
      <c r="AD11" s="38"/>
      <c r="AE11" s="38"/>
      <c r="AF11" s="38"/>
      <c r="AG11" s="38"/>
    </row>
    <row r="12">
      <c r="A12" s="9" t="str">
        <f>HYPERLINK("https://comfy.moe/","comfy.moe")</f>
        <v>comfy.moe</v>
      </c>
      <c r="B12" s="20" t="s">
        <v>31</v>
      </c>
      <c r="C12" s="12" t="s">
        <v>39</v>
      </c>
      <c r="D12" s="21" t="s">
        <v>33</v>
      </c>
      <c r="E12" s="34" t="s">
        <v>34</v>
      </c>
      <c r="F12" s="39" t="str">
        <f>HYPERLINK("https://www.virustotal.com/en/url/c6e99965213f948bb41fd232385044223756f2155d025cdd76983d06009812db/analysis/","1 Blacklist")</f>
        <v>1 Blacklist</v>
      </c>
      <c r="G12" s="8">
        <v>42953.0</v>
      </c>
      <c r="H12" s="25" t="s">
        <v>34</v>
      </c>
      <c r="I12" s="40" t="s">
        <v>33</v>
      </c>
      <c r="J12" s="25" t="s">
        <v>34</v>
      </c>
      <c r="K12" s="23" t="s">
        <v>34</v>
      </c>
      <c r="L12" s="34" t="s">
        <v>34</v>
      </c>
      <c r="M12" s="23" t="s">
        <v>34</v>
      </c>
      <c r="N12" s="25" t="s">
        <v>34</v>
      </c>
      <c r="O12" s="26" t="str">
        <f t="shared" ref="O12:O13" si="1">HYPERLINK("https://github.com/pomf/pomf","Pomf")</f>
        <v>Pomf</v>
      </c>
      <c r="P12" s="12" t="s">
        <v>40</v>
      </c>
      <c r="Q12" s="26" t="str">
        <f>HYPERLINK("https://twitter.com/inuoppai","@inuoppai")</f>
        <v>@inuoppai</v>
      </c>
      <c r="R12" s="26" t="str">
        <f>HYPERLINK("mailto:nekomune@comfy.moe","nekomune@comfy.moe")</f>
        <v>nekomune@comfy.moe</v>
      </c>
      <c r="S12" s="25" t="s">
        <v>34</v>
      </c>
      <c r="T12" s="29" t="s">
        <v>36</v>
      </c>
      <c r="U12" s="29"/>
      <c r="V12" s="29"/>
      <c r="W12" s="29"/>
      <c r="X12" s="29"/>
      <c r="Y12" s="29"/>
      <c r="Z12" s="29"/>
    </row>
    <row r="13" ht="14.25" customHeight="1">
      <c r="A13" s="41" t="str">
        <f>HYPERLINK("https://doko.moe/","doko.moe")</f>
        <v>doko.moe</v>
      </c>
      <c r="B13" s="20" t="s">
        <v>31</v>
      </c>
      <c r="C13" s="12" t="s">
        <v>41</v>
      </c>
      <c r="D13" s="21" t="s">
        <v>33</v>
      </c>
      <c r="E13" s="21" t="s">
        <v>33</v>
      </c>
      <c r="F13" s="22" t="str">
        <f>HYPERLINK("https://www.virustotal.com/en/url/3a9280e5730125f31c20962246a17bb3c31547a5bac52397614259737a0285ef/analysis/","4 Blacklists")</f>
        <v>4 Blacklists</v>
      </c>
      <c r="G13" s="8">
        <v>42953.0</v>
      </c>
      <c r="H13" s="21" t="s">
        <v>33</v>
      </c>
      <c r="I13" s="23" t="s">
        <v>34</v>
      </c>
      <c r="J13" s="21" t="s">
        <v>33</v>
      </c>
      <c r="K13" s="23" t="s">
        <v>34</v>
      </c>
      <c r="L13" s="34" t="s">
        <v>35</v>
      </c>
      <c r="M13" s="23" t="s">
        <v>34</v>
      </c>
      <c r="N13" s="42" t="str">
        <f>HYPERLINK("https://desu.sh/nojs.html","Yes")</f>
        <v>Yes</v>
      </c>
      <c r="O13" s="26" t="str">
        <f t="shared" si="1"/>
        <v>Pomf</v>
      </c>
      <c r="P13" s="12" t="s">
        <v>42</v>
      </c>
      <c r="Q13" s="43" t="str">
        <f>HYPERLINK("https://twitter.com/Miaoooww","@Miaoooww")</f>
        <v>@Miaoooww</v>
      </c>
      <c r="R13" s="27" t="str">
        <f>HYPERLINK("mailto:admin@desu.sh","admin@desu.sh")</f>
        <v>admin@desu.sh</v>
      </c>
      <c r="S13" s="25" t="s">
        <v>34</v>
      </c>
      <c r="T13" s="29" t="s">
        <v>36</v>
      </c>
      <c r="U13" s="29"/>
      <c r="V13" s="29"/>
      <c r="W13" s="29"/>
      <c r="X13" s="29"/>
      <c r="Y13" s="29"/>
      <c r="Z13" s="29"/>
    </row>
    <row r="14">
      <c r="A14" s="44" t="s">
        <v>43</v>
      </c>
      <c r="B14" s="20" t="s">
        <v>31</v>
      </c>
      <c r="C14" s="12" t="s">
        <v>44</v>
      </c>
      <c r="D14" s="25" t="s">
        <v>34</v>
      </c>
      <c r="E14" s="21" t="s">
        <v>33</v>
      </c>
      <c r="F14" s="39" t="str">
        <f>HYPERLINK("https://www.virustotal.com/en/url/e423bca329607b4fde38eff4a4cc63aca92a863e9b6a706d59c32034566da3ae/analysis/","4 Blacklists")</f>
        <v>4 Blacklists</v>
      </c>
      <c r="G14" s="8">
        <v>42953.0</v>
      </c>
      <c r="H14" s="25" t="s">
        <v>34</v>
      </c>
      <c r="I14" s="40" t="s">
        <v>33</v>
      </c>
      <c r="J14" s="25" t="s">
        <v>34</v>
      </c>
      <c r="K14" s="23" t="s">
        <v>34</v>
      </c>
      <c r="L14" s="24" t="s">
        <v>35</v>
      </c>
      <c r="M14" s="29" t="s">
        <v>36</v>
      </c>
      <c r="N14" s="25" t="s">
        <v>34</v>
      </c>
      <c r="O14" s="26" t="str">
        <f>HYPERLINK("https://github.com/2yrs/Pomf","2yrs/Pomf")</f>
        <v>2yrs/Pomf</v>
      </c>
      <c r="P14" s="37"/>
      <c r="Q14" s="37"/>
      <c r="R14" s="27" t="str">
        <f>HYPERLINK("mailto:toomuchglop@cock.li","toomuchglop@cock.li")</f>
        <v>toomuchglop@cock.li</v>
      </c>
      <c r="S14" s="25" t="s">
        <v>34</v>
      </c>
      <c r="T14" s="29" t="s">
        <v>36</v>
      </c>
      <c r="U14" s="29"/>
      <c r="V14" s="29"/>
      <c r="W14" s="29"/>
      <c r="X14" s="29"/>
      <c r="Y14" s="29"/>
      <c r="Z14" s="29"/>
    </row>
    <row r="15">
      <c r="A15" s="9" t="str">
        <f>HYPERLINK("https://lainfile.pw/","lainfile.pw")</f>
        <v>lainfile.pw</v>
      </c>
      <c r="B15" s="20" t="s">
        <v>45</v>
      </c>
      <c r="C15" s="12" t="s">
        <v>46</v>
      </c>
      <c r="D15" s="21" t="s">
        <v>33</v>
      </c>
      <c r="E15" s="34" t="s">
        <v>34</v>
      </c>
      <c r="F15" s="39" t="str">
        <f>HYPERLINK("https://www.virustotal.com/en/url/fd5aa5947a16796fd1135583b8cb185d24e68ada18eee3be2b701d5a078d6b56/analysis/","1 Blacklist")</f>
        <v>1 Blacklist</v>
      </c>
      <c r="G15" s="8">
        <v>42953.0</v>
      </c>
      <c r="H15" s="21" t="s">
        <v>34</v>
      </c>
      <c r="I15" s="23" t="s">
        <v>34</v>
      </c>
      <c r="J15" s="21" t="s">
        <v>33</v>
      </c>
      <c r="K15" s="23" t="s">
        <v>34</v>
      </c>
      <c r="L15" s="34" t="s">
        <v>34</v>
      </c>
      <c r="M15" s="29" t="s">
        <v>36</v>
      </c>
      <c r="N15" s="45" t="s">
        <v>33</v>
      </c>
      <c r="O15" s="26" t="str">
        <f>HYPERLINK("https://gitla.in/installgen2/flup","installgen2/flup")</f>
        <v>installgen2/flup</v>
      </c>
      <c r="P15" s="26" t="str">
        <f>HYPERLINK("https://gen2.space/","installgen2")</f>
        <v>installgen2</v>
      </c>
      <c r="Q15" s="26" t="str">
        <f>HYPERLINK("https://twitter.com/evilaubergine","@evilaubergine")</f>
        <v>@evilaubergine</v>
      </c>
      <c r="R15" s="26" t="s">
        <v>47</v>
      </c>
      <c r="S15" s="46"/>
      <c r="T15" s="29"/>
      <c r="U15" s="29"/>
      <c r="V15" s="29"/>
      <c r="W15" s="29"/>
      <c r="X15" s="29"/>
      <c r="Y15" s="29"/>
      <c r="Z15" s="29"/>
    </row>
    <row r="16">
      <c r="A16" s="9" t="str">
        <f>HYPERLINK("https://pomf.space/","pomf.space")</f>
        <v>pomf.space</v>
      </c>
      <c r="B16" s="20" t="s">
        <v>31</v>
      </c>
      <c r="C16" s="12" t="s">
        <v>48</v>
      </c>
      <c r="D16" s="21" t="s">
        <v>33</v>
      </c>
      <c r="E16" s="21" t="s">
        <v>34</v>
      </c>
      <c r="F16" s="22" t="str">
        <f>HYPERLINK("https://www.virustotal.com/en/url/1c755db090885b39b7ca64c8137004cd4ab30e36629126bdc8f6b9debb1576e0/analysis/","2 Blacklists")</f>
        <v>2 Blacklists</v>
      </c>
      <c r="G16" s="8">
        <v>42953.0</v>
      </c>
      <c r="H16" s="21" t="s">
        <v>33</v>
      </c>
      <c r="I16" s="40" t="s">
        <v>34</v>
      </c>
      <c r="J16" s="25" t="s">
        <v>34</v>
      </c>
      <c r="K16" s="23" t="s">
        <v>34</v>
      </c>
      <c r="L16" s="34" t="s">
        <v>34</v>
      </c>
      <c r="M16" s="29" t="s">
        <v>34</v>
      </c>
      <c r="N16" s="45" t="s">
        <v>33</v>
      </c>
      <c r="O16" s="26" t="str">
        <f t="shared" ref="O16:O18" si="2">HYPERLINK("https://github.com/pomf/pomf","Pomf")</f>
        <v>Pomf</v>
      </c>
      <c r="P16" s="12" t="s">
        <v>49</v>
      </c>
      <c r="Q16" s="37"/>
      <c r="R16" s="28" t="str">
        <f>HYPERLINK("mailto:archangel@tfwno.gf","archangel@tfwno.gf")</f>
        <v>archangel@tfwno.gf</v>
      </c>
      <c r="S16" s="25"/>
      <c r="T16" s="29"/>
      <c r="U16" s="29"/>
      <c r="V16" s="29"/>
      <c r="W16" s="29"/>
      <c r="X16" s="29"/>
      <c r="Y16" s="29"/>
      <c r="Z16" s="29"/>
    </row>
    <row r="17">
      <c r="A17" s="9" t="str">
        <f>HYPERLINK("https://pomf.pyonpyon.moe/","pomf.pyonpyon.moe")</f>
        <v>pomf.pyonpyon.moe</v>
      </c>
      <c r="B17" s="20" t="s">
        <v>31</v>
      </c>
      <c r="C17" s="12" t="s">
        <v>39</v>
      </c>
      <c r="D17" s="21" t="s">
        <v>33</v>
      </c>
      <c r="E17" s="34" t="s">
        <v>34</v>
      </c>
      <c r="F17" s="22" t="str">
        <f>HYPERLINK("https://www.virustotal.com/en/url/8d50b6b90cfb5ce5381b1a68a98a1006d07368e1486bbafddf23620869f2edef/analysis/","Clean")</f>
        <v>Clean</v>
      </c>
      <c r="G17" s="8">
        <v>42949.0</v>
      </c>
      <c r="H17" s="25" t="s">
        <v>34</v>
      </c>
      <c r="I17" s="23" t="s">
        <v>34</v>
      </c>
      <c r="J17" s="25" t="s">
        <v>34</v>
      </c>
      <c r="K17" s="23" t="s">
        <v>34</v>
      </c>
      <c r="L17" s="34" t="s">
        <v>34</v>
      </c>
      <c r="M17" s="23" t="s">
        <v>34</v>
      </c>
      <c r="N17" s="25" t="s">
        <v>34</v>
      </c>
      <c r="O17" s="26" t="str">
        <f t="shared" si="2"/>
        <v>Pomf</v>
      </c>
      <c r="P17" s="36"/>
      <c r="Q17" s="47"/>
      <c r="R17" s="26" t="str">
        <f>HYPERLINK("mailto:contact@pyonpyon.moe","contact@pyonpyon.moe")</f>
        <v>contact@pyonpyon.moe</v>
      </c>
      <c r="S17" s="25"/>
      <c r="T17" s="29"/>
      <c r="U17" s="29"/>
      <c r="V17" s="29"/>
      <c r="W17" s="29"/>
      <c r="X17" s="29"/>
      <c r="Y17" s="29"/>
      <c r="Z17" s="29"/>
    </row>
    <row r="18">
      <c r="A18" s="9" t="str">
        <f>HYPERLINK("http://reich.io/","reich.io")</f>
        <v>reich.io</v>
      </c>
      <c r="B18" s="20" t="s">
        <v>31</v>
      </c>
      <c r="C18" s="12" t="s">
        <v>39</v>
      </c>
      <c r="D18" s="25" t="s">
        <v>34</v>
      </c>
      <c r="E18" s="34" t="s">
        <v>34</v>
      </c>
      <c r="F18" s="39" t="str">
        <f>HYPERLINK("https://www.virustotal.com/en/url/3d40943d641facf68c2f34347135876a1c7d4e526ae2dd16d01233bbe3938c7c/analysis/","7 Blacklists")</f>
        <v>7 Blacklists</v>
      </c>
      <c r="G18" s="8">
        <v>42953.0</v>
      </c>
      <c r="H18" s="21" t="s">
        <v>33</v>
      </c>
      <c r="I18" s="40" t="s">
        <v>33</v>
      </c>
      <c r="J18" s="25" t="s">
        <v>34</v>
      </c>
      <c r="K18" s="23" t="s">
        <v>34</v>
      </c>
      <c r="L18" s="34" t="s">
        <v>34</v>
      </c>
      <c r="M18" s="29" t="s">
        <v>36</v>
      </c>
      <c r="N18" s="25" t="s">
        <v>34</v>
      </c>
      <c r="O18" s="26" t="str">
        <f t="shared" si="2"/>
        <v>Pomf</v>
      </c>
      <c r="P18" s="7" t="s">
        <v>50</v>
      </c>
      <c r="Q18" s="26" t="str">
        <f>HYPERLINK("https://twitter.com/Sushi1336","@Sushi1336")</f>
        <v>@Sushi1336</v>
      </c>
      <c r="R18" s="27" t="str">
        <f>HYPERLINK("mailto:kontakt@reich.io","kontakt@reich.io")</f>
        <v>kontakt@reich.io</v>
      </c>
      <c r="S18" s="25" t="s">
        <v>34</v>
      </c>
      <c r="T18" s="29" t="s">
        <v>36</v>
      </c>
      <c r="U18" s="29"/>
      <c r="V18" s="29"/>
      <c r="W18" s="29"/>
      <c r="X18" s="29"/>
      <c r="Y18" s="29"/>
      <c r="Z18" s="29"/>
    </row>
    <row r="19">
      <c r="A19" s="9" t="str">
        <f>HYPERLINK("https://regist.ra.rs/","regist.ra.rs")</f>
        <v>regist.ra.rs</v>
      </c>
      <c r="B19" s="20" t="s">
        <v>45</v>
      </c>
      <c r="C19" s="12" t="s">
        <v>51</v>
      </c>
      <c r="D19" s="25" t="s">
        <v>33</v>
      </c>
      <c r="E19" s="34" t="s">
        <v>33</v>
      </c>
      <c r="F19" s="39" t="str">
        <f>HYPERLINK("https://www.virustotal.com/en/url/4527144199f7f0ebe3653897f1e48d1f455ca7475d0f851c09bd29d7e18bd0bf/analysis/","Clean")</f>
        <v>Clean</v>
      </c>
      <c r="G19" s="8">
        <v>42953.0</v>
      </c>
      <c r="H19" s="21" t="s">
        <v>33</v>
      </c>
      <c r="I19" s="40" t="s">
        <v>34</v>
      </c>
      <c r="J19" s="25" t="s">
        <v>34</v>
      </c>
      <c r="K19" s="48" t="s">
        <v>52</v>
      </c>
      <c r="L19" s="34" t="s">
        <v>34</v>
      </c>
      <c r="M19" s="29" t="s">
        <v>34</v>
      </c>
      <c r="N19" s="25" t="s">
        <v>33</v>
      </c>
      <c r="O19" s="26" t="str">
        <f>HYPERLINK("https://regist.ra.rs/source/","regist.ra.rs")</f>
        <v>regist.ra.rs</v>
      </c>
      <c r="P19" s="12" t="s">
        <v>53</v>
      </c>
      <c r="Q19" s="26" t="str">
        <f>HYPERLINK("https://twitter.com/xatasan","@xatasan")</f>
        <v>@xatasan</v>
      </c>
      <c r="R19" s="26" t="str">
        <f>HYPERLINK("mailto:xatasan@firemail.cc","xatasan@firemail.cc")</f>
        <v>xatasan@firemail.cc</v>
      </c>
      <c r="S19" s="25"/>
      <c r="T19" s="29"/>
      <c r="U19" s="29"/>
      <c r="V19" s="29"/>
      <c r="W19" s="29"/>
      <c r="X19" s="29"/>
      <c r="Y19" s="29"/>
      <c r="Z19" s="29"/>
    </row>
    <row r="20">
      <c r="A20" s="33" t="str">
        <f>HYPERLINK("https://safe.moe","safe.moe")</f>
        <v>safe.moe</v>
      </c>
      <c r="B20" s="20" t="s">
        <v>31</v>
      </c>
      <c r="C20" s="12" t="s">
        <v>54</v>
      </c>
      <c r="D20" s="21" t="s">
        <v>33</v>
      </c>
      <c r="E20" s="21" t="s">
        <v>33</v>
      </c>
      <c r="F20" s="22" t="str">
        <f>HYPERLINK("https://www.virustotal.com/en/url/7de3e67b9dc8542475067b0f9eb851854a626108fef725741ff92926c1575a85/analysis/","3 Blacklists &amp; 1 Susp")</f>
        <v>3 Blacklists &amp; 1 Susp</v>
      </c>
      <c r="G20" s="8">
        <v>42953.0</v>
      </c>
      <c r="H20" s="21" t="s">
        <v>33</v>
      </c>
      <c r="I20" s="23" t="s">
        <v>34</v>
      </c>
      <c r="J20" s="21" t="s">
        <v>33</v>
      </c>
      <c r="K20" s="23" t="s">
        <v>34</v>
      </c>
      <c r="L20" s="34" t="s">
        <v>34</v>
      </c>
      <c r="M20" s="23" t="s">
        <v>34</v>
      </c>
      <c r="N20" s="49" t="s">
        <v>34</v>
      </c>
      <c r="O20" s="26" t="str">
        <f>HYPERLINK("https://github.com/WeebDev/loli-safe","loli-safe")</f>
        <v>loli-safe</v>
      </c>
      <c r="P20" s="28" t="str">
        <f>HYPERLINK("https://loli.forsale/","Alucard0134")</f>
        <v>Alucard0134</v>
      </c>
      <c r="Q20" s="27" t="str">
        <f>HYPERLINK("https://twitter.com/Alucard0143","@Alucard0143")</f>
        <v>@Alucard0143</v>
      </c>
      <c r="R20" s="28" t="str">
        <f>HYPERLINK("mailto:alucard@safe.moe","alucard@safe.moe")</f>
        <v>alucard@safe.moe</v>
      </c>
      <c r="S20" s="46" t="s">
        <v>55</v>
      </c>
      <c r="T20" s="29" t="s">
        <v>36</v>
      </c>
      <c r="U20" s="31">
        <v>17.8</v>
      </c>
      <c r="V20" s="50">
        <v>12.6</v>
      </c>
      <c r="W20" s="51">
        <v>63.0</v>
      </c>
      <c r="X20" s="51">
        <v>108.0</v>
      </c>
      <c r="Y20" s="32">
        <v>10.4</v>
      </c>
      <c r="Z20" s="30">
        <v>42.36</v>
      </c>
    </row>
    <row r="21">
      <c r="A21" s="52" t="str">
        <f>HYPERLINK("https://sugoi.vidyagam.es/","sugoi.vidyagam.es")</f>
        <v>sugoi.vidyagam.es</v>
      </c>
      <c r="B21" s="20" t="s">
        <v>31</v>
      </c>
      <c r="C21" s="12" t="s">
        <v>32</v>
      </c>
      <c r="D21" s="21" t="s">
        <v>33</v>
      </c>
      <c r="E21" s="21" t="s">
        <v>33</v>
      </c>
      <c r="F21" s="53" t="str">
        <f>HYPERLINK("https://www.virustotal.com/en/url/d3becb5e043b2d7a3f782a09aa36159dcff07935cc49c3e9bceda6e14d385c31/analysis/","1 Blacklist")</f>
        <v>1 Blacklist</v>
      </c>
      <c r="G21" s="8">
        <v>42953.0</v>
      </c>
      <c r="H21" s="21" t="s">
        <v>33</v>
      </c>
      <c r="I21" s="23" t="s">
        <v>34</v>
      </c>
      <c r="J21" s="25" t="s">
        <v>34</v>
      </c>
      <c r="K21" s="23" t="s">
        <v>34</v>
      </c>
      <c r="L21" s="34" t="s">
        <v>34</v>
      </c>
      <c r="M21" s="23" t="s">
        <v>34</v>
      </c>
      <c r="N21" s="25" t="s">
        <v>34</v>
      </c>
      <c r="O21" s="26" t="str">
        <f t="shared" ref="O21:O24" si="3">HYPERLINK("https://github.com/pomf/pomf","Pomf")</f>
        <v>Pomf</v>
      </c>
      <c r="P21" s="27" t="str">
        <f>HYPERLINK("https://vidyagam.es","Ryan Boyd")</f>
        <v>Ryan Boyd</v>
      </c>
      <c r="Q21" s="27" t="str">
        <f>HYPERLINK("https://twitter.com/sysfinite","@sysfinite")</f>
        <v>@sysfinite</v>
      </c>
      <c r="R21" s="27" t="str">
        <f>HYPERLINK("mailto:ryan@vidyagam.es","ryan@vidyagam.es")</f>
        <v>ryan@vidyagam.es</v>
      </c>
      <c r="S21" s="21" t="s">
        <v>33</v>
      </c>
      <c r="T21" s="29" t="s">
        <v>36</v>
      </c>
      <c r="U21" s="32">
        <v>5.8</v>
      </c>
      <c r="V21" s="32">
        <v>2.8</v>
      </c>
      <c r="W21" s="32">
        <v>9.4</v>
      </c>
      <c r="X21" s="50">
        <v>10.0</v>
      </c>
      <c r="Y21" s="32">
        <v>1.0</v>
      </c>
      <c r="Z21" s="32">
        <f>AVERAGE(U21:Y21)</f>
        <v>5.8</v>
      </c>
    </row>
    <row r="22">
      <c r="A22" s="9" t="str">
        <f>HYPERLINK("http://up.asis.io/","up.asis.io")</f>
        <v>up.asis.io</v>
      </c>
      <c r="B22" s="20" t="s">
        <v>31</v>
      </c>
      <c r="C22" s="12" t="s">
        <v>32</v>
      </c>
      <c r="D22" s="25" t="s">
        <v>33</v>
      </c>
      <c r="E22" s="34" t="s">
        <v>34</v>
      </c>
      <c r="F22" s="39" t="str">
        <f>HYPERLINK("https://www.virustotal.com/en/url/993757d14def88c2406728fe31d85c079cffe5d4ab842ca8ea878480eea929af/analysis/","2 Blacklists")</f>
        <v>2 Blacklists</v>
      </c>
      <c r="G22" s="8">
        <v>42953.0</v>
      </c>
      <c r="H22" s="21" t="s">
        <v>33</v>
      </c>
      <c r="I22" s="40" t="s">
        <v>33</v>
      </c>
      <c r="J22" s="25" t="s">
        <v>34</v>
      </c>
      <c r="K22" s="23" t="s">
        <v>34</v>
      </c>
      <c r="L22" s="34" t="s">
        <v>34</v>
      </c>
      <c r="M22" s="29" t="s">
        <v>36</v>
      </c>
      <c r="N22" s="25" t="s">
        <v>34</v>
      </c>
      <c r="O22" s="26" t="str">
        <f t="shared" si="3"/>
        <v>Pomf</v>
      </c>
      <c r="P22" s="47"/>
      <c r="Q22" s="47"/>
      <c r="R22" s="47"/>
      <c r="S22" s="25" t="s">
        <v>34</v>
      </c>
      <c r="T22" s="29"/>
      <c r="U22" s="29"/>
      <c r="V22" s="29"/>
      <c r="W22" s="29"/>
      <c r="X22" s="29"/>
      <c r="Y22" s="29"/>
      <c r="Z22" s="29"/>
    </row>
    <row r="23">
      <c r="A23" s="9" t="str">
        <f>HYPERLINK("http://up.che.moe/","up.che.moe")</f>
        <v>up.che.moe</v>
      </c>
      <c r="B23" s="20" t="s">
        <v>31</v>
      </c>
      <c r="C23" s="12" t="s">
        <v>39</v>
      </c>
      <c r="D23" s="25" t="s">
        <v>34</v>
      </c>
      <c r="E23" s="34" t="s">
        <v>34</v>
      </c>
      <c r="F23" s="39" t="str">
        <f>HYPERLINK("https://www.virustotal.com/en/url/740dae8c8c1c82b414de70c926bcd1066b7cc3f786ee65486480750518aac599/analysis/","5 Blacklists")</f>
        <v>5 Blacklists</v>
      </c>
      <c r="G23" s="8">
        <v>42953.0</v>
      </c>
      <c r="H23" s="25" t="s">
        <v>34</v>
      </c>
      <c r="I23" s="54" t="s">
        <v>56</v>
      </c>
      <c r="J23" s="25" t="s">
        <v>34</v>
      </c>
      <c r="K23" s="23" t="s">
        <v>34</v>
      </c>
      <c r="L23" s="34" t="s">
        <v>34</v>
      </c>
      <c r="M23" s="29" t="s">
        <v>36</v>
      </c>
      <c r="N23" s="25" t="s">
        <v>34</v>
      </c>
      <c r="O23" s="26" t="str">
        <f t="shared" si="3"/>
        <v>Pomf</v>
      </c>
      <c r="P23" s="7" t="s">
        <v>57</v>
      </c>
      <c r="Q23" s="37"/>
      <c r="R23" s="27" t="str">
        <f>HYPERLINK("mailto:bertalanmaire@gmail.com","bertalanmaire@gmail.com")</f>
        <v>bertalanmaire@gmail.com</v>
      </c>
      <c r="S23" s="21" t="s">
        <v>33</v>
      </c>
      <c r="T23" s="29" t="s">
        <v>36</v>
      </c>
      <c r="U23" s="32">
        <v>5.4</v>
      </c>
      <c r="V23" s="32">
        <v>1.8</v>
      </c>
      <c r="W23" s="50">
        <v>12.0</v>
      </c>
      <c r="X23" s="50">
        <v>11.0</v>
      </c>
      <c r="Y23" s="32">
        <v>1.2</v>
      </c>
      <c r="Z23" s="32">
        <f>AVERAGE(U23:Y23)</f>
        <v>6.28</v>
      </c>
    </row>
    <row r="24">
      <c r="A24" s="9" t="str">
        <f>HYPERLINK("https://vidga.me/","vidga.me")</f>
        <v>vidga.me</v>
      </c>
      <c r="B24" s="20" t="s">
        <v>31</v>
      </c>
      <c r="C24" s="12" t="s">
        <v>32</v>
      </c>
      <c r="D24" s="21" t="s">
        <v>33</v>
      </c>
      <c r="E24" s="21" t="s">
        <v>33</v>
      </c>
      <c r="F24" s="39" t="str">
        <f>HYPERLINK("https://www.virustotal.com/en/url/b082fd44b88de26882de5e7e36c23c5a258e17dd8396498215890e275a3cc8c3/analysis/","Clean")</f>
        <v>Clean</v>
      </c>
      <c r="G24" s="8">
        <v>42953.0</v>
      </c>
      <c r="H24" s="21" t="s">
        <v>33</v>
      </c>
      <c r="I24" s="29" t="s">
        <v>56</v>
      </c>
      <c r="J24" s="21" t="s">
        <v>33</v>
      </c>
      <c r="K24" s="23" t="s">
        <v>34</v>
      </c>
      <c r="L24" s="29" t="s">
        <v>34</v>
      </c>
      <c r="M24" s="23" t="s">
        <v>34</v>
      </c>
      <c r="N24" s="45" t="s">
        <v>33</v>
      </c>
      <c r="O24" s="26" t="str">
        <f t="shared" si="3"/>
        <v>Pomf</v>
      </c>
      <c r="P24" s="7" t="s">
        <v>58</v>
      </c>
      <c r="Q24" s="55"/>
      <c r="R24" s="27" t="s">
        <v>59</v>
      </c>
      <c r="S24" s="46"/>
      <c r="T24" s="29"/>
      <c r="U24" s="29"/>
      <c r="V24" s="29"/>
      <c r="W24" s="29"/>
      <c r="X24" s="29"/>
      <c r="Y24" s="29"/>
      <c r="Z24" s="29"/>
    </row>
    <row r="25">
      <c r="A25" s="5"/>
      <c r="B25" s="7"/>
      <c r="C25" s="7"/>
      <c r="D25" s="5"/>
      <c r="E25" s="5"/>
      <c r="F25" s="5"/>
      <c r="G25" s="8"/>
      <c r="H25" s="5"/>
      <c r="I25" s="5"/>
      <c r="J25" s="5"/>
      <c r="K25" s="5"/>
      <c r="L25" s="5"/>
      <c r="M25" s="5"/>
      <c r="N25" s="5"/>
      <c r="O25" s="5"/>
      <c r="P25" s="5"/>
      <c r="R25" s="5"/>
      <c r="S25" s="5"/>
      <c r="T25" s="56"/>
      <c r="U25" s="5"/>
      <c r="V25" s="11"/>
      <c r="W25" s="5"/>
      <c r="X25" s="5"/>
      <c r="Y25" s="5"/>
      <c r="Z25" s="5"/>
    </row>
    <row r="26">
      <c r="A26" s="1" t="s">
        <v>60</v>
      </c>
      <c r="B26" s="2" t="str">
        <f>HYPERLINK("http://pomfstatus.sapph.io/","Status")</f>
        <v>Status</v>
      </c>
      <c r="C26" s="3" t="s">
        <v>1</v>
      </c>
      <c r="D26" s="3" t="s">
        <v>2</v>
      </c>
      <c r="E26" s="3" t="s">
        <v>3</v>
      </c>
      <c r="F26" s="3" t="s">
        <v>4</v>
      </c>
      <c r="G26" s="3" t="s">
        <v>5</v>
      </c>
      <c r="H26" s="3" t="s">
        <v>6</v>
      </c>
      <c r="I26" s="3" t="s">
        <v>7</v>
      </c>
      <c r="J26" s="3" t="s">
        <v>8</v>
      </c>
      <c r="K26" s="3" t="s">
        <v>9</v>
      </c>
      <c r="L26" s="3" t="s">
        <v>10</v>
      </c>
      <c r="M26" s="3" t="s">
        <v>11</v>
      </c>
      <c r="N26" s="3" t="s">
        <v>12</v>
      </c>
      <c r="O26" s="3" t="s">
        <v>13</v>
      </c>
      <c r="P26" s="3" t="s">
        <v>14</v>
      </c>
      <c r="Q26" s="3" t="s">
        <v>15</v>
      </c>
      <c r="R26" s="3" t="s">
        <v>16</v>
      </c>
      <c r="S26" s="3" t="s">
        <v>17</v>
      </c>
      <c r="T26" s="3" t="s">
        <v>18</v>
      </c>
      <c r="U26" s="3" t="s">
        <v>19</v>
      </c>
      <c r="V26" s="3" t="s">
        <v>20</v>
      </c>
      <c r="W26" s="3" t="s">
        <v>21</v>
      </c>
      <c r="X26" s="3" t="s">
        <v>22</v>
      </c>
      <c r="Y26" s="3" t="s">
        <v>23</v>
      </c>
      <c r="Z26" s="3" t="s">
        <v>24</v>
      </c>
      <c r="AA26" s="38"/>
      <c r="AB26" s="38"/>
      <c r="AC26" s="38"/>
      <c r="AD26" s="38"/>
      <c r="AE26" s="38"/>
      <c r="AF26" s="38"/>
      <c r="AG26" s="38"/>
    </row>
    <row r="27">
      <c r="A27" s="57" t="str">
        <f>HYPERLINK("https://catbox.moe/","Catbox.moe")</f>
        <v>Catbox.moe</v>
      </c>
      <c r="B27" s="20" t="s">
        <v>31</v>
      </c>
      <c r="C27" s="12" t="s">
        <v>54</v>
      </c>
      <c r="D27" s="21" t="s">
        <v>33</v>
      </c>
      <c r="E27" s="34" t="s">
        <v>34</v>
      </c>
      <c r="F27" s="22" t="str">
        <f>HYPERLINK("https://www.virustotal.com/en/url/cde39249c878ad077a1e441bbba187a871b34607fb375d6b1b73f67a3c88fe64/analysis/","Clean")</f>
        <v>Clean</v>
      </c>
      <c r="G27" s="8">
        <v>42943.0</v>
      </c>
      <c r="H27" s="21" t="s">
        <v>33</v>
      </c>
      <c r="I27" s="23" t="s">
        <v>34</v>
      </c>
      <c r="J27" s="25" t="s">
        <v>34</v>
      </c>
      <c r="K27" s="23" t="s">
        <v>34</v>
      </c>
      <c r="L27" s="34" t="s">
        <v>34</v>
      </c>
      <c r="M27" s="58" t="s">
        <v>61</v>
      </c>
      <c r="N27" s="42" t="str">
        <f>HYPERLINK("http://nofun.catbox.moe/","Yes")</f>
        <v>Yes</v>
      </c>
      <c r="O27" s="12" t="s">
        <v>62</v>
      </c>
      <c r="P27" s="28" t="str">
        <f>HYPERLINK("http://kotori.rocks/","Cats")</f>
        <v>Cats</v>
      </c>
      <c r="Q27" s="37"/>
      <c r="R27" s="28" t="str">
        <f>HYPERLINK("mailto:admin@catbox.moe","admin@catbox.moe")</f>
        <v>admin@catbox.moe</v>
      </c>
      <c r="S27" s="46" t="s">
        <v>63</v>
      </c>
      <c r="T27" s="29" t="s">
        <v>36</v>
      </c>
      <c r="U27" s="30">
        <v>45.0</v>
      </c>
      <c r="V27" s="31">
        <v>26.8</v>
      </c>
      <c r="W27" s="32">
        <v>3.6</v>
      </c>
      <c r="X27" s="32">
        <v>4.2</v>
      </c>
      <c r="Y27" s="32">
        <v>3.0</v>
      </c>
      <c r="Z27" s="50">
        <f>AVERAGE(U27:Y27)</f>
        <v>16.52</v>
      </c>
    </row>
    <row r="28">
      <c r="A28" s="9" t="str">
        <f>HYPERLINK("https://biyori.moe/","biyori.moe")</f>
        <v>biyori.moe</v>
      </c>
      <c r="B28" s="20" t="s">
        <v>31</v>
      </c>
      <c r="C28" s="12" t="s">
        <v>64</v>
      </c>
      <c r="D28" s="21" t="s">
        <v>33</v>
      </c>
      <c r="E28" s="34" t="s">
        <v>34</v>
      </c>
      <c r="F28" s="39" t="str">
        <f>HYPERLINK("https://www.virustotal.com/en/url/5df58b39db274cf71b3caf9e20fb8220645ae80a50f56b872c70b5c67d74c61f/analysis/","Clean")</f>
        <v>Clean</v>
      </c>
      <c r="G28" s="8">
        <v>42954.0</v>
      </c>
      <c r="H28" s="21" t="s">
        <v>33</v>
      </c>
      <c r="I28" s="23" t="s">
        <v>34</v>
      </c>
      <c r="J28" s="25" t="s">
        <v>34</v>
      </c>
      <c r="K28" s="23" t="s">
        <v>34</v>
      </c>
      <c r="L28" s="59" t="s">
        <v>34</v>
      </c>
      <c r="M28" s="60" t="s">
        <v>65</v>
      </c>
      <c r="N28" s="25" t="s">
        <v>34</v>
      </c>
      <c r="O28" s="26" t="str">
        <f>HYPERLINK("https://github.com/Venrir","Laravel Based")</f>
        <v>Laravel Based</v>
      </c>
      <c r="P28" s="26" t="str">
        <f>HYPERLINK("http://www.venipa.net/","Venipa")</f>
        <v>Venipa</v>
      </c>
      <c r="Q28" s="61" t="str">
        <f>HYPERLINK("https://twitter.com/Biyoriii","@Biyoriii")</f>
        <v>@Biyoriii</v>
      </c>
      <c r="R28" s="26" t="str">
        <f>HYPERLINK("mailto:admin@biyori.moe","admin@biyori.moe")</f>
        <v>admin@biyori.moe</v>
      </c>
      <c r="S28" s="25"/>
      <c r="T28" s="29"/>
      <c r="U28" s="29"/>
      <c r="V28" s="29"/>
      <c r="W28" s="29"/>
      <c r="X28" s="29"/>
      <c r="Y28" s="29"/>
      <c r="Z28" s="29"/>
    </row>
    <row r="29">
      <c r="A29" s="9" t="str">
        <f>HYPERLINK("https://dbr.ee/","dbr.ee")</f>
        <v>dbr.ee</v>
      </c>
      <c r="B29" s="20" t="s">
        <v>31</v>
      </c>
      <c r="C29" s="12" t="s">
        <v>66</v>
      </c>
      <c r="D29" s="21" t="s">
        <v>33</v>
      </c>
      <c r="E29" s="34" t="s">
        <v>34</v>
      </c>
      <c r="F29" s="39" t="str">
        <f>HYPERLINK("https://www.virustotal.com/en/url/ed3148fcf9d60e274711922c409840a2f618eb2fd11ffcefefe9dc9789a7226f/analysis/","Clean")</f>
        <v>Clean</v>
      </c>
      <c r="G29" s="8">
        <v>42954.0</v>
      </c>
      <c r="H29" s="21" t="s">
        <v>34</v>
      </c>
      <c r="I29" s="23" t="s">
        <v>33</v>
      </c>
      <c r="J29" s="25" t="s">
        <v>34</v>
      </c>
      <c r="K29" s="23" t="s">
        <v>34</v>
      </c>
      <c r="L29" s="59" t="s">
        <v>34</v>
      </c>
      <c r="M29" s="29" t="s">
        <v>36</v>
      </c>
      <c r="N29" s="25" t="s">
        <v>34</v>
      </c>
      <c r="O29" s="47" t="s">
        <v>67</v>
      </c>
      <c r="P29" s="47"/>
      <c r="Q29" s="61" t="str">
        <f>HYPERLINK("https://twitter.com/_dbree_","@_dbree_")</f>
        <v>@_dbree_</v>
      </c>
      <c r="R29" s="26" t="str">
        <f>HYPERLINK("mailto:contact@dbr.ee","contact@dbr.ee")</f>
        <v>contact@dbr.ee</v>
      </c>
      <c r="S29" s="25"/>
      <c r="T29" s="29"/>
      <c r="U29" s="29"/>
      <c r="V29" s="29"/>
      <c r="W29" s="29"/>
      <c r="X29" s="29"/>
      <c r="Y29" s="29"/>
      <c r="Z29" s="29"/>
    </row>
    <row r="30">
      <c r="A30" s="9" t="str">
        <f>HYPERLINK("https://filebox.moe","filebox.moe")</f>
        <v>filebox.moe</v>
      </c>
      <c r="B30" s="20" t="s">
        <v>45</v>
      </c>
      <c r="C30" s="12" t="s">
        <v>68</v>
      </c>
      <c r="D30" s="21" t="s">
        <v>33</v>
      </c>
      <c r="E30" s="21" t="s">
        <v>33</v>
      </c>
      <c r="F30" s="22" t="str">
        <f>HYPERLINK("https://www.virustotal.com/en/url/cb819eef90acc9bd628089f0b614cf5fc175e6fd061285fda2970049ef50eb44/analysis/","Clean")</f>
        <v>Clean</v>
      </c>
      <c r="G30" s="8">
        <v>42954.0</v>
      </c>
      <c r="H30" s="21" t="s">
        <v>33</v>
      </c>
      <c r="I30" s="40" t="s">
        <v>34</v>
      </c>
      <c r="J30" s="62" t="s">
        <v>33</v>
      </c>
      <c r="K30" s="23" t="s">
        <v>34</v>
      </c>
      <c r="L30" s="34" t="s">
        <v>35</v>
      </c>
      <c r="M30" s="23" t="s">
        <v>34</v>
      </c>
      <c r="N30" s="45" t="s">
        <v>33</v>
      </c>
      <c r="O30" s="36" t="s">
        <v>69</v>
      </c>
      <c r="P30" s="26" t="str">
        <f>HYPERLINK("https://justabox.pro/","JustABox")</f>
        <v>JustABox</v>
      </c>
      <c r="Q30" s="26" t="str">
        <f>HYPERLINK("https://twitter.com/JustAB0x","@JustAB0x")</f>
        <v>@JustAB0x</v>
      </c>
      <c r="R30" s="26" t="str">
        <f>HYPERLINK("mailto:admin@filebox.moe","admin@filebox.moe")</f>
        <v>admin@filebox.moe</v>
      </c>
      <c r="S30" s="46"/>
      <c r="T30" s="29"/>
      <c r="U30" s="29"/>
      <c r="V30" s="29"/>
      <c r="W30" s="29"/>
      <c r="X30" s="29"/>
      <c r="Y30" s="29"/>
      <c r="Z30" s="29"/>
    </row>
    <row r="31">
      <c r="A31" s="9" t="str">
        <f>HYPERLINK("http://www.hnng.moe/sharefiles","hnng.moe")</f>
        <v>hnng.moe</v>
      </c>
      <c r="B31" s="20" t="s">
        <v>31</v>
      </c>
      <c r="C31" s="12" t="s">
        <v>70</v>
      </c>
      <c r="D31" s="25" t="s">
        <v>34</v>
      </c>
      <c r="E31" s="34" t="s">
        <v>34</v>
      </c>
      <c r="F31" s="22" t="str">
        <f>HYPERLINK("https://www.virustotal.com/en/url/91df17b6769f8687a9dd1a203821aa79687a58c4136993cdaf23831d0f451a38/analysis/","Clean")</f>
        <v>Clean</v>
      </c>
      <c r="G31" s="8">
        <v>42904.0</v>
      </c>
      <c r="H31" s="25" t="s">
        <v>34</v>
      </c>
      <c r="I31" s="40" t="s">
        <v>33</v>
      </c>
      <c r="J31" s="25" t="s">
        <v>34</v>
      </c>
      <c r="K31" s="23" t="s">
        <v>34</v>
      </c>
      <c r="L31" s="34" t="s">
        <v>34</v>
      </c>
      <c r="M31" s="29" t="s">
        <v>36</v>
      </c>
      <c r="N31" s="45" t="s">
        <v>33</v>
      </c>
      <c r="O31" s="26" t="str">
        <f>HYPERLINK("https://github.com/Francesco149/hnng-moe","hnng.moe")</f>
        <v>hnng.moe</v>
      </c>
      <c r="P31" s="7"/>
      <c r="Q31" s="26" t="str">
        <f>HYPERLINK("https://twitter.com/roriicon","@roriicon")</f>
        <v>@roriicon</v>
      </c>
      <c r="R31" s="26" t="str">
        <f>HYPERLINK("mailto:lolisamurai@waifu.club","lolisamurai@waifu.club")</f>
        <v>lolisamurai@waifu.club</v>
      </c>
      <c r="S31" s="25" t="s">
        <v>34</v>
      </c>
      <c r="T31" s="29" t="s">
        <v>36</v>
      </c>
      <c r="U31" s="29"/>
      <c r="V31" s="29"/>
      <c r="W31" s="29"/>
      <c r="X31" s="29"/>
      <c r="Y31" s="29"/>
      <c r="Z31" s="29"/>
    </row>
    <row r="32">
      <c r="A32" s="9" t="str">
        <f>HYPERLINK("https://lithi.io/","lithi.io")</f>
        <v>lithi.io</v>
      </c>
      <c r="B32" s="20" t="s">
        <v>31</v>
      </c>
      <c r="C32" s="12" t="s">
        <v>36</v>
      </c>
      <c r="D32" s="21" t="s">
        <v>33</v>
      </c>
      <c r="E32" s="34" t="s">
        <v>34</v>
      </c>
      <c r="F32" s="22" t="str">
        <f>HYPERLINK("https://www.virustotal.com/en/url/4a93a6cb47e12dcec073c179cd3e1968dbf45ffa6fa605a41763acd75360b7c9/analysis/","Clean")</f>
        <v>Clean</v>
      </c>
      <c r="G32" s="8">
        <v>42904.0</v>
      </c>
      <c r="H32" s="21" t="s">
        <v>33</v>
      </c>
      <c r="I32" s="40" t="s">
        <v>33</v>
      </c>
      <c r="J32" s="25" t="s">
        <v>34</v>
      </c>
      <c r="K32" s="23" t="s">
        <v>34</v>
      </c>
      <c r="L32" s="24" t="s">
        <v>35</v>
      </c>
      <c r="M32" s="60" t="s">
        <v>65</v>
      </c>
      <c r="N32" s="25" t="s">
        <v>34</v>
      </c>
      <c r="O32" s="47" t="s">
        <v>71</v>
      </c>
      <c r="P32" s="12"/>
      <c r="Q32" s="47"/>
      <c r="R32" s="26" t="str">
        <f>HYPERLINK("mailto:contact.lithiio@gmail.com","contact.lithiio@gmail.com")</f>
        <v>contact.lithiio@gmail.com</v>
      </c>
      <c r="S32" s="46"/>
      <c r="T32" s="29"/>
      <c r="U32" s="29"/>
      <c r="V32" s="29"/>
      <c r="W32" s="29"/>
      <c r="X32" s="29"/>
      <c r="Y32" s="29"/>
      <c r="Z32" s="29"/>
    </row>
    <row r="33">
      <c r="A33" s="9" t="str">
        <f>HYPERLINK("https://memenet.org/","memenet.org")</f>
        <v>memenet.org</v>
      </c>
      <c r="B33" s="20" t="s">
        <v>31</v>
      </c>
      <c r="C33" s="12" t="s">
        <v>72</v>
      </c>
      <c r="D33" s="21" t="s">
        <v>33</v>
      </c>
      <c r="E33" s="21" t="s">
        <v>33</v>
      </c>
      <c r="F33" s="22" t="str">
        <f>HYPERLINK("https://www.virustotal.com/en/url/84b6dd204fd3365be913b69543c12b285b44f82fa1da95c0bcfab262c800e6d6/analysis/","6 Blacklists")</f>
        <v>6 Blacklists</v>
      </c>
      <c r="G33" s="8">
        <v>42954.0</v>
      </c>
      <c r="H33" s="25" t="s">
        <v>34</v>
      </c>
      <c r="I33" s="23" t="s">
        <v>34</v>
      </c>
      <c r="J33" s="25" t="s">
        <v>34</v>
      </c>
      <c r="K33" s="23" t="s">
        <v>34</v>
      </c>
      <c r="L33" s="34" t="s">
        <v>34</v>
      </c>
      <c r="M33" s="23" t="s">
        <v>34</v>
      </c>
      <c r="N33" s="25" t="s">
        <v>34</v>
      </c>
      <c r="O33" s="26" t="str">
        <f>HYPERLINK("https://github.com/nokonoko/uguu","Uguu")</f>
        <v>Uguu</v>
      </c>
      <c r="P33" s="12" t="s">
        <v>73</v>
      </c>
      <c r="R33" s="26" t="str">
        <f>HYPERLINK("mailto:illumniggati@protonmail.com","illumniggati@protonmail.com")</f>
        <v>illumniggati@protonmail.com</v>
      </c>
      <c r="S33" s="25" t="s">
        <v>34</v>
      </c>
      <c r="T33" s="29" t="s">
        <v>36</v>
      </c>
      <c r="U33" s="29"/>
      <c r="V33" s="29"/>
      <c r="W33" s="29"/>
      <c r="X33" s="29"/>
      <c r="Y33" s="29"/>
      <c r="Z33" s="29"/>
    </row>
    <row r="34">
      <c r="A34" s="9" t="str">
        <f>HYPERLINK("https://file.quad.moe/","file.quad.moe")</f>
        <v>file.quad.moe</v>
      </c>
      <c r="B34" s="20" t="s">
        <v>31</v>
      </c>
      <c r="C34" s="12" t="s">
        <v>72</v>
      </c>
      <c r="D34" s="21" t="s">
        <v>33</v>
      </c>
      <c r="E34" s="34" t="s">
        <v>34</v>
      </c>
      <c r="F34" s="39" t="str">
        <f>HYPERLINK("https://www.virustotal.com/en/url/9bcb58ccbb4f296d70a26152d066d5166e9694b4e73900be9bc5ee0c9eca1ffb/analysis/","Clean")</f>
        <v>Clean</v>
      </c>
      <c r="G34" s="8">
        <v>42957.0</v>
      </c>
      <c r="H34" s="25" t="s">
        <v>34</v>
      </c>
      <c r="I34" s="40" t="s">
        <v>33</v>
      </c>
      <c r="J34" s="25" t="s">
        <v>34</v>
      </c>
      <c r="K34" s="46" t="s">
        <v>74</v>
      </c>
      <c r="L34" s="34" t="s">
        <v>34</v>
      </c>
      <c r="M34" s="54" t="s">
        <v>56</v>
      </c>
      <c r="N34" s="25" t="s">
        <v>34</v>
      </c>
      <c r="O34" s="26" t="str">
        <f>HYPERLINK("https://github.com/QuadPiece/QuadFile","QuadFile (Python)")</f>
        <v>QuadFile (Python)</v>
      </c>
      <c r="P34" s="26" t="str">
        <f>HYPERLINK("http://quad.moe/","Quad")</f>
        <v>Quad</v>
      </c>
      <c r="Q34" s="26" t="str">
        <f>HYPERLINK("https://twitter.com/Kuwaddo","@Kuwaddo")</f>
        <v>@Kuwaddo</v>
      </c>
      <c r="R34" s="28" t="str">
        <f>HYPERLINK("mailto:contact@quad.moe","contact@quad.moe")</f>
        <v>contact@quad.moe</v>
      </c>
      <c r="S34" s="46" t="s">
        <v>75</v>
      </c>
      <c r="T34" s="29" t="s">
        <v>36</v>
      </c>
      <c r="U34" s="29"/>
      <c r="V34" s="29"/>
      <c r="W34" s="29"/>
      <c r="X34" s="29"/>
      <c r="Y34" s="29"/>
      <c r="Z34" s="29"/>
    </row>
    <row r="35">
      <c r="A35" s="9" t="str">
        <f>HYPERLINK("https://u.teknik.io/","u.teknik.io")</f>
        <v>u.teknik.io</v>
      </c>
      <c r="B35" s="20" t="s">
        <v>31</v>
      </c>
      <c r="C35" s="12" t="s">
        <v>64</v>
      </c>
      <c r="D35" s="21" t="s">
        <v>33</v>
      </c>
      <c r="E35" s="21" t="s">
        <v>33</v>
      </c>
      <c r="F35" s="39" t="str">
        <f>HYPERLINK("https://www.virustotal.com/en/url/145c40b66e70d1c9e58ccb4b0ebf25fa09661bc28398770cff86d66e9fb0e160/analysis/","2 Blacklists")</f>
        <v>2 Blacklists</v>
      </c>
      <c r="G35" s="8">
        <v>42954.0</v>
      </c>
      <c r="H35" s="21" t="s">
        <v>33</v>
      </c>
      <c r="I35" s="40" t="s">
        <v>33</v>
      </c>
      <c r="J35" s="21" t="s">
        <v>33</v>
      </c>
      <c r="K35" s="23" t="s">
        <v>34</v>
      </c>
      <c r="L35" s="34" t="s">
        <v>34</v>
      </c>
      <c r="M35" s="23" t="s">
        <v>34</v>
      </c>
      <c r="N35" s="25" t="s">
        <v>34</v>
      </c>
      <c r="O35" s="26" t="str">
        <f>HYPERLINK("https://git.teknik.io/Teknikode/Teknik","Teknikode/Teknik")</f>
        <v>Teknikode/Teknik</v>
      </c>
      <c r="P35" s="47" t="s">
        <v>76</v>
      </c>
      <c r="Q35" s="47"/>
      <c r="R35" s="26" t="str">
        <f>HYPERLINK("mailto:admin@teknik.io","admin@teknik.io")</f>
        <v>admin@teknik.io</v>
      </c>
      <c r="S35" s="25" t="s">
        <v>34</v>
      </c>
      <c r="T35" s="29"/>
      <c r="U35" s="29"/>
      <c r="V35" s="29"/>
      <c r="W35" s="29"/>
      <c r="X35" s="29"/>
      <c r="Y35" s="29"/>
      <c r="Z35" s="29"/>
    </row>
    <row r="36">
      <c r="B36" s="37"/>
      <c r="C36" s="37"/>
      <c r="G36" s="8"/>
      <c r="P36" s="37"/>
      <c r="Q36" s="37"/>
      <c r="R36" s="37"/>
      <c r="Z36" s="5"/>
    </row>
    <row r="37">
      <c r="A37" s="63" t="s">
        <v>77</v>
      </c>
      <c r="B37" s="64" t="str">
        <f>HYPERLINK("http://pomfstatus.sapph.io/","Status")</f>
        <v>Status</v>
      </c>
      <c r="C37" s="65" t="s">
        <v>1</v>
      </c>
      <c r="D37" s="65" t="s">
        <v>2</v>
      </c>
      <c r="E37" s="65" t="s">
        <v>3</v>
      </c>
      <c r="F37" s="65" t="s">
        <v>4</v>
      </c>
      <c r="G37" s="65" t="s">
        <v>5</v>
      </c>
      <c r="H37" s="65" t="s">
        <v>6</v>
      </c>
      <c r="I37" s="65" t="s">
        <v>7</v>
      </c>
      <c r="J37" s="65" t="s">
        <v>8</v>
      </c>
      <c r="K37" s="65" t="s">
        <v>9</v>
      </c>
      <c r="L37" s="65" t="s">
        <v>10</v>
      </c>
      <c r="M37" s="65" t="s">
        <v>11</v>
      </c>
      <c r="N37" s="65" t="s">
        <v>12</v>
      </c>
      <c r="O37" s="65" t="s">
        <v>13</v>
      </c>
      <c r="P37" s="65" t="s">
        <v>14</v>
      </c>
      <c r="Q37" s="65" t="s">
        <v>15</v>
      </c>
      <c r="R37" s="65" t="s">
        <v>16</v>
      </c>
      <c r="S37" s="65" t="s">
        <v>17</v>
      </c>
      <c r="T37" s="65" t="s">
        <v>18</v>
      </c>
      <c r="U37" s="65" t="s">
        <v>19</v>
      </c>
      <c r="V37" s="65" t="s">
        <v>20</v>
      </c>
      <c r="W37" s="65" t="s">
        <v>21</v>
      </c>
      <c r="X37" s="65" t="s">
        <v>22</v>
      </c>
      <c r="Y37" s="65" t="s">
        <v>23</v>
      </c>
      <c r="Z37" s="65" t="s">
        <v>24</v>
      </c>
      <c r="AA37" s="66"/>
      <c r="AB37" s="66"/>
      <c r="AC37" s="66"/>
      <c r="AD37" s="66"/>
      <c r="AE37" s="66"/>
      <c r="AF37" s="66"/>
      <c r="AG37" s="66"/>
    </row>
    <row r="38">
      <c r="A38" s="9" t="s">
        <v>78</v>
      </c>
      <c r="B38" s="20" t="s">
        <v>31</v>
      </c>
      <c r="C38" s="12" t="s">
        <v>48</v>
      </c>
      <c r="D38" s="21" t="s">
        <v>33</v>
      </c>
      <c r="E38" s="34" t="s">
        <v>34</v>
      </c>
      <c r="F38" s="39" t="str">
        <f>HYPERLINK("https://www.virustotal.com/en/url/2cd546560a96873ae9ec586c683155026038a2052e2e5925af5b6efeab8eae56/analysis/","Clean")</f>
        <v>Clean</v>
      </c>
      <c r="G38" s="8">
        <v>42979.0</v>
      </c>
      <c r="H38" s="21" t="s">
        <v>33</v>
      </c>
      <c r="I38" s="23" t="s">
        <v>34</v>
      </c>
      <c r="J38" s="25" t="s">
        <v>34</v>
      </c>
      <c r="K38" s="21" t="s">
        <v>79</v>
      </c>
      <c r="L38" s="23" t="s">
        <v>34</v>
      </c>
      <c r="M38" s="23" t="s">
        <v>34</v>
      </c>
      <c r="N38" s="25" t="s">
        <v>34</v>
      </c>
      <c r="O38" s="26" t="str">
        <f>HYPERLINK("https://github.com/nokonoko/uguu","Uguu")</f>
        <v>Uguu</v>
      </c>
      <c r="P38" s="28" t="str">
        <f>HYPERLINK("https://jeroendeneef.com/","Jeroen")</f>
        <v>Jeroen</v>
      </c>
      <c r="Q38" s="26" t="str">
        <f>HYPERLINK("https://twitter.com/4a65726f656e","@4a65726f656e")</f>
        <v>@4a65726f656e</v>
      </c>
      <c r="R38" s="28" t="str">
        <f>HYPERLINK("mailto:jeroen@jeroendeneef.com","jeroen@jeroendeneef.com")</f>
        <v>jeroen@jeroendeneef.com</v>
      </c>
      <c r="S38" s="21"/>
      <c r="T38" s="29"/>
      <c r="U38" s="29"/>
      <c r="V38" s="29"/>
      <c r="W38" s="29"/>
      <c r="X38" s="29"/>
      <c r="Y38" s="29"/>
      <c r="Z38" s="29"/>
    </row>
    <row r="39">
      <c r="A39" s="9" t="str">
        <f>HYPERLINK("https://dropfile.to/","Dropfile.to")</f>
        <v>Dropfile.to</v>
      </c>
      <c r="B39" s="20" t="s">
        <v>31</v>
      </c>
      <c r="C39" s="12" t="s">
        <v>64</v>
      </c>
      <c r="D39" s="21" t="s">
        <v>33</v>
      </c>
      <c r="E39" s="34" t="s">
        <v>34</v>
      </c>
      <c r="F39" s="39" t="str">
        <f>HYPERLINK("https://www.virustotal.com/en/url/eb5c31f75157a7d91cd73acf2db2062ef81c4870d7f8cb4733c00a4b5897eb69/analysis/","1 Blacklist")</f>
        <v>1 Blacklist</v>
      </c>
      <c r="G39" s="8">
        <v>42904.0</v>
      </c>
      <c r="H39" s="21" t="s">
        <v>34</v>
      </c>
      <c r="I39" s="23" t="s">
        <v>33</v>
      </c>
      <c r="J39" s="25" t="s">
        <v>34</v>
      </c>
      <c r="K39" s="21" t="s">
        <v>80</v>
      </c>
      <c r="L39" s="23" t="s">
        <v>34</v>
      </c>
      <c r="M39" s="23" t="s">
        <v>34</v>
      </c>
      <c r="N39" s="25" t="s">
        <v>34</v>
      </c>
      <c r="O39" s="26" t="s">
        <v>81</v>
      </c>
      <c r="Q39" s="47"/>
      <c r="R39" s="47"/>
      <c r="S39" s="21"/>
      <c r="T39" s="29"/>
      <c r="U39" s="29"/>
      <c r="V39" s="29"/>
      <c r="W39" s="29"/>
      <c r="X39" s="29"/>
      <c r="Y39" s="29"/>
      <c r="Z39" s="29"/>
    </row>
    <row r="40">
      <c r="A40" s="9" t="str">
        <f>HYPERLINK("https://lewd.se/","lewd.se")</f>
        <v>lewd.se</v>
      </c>
      <c r="B40" s="20" t="s">
        <v>31</v>
      </c>
      <c r="C40" s="12" t="s">
        <v>82</v>
      </c>
      <c r="D40" s="21" t="s">
        <v>33</v>
      </c>
      <c r="E40" s="34" t="s">
        <v>34</v>
      </c>
      <c r="F40" s="39" t="str">
        <f>HYPERLINK("https://www.virustotal.com/en/url/546b444b4713683795db322d39621371974a72e5875829b354bd5d4a2e1043cc/analysis/","2 Blacklists")</f>
        <v>2 Blacklists</v>
      </c>
      <c r="G40" s="8">
        <v>42952.0</v>
      </c>
      <c r="H40" s="21" t="s">
        <v>33</v>
      </c>
      <c r="I40" s="23" t="s">
        <v>33</v>
      </c>
      <c r="J40" s="25" t="s">
        <v>33</v>
      </c>
      <c r="K40" s="21" t="s">
        <v>83</v>
      </c>
      <c r="L40" s="34" t="s">
        <v>34</v>
      </c>
      <c r="M40" s="23" t="s">
        <v>34</v>
      </c>
      <c r="N40" s="25" t="s">
        <v>34</v>
      </c>
      <c r="O40" s="26" t="str">
        <f>HYPERLINK("https://github.com/nokonoko/uguu","Uguu")</f>
        <v>Uguu</v>
      </c>
      <c r="P40" s="12" t="s">
        <v>84</v>
      </c>
      <c r="Q40" s="26" t="str">
        <f>HYPERLINK("https://twitter.com/kattusb","@kattusb")</f>
        <v>@kattusb</v>
      </c>
      <c r="R40" s="26" t="str">
        <f>HYPERLINK("mailto:admin@lewd.se","admin@lewd.se")</f>
        <v>admin@lewd.se</v>
      </c>
      <c r="S40" s="21"/>
      <c r="T40" s="29"/>
      <c r="U40" s="29"/>
      <c r="V40" s="29"/>
      <c r="W40" s="29"/>
      <c r="X40" s="29"/>
      <c r="Y40" s="29"/>
      <c r="Z40" s="29"/>
    </row>
    <row r="41">
      <c r="A41" s="9" t="str">
        <f>HYPERLINK("https://rokket.space","rokket.space")</f>
        <v>rokket.space</v>
      </c>
      <c r="B41" s="20" t="s">
        <v>31</v>
      </c>
      <c r="C41" s="12" t="s">
        <v>85</v>
      </c>
      <c r="D41" s="21" t="s">
        <v>33</v>
      </c>
      <c r="E41" s="34" t="s">
        <v>34</v>
      </c>
      <c r="F41" s="22" t="str">
        <f>HYPERLINK("https://www.virustotal.com/en/url/b0a3dce4a287d8b25678ac12d0010961fdb176abb7c9b76d985a04894254af80/analysis/","Clean")</f>
        <v>Clean</v>
      </c>
      <c r="G41" s="8">
        <v>42904.0</v>
      </c>
      <c r="H41" s="21" t="s">
        <v>33</v>
      </c>
      <c r="I41" s="23" t="s">
        <v>34</v>
      </c>
      <c r="J41" s="25" t="s">
        <v>34</v>
      </c>
      <c r="K41" s="21" t="s">
        <v>86</v>
      </c>
      <c r="L41" s="34" t="s">
        <v>34</v>
      </c>
      <c r="M41" s="29" t="s">
        <v>36</v>
      </c>
      <c r="N41" s="25" t="s">
        <v>34</v>
      </c>
      <c r="O41" s="26" t="str">
        <f>HYPERLINK("https://github.com/pomf/pomf","Pomf")</f>
        <v>Pomf</v>
      </c>
      <c r="P41" s="7"/>
      <c r="Q41" s="26" t="str">
        <f>HYPERLINK("https://twitter.com/RokketSpace","@RokketSpace")</f>
        <v>@RokketSpace</v>
      </c>
      <c r="R41" s="67" t="str">
        <f>HYPERLINK("mailto:missioncontrol@rokket.space","missioncontrol@rokket.space")</f>
        <v>missioncontrol@rokket.space</v>
      </c>
      <c r="S41" s="25"/>
      <c r="T41" s="29"/>
      <c r="U41" s="29"/>
      <c r="V41" s="29"/>
      <c r="W41" s="29"/>
      <c r="X41" s="29"/>
      <c r="Y41" s="29"/>
      <c r="Z41" s="29"/>
    </row>
    <row r="42">
      <c r="A42" s="9" t="str">
        <f>HYPERLINK("https://share.riseup.net/","share.riseup.net")</f>
        <v>share.riseup.net</v>
      </c>
      <c r="B42" s="20" t="s">
        <v>31</v>
      </c>
      <c r="C42" s="12" t="s">
        <v>39</v>
      </c>
      <c r="D42" s="21" t="s">
        <v>33</v>
      </c>
      <c r="E42" s="21" t="s">
        <v>33</v>
      </c>
      <c r="F42" s="22" t="str">
        <f>HYPERLINK("https://www.virustotal.com/en/url/c57fe4dd87af6d9949dad118040480ad527cb406518ea963788485b175dff2d7/analysis/","Clean")</f>
        <v>Clean</v>
      </c>
      <c r="G42" s="8">
        <v>42904.0</v>
      </c>
      <c r="H42" s="68" t="s">
        <v>87</v>
      </c>
      <c r="I42" s="40" t="s">
        <v>33</v>
      </c>
      <c r="J42" s="25" t="s">
        <v>34</v>
      </c>
      <c r="K42" s="21" t="s">
        <v>88</v>
      </c>
      <c r="L42" s="34" t="s">
        <v>34</v>
      </c>
      <c r="M42" s="29" t="s">
        <v>36</v>
      </c>
      <c r="N42" s="25" t="s">
        <v>89</v>
      </c>
      <c r="O42" s="26" t="str">
        <f>HYPERLINK("https://github.com/Upload/Up1","Up1")</f>
        <v>Up1</v>
      </c>
      <c r="S42" s="21" t="s">
        <v>33</v>
      </c>
      <c r="T42" s="29" t="s">
        <v>36</v>
      </c>
      <c r="U42" s="29"/>
      <c r="V42" s="29"/>
      <c r="W42" s="29"/>
      <c r="X42" s="29"/>
      <c r="Y42" s="29"/>
      <c r="Z42" s="29"/>
    </row>
    <row r="43">
      <c r="A43" s="9" t="str">
        <f>HYPERLINK("https://uguu.se/","uguu.se")</f>
        <v>uguu.se</v>
      </c>
      <c r="B43" s="20" t="s">
        <v>31</v>
      </c>
      <c r="C43" s="12" t="s">
        <v>32</v>
      </c>
      <c r="D43" s="21" t="s">
        <v>33</v>
      </c>
      <c r="E43" s="34" t="s">
        <v>34</v>
      </c>
      <c r="F43" s="39" t="str">
        <f>HYPERLINK("https://www.virustotal.com/en/url/0625152569b775bf6f25e4d7807d8d83454d3bf0d01714a770613e9baf20413e/analysis/","2 Blacklists")</f>
        <v>2 Blacklists</v>
      </c>
      <c r="G43" s="8">
        <v>42904.0</v>
      </c>
      <c r="H43" s="25" t="s">
        <v>34</v>
      </c>
      <c r="I43" s="23" t="s">
        <v>34</v>
      </c>
      <c r="J43" s="25" t="s">
        <v>34</v>
      </c>
      <c r="K43" s="21" t="s">
        <v>80</v>
      </c>
      <c r="L43" s="34" t="s">
        <v>34</v>
      </c>
      <c r="M43" s="23" t="s">
        <v>34</v>
      </c>
      <c r="N43" s="25" t="s">
        <v>34</v>
      </c>
      <c r="O43" s="26" t="str">
        <f t="shared" ref="O43:O44" si="4">HYPERLINK("https://github.com/nokonoko/uguu","Uguu")</f>
        <v>Uguu</v>
      </c>
      <c r="P43" s="28" t="str">
        <f>HYPERLINK("http://pomf.se/","nekunekus")</f>
        <v>nekunekus</v>
      </c>
      <c r="Q43" s="26" t="str">
        <f>HYPERLINK("https://twitter.com/nekunekus","@nekunekus")</f>
        <v>@nekunekus</v>
      </c>
      <c r="R43" s="26" t="str">
        <f>HYPERLINK("mailto:neku@pomf.se","neku@pomf.se")</f>
        <v>neku@pomf.se</v>
      </c>
      <c r="S43" s="25" t="s">
        <v>34</v>
      </c>
      <c r="T43" s="29" t="s">
        <v>36</v>
      </c>
      <c r="U43" s="29"/>
      <c r="V43" s="29"/>
      <c r="W43" s="29"/>
      <c r="X43" s="29"/>
      <c r="Y43" s="29"/>
      <c r="Z43" s="29"/>
    </row>
    <row r="44">
      <c r="A44" s="9" t="s">
        <v>90</v>
      </c>
      <c r="B44" s="20" t="s">
        <v>31</v>
      </c>
      <c r="C44" s="12" t="s">
        <v>39</v>
      </c>
      <c r="D44" s="21" t="s">
        <v>33</v>
      </c>
      <c r="E44" s="34" t="s">
        <v>34</v>
      </c>
      <c r="F44" s="39" t="str">
        <f>HYPERLINK("https://www.virustotal.com/en/url/aea839c666f04508dcd66d35c92be5573134cc88e4712b28429130edcc73d694/analysis","Clean")</f>
        <v>Clean</v>
      </c>
      <c r="G44" s="8">
        <v>42904.0</v>
      </c>
      <c r="H44" s="25" t="s">
        <v>34</v>
      </c>
      <c r="I44" s="23" t="s">
        <v>34</v>
      </c>
      <c r="J44" s="25" t="s">
        <v>34</v>
      </c>
      <c r="K44" s="21" t="s">
        <v>91</v>
      </c>
      <c r="L44" s="34" t="s">
        <v>35</v>
      </c>
      <c r="M44" s="29" t="s">
        <v>34</v>
      </c>
      <c r="N44" s="25" t="s">
        <v>34</v>
      </c>
      <c r="O44" s="26" t="str">
        <f t="shared" si="4"/>
        <v>Uguu</v>
      </c>
      <c r="P44" s="26" t="str">
        <f>HYPERLINK("https://www.karwasz.net.pl/","KarwaszTwarz")</f>
        <v>KarwaszTwarz</v>
      </c>
      <c r="Q44" s="47"/>
      <c r="R44" s="26" t="str">
        <f>HYPERLINK("mailto:karwasz@upek.cf","karwasz@upek.cf")</f>
        <v>karwasz@upek.cf</v>
      </c>
      <c r="S44" s="25"/>
      <c r="T44" s="29"/>
      <c r="U44" s="29"/>
      <c r="V44" s="29"/>
      <c r="W44" s="29"/>
      <c r="X44" s="29"/>
      <c r="Y44" s="29"/>
      <c r="Z44" s="29"/>
    </row>
    <row r="45">
      <c r="A45" s="11"/>
      <c r="B45" s="37"/>
      <c r="C45" s="37"/>
      <c r="D45" s="37"/>
      <c r="E45" s="37"/>
      <c r="F45" s="37"/>
      <c r="G45" s="8"/>
      <c r="K45" s="37"/>
      <c r="O45" s="37"/>
      <c r="P45" s="37"/>
      <c r="Q45" s="37"/>
      <c r="R45" s="37"/>
    </row>
    <row r="46">
      <c r="A46" s="69" t="s">
        <v>92</v>
      </c>
      <c r="B46" s="70" t="str">
        <f>HYPERLINK("http://pomfstatus.sapph.io/","Status")</f>
        <v>Status</v>
      </c>
      <c r="C46" s="71" t="s">
        <v>1</v>
      </c>
      <c r="D46" s="71" t="s">
        <v>2</v>
      </c>
      <c r="E46" s="71" t="s">
        <v>93</v>
      </c>
      <c r="F46" s="71" t="s">
        <v>4</v>
      </c>
      <c r="G46" s="71" t="s">
        <v>5</v>
      </c>
      <c r="H46" s="71" t="s">
        <v>6</v>
      </c>
      <c r="I46" s="71"/>
      <c r="J46" s="71" t="s">
        <v>8</v>
      </c>
      <c r="K46" s="71" t="s">
        <v>9</v>
      </c>
      <c r="L46" s="71" t="s">
        <v>10</v>
      </c>
      <c r="M46" s="71" t="s">
        <v>11</v>
      </c>
      <c r="N46" s="71" t="s">
        <v>12</v>
      </c>
      <c r="O46" s="71" t="s">
        <v>13</v>
      </c>
      <c r="P46" s="71" t="s">
        <v>14</v>
      </c>
      <c r="Q46" s="71" t="s">
        <v>15</v>
      </c>
      <c r="R46" s="71" t="s">
        <v>16</v>
      </c>
      <c r="S46" s="71" t="s">
        <v>17</v>
      </c>
      <c r="T46" s="71" t="s">
        <v>18</v>
      </c>
      <c r="U46" s="71" t="s">
        <v>19</v>
      </c>
      <c r="V46" s="71" t="s">
        <v>20</v>
      </c>
      <c r="W46" s="71" t="s">
        <v>21</v>
      </c>
      <c r="X46" s="71" t="s">
        <v>22</v>
      </c>
      <c r="Y46" s="71" t="s">
        <v>23</v>
      </c>
      <c r="Z46" s="71" t="s">
        <v>24</v>
      </c>
      <c r="AA46" s="72"/>
      <c r="AB46" s="72"/>
      <c r="AC46" s="72"/>
      <c r="AD46" s="72"/>
      <c r="AE46" s="72"/>
      <c r="AF46" s="72"/>
      <c r="AG46" s="72"/>
    </row>
    <row r="47">
      <c r="A47" s="9" t="str">
        <f>HYPERLINK("http://cubeupload.com/","cubeupload.com")</f>
        <v>cubeupload.com</v>
      </c>
      <c r="B47" s="20" t="s">
        <v>31</v>
      </c>
      <c r="C47" s="12" t="s">
        <v>94</v>
      </c>
      <c r="D47" s="25" t="s">
        <v>33</v>
      </c>
      <c r="E47" s="25" t="s">
        <v>34</v>
      </c>
      <c r="F47" s="39" t="str">
        <f>HYPERLINK("https://www.virustotal.com/en/url/054f5d0f10aca5587666287cd8b0f899f1642367f95d804ba1585ca957bad518/analysis/","1 Blacklist")</f>
        <v>1 Blacklist</v>
      </c>
      <c r="G47" s="8">
        <v>42904.0</v>
      </c>
      <c r="H47" s="25" t="s">
        <v>34</v>
      </c>
      <c r="I47" s="29"/>
      <c r="J47" s="25" t="s">
        <v>34</v>
      </c>
      <c r="K47" s="23" t="s">
        <v>34</v>
      </c>
      <c r="L47" s="34" t="s">
        <v>34</v>
      </c>
      <c r="M47" s="29" t="s">
        <v>36</v>
      </c>
      <c r="N47" s="25" t="s">
        <v>34</v>
      </c>
      <c r="O47" s="47" t="s">
        <v>95</v>
      </c>
      <c r="Q47" s="7"/>
      <c r="S47" s="25"/>
      <c r="T47" s="29"/>
      <c r="U47" s="29"/>
      <c r="V47" s="29"/>
      <c r="W47" s="29"/>
      <c r="X47" s="29"/>
      <c r="Y47" s="29"/>
      <c r="Z47" s="29"/>
    </row>
    <row r="48">
      <c r="A48" s="9" t="str">
        <f>HYPERLINK("https://gfycat.com/","gfycat.com")</f>
        <v>gfycat.com</v>
      </c>
      <c r="B48" s="20" t="s">
        <v>31</v>
      </c>
      <c r="C48" s="12" t="s">
        <v>96</v>
      </c>
      <c r="D48" s="21" t="s">
        <v>33</v>
      </c>
      <c r="E48" s="21" t="s">
        <v>33</v>
      </c>
      <c r="F48" s="22" t="str">
        <f>HYPERLINK("https://www.virustotal.com/en/url/47999178938270ecd4bf8a4add37b0f830127754abca2f82605262580b3d6cc0/analysis/","Clean")</f>
        <v>Clean</v>
      </c>
      <c r="G48" s="8">
        <v>42738.0</v>
      </c>
      <c r="H48" s="25" t="s">
        <v>34</v>
      </c>
      <c r="I48" s="29"/>
      <c r="J48" s="25" t="s">
        <v>34</v>
      </c>
      <c r="K48" s="23" t="s">
        <v>34</v>
      </c>
      <c r="L48" s="24" t="s">
        <v>35</v>
      </c>
      <c r="M48" s="29" t="s">
        <v>36</v>
      </c>
      <c r="N48" s="25" t="s">
        <v>34</v>
      </c>
      <c r="O48" s="47" t="s">
        <v>97</v>
      </c>
      <c r="P48" s="7"/>
      <c r="Q48" s="7"/>
      <c r="R48" s="7"/>
      <c r="S48" s="25"/>
      <c r="T48" s="29"/>
      <c r="U48" s="29"/>
      <c r="V48" s="29"/>
      <c r="W48" s="29"/>
      <c r="X48" s="29"/>
      <c r="Y48" s="29"/>
      <c r="Z48" s="29"/>
    </row>
    <row r="49">
      <c r="A49" s="9" t="str">
        <f>HYPERLINK("https://lambda.sx/","lambda.sx")</f>
        <v>lambda.sx</v>
      </c>
      <c r="B49" s="20" t="s">
        <v>31</v>
      </c>
      <c r="C49" s="12" t="s">
        <v>39</v>
      </c>
      <c r="D49" s="21" t="s">
        <v>33</v>
      </c>
      <c r="E49" s="21" t="s">
        <v>33</v>
      </c>
      <c r="F49" s="22" t="str">
        <f>HYPERLINK("https://www.virustotal.com/en/url/dba0c93c2f0203ea80cd38457a68a3f2c933720e0fd13f4408458382d1c3165f/analysis/","Clean")</f>
        <v>Clean</v>
      </c>
      <c r="G49" s="8">
        <v>42738.0</v>
      </c>
      <c r="H49" s="25" t="s">
        <v>33</v>
      </c>
      <c r="I49" s="29"/>
      <c r="J49" s="35" t="str">
        <f>HYPERLINK("https://lambda.sx/transparency/","Yes")</f>
        <v>Yes</v>
      </c>
      <c r="K49" s="23" t="s">
        <v>34</v>
      </c>
      <c r="L49" s="24" t="s">
        <v>35</v>
      </c>
      <c r="M49" s="60" t="s">
        <v>65</v>
      </c>
      <c r="N49" s="35" t="str">
        <f>HYPERLINK("https://lambda.sx/nojs/","Yes")</f>
        <v>Yes</v>
      </c>
      <c r="O49" s="26" t="str">
        <f>HYPERLINK("https://github.com/mstojcevich/lambda-ng-go/","Lambda")</f>
        <v>Lambda</v>
      </c>
      <c r="P49" s="12" t="s">
        <v>98</v>
      </c>
      <c r="Q49" s="26" t="str">
        <f>HYPERLINK("https://twitter.com/lambda_sx","@lambda_sx")</f>
        <v>@lambda_sx</v>
      </c>
      <c r="R49" s="26" t="s">
        <v>99</v>
      </c>
      <c r="S49" s="25" t="s">
        <v>34</v>
      </c>
      <c r="T49" s="29" t="s">
        <v>36</v>
      </c>
      <c r="U49" s="29"/>
      <c r="V49" s="29"/>
      <c r="W49" s="29"/>
      <c r="X49" s="29"/>
      <c r="Y49" s="29"/>
      <c r="Z49" s="29"/>
    </row>
    <row r="50">
      <c r="A50" s="9" t="str">
        <f>HYPERLINK("https://lut.im","lut.im")</f>
        <v>lut.im</v>
      </c>
      <c r="B50" s="20" t="s">
        <v>31</v>
      </c>
      <c r="C50" s="12" t="s">
        <v>44</v>
      </c>
      <c r="D50" s="21" t="s">
        <v>33</v>
      </c>
      <c r="E50" s="21" t="s">
        <v>33</v>
      </c>
      <c r="F50" s="22" t="str">
        <f>HYPERLINK("https://www.virustotal.com/en/url/1888c7a2cd30910c9e7d1c770002ee0fff48d73c63a6358017ebd4c470b7cf68/analysis/","Clean")</f>
        <v>Clean</v>
      </c>
      <c r="G50" s="8">
        <v>42904.0</v>
      </c>
      <c r="H50" s="25" t="s">
        <v>34</v>
      </c>
      <c r="I50" s="29"/>
      <c r="J50" s="25" t="s">
        <v>34</v>
      </c>
      <c r="K50" s="23" t="s">
        <v>34</v>
      </c>
      <c r="L50" s="34" t="s">
        <v>34</v>
      </c>
      <c r="M50" s="60" t="s">
        <v>100</v>
      </c>
      <c r="N50" s="45" t="s">
        <v>33</v>
      </c>
      <c r="O50" s="26" t="str">
        <f>HYPERLINK("https://framagit.org/luc/lutim/","lutim")</f>
        <v>lutim</v>
      </c>
      <c r="P50" s="26" t="str">
        <f>HYPERLINK("http://www.fiat-tux.fr/","Luc Didry")</f>
        <v>Luc Didry</v>
      </c>
      <c r="Q50" s="26" t="str">
        <f>HYPERLINK("https://twitter.com/framasky","@framasky")</f>
        <v>@framasky</v>
      </c>
      <c r="R50" s="47"/>
      <c r="S50" s="25"/>
      <c r="T50" s="29"/>
      <c r="U50" s="29"/>
      <c r="V50" s="29"/>
      <c r="W50" s="29"/>
      <c r="X50" s="29"/>
      <c r="Y50" s="29"/>
      <c r="Z50" s="29"/>
    </row>
    <row r="51">
      <c r="A51" s="9" t="s">
        <v>101</v>
      </c>
      <c r="B51" s="20" t="s">
        <v>31</v>
      </c>
      <c r="C51" s="12" t="s">
        <v>102</v>
      </c>
      <c r="D51" s="25" t="s">
        <v>34</v>
      </c>
      <c r="E51" s="25" t="s">
        <v>34</v>
      </c>
      <c r="F51" s="22" t="str">
        <f>HYPERLINK("https://www.virustotal.com/en/url/342cf1310c26da63f694aa634371ad46b4eca8e3a872cf6fa57580da670b3f18/analysis/","Clean")</f>
        <v>Clean</v>
      </c>
      <c r="G51" s="8">
        <v>42738.0</v>
      </c>
      <c r="H51" s="25" t="s">
        <v>34</v>
      </c>
      <c r="I51" s="29"/>
      <c r="J51" s="25" t="s">
        <v>34</v>
      </c>
      <c r="K51" s="23" t="s">
        <v>34</v>
      </c>
      <c r="L51" s="73" t="s">
        <v>103</v>
      </c>
      <c r="M51" s="60" t="s">
        <v>100</v>
      </c>
      <c r="N51" s="25" t="s">
        <v>34</v>
      </c>
      <c r="O51" s="47" t="s">
        <v>104</v>
      </c>
      <c r="P51" s="7"/>
      <c r="Q51" s="7"/>
      <c r="R51" s="7"/>
      <c r="S51" s="25"/>
      <c r="T51" s="29"/>
      <c r="U51" s="29"/>
      <c r="V51" s="29"/>
      <c r="W51" s="29"/>
      <c r="X51" s="29"/>
      <c r="Y51" s="29"/>
      <c r="Z51" s="29"/>
    </row>
    <row r="52">
      <c r="A52" s="9" t="str">
        <f>HYPERLINK("https://postimage.io/","postimage.io")</f>
        <v>postimage.io</v>
      </c>
      <c r="B52" s="20" t="s">
        <v>31</v>
      </c>
      <c r="C52" s="12" t="s">
        <v>46</v>
      </c>
      <c r="D52" s="21" t="s">
        <v>33</v>
      </c>
      <c r="E52" s="25" t="s">
        <v>34</v>
      </c>
      <c r="F52" s="22" t="str">
        <f>HYPERLINK("https://www.virustotal.com/en/url/85793b352c900ca102223f950fde2d8601d49d57f3ca0cfebbfe4cb52afbfa76/analysis/","Clean")</f>
        <v>Clean</v>
      </c>
      <c r="G52" s="8">
        <v>42738.0</v>
      </c>
      <c r="H52" s="25" t="s">
        <v>34</v>
      </c>
      <c r="I52" s="29"/>
      <c r="J52" s="25" t="s">
        <v>34</v>
      </c>
      <c r="K52" s="23" t="s">
        <v>34</v>
      </c>
      <c r="L52" s="34" t="s">
        <v>34</v>
      </c>
      <c r="M52" s="74" t="s">
        <v>105</v>
      </c>
      <c r="N52" s="25" t="s">
        <v>34</v>
      </c>
      <c r="O52" s="47" t="s">
        <v>106</v>
      </c>
      <c r="P52" s="7"/>
      <c r="Q52" s="37"/>
      <c r="R52" s="7"/>
      <c r="S52" s="25"/>
      <c r="T52" s="29"/>
      <c r="U52" s="29"/>
      <c r="V52" s="29"/>
      <c r="W52" s="29"/>
      <c r="X52" s="29"/>
      <c r="Y52" s="29"/>
      <c r="Z52" s="29"/>
    </row>
    <row r="53">
      <c r="A53" s="9" t="str">
        <f>HYPERLINK("http://tinyimg.io/","tinyimg.io")</f>
        <v>tinyimg.io</v>
      </c>
      <c r="B53" s="20" t="s">
        <v>31</v>
      </c>
      <c r="C53" s="12" t="s">
        <v>44</v>
      </c>
      <c r="D53" s="25" t="s">
        <v>34</v>
      </c>
      <c r="E53" s="21" t="s">
        <v>33</v>
      </c>
      <c r="F53" s="22" t="str">
        <f>HYPERLINK("https://www.virustotal.com/en/url/32465be9e581b6b71cf9a29943716daa01015e681f53ca3d7876e00d58575710/analysis/","Clean")</f>
        <v>Clean</v>
      </c>
      <c r="G53" s="8">
        <v>42738.0</v>
      </c>
      <c r="H53" s="25" t="s">
        <v>34</v>
      </c>
      <c r="I53" s="29"/>
      <c r="J53" s="25" t="s">
        <v>34</v>
      </c>
      <c r="K53" s="23" t="s">
        <v>34</v>
      </c>
      <c r="L53" s="24" t="s">
        <v>35</v>
      </c>
      <c r="M53" s="29" t="s">
        <v>36</v>
      </c>
      <c r="N53" s="25" t="s">
        <v>34</v>
      </c>
      <c r="O53" s="47" t="s">
        <v>107</v>
      </c>
      <c r="P53" s="7"/>
      <c r="Q53" s="7"/>
      <c r="R53" s="7"/>
      <c r="S53" s="21"/>
      <c r="T53" s="29"/>
      <c r="U53" s="29"/>
      <c r="V53" s="29"/>
      <c r="W53" s="29"/>
      <c r="X53" s="29"/>
      <c r="Y53" s="29"/>
      <c r="Z53" s="29"/>
    </row>
    <row r="54">
      <c r="A54" s="9" t="str">
        <f>HYPERLINK("https://unsee.cc/","unsee.cc")</f>
        <v>unsee.cc</v>
      </c>
      <c r="B54" s="20" t="s">
        <v>31</v>
      </c>
      <c r="C54" s="12" t="s">
        <v>44</v>
      </c>
      <c r="D54" s="21" t="s">
        <v>33</v>
      </c>
      <c r="E54" s="34" t="s">
        <v>34</v>
      </c>
      <c r="F54" s="39" t="str">
        <f>HYPERLINK("https://www.virustotal.com/en/url/49d9ebc5542eb77947267536825c5e93a3e72891c1e2618166520a10cd5af813/analysis/","Clean")</f>
        <v>Clean</v>
      </c>
      <c r="G54" s="8">
        <v>42904.0</v>
      </c>
      <c r="H54" s="25" t="s">
        <v>34</v>
      </c>
      <c r="I54" s="29"/>
      <c r="J54" s="25" t="s">
        <v>34</v>
      </c>
      <c r="K54" s="23" t="s">
        <v>34</v>
      </c>
      <c r="L54" s="34" t="s">
        <v>34</v>
      </c>
      <c r="M54" s="23" t="s">
        <v>34</v>
      </c>
      <c r="N54" s="45" t="s">
        <v>33</v>
      </c>
      <c r="O54" s="26" t="str">
        <f>HYPERLINK("https://github.com/PixelatedHeart/unsee.cc","unsee.cc")</f>
        <v>unsee.cc</v>
      </c>
      <c r="P54" s="47" t="s">
        <v>108</v>
      </c>
      <c r="Q54" s="26" t="str">
        <f>HYPERLINK("https://twitter.com/Unsee_cc","@Unsee_cc")</f>
        <v>@Unsee_cc</v>
      </c>
      <c r="R54" s="26" t="str">
        <f>HYPERLINK("mailto:info@unsee.cc","info@unsee.cc")</f>
        <v>info@unsee.cc</v>
      </c>
      <c r="S54" s="25"/>
      <c r="T54" s="29"/>
      <c r="U54" s="29"/>
      <c r="V54" s="29"/>
      <c r="W54" s="29"/>
      <c r="X54" s="29"/>
      <c r="Y54" s="29"/>
      <c r="Z54" s="29"/>
    </row>
    <row r="55">
      <c r="A55" s="9" t="str">
        <f>HYPERLINK("https://vgy.me/","vgy.me")</f>
        <v>vgy.me</v>
      </c>
      <c r="B55" s="20" t="s">
        <v>31</v>
      </c>
      <c r="C55" s="12" t="s">
        <v>102</v>
      </c>
      <c r="D55" s="21" t="s">
        <v>33</v>
      </c>
      <c r="E55" s="21" t="s">
        <v>33</v>
      </c>
      <c r="F55" s="22" t="str">
        <f>HYPERLINK("https://www.virustotal.com/en/url/1749a6e2d718055acf4fa7f0652602fcf1e8465f4e0c9345f6a094b726590742/analysis/","Clean")</f>
        <v>Clean</v>
      </c>
      <c r="G55" s="8">
        <v>42738.0</v>
      </c>
      <c r="H55" s="25" t="s">
        <v>34</v>
      </c>
      <c r="I55" s="29"/>
      <c r="J55" s="25" t="s">
        <v>34</v>
      </c>
      <c r="K55" s="23" t="s">
        <v>34</v>
      </c>
      <c r="L55" s="24" t="s">
        <v>35</v>
      </c>
      <c r="M55" s="29" t="s">
        <v>36</v>
      </c>
      <c r="N55" s="25" t="s">
        <v>34</v>
      </c>
      <c r="O55" s="36" t="s">
        <v>109</v>
      </c>
      <c r="P55" s="7"/>
      <c r="Q55" s="7"/>
      <c r="R55" s="7"/>
      <c r="S55" s="21" t="s">
        <v>33</v>
      </c>
      <c r="T55" s="29" t="s">
        <v>36</v>
      </c>
      <c r="U55" s="29"/>
      <c r="V55" s="29"/>
      <c r="W55" s="29"/>
      <c r="X55" s="29"/>
      <c r="Y55" s="29"/>
      <c r="Z55" s="29"/>
    </row>
    <row r="56">
      <c r="B56" s="37"/>
      <c r="C56" s="37"/>
    </row>
    <row r="57">
      <c r="A57" s="69" t="s">
        <v>110</v>
      </c>
      <c r="B57" s="70" t="str">
        <f>HYPERLINK("http://pomfstatus.sapph.io/","Status")</f>
        <v>Status</v>
      </c>
      <c r="C57" s="71" t="s">
        <v>1</v>
      </c>
      <c r="D57" s="71" t="s">
        <v>2</v>
      </c>
      <c r="E57" s="71"/>
      <c r="F57" s="71" t="s">
        <v>4</v>
      </c>
      <c r="G57" s="71" t="s">
        <v>5</v>
      </c>
      <c r="H57" s="71" t="s">
        <v>6</v>
      </c>
      <c r="I57" s="71"/>
      <c r="J57" s="71" t="s">
        <v>8</v>
      </c>
      <c r="K57" s="71" t="s">
        <v>9</v>
      </c>
      <c r="L57" s="71" t="s">
        <v>10</v>
      </c>
      <c r="M57" s="71" t="s">
        <v>11</v>
      </c>
      <c r="N57" s="71" t="s">
        <v>12</v>
      </c>
      <c r="O57" s="71" t="s">
        <v>13</v>
      </c>
      <c r="P57" s="71" t="s">
        <v>14</v>
      </c>
      <c r="Q57" s="71" t="s">
        <v>15</v>
      </c>
      <c r="R57" s="71" t="s">
        <v>16</v>
      </c>
      <c r="S57" s="71" t="s">
        <v>17</v>
      </c>
      <c r="T57" s="71" t="s">
        <v>18</v>
      </c>
      <c r="U57" s="71" t="s">
        <v>19</v>
      </c>
      <c r="V57" s="71" t="s">
        <v>20</v>
      </c>
      <c r="W57" s="71" t="s">
        <v>21</v>
      </c>
      <c r="X57" s="71" t="s">
        <v>22</v>
      </c>
      <c r="Y57" s="71" t="s">
        <v>23</v>
      </c>
      <c r="Z57" s="71" t="s">
        <v>24</v>
      </c>
      <c r="AA57" s="72"/>
      <c r="AB57" s="72"/>
      <c r="AC57" s="72"/>
      <c r="AD57" s="72"/>
      <c r="AE57" s="72"/>
      <c r="AF57" s="72"/>
      <c r="AG57" s="72"/>
    </row>
    <row r="58">
      <c r="A58" s="9" t="str">
        <f>HYPERLINK("https://snag.gy","snag.gy")</f>
        <v>snag.gy</v>
      </c>
      <c r="B58" s="20" t="s">
        <v>31</v>
      </c>
      <c r="C58" s="12" t="s">
        <v>36</v>
      </c>
      <c r="D58" s="21" t="s">
        <v>33</v>
      </c>
      <c r="E58" s="29"/>
      <c r="F58" s="22" t="str">
        <f>HYPERLINK("https://www.virustotal.com/en/url/2ecdd13efe2c46e6382a252811c7d30c5a934508d2f241a1767a9eb020ab1c22/analysis","Clean")</f>
        <v>Clean</v>
      </c>
      <c r="G58" s="8">
        <v>42738.0</v>
      </c>
      <c r="H58" s="46" t="s">
        <v>34</v>
      </c>
      <c r="I58" s="29"/>
      <c r="J58" s="25" t="s">
        <v>34</v>
      </c>
      <c r="K58" s="46" t="s">
        <v>111</v>
      </c>
      <c r="L58" s="34" t="s">
        <v>34</v>
      </c>
      <c r="M58" s="60" t="s">
        <v>33</v>
      </c>
      <c r="N58" s="25" t="s">
        <v>34</v>
      </c>
      <c r="O58" s="36" t="s">
        <v>112</v>
      </c>
      <c r="P58" s="7"/>
      <c r="Q58" s="7"/>
      <c r="R58" s="7"/>
      <c r="S58" s="25" t="s">
        <v>34</v>
      </c>
      <c r="T58" s="29" t="s">
        <v>36</v>
      </c>
      <c r="U58" s="29"/>
      <c r="V58" s="29"/>
      <c r="W58" s="29"/>
      <c r="X58" s="29"/>
      <c r="Y58" s="29"/>
      <c r="Z58" s="29"/>
    </row>
    <row r="59">
      <c r="B59" s="37"/>
      <c r="C59" s="37"/>
      <c r="D59" s="37"/>
      <c r="E59" s="37"/>
      <c r="F59" s="37"/>
      <c r="G59" s="8"/>
      <c r="K59" s="37"/>
      <c r="O59" s="37"/>
      <c r="P59" s="37"/>
      <c r="Q59" s="37"/>
      <c r="R59" s="37"/>
    </row>
    <row r="60">
      <c r="B60" s="37"/>
      <c r="C60" s="37"/>
      <c r="D60" s="37"/>
      <c r="E60" s="37"/>
      <c r="F60" s="37"/>
      <c r="G60" s="8"/>
      <c r="K60" s="37"/>
      <c r="O60" s="37"/>
      <c r="P60" s="37"/>
      <c r="Q60" s="37"/>
      <c r="R60" s="37"/>
    </row>
    <row r="61">
      <c r="B61" s="37"/>
      <c r="C61" s="37"/>
      <c r="D61" s="37"/>
      <c r="E61" s="37"/>
      <c r="F61" s="37"/>
      <c r="G61" s="8"/>
      <c r="K61" s="37"/>
      <c r="O61" s="37"/>
      <c r="P61" s="37"/>
      <c r="Q61" s="37"/>
      <c r="R61" s="37"/>
    </row>
    <row r="62">
      <c r="A62" s="75" t="s">
        <v>113</v>
      </c>
      <c r="B62" s="76"/>
      <c r="C62" s="76"/>
      <c r="D62" s="75"/>
      <c r="E62" s="75"/>
      <c r="F62" s="75"/>
      <c r="G62" s="75"/>
      <c r="H62" s="75"/>
      <c r="I62" s="75"/>
      <c r="J62" s="75"/>
      <c r="K62" s="75"/>
      <c r="L62" s="75"/>
      <c r="M62" s="75"/>
      <c r="N62" s="75"/>
      <c r="O62" s="75"/>
      <c r="P62" s="75"/>
      <c r="Q62" s="75"/>
      <c r="R62" s="75"/>
      <c r="S62" s="75"/>
      <c r="T62" s="75"/>
      <c r="U62" s="75"/>
      <c r="V62" s="75"/>
      <c r="W62" s="75"/>
      <c r="X62" s="75"/>
      <c r="Y62" s="75"/>
      <c r="Z62" s="75"/>
      <c r="AA62" s="77"/>
      <c r="AB62" s="77"/>
      <c r="AC62" s="77"/>
      <c r="AD62" s="77"/>
      <c r="AE62" s="77"/>
      <c r="AF62" s="77"/>
      <c r="AG62" s="77"/>
    </row>
    <row r="63">
      <c r="A63" s="44" t="s">
        <v>114</v>
      </c>
      <c r="B63" s="74" t="s">
        <v>115</v>
      </c>
      <c r="C63" s="12" t="s">
        <v>32</v>
      </c>
      <c r="D63" s="25" t="s">
        <v>34</v>
      </c>
      <c r="E63" s="25" t="s">
        <v>34</v>
      </c>
      <c r="F63" s="39" t="str">
        <f>HYPERLINK("https://www.virustotal.com/en/url/2ee1673b5471165793bc1bae29dad96fe3d0a9de2e2dba945e89d6346e83280e/analysis/","8 Blacklists &amp; 1 Susp")</f>
        <v>8 Blacklists &amp; 1 Susp</v>
      </c>
      <c r="G63" s="8">
        <v>42574.0</v>
      </c>
      <c r="H63" s="25" t="s">
        <v>34</v>
      </c>
      <c r="I63" s="40" t="s">
        <v>33</v>
      </c>
      <c r="J63" s="25" t="s">
        <v>34</v>
      </c>
      <c r="K63" s="25" t="s">
        <v>34</v>
      </c>
      <c r="L63" s="24" t="s">
        <v>35</v>
      </c>
      <c r="M63" s="54" t="s">
        <v>116</v>
      </c>
      <c r="N63" s="25" t="s">
        <v>34</v>
      </c>
      <c r="O63" s="26" t="str">
        <f>HYPERLINK("https://github.com/bohrmeista/1338","bohrmeista/Pomf")</f>
        <v>bohrmeista/Pomf</v>
      </c>
      <c r="P63" s="7" t="s">
        <v>117</v>
      </c>
      <c r="Q63" s="27" t="str">
        <f>HYPERLINK("https://twitter.com/bohrmeista","@bohrmeista")</f>
        <v>@bohrmeista</v>
      </c>
      <c r="R63" s="27" t="str">
        <f>HYPERLINK("mailto:bohr@cock.li","bohr@cock.li")</f>
        <v>bohr@cock.li</v>
      </c>
      <c r="S63" s="46" t="s">
        <v>55</v>
      </c>
      <c r="T63" s="29" t="s">
        <v>36</v>
      </c>
      <c r="U63" s="32">
        <v>5.8</v>
      </c>
      <c r="V63" s="32">
        <v>3.0</v>
      </c>
      <c r="W63" s="31">
        <v>23.4</v>
      </c>
      <c r="X63" s="30">
        <v>47.2</v>
      </c>
      <c r="Y63" s="32">
        <v>2.4</v>
      </c>
      <c r="Z63" s="50">
        <f>AVERAGE(U63:Y63)</f>
        <v>16.36</v>
      </c>
    </row>
    <row r="64">
      <c r="A64" s="9" t="str">
        <f>HYPERLINK("http://aishiteru.moe/","aishiteru.moe")</f>
        <v>aishiteru.moe</v>
      </c>
      <c r="B64" s="74" t="s">
        <v>45</v>
      </c>
      <c r="C64" s="12" t="s">
        <v>66</v>
      </c>
      <c r="D64" s="25" t="s">
        <v>34</v>
      </c>
      <c r="E64" s="25" t="s">
        <v>34</v>
      </c>
      <c r="F64" s="22" t="str">
        <f>HYPERLINK("https://www.virustotal.com/en/url/317fb3456aaa8e5c5275fc88592d39616488862ed610a4c8b328173d702dc9b8/analysis/","Clean")</f>
        <v>Clean</v>
      </c>
      <c r="G64" s="8">
        <v>42366.0</v>
      </c>
      <c r="H64" s="21" t="s">
        <v>33</v>
      </c>
      <c r="I64" s="40" t="s">
        <v>33</v>
      </c>
      <c r="J64" s="25" t="s">
        <v>34</v>
      </c>
      <c r="K64" s="25" t="s">
        <v>34</v>
      </c>
      <c r="L64" s="23" t="s">
        <v>34</v>
      </c>
      <c r="M64" s="23" t="s">
        <v>34</v>
      </c>
      <c r="N64" s="25" t="s">
        <v>34</v>
      </c>
      <c r="O64" s="26" t="str">
        <f>HYPERLINK("https://github.com/nokonoko/Pomf","Pomf")</f>
        <v>Pomf</v>
      </c>
      <c r="P64" s="37"/>
      <c r="Q64" s="37"/>
      <c r="R64" s="37"/>
      <c r="S64" s="25" t="s">
        <v>34</v>
      </c>
      <c r="T64" s="29" t="s">
        <v>36</v>
      </c>
      <c r="U64" s="29"/>
      <c r="V64" s="29"/>
      <c r="W64" s="29"/>
      <c r="X64" s="29"/>
      <c r="Y64" s="29"/>
      <c r="Z64" s="29"/>
    </row>
    <row r="65">
      <c r="A65" s="9" t="str">
        <f>HYPERLINK("https://pomf.amatsuka.com/","pomf.amatsuka.com")</f>
        <v>pomf.amatsuka.com</v>
      </c>
      <c r="B65" s="74" t="s">
        <v>118</v>
      </c>
      <c r="C65" s="12" t="s">
        <v>66</v>
      </c>
      <c r="D65" s="21" t="s">
        <v>33</v>
      </c>
      <c r="E65" s="25" t="s">
        <v>34</v>
      </c>
      <c r="F65" s="39" t="str">
        <f>HYPERLINK("https://www.virustotal.com/en/url/c3125f65c148558d1e2e86819937bb85cb4bd956739cc048cd202fb31a4f3cb6/analysis/","4 Blacklists")</f>
        <v>4 Blacklists</v>
      </c>
      <c r="G65" s="8">
        <v>42606.0</v>
      </c>
      <c r="H65" s="25" t="s">
        <v>34</v>
      </c>
      <c r="I65" s="40" t="s">
        <v>33</v>
      </c>
      <c r="J65" s="25" t="s">
        <v>34</v>
      </c>
      <c r="K65" s="25" t="s">
        <v>34</v>
      </c>
      <c r="L65" s="23" t="s">
        <v>34</v>
      </c>
      <c r="M65" s="29" t="s">
        <v>36</v>
      </c>
      <c r="N65" s="25" t="s">
        <v>34</v>
      </c>
      <c r="O65" s="26" t="str">
        <f>HYPERLINK("https://github.com/pomf/pomf","Pomf")</f>
        <v>Pomf</v>
      </c>
      <c r="P65" s="7"/>
      <c r="Q65" s="7"/>
      <c r="R65" s="7"/>
      <c r="S65" s="46"/>
      <c r="T65" s="29"/>
      <c r="U65" s="29"/>
      <c r="V65" s="29"/>
      <c r="W65" s="29"/>
      <c r="X65" s="29"/>
      <c r="Y65" s="29"/>
      <c r="Z65" s="29"/>
    </row>
    <row r="66">
      <c r="A66" s="78" t="str">
        <f>HYPERLINK("https://aww.moe/","Aww.moe")</f>
        <v>Aww.moe</v>
      </c>
      <c r="B66" s="20" t="s">
        <v>119</v>
      </c>
      <c r="C66" s="12" t="s">
        <v>48</v>
      </c>
      <c r="D66" s="21" t="s">
        <v>33</v>
      </c>
      <c r="E66" s="21" t="s">
        <v>33</v>
      </c>
      <c r="F66" s="39" t="str">
        <f>HYPERLINK("https://www.virustotal.com/en/url/801db082a85e23998fa870f81444fdfc4cd94902c92aa4fe55cc1eb2cbe877f8/analysis/","Clean")</f>
        <v>Clean</v>
      </c>
      <c r="G66" s="8">
        <v>42798.0</v>
      </c>
      <c r="H66" s="21" t="s">
        <v>33</v>
      </c>
      <c r="I66" s="23" t="s">
        <v>34</v>
      </c>
      <c r="J66" s="25" t="s">
        <v>34</v>
      </c>
      <c r="K66" s="23" t="s">
        <v>34</v>
      </c>
      <c r="L66" s="34" t="s">
        <v>34</v>
      </c>
      <c r="M66" s="23" t="s">
        <v>34</v>
      </c>
      <c r="N66" s="25" t="s">
        <v>34</v>
      </c>
      <c r="O66" s="28" t="str">
        <f>HYPERLINK("https://github.com/maxpowa/npomf","maxpowa/npomf")</f>
        <v>maxpowa/npomf</v>
      </c>
      <c r="P66" s="28" t="str">
        <f>HYPERLINK("http://rx14.co.uk/","RX14 (Chris Hobbs)")</f>
        <v>RX14 (Chris Hobbs)</v>
      </c>
      <c r="Q66" s="28" t="str">
        <f>HYPERLINK("https://twitter.com/RX14_chibi","@RX14_chibi")</f>
        <v>@RX14_chibi</v>
      </c>
      <c r="R66" s="26" t="str">
        <f>HYPERLINK("mailto:chris@rx14.co.uk","chris@rx14.co.uk")</f>
        <v>chris@rx14.co.uk</v>
      </c>
      <c r="S66" s="46" t="s">
        <v>75</v>
      </c>
      <c r="T66" s="29" t="s">
        <v>36</v>
      </c>
      <c r="U66" s="29"/>
      <c r="V66" s="29"/>
      <c r="W66" s="29"/>
      <c r="X66" s="29"/>
      <c r="Y66" s="29"/>
      <c r="Z66" s="29"/>
    </row>
    <row r="67">
      <c r="A67" s="9" t="str">
        <f>HYPERLINK("https://catgirlsare.sexy","catgirlsare.sexy")</f>
        <v>catgirlsare.sexy</v>
      </c>
      <c r="B67" s="50" t="s">
        <v>119</v>
      </c>
      <c r="C67" s="12" t="s">
        <v>32</v>
      </c>
      <c r="D67" s="21" t="s">
        <v>33</v>
      </c>
      <c r="E67" s="25" t="s">
        <v>34</v>
      </c>
      <c r="F67" s="22" t="str">
        <f>HYPERLINK("https://www.virustotal.com/en/url/146b6baf781bb09462e1fc73efad2fe18062ab7b94803b7a0dcef468681ff221/analysis/","Clean")</f>
        <v>Clean</v>
      </c>
      <c r="G67" s="8">
        <v>42504.0</v>
      </c>
      <c r="H67" s="25" t="s">
        <v>34</v>
      </c>
      <c r="I67" s="40" t="s">
        <v>33</v>
      </c>
      <c r="J67" s="25" t="s">
        <v>34</v>
      </c>
      <c r="K67" s="25" t="s">
        <v>34</v>
      </c>
      <c r="L67" s="23" t="s">
        <v>34</v>
      </c>
      <c r="M67" s="29" t="s">
        <v>36</v>
      </c>
      <c r="N67" s="25" t="s">
        <v>34</v>
      </c>
      <c r="O67" s="26" t="str">
        <f>HYPERLINK("https://github.com/nokonoko/Pomf","Pomf")</f>
        <v>Pomf</v>
      </c>
      <c r="P67" s="27" t="str">
        <f>HYPERLINK("http://avail.pw/","avail")</f>
        <v>avail</v>
      </c>
      <c r="Q67" s="27" t="str">
        <f>HYPERLINK("https://twitter.com/4vail","@4vail")</f>
        <v>@4vail</v>
      </c>
      <c r="R67" s="27" t="str">
        <f>HYPERLINK("mailto:avail@pomf.se","avail@pomf.se")</f>
        <v>avail@pomf.se</v>
      </c>
      <c r="S67" s="25" t="s">
        <v>34</v>
      </c>
      <c r="T67" s="29" t="s">
        <v>36</v>
      </c>
      <c r="U67" s="29"/>
      <c r="V67" s="29"/>
      <c r="W67" s="29"/>
      <c r="X67" s="29"/>
      <c r="Y67" s="29"/>
      <c r="Z67" s="29"/>
    </row>
    <row r="68">
      <c r="A68" s="9" t="str">
        <f>HYPERLINK("https://cocaine.ninja/","cocaine.ninja")</f>
        <v>cocaine.ninja</v>
      </c>
      <c r="B68" s="20" t="s">
        <v>120</v>
      </c>
      <c r="C68" s="12" t="s">
        <v>51</v>
      </c>
      <c r="D68" s="21" t="s">
        <v>33</v>
      </c>
      <c r="E68" s="34" t="s">
        <v>34</v>
      </c>
      <c r="F68" s="39" t="str">
        <f>HYPERLINK("https://www.virustotal.com/en/url/79640c447a3058cbf36209e67562e1244cc866bfb6a0b589dfd3e5c3bad38371/analysis/","7 Blacklists")</f>
        <v>7 Blacklists</v>
      </c>
      <c r="G68" s="8">
        <v>42904.0</v>
      </c>
      <c r="H68" s="21" t="s">
        <v>33</v>
      </c>
      <c r="I68" s="40" t="s">
        <v>33</v>
      </c>
      <c r="J68" s="21" t="s">
        <v>33</v>
      </c>
      <c r="K68" s="21" t="s">
        <v>52</v>
      </c>
      <c r="L68" s="34" t="s">
        <v>34</v>
      </c>
      <c r="M68" s="23" t="s">
        <v>34</v>
      </c>
      <c r="N68" s="45" t="s">
        <v>33</v>
      </c>
      <c r="O68" s="26" t="str">
        <f>HYPERLINK("https://github.com/nokonoko/pomf","Pomf")</f>
        <v>Pomf</v>
      </c>
      <c r="P68" s="12" t="s">
        <v>121</v>
      </c>
      <c r="Q68" s="47"/>
      <c r="R68" s="26" t="str">
        <f>HYPERLINK("mailto:les@cocaine.ninja","les@cocaine.ninja")</f>
        <v>les@cocaine.ninja</v>
      </c>
      <c r="S68" s="25" t="s">
        <v>34</v>
      </c>
      <c r="T68" s="29" t="s">
        <v>36</v>
      </c>
      <c r="U68" s="29"/>
      <c r="V68" s="29"/>
      <c r="W68" s="29"/>
      <c r="X68" s="29"/>
      <c r="Y68" s="29"/>
      <c r="Z68" s="29"/>
    </row>
    <row r="69">
      <c r="A69" s="79" t="str">
        <f>(HYPERLINK("http://dev.arx.pw/pomf/", "dev.arx.pw"))</f>
        <v>dev.arx.pw</v>
      </c>
      <c r="B69" s="20" t="s">
        <v>45</v>
      </c>
      <c r="C69" s="12" t="s">
        <v>122</v>
      </c>
      <c r="D69" s="25" t="s">
        <v>34</v>
      </c>
      <c r="E69" s="34" t="s">
        <v>34</v>
      </c>
      <c r="F69" s="22" t="str">
        <f>HYPERLINK("https://www.virustotal.com/en/url/7ce207a8a04af6430acdf8ec108763d25b2a0aef4546444b08e52207db1d3920/analysis/1480628376/","Clean")</f>
        <v>Clean</v>
      </c>
      <c r="G69" s="8">
        <v>42738.0</v>
      </c>
      <c r="H69" s="25" t="s">
        <v>34</v>
      </c>
      <c r="I69" s="23" t="s">
        <v>34</v>
      </c>
      <c r="J69" s="25" t="s">
        <v>34</v>
      </c>
      <c r="K69" s="23" t="s">
        <v>34</v>
      </c>
      <c r="L69" s="34" t="s">
        <v>34</v>
      </c>
      <c r="M69" s="29" t="s">
        <v>34</v>
      </c>
      <c r="N69" s="25" t="s">
        <v>34</v>
      </c>
      <c r="O69" s="26" t="str">
        <f>HYPERLINK("https://github.com/bohrmeista/1338","bohrmeista/Pomf")</f>
        <v>bohrmeista/Pomf</v>
      </c>
      <c r="P69" s="5"/>
      <c r="R69" s="27" t="str">
        <f>(HYPERLINK("mailto:me@arx.pw", "me@arx.pw"))</f>
        <v>me@arx.pw</v>
      </c>
      <c r="S69" s="5"/>
      <c r="T69" s="56"/>
      <c r="U69" s="29"/>
      <c r="V69" s="29"/>
      <c r="W69" s="29"/>
      <c r="X69" s="29"/>
      <c r="Y69" s="29"/>
      <c r="Z69" s="29"/>
    </row>
    <row r="70">
      <c r="A70" s="9" t="str">
        <f>HYPERLINK("https://filebunker.pw/","filebunker.pw")</f>
        <v>filebunker.pw</v>
      </c>
      <c r="B70" s="20" t="s">
        <v>45</v>
      </c>
      <c r="C70" s="12" t="s">
        <v>32</v>
      </c>
      <c r="D70" s="21" t="s">
        <v>33</v>
      </c>
      <c r="E70" s="34" t="s">
        <v>34</v>
      </c>
      <c r="F70" s="39" t="str">
        <f>HYPERLINK("https://www.virustotal.com/en/url/9a5a0cb76b305937000dd4522b9bb2c02280690f0a84d1c2b42663a7d40bdb34/analysis/","2 Blacklists")</f>
        <v>2 Blacklists</v>
      </c>
      <c r="G70" s="8">
        <v>42705.0</v>
      </c>
      <c r="H70" s="25" t="s">
        <v>34</v>
      </c>
      <c r="I70" s="23" t="s">
        <v>34</v>
      </c>
      <c r="J70" s="25" t="s">
        <v>34</v>
      </c>
      <c r="K70" s="23" t="s">
        <v>34</v>
      </c>
      <c r="L70" s="24" t="s">
        <v>35</v>
      </c>
      <c r="M70" s="23" t="s">
        <v>34</v>
      </c>
      <c r="N70" s="25" t="s">
        <v>34</v>
      </c>
      <c r="O70" s="26" t="str">
        <f>HYPERLINK("https://gitgud.io/Sapphire/mixtape.moe/","Mixtape/Pomf")</f>
        <v>Mixtape/Pomf</v>
      </c>
      <c r="P70" s="7"/>
      <c r="Q70" s="37"/>
      <c r="R70" s="26" t="str">
        <f>HYPERLINK("mailto:admin@buket.pw","admin@buket.pw")</f>
        <v>admin@buket.pw</v>
      </c>
      <c r="S70" s="46"/>
      <c r="T70" s="29"/>
      <c r="U70" s="29"/>
      <c r="V70" s="29"/>
      <c r="W70" s="29"/>
      <c r="X70" s="29"/>
      <c r="Y70" s="29"/>
      <c r="Z70" s="29"/>
    </row>
    <row r="71">
      <c r="A71" s="44" t="str">
        <f>HYPERLINK("https://fuwa.se", "fuwa.se")</f>
        <v>fuwa.se</v>
      </c>
      <c r="B71" s="80" t="s">
        <v>120</v>
      </c>
      <c r="C71" s="12" t="s">
        <v>123</v>
      </c>
      <c r="D71" s="21" t="s">
        <v>33</v>
      </c>
      <c r="E71" s="34" t="s">
        <v>34</v>
      </c>
      <c r="F71" s="39" t="str">
        <f>HYPERLINK("https://www.virustotal.com/en/url/6363f1c7b0bec262268dcafd4ccb5042c53535ddd1750a0c26804769a928df18/analysis/","1 Blacklist")</f>
        <v>1 Blacklist</v>
      </c>
      <c r="G71" s="8">
        <v>42904.0</v>
      </c>
      <c r="H71" s="21" t="s">
        <v>33</v>
      </c>
      <c r="I71" s="23" t="s">
        <v>34</v>
      </c>
      <c r="J71" s="21" t="s">
        <v>33</v>
      </c>
      <c r="K71" s="23" t="s">
        <v>34</v>
      </c>
      <c r="L71" s="24" t="s">
        <v>34</v>
      </c>
      <c r="M71" s="54" t="s">
        <v>34</v>
      </c>
      <c r="N71" s="25" t="s">
        <v>34</v>
      </c>
      <c r="O71" s="26" t="str">
        <f>HYPERLINK("https://github.com/Luminarys/eientei","Eientei")</f>
        <v>Eientei</v>
      </c>
      <c r="P71" s="36" t="s">
        <v>121</v>
      </c>
      <c r="Q71" s="7"/>
      <c r="R71" s="26" t="str">
        <f t="shared" ref="R71:R72" si="5">HYPERLINK("mailto:les@fuwafuwa.moe","les@fuwafuwa.moe")</f>
        <v>les@fuwafuwa.moe</v>
      </c>
      <c r="S71" s="25" t="s">
        <v>34</v>
      </c>
      <c r="T71" s="29" t="s">
        <v>36</v>
      </c>
      <c r="U71" s="32">
        <v>7.2</v>
      </c>
      <c r="V71" s="32">
        <v>4.4</v>
      </c>
      <c r="W71" s="50">
        <v>10.0</v>
      </c>
      <c r="X71" s="50">
        <v>10.0</v>
      </c>
      <c r="Y71" s="32">
        <v>1.2</v>
      </c>
      <c r="Z71" s="32">
        <f>AVERAGE(U71:Y71)</f>
        <v>6.56</v>
      </c>
    </row>
    <row r="72">
      <c r="A72" s="81" t="str">
        <f>HYPERLINK("https://p.fuwafuwa.moe/","p.fuwafuwa.moe")</f>
        <v>p.fuwafuwa.moe</v>
      </c>
      <c r="B72" s="20" t="s">
        <v>120</v>
      </c>
      <c r="C72" s="12" t="s">
        <v>48</v>
      </c>
      <c r="D72" s="21" t="s">
        <v>33</v>
      </c>
      <c r="E72" s="21" t="s">
        <v>33</v>
      </c>
      <c r="F72" s="22" t="str">
        <f>HYPERLINK("https://www.virustotal.com/en/url/e4d80c7c9b437bb7741b75f9232151ccc72ae6f6ae7ddc19385b8eb204b1d42e/analysis/","Clean")</f>
        <v>Clean</v>
      </c>
      <c r="G72" s="8">
        <v>42904.0</v>
      </c>
      <c r="H72" s="21" t="s">
        <v>33</v>
      </c>
      <c r="I72" s="23" t="s">
        <v>34</v>
      </c>
      <c r="J72" s="21" t="s">
        <v>33</v>
      </c>
      <c r="K72" s="82" t="str">
        <f>HYPERLINK("https://u.fuwafuwa.moe/","24 hours")</f>
        <v>24 hours</v>
      </c>
      <c r="L72" s="34" t="s">
        <v>34</v>
      </c>
      <c r="M72" s="23" t="s">
        <v>34</v>
      </c>
      <c r="N72" s="21" t="s">
        <v>33</v>
      </c>
      <c r="O72" s="26" t="str">
        <f>HYPERLINK("https://github.com/nokonoko/pomf","Pomf")</f>
        <v>Pomf</v>
      </c>
      <c r="P72" s="12" t="s">
        <v>121</v>
      </c>
      <c r="Q72" s="26" t="str">
        <f>HYPERLINK("https://www.google.com/url?q=https://twitter.com/lesderid&amp;sa=D&amp;ust=1491175266073000&amp;usg=AFQjCNGFecwnnThMSuU78Q2-qqw2ngKvAQ","@lesderid")</f>
        <v>@lesderid</v>
      </c>
      <c r="R72" s="26" t="str">
        <f t="shared" si="5"/>
        <v>les@fuwafuwa.moe</v>
      </c>
      <c r="S72" s="25" t="s">
        <v>34</v>
      </c>
      <c r="T72" s="29" t="s">
        <v>36</v>
      </c>
      <c r="U72" s="29"/>
      <c r="V72" s="29"/>
      <c r="W72" s="29"/>
      <c r="X72" s="29"/>
      <c r="Y72" s="29"/>
      <c r="Z72" s="29"/>
    </row>
    <row r="73">
      <c r="A73" s="44" t="s">
        <v>124</v>
      </c>
      <c r="B73" s="20" t="s">
        <v>125</v>
      </c>
      <c r="C73" s="12" t="s">
        <v>126</v>
      </c>
      <c r="D73" s="25" t="s">
        <v>34</v>
      </c>
      <c r="E73" s="34" t="s">
        <v>34</v>
      </c>
      <c r="F73" s="39" t="str">
        <f>HYPERLINK("https://www.virustotal.com/en/url/ff1066d7ab73dee0b4452122f695c91026922bc7c70d62442a7deb8c71574ef9/analysis/","6 Blacklists &amp; 1 Susp")</f>
        <v>6 Blacklists &amp; 1 Susp</v>
      </c>
      <c r="G73" s="8">
        <v>42822.0</v>
      </c>
      <c r="H73" s="25" t="s">
        <v>34</v>
      </c>
      <c r="I73" s="54" t="s">
        <v>56</v>
      </c>
      <c r="J73" s="25" t="s">
        <v>34</v>
      </c>
      <c r="K73" s="23" t="s">
        <v>34</v>
      </c>
      <c r="L73" s="24" t="s">
        <v>35</v>
      </c>
      <c r="M73" s="23" t="s">
        <v>34</v>
      </c>
      <c r="N73" s="25" t="s">
        <v>34</v>
      </c>
      <c r="O73" s="26" t="str">
        <f>HYPERLINK("https://github.com/pomf/pomf","Pomf")</f>
        <v>Pomf</v>
      </c>
      <c r="P73" s="7" t="s">
        <v>127</v>
      </c>
      <c r="Q73" s="27" t="str">
        <f>HYPERLINK("https://twitter.com/_tyge","@_tyge")</f>
        <v>@_tyge</v>
      </c>
      <c r="R73" s="28" t="str">
        <f>HYPERLINK("mailto:the@howl.moe","the@howl.moe")</f>
        <v>the@howl.moe</v>
      </c>
      <c r="S73" s="25" t="s">
        <v>34</v>
      </c>
      <c r="T73" s="29" t="s">
        <v>36</v>
      </c>
      <c r="U73" s="51">
        <v>59.4</v>
      </c>
      <c r="V73" s="30">
        <v>30.0</v>
      </c>
      <c r="W73" s="30">
        <v>40.4</v>
      </c>
      <c r="X73" s="83">
        <v>90.6</v>
      </c>
      <c r="Y73" s="51">
        <v>58.0</v>
      </c>
      <c r="Z73" s="51">
        <f t="shared" ref="Z73:Z74" si="6">AVERAGE(U73:Y73)</f>
        <v>55.68</v>
      </c>
    </row>
    <row r="74">
      <c r="A74" s="9" t="str">
        <f>HYPERLINK("http://pomf.hummingbird.moe","pomf.hummingbird.moe")</f>
        <v>pomf.hummingbird.moe</v>
      </c>
      <c r="B74" s="74" t="s">
        <v>45</v>
      </c>
      <c r="C74" s="12" t="s">
        <v>39</v>
      </c>
      <c r="D74" s="25" t="s">
        <v>34</v>
      </c>
      <c r="E74" s="25" t="s">
        <v>34</v>
      </c>
      <c r="F74" s="39" t="str">
        <f>HYPERLINK("https://www.virustotal.com/en/url/1ff9dd759e1b0cdbcf77f66edfb868f2e3df2d5f6472e3188cdd5c55734281eb/analysis/","4 Blacklists")</f>
        <v>4 Blacklists</v>
      </c>
      <c r="G74" s="8">
        <v>42410.0</v>
      </c>
      <c r="H74" s="25" t="s">
        <v>34</v>
      </c>
      <c r="I74" s="40" t="s">
        <v>33</v>
      </c>
      <c r="J74" s="25" t="s">
        <v>34</v>
      </c>
      <c r="K74" s="25" t="s">
        <v>34</v>
      </c>
      <c r="L74" s="24" t="s">
        <v>35</v>
      </c>
      <c r="M74" s="29" t="s">
        <v>36</v>
      </c>
      <c r="N74" s="25" t="s">
        <v>34</v>
      </c>
      <c r="O74" s="26" t="str">
        <f>HYPERLINK("https://github.com/nokonoko/Pomf","Pomf")</f>
        <v>Pomf</v>
      </c>
      <c r="P74" s="12" t="s">
        <v>128</v>
      </c>
      <c r="Q74" s="7"/>
      <c r="R74" s="7"/>
      <c r="S74" s="25" t="s">
        <v>34</v>
      </c>
      <c r="T74" s="29" t="s">
        <v>36</v>
      </c>
      <c r="U74" s="30">
        <v>33.0</v>
      </c>
      <c r="V74" s="32">
        <v>3.6</v>
      </c>
      <c r="W74" s="50">
        <v>10.2</v>
      </c>
      <c r="X74" s="50">
        <v>10.6</v>
      </c>
      <c r="Y74" s="32">
        <v>1.0</v>
      </c>
      <c r="Z74" s="50">
        <f t="shared" si="6"/>
        <v>11.68</v>
      </c>
    </row>
    <row r="75">
      <c r="A75" s="9" t="str">
        <f>HYPERLINK("http://imgbox.com/","imgbox.com")</f>
        <v>imgbox.com</v>
      </c>
      <c r="B75" s="20" t="s">
        <v>125</v>
      </c>
      <c r="C75" s="12" t="s">
        <v>44</v>
      </c>
      <c r="D75" s="25" t="s">
        <v>34</v>
      </c>
      <c r="E75" s="25" t="s">
        <v>34</v>
      </c>
      <c r="F75" s="22" t="str">
        <f>HYPERLINK("https://www.virustotal.com/en/url/6dd98dfcc194e0cc14c03ff2af41afbd6fa40d1b98643fa84fcecb4d2a5fdce3/analysis/","Clean")</f>
        <v>Clean</v>
      </c>
      <c r="G75" s="8">
        <v>42738.0</v>
      </c>
      <c r="H75" s="25" t="s">
        <v>34</v>
      </c>
      <c r="I75" s="29"/>
      <c r="J75" s="25" t="s">
        <v>34</v>
      </c>
      <c r="K75" s="23" t="s">
        <v>34</v>
      </c>
      <c r="L75" s="34" t="s">
        <v>34</v>
      </c>
      <c r="M75" s="29" t="s">
        <v>36</v>
      </c>
      <c r="N75" s="25" t="s">
        <v>34</v>
      </c>
      <c r="O75" s="47" t="s">
        <v>129</v>
      </c>
      <c r="P75" s="7"/>
      <c r="Q75" s="26" t="str">
        <f>HYPERLINK("https://twitter.com/imgboxhq","@imgboxhq")</f>
        <v>@imgboxhq</v>
      </c>
      <c r="R75" s="7"/>
      <c r="S75" s="25"/>
      <c r="T75" s="29"/>
      <c r="U75" s="29"/>
      <c r="V75" s="29"/>
      <c r="W75" s="29"/>
      <c r="X75" s="29"/>
      <c r="Y75" s="29"/>
      <c r="Z75" s="29"/>
    </row>
    <row r="76">
      <c r="A76" s="9" t="str">
        <f>HYPERLINK("https://konch.xyz/","konch.xyz")</f>
        <v>konch.xyz</v>
      </c>
      <c r="B76" s="20" t="s">
        <v>119</v>
      </c>
      <c r="C76" s="12" t="s">
        <v>130</v>
      </c>
      <c r="D76" s="21" t="s">
        <v>33</v>
      </c>
      <c r="E76" s="34" t="s">
        <v>34</v>
      </c>
      <c r="F76" s="53" t="str">
        <f>HYPERLINK("https://www.virustotal.com/en/url/cda403d6ff139036e6b0a4825b14a117800a8a4cd8eb64f63d49b542a6454926/analysis","3 Blacklists")</f>
        <v>3 Blacklists</v>
      </c>
      <c r="G76" s="8">
        <v>42827.0</v>
      </c>
      <c r="H76" s="25" t="s">
        <v>33</v>
      </c>
      <c r="I76" s="40" t="s">
        <v>34</v>
      </c>
      <c r="J76" s="25" t="s">
        <v>34</v>
      </c>
      <c r="K76" s="23" t="s">
        <v>34</v>
      </c>
      <c r="L76" s="34" t="s">
        <v>34</v>
      </c>
      <c r="M76" s="23" t="s">
        <v>34</v>
      </c>
      <c r="N76" s="45" t="s">
        <v>33</v>
      </c>
      <c r="O76" s="26" t="str">
        <f t="shared" ref="O76:O77" si="7">HYPERLINK("https://github.com/pomf/pomf","Pomf")</f>
        <v>Pomf</v>
      </c>
      <c r="P76" s="7"/>
      <c r="Q76" s="37"/>
      <c r="R76" s="26" t="str">
        <f>HYPERLINK("mailto:konchjaz@konch.xyz","konchjaz@konch.xyz")</f>
        <v>konchjaz@konch.xyz</v>
      </c>
      <c r="S76" s="46"/>
      <c r="T76" s="29"/>
      <c r="U76" s="29"/>
      <c r="V76" s="29"/>
      <c r="W76" s="29"/>
      <c r="X76" s="29"/>
      <c r="Y76" s="29"/>
      <c r="Z76" s="29"/>
    </row>
    <row r="77">
      <c r="A77" s="84" t="str">
        <f>HYPERLINK("https://kyaa.sg","Kyaa.sg")</f>
        <v>Kyaa.sg</v>
      </c>
      <c r="B77" s="50" t="s">
        <v>119</v>
      </c>
      <c r="C77" s="12" t="s">
        <v>32</v>
      </c>
      <c r="D77" s="21" t="s">
        <v>33</v>
      </c>
      <c r="E77" s="25" t="s">
        <v>34</v>
      </c>
      <c r="F77" s="39" t="str">
        <f>HYPERLINK("https://www.virustotal.com/en/url/33fede0d66555cda9bff68c595e2a62982e6d93798b9c257dbe7c21fc5b8eef7/analysis/","1 Blacklists")</f>
        <v>1 Blacklists</v>
      </c>
      <c r="G77" s="8">
        <v>42651.0</v>
      </c>
      <c r="H77" s="21" t="s">
        <v>33</v>
      </c>
      <c r="I77" s="23" t="s">
        <v>34</v>
      </c>
      <c r="J77" s="21" t="s">
        <v>33</v>
      </c>
      <c r="K77" s="25" t="s">
        <v>34</v>
      </c>
      <c r="L77" s="24" t="s">
        <v>35</v>
      </c>
      <c r="M77" s="23" t="s">
        <v>34</v>
      </c>
      <c r="N77" s="42" t="str">
        <f>HYPERLINK("https://kyaa.sg/nonjs.html","Yes")</f>
        <v>Yes</v>
      </c>
      <c r="O77" s="26" t="str">
        <f t="shared" si="7"/>
        <v>Pomf</v>
      </c>
      <c r="P77" s="7" t="s">
        <v>131</v>
      </c>
      <c r="Q77" s="37"/>
      <c r="R77" s="27" t="str">
        <f>HYPERLINK("mailto:kyaa@kyaa.sg","kyaa@kyaa.sg")</f>
        <v>kyaa@kyaa.sg</v>
      </c>
      <c r="S77" s="25" t="s">
        <v>34</v>
      </c>
      <c r="T77" s="29" t="s">
        <v>36</v>
      </c>
      <c r="U77" s="32">
        <v>6.8</v>
      </c>
      <c r="V77" s="50">
        <v>16.4</v>
      </c>
      <c r="W77" s="32">
        <v>3.0</v>
      </c>
      <c r="X77" s="32">
        <v>3.4</v>
      </c>
      <c r="Y77" s="32">
        <v>1.0</v>
      </c>
      <c r="Z77" s="32">
        <f t="shared" ref="Z77:Z78" si="8">AVERAGE(U77:Y77)</f>
        <v>6.12</v>
      </c>
    </row>
    <row r="78">
      <c r="A78" s="9" t="str">
        <f>HYPERLINK("https://jii.moe/","jii.moe")</f>
        <v>jii.moe</v>
      </c>
      <c r="B78" s="20" t="s">
        <v>45</v>
      </c>
      <c r="C78" s="12" t="s">
        <v>85</v>
      </c>
      <c r="D78" s="21" t="s">
        <v>33</v>
      </c>
      <c r="E78" s="34" t="s">
        <v>34</v>
      </c>
      <c r="F78" s="39" t="str">
        <f>HYPERLINK("https://www.virustotal.com/en/url/7837472853b0167029ceb04aa12abf2a514963929cffa01ed5156f7b5e81a955/analysis/","1 Blacklists")</f>
        <v>1 Blacklists</v>
      </c>
      <c r="G78" s="8">
        <v>42738.0</v>
      </c>
      <c r="H78" s="21" t="s">
        <v>33</v>
      </c>
      <c r="I78" s="40" t="s">
        <v>33</v>
      </c>
      <c r="J78" s="25" t="s">
        <v>34</v>
      </c>
      <c r="K78" s="23" t="s">
        <v>34</v>
      </c>
      <c r="L78" s="34" t="s">
        <v>34</v>
      </c>
      <c r="M78" s="29" t="s">
        <v>36</v>
      </c>
      <c r="N78" s="46" t="s">
        <v>132</v>
      </c>
      <c r="O78" s="26" t="str">
        <f>HYPERLINK("https://github.com/oohnoitz/jii","Jii")</f>
        <v>Jii</v>
      </c>
      <c r="P78" s="12" t="s">
        <v>133</v>
      </c>
      <c r="Q78" s="26" t="str">
        <f>HYPERLINK("https://twitter.com/jiimoe","@JiiMoe")</f>
        <v>@JiiMoe</v>
      </c>
      <c r="R78" s="37"/>
      <c r="S78" s="46" t="s">
        <v>134</v>
      </c>
      <c r="T78" s="29" t="s">
        <v>36</v>
      </c>
      <c r="U78" s="30">
        <v>44.2</v>
      </c>
      <c r="V78" s="50">
        <v>11.2</v>
      </c>
      <c r="W78" s="31">
        <v>25.2</v>
      </c>
      <c r="X78" s="50">
        <v>19.4</v>
      </c>
      <c r="Y78" s="51">
        <v>69.4</v>
      </c>
      <c r="Z78" s="30">
        <f t="shared" si="8"/>
        <v>33.88</v>
      </c>
    </row>
    <row r="79">
      <c r="A79" s="9" t="str">
        <f>HYPERLINK("http://magnolia.moe/","magnolia.moe")</f>
        <v>magnolia.moe</v>
      </c>
      <c r="B79" s="20" t="s">
        <v>125</v>
      </c>
      <c r="C79" s="12" t="s">
        <v>32</v>
      </c>
      <c r="D79" s="21" t="s">
        <v>34</v>
      </c>
      <c r="E79" s="34" t="s">
        <v>34</v>
      </c>
      <c r="F79" s="22" t="str">
        <f>HYPERLINK("https://www.virustotal.com/en/url/7438878d530c27d205b215e33f95ba55f7d4a6952bd4eed67dc75353f4f4789c/analysis/","4 Blacklists")</f>
        <v>4 Blacklists</v>
      </c>
      <c r="G79" s="8">
        <v>42738.0</v>
      </c>
      <c r="H79" s="21" t="s">
        <v>34</v>
      </c>
      <c r="I79" s="40" t="s">
        <v>33</v>
      </c>
      <c r="J79" s="25" t="s">
        <v>34</v>
      </c>
      <c r="K79" s="23" t="s">
        <v>34</v>
      </c>
      <c r="L79" s="24" t="s">
        <v>34</v>
      </c>
      <c r="M79" s="29" t="s">
        <v>36</v>
      </c>
      <c r="N79" s="25" t="s">
        <v>34</v>
      </c>
      <c r="O79" s="26" t="str">
        <f>HYPERLINK("https://github.com/Francesco149/hnng-moe","hnng.moe")</f>
        <v>hnng.moe</v>
      </c>
      <c r="P79" s="12" t="s">
        <v>135</v>
      </c>
      <c r="Q79" s="26" t="str">
        <f>HYPERLINK("https://twitter.com/SleeplessNEET","@SleeplessNEET")</f>
        <v>@SleeplessNEET</v>
      </c>
      <c r="R79" s="26" t="str">
        <f>HYPERLINK("mailto:admin@magnolia.moe","admin@magnolia.moe")</f>
        <v>admin@magnolia.moe</v>
      </c>
      <c r="S79" s="46"/>
      <c r="T79" s="29"/>
      <c r="U79" s="29"/>
      <c r="V79" s="29"/>
      <c r="W79" s="29"/>
      <c r="X79" s="29"/>
      <c r="Y79" s="29"/>
      <c r="Z79" s="29"/>
    </row>
    <row r="80">
      <c r="A80" s="44" t="s">
        <v>136</v>
      </c>
      <c r="B80" s="74" t="s">
        <v>137</v>
      </c>
      <c r="C80" s="12" t="s">
        <v>48</v>
      </c>
      <c r="D80" s="21" t="s">
        <v>33</v>
      </c>
      <c r="E80" s="25" t="s">
        <v>34</v>
      </c>
      <c r="F80" s="22" t="str">
        <f>HYPERLINK("https://www.virustotal.com/en/url/e3f25f42781b1658db2859f916055119d18555551a3e2c78795adeec72e905aa/analysis/","Clean")</f>
        <v>Clean</v>
      </c>
      <c r="G80" s="8">
        <v>42351.0</v>
      </c>
      <c r="H80" s="21" t="s">
        <v>33</v>
      </c>
      <c r="I80" s="40" t="s">
        <v>33</v>
      </c>
      <c r="J80" s="25" t="s">
        <v>34</v>
      </c>
      <c r="K80" s="25" t="s">
        <v>34</v>
      </c>
      <c r="L80" s="23" t="s">
        <v>34</v>
      </c>
      <c r="M80" s="29" t="s">
        <v>36</v>
      </c>
      <c r="N80" s="25" t="s">
        <v>34</v>
      </c>
      <c r="O80" s="26" t="str">
        <f>HYPERLINK("https://github.com/kimoi/madokami.com","Custom")</f>
        <v>Custom</v>
      </c>
      <c r="P80" s="7" t="s">
        <v>138</v>
      </c>
      <c r="Q80" s="37"/>
      <c r="R80" s="37"/>
      <c r="S80" s="25" t="s">
        <v>34</v>
      </c>
      <c r="T80" s="29" t="s">
        <v>36</v>
      </c>
      <c r="U80" s="32">
        <v>9.6</v>
      </c>
      <c r="V80" s="32">
        <v>4.6</v>
      </c>
      <c r="W80" s="30">
        <v>41.6</v>
      </c>
      <c r="X80" s="30">
        <v>32.4</v>
      </c>
      <c r="Y80" s="32">
        <v>3.0</v>
      </c>
      <c r="Z80" s="50">
        <f>AVERAGE(U80:Y80)</f>
        <v>18.24</v>
      </c>
    </row>
    <row r="81">
      <c r="A81" s="9" t="str">
        <f>HYPERLINK("http://matu.red","matu.red")</f>
        <v>matu.red</v>
      </c>
      <c r="B81" s="74" t="s">
        <v>125</v>
      </c>
      <c r="C81" s="12" t="s">
        <v>102</v>
      </c>
      <c r="D81" s="25" t="s">
        <v>34</v>
      </c>
      <c r="E81" s="25" t="s">
        <v>34</v>
      </c>
      <c r="F81" s="22" t="str">
        <f>HYPERLINK("https://www.virustotal.com/en/url/f21f0147f335c8890ca3ff0d54d70a256fab92ea412ded664ded7bed7d43d3df/analysis/","Clean")</f>
        <v>Clean</v>
      </c>
      <c r="G81" s="8">
        <v>42330.0</v>
      </c>
      <c r="H81" s="25" t="s">
        <v>34</v>
      </c>
      <c r="I81" s="40" t="s">
        <v>33</v>
      </c>
      <c r="J81" s="25" t="s">
        <v>34</v>
      </c>
      <c r="K81" s="25" t="s">
        <v>34</v>
      </c>
      <c r="L81" s="24" t="s">
        <v>35</v>
      </c>
      <c r="M81" s="29" t="s">
        <v>36</v>
      </c>
      <c r="N81" s="25" t="s">
        <v>34</v>
      </c>
      <c r="O81" s="26" t="str">
        <f t="shared" ref="O81:O82" si="9">HYPERLINK("https://github.com/nokonoko/Pomf","Pomf")</f>
        <v>Pomf</v>
      </c>
      <c r="P81" s="27" t="str">
        <f>HYPERLINK("http://sfmlab.com/","SFMLab Admin")</f>
        <v>SFMLab Admin</v>
      </c>
      <c r="Q81" s="37"/>
      <c r="R81" s="27" t="str">
        <f>HYPERLINK("mailto:admin@sfmlab.com","admin@sfmlab.com")</f>
        <v>admin@sfmlab.com</v>
      </c>
      <c r="S81" s="25" t="s">
        <v>34</v>
      </c>
      <c r="T81" s="29" t="s">
        <v>36</v>
      </c>
      <c r="U81" s="29"/>
      <c r="V81" s="29"/>
      <c r="W81" s="29"/>
      <c r="X81" s="29"/>
      <c r="Y81" s="29"/>
      <c r="Z81" s="29"/>
    </row>
    <row r="82">
      <c r="A82" s="44" t="s">
        <v>139</v>
      </c>
      <c r="B82" s="74" t="s">
        <v>125</v>
      </c>
      <c r="C82" s="12" t="s">
        <v>39</v>
      </c>
      <c r="D82" s="21" t="s">
        <v>33</v>
      </c>
      <c r="E82" s="25" t="s">
        <v>34</v>
      </c>
      <c r="F82" s="39" t="str">
        <f>HYPERLINK("https://www.virustotal.com/en/url/ec8ac0f7c4cb702cacc2366e7f758bdd1f3e2157bab2086b34a0f618d12da499/analysis/","5 Blacklists")</f>
        <v>5 Blacklists</v>
      </c>
      <c r="G82" s="8">
        <v>42483.0</v>
      </c>
      <c r="H82" s="25" t="s">
        <v>34</v>
      </c>
      <c r="I82" s="40" t="s">
        <v>33</v>
      </c>
      <c r="J82" s="25" t="s">
        <v>34</v>
      </c>
      <c r="K82" s="25" t="s">
        <v>34</v>
      </c>
      <c r="L82" s="24" t="s">
        <v>35</v>
      </c>
      <c r="M82" s="29" t="s">
        <v>36</v>
      </c>
      <c r="N82" s="25" t="s">
        <v>34</v>
      </c>
      <c r="O82" s="26" t="str">
        <f t="shared" si="9"/>
        <v>Pomf</v>
      </c>
      <c r="P82" s="7" t="s">
        <v>140</v>
      </c>
      <c r="Q82" s="37"/>
      <c r="R82" s="37"/>
      <c r="S82" s="25" t="s">
        <v>34</v>
      </c>
      <c r="T82" s="29" t="s">
        <v>36</v>
      </c>
      <c r="U82" s="29"/>
      <c r="V82" s="29"/>
      <c r="W82" s="29"/>
      <c r="X82" s="29"/>
      <c r="Y82" s="29"/>
      <c r="Z82" s="29"/>
    </row>
    <row r="83">
      <c r="A83" s="9" t="str">
        <f>HYPERLINK("https://multn.net/","multn.net")</f>
        <v>multn.net</v>
      </c>
      <c r="B83" s="20" t="s">
        <v>45</v>
      </c>
      <c r="C83" s="12" t="s">
        <v>32</v>
      </c>
      <c r="D83" s="21" t="s">
        <v>33</v>
      </c>
      <c r="E83" s="34" t="s">
        <v>33</v>
      </c>
      <c r="F83" s="39" t="str">
        <f>HYPERLINK("https://www.virustotal.com/en/url/094c5d34b67f8b6460aa1db275972d1c10e34d7606fae702a0b6b1de0abe9e95/analysis/","Clean")</f>
        <v>Clean</v>
      </c>
      <c r="G83" s="8">
        <v>42841.0</v>
      </c>
      <c r="H83" s="21" t="s">
        <v>33</v>
      </c>
      <c r="I83" s="23" t="s">
        <v>34</v>
      </c>
      <c r="J83" s="21" t="s">
        <v>34</v>
      </c>
      <c r="K83" s="23" t="s">
        <v>34</v>
      </c>
      <c r="L83" s="34" t="s">
        <v>35</v>
      </c>
      <c r="M83" s="29" t="s">
        <v>34</v>
      </c>
      <c r="N83" s="45" t="s">
        <v>34</v>
      </c>
      <c r="O83" s="26" t="str">
        <f>HYPERLINK("https://github.com/pomf/pomf","Pomf")</f>
        <v>Pomf</v>
      </c>
      <c r="P83" s="47" t="s">
        <v>141</v>
      </c>
      <c r="Q83" s="26" t="str">
        <f>HYPERLINK("https://twitter.com/fogles","@fogles")</f>
        <v>@fogles</v>
      </c>
      <c r="R83" s="26" t="str">
        <f>HYPERLINK("mailto:admin@multn.net","admin@multn.net")</f>
        <v>admin@multn.net</v>
      </c>
      <c r="S83" s="46"/>
      <c r="T83" s="29"/>
      <c r="U83" s="29"/>
      <c r="V83" s="29"/>
      <c r="W83" s="29"/>
      <c r="X83" s="29"/>
      <c r="Y83" s="29"/>
      <c r="Z83" s="29"/>
    </row>
    <row r="84">
      <c r="A84" s="9" t="str">
        <f>HYPERLINK("https://neeko.club/","neeko.club")</f>
        <v>neeko.club</v>
      </c>
      <c r="B84" s="20" t="s">
        <v>45</v>
      </c>
      <c r="C84" s="12" t="s">
        <v>32</v>
      </c>
      <c r="D84" s="21" t="s">
        <v>33</v>
      </c>
      <c r="E84" s="34" t="s">
        <v>34</v>
      </c>
      <c r="F84" s="39" t="str">
        <f>HYPERLINK("https://www.virustotal.com/en/url/719d5475d08ac57d697e90f2764d0d2b8272f95802c4c8bbe686ae597f04d34d/analysis/","Clean")</f>
        <v>Clean</v>
      </c>
      <c r="G84" s="8">
        <v>42862.0</v>
      </c>
      <c r="H84" s="21" t="s">
        <v>33</v>
      </c>
      <c r="I84" s="23" t="s">
        <v>34</v>
      </c>
      <c r="J84" s="21" t="s">
        <v>33</v>
      </c>
      <c r="K84" s="23" t="s">
        <v>34</v>
      </c>
      <c r="L84" s="34" t="s">
        <v>35</v>
      </c>
      <c r="M84" s="29" t="s">
        <v>34</v>
      </c>
      <c r="N84" s="45" t="s">
        <v>34</v>
      </c>
      <c r="O84" s="26" t="str">
        <f>HYPERLINK("https://github.com/VottonDev/pomfe.co","VottonDev/pomfe.co")</f>
        <v>VottonDev/pomfe.co</v>
      </c>
      <c r="P84" s="26" t="str">
        <f>HYPERLINK("https://para.neeko.club/","para")</f>
        <v>para</v>
      </c>
      <c r="Q84" s="26" t="str">
        <f>HYPERLINK("https://twitter.com/xvg","@xvg")</f>
        <v>@xvg</v>
      </c>
      <c r="R84" s="26" t="str">
        <f>HYPERLINK("mailto:x@xanax.cat","x@xanax.cat")</f>
        <v>x@xanax.cat</v>
      </c>
      <c r="S84" s="46"/>
      <c r="T84" s="29"/>
      <c r="U84" s="29"/>
      <c r="V84" s="29"/>
      <c r="W84" s="29"/>
      <c r="X84" s="29"/>
      <c r="Y84" s="29"/>
      <c r="Z84" s="29"/>
    </row>
    <row r="85">
      <c r="A85" s="9" t="str">
        <f>HYPERLINK("http://nigger.cat","nigger.cat")</f>
        <v>nigger.cat</v>
      </c>
      <c r="B85" s="74" t="s">
        <v>45</v>
      </c>
      <c r="C85" s="12" t="s">
        <v>39</v>
      </c>
      <c r="D85" s="25" t="s">
        <v>34</v>
      </c>
      <c r="E85" s="21" t="s">
        <v>33</v>
      </c>
      <c r="F85" s="39" t="str">
        <f>HYPERLINK("https://www.virustotal.com/en/url/01afaf8f965a1a73f8c83202b4c31db921ba19880d5fe54ef2cf171344930db9/analysis/","3 Blacklists")</f>
        <v>3 Blacklists</v>
      </c>
      <c r="G85" s="8">
        <v>42545.0</v>
      </c>
      <c r="H85" s="21" t="s">
        <v>33</v>
      </c>
      <c r="I85" s="40" t="s">
        <v>33</v>
      </c>
      <c r="J85" s="25" t="s">
        <v>34</v>
      </c>
      <c r="K85" s="25" t="s">
        <v>34</v>
      </c>
      <c r="L85" s="23" t="s">
        <v>34</v>
      </c>
      <c r="M85" s="29" t="s">
        <v>36</v>
      </c>
      <c r="N85" s="25" t="s">
        <v>34</v>
      </c>
      <c r="O85" s="26" t="str">
        <f>HYPERLINK("https://github.com/pomf/pomf","Pomf")</f>
        <v>Pomf</v>
      </c>
      <c r="P85" s="27" t="str">
        <f>HYPERLINK("http://doot.pw/","teamDOOT")</f>
        <v>teamDOOT</v>
      </c>
      <c r="Q85" s="27" t="str">
        <f>HYPERLINK("https://twitter.com/team_doot","@team_DOOT")</f>
        <v>@team_DOOT</v>
      </c>
      <c r="R85" s="37"/>
      <c r="S85" s="25" t="s">
        <v>34</v>
      </c>
      <c r="T85" s="29" t="s">
        <v>36</v>
      </c>
      <c r="U85" s="29"/>
      <c r="V85" s="29"/>
      <c r="W85" s="29"/>
      <c r="X85" s="29"/>
      <c r="Y85" s="29"/>
      <c r="Z85" s="29"/>
    </row>
    <row r="86">
      <c r="A86" s="9" t="str">
        <f>HYPERLINK("https://nya.is/","nya.is")</f>
        <v>nya.is</v>
      </c>
      <c r="B86" s="20" t="s">
        <v>125</v>
      </c>
      <c r="C86" s="12" t="s">
        <v>68</v>
      </c>
      <c r="D86" s="21" t="s">
        <v>33</v>
      </c>
      <c r="E86" s="34" t="s">
        <v>34</v>
      </c>
      <c r="F86" s="22" t="str">
        <f>HYPERLINK("https://www.virustotal.com/en/url/c2e4c72dd192358a6e515956c1567a7b4aa639ef99e3dd1a0d9247739ff04acc/analysis","1 Blacklist")</f>
        <v>1 Blacklist</v>
      </c>
      <c r="G86" s="8">
        <v>42904.0</v>
      </c>
      <c r="H86" s="21" t="s">
        <v>33</v>
      </c>
      <c r="I86" s="23" t="s">
        <v>34</v>
      </c>
      <c r="J86" s="25" t="s">
        <v>34</v>
      </c>
      <c r="K86" s="23" t="s">
        <v>34</v>
      </c>
      <c r="L86" s="34" t="s">
        <v>35</v>
      </c>
      <c r="M86" s="23" t="s">
        <v>34</v>
      </c>
      <c r="N86" s="29" t="s">
        <v>36</v>
      </c>
      <c r="O86" s="26" t="str">
        <f>HYPERLINK("https://github.com/nya/cpomf","nya/cpomf")</f>
        <v>nya/cpomf</v>
      </c>
      <c r="P86" s="28" t="str">
        <f>HYPERLINK("https://lewd.sx/u/senpai","Neko")</f>
        <v>Neko</v>
      </c>
      <c r="Q86" s="28" t="str">
        <f>HYPERLINK("https://twitter.com/tastyneko","@tastyneko")</f>
        <v>@tastyneko</v>
      </c>
      <c r="R86" s="26" t="str">
        <f>HYPERLINK("mailto:neko@pomf.is","neko@pomf.is")</f>
        <v>neko@pomf.is</v>
      </c>
      <c r="S86" s="21" t="s">
        <v>33</v>
      </c>
      <c r="T86" s="29" t="s">
        <v>36</v>
      </c>
      <c r="U86" s="32">
        <v>5.8</v>
      </c>
      <c r="V86" s="32">
        <v>3.0</v>
      </c>
      <c r="W86" s="30">
        <v>37.8</v>
      </c>
      <c r="X86" s="30">
        <v>37.8</v>
      </c>
      <c r="Y86" s="32">
        <v>1.2</v>
      </c>
      <c r="Z86" s="50">
        <f>AVERAGE(U86:Y86)</f>
        <v>17.12</v>
      </c>
    </row>
    <row r="87">
      <c r="A87" s="44" t="s">
        <v>142</v>
      </c>
      <c r="B87" s="20" t="s">
        <v>45</v>
      </c>
      <c r="C87" s="12" t="s">
        <v>102</v>
      </c>
      <c r="D87" s="25" t="s">
        <v>33</v>
      </c>
      <c r="E87" s="25" t="s">
        <v>34</v>
      </c>
      <c r="F87" s="22" t="str">
        <f>HYPERLINK("https://www.virustotal.com/en/url/caac41bcf3528919b5ca1d61d1e2e8e9a15e0151ce8a8feaeda9004706e7e4a5/analysis/","Clean")</f>
        <v>Clean</v>
      </c>
      <c r="G87" s="8">
        <v>42738.0</v>
      </c>
      <c r="H87" s="21" t="s">
        <v>33</v>
      </c>
      <c r="I87" s="29"/>
      <c r="J87" s="25" t="s">
        <v>34</v>
      </c>
      <c r="K87" s="23" t="s">
        <v>34</v>
      </c>
      <c r="L87" s="24" t="s">
        <v>35</v>
      </c>
      <c r="M87" s="29" t="s">
        <v>36</v>
      </c>
      <c r="N87" s="25" t="s">
        <v>34</v>
      </c>
      <c r="O87" s="26" t="str">
        <f>HYPERLINK("https://github.com/samayo/bulletproof","samayo/bulletproof")</f>
        <v>samayo/bulletproof</v>
      </c>
      <c r="P87" s="28" t="str">
        <f>HYPERLINK("http://nyah.moe/","Nyah")</f>
        <v>Nyah</v>
      </c>
      <c r="Q87" s="37"/>
      <c r="R87" s="27" t="str">
        <f>HYPERLINK("mailto:admin@nyanimg.com","admin@nyanimg.com")</f>
        <v>admin@nyanimg.com</v>
      </c>
      <c r="S87" s="25" t="s">
        <v>34</v>
      </c>
      <c r="T87" s="29" t="s">
        <v>36</v>
      </c>
      <c r="U87" s="29"/>
      <c r="V87" s="29"/>
      <c r="W87" s="29"/>
      <c r="X87" s="29"/>
      <c r="Y87" s="29"/>
      <c r="Z87" s="29"/>
    </row>
    <row r="88">
      <c r="A88" s="9" t="str">
        <f>HYPERLINK("https://openhost.xyz/","openhost.xyz")</f>
        <v>openhost.xyz</v>
      </c>
      <c r="B88" s="74" t="s">
        <v>45</v>
      </c>
      <c r="C88" s="12" t="s">
        <v>32</v>
      </c>
      <c r="D88" s="21" t="s">
        <v>33</v>
      </c>
      <c r="E88" s="25" t="s">
        <v>34</v>
      </c>
      <c r="F88" s="53" t="str">
        <f>HYPERLINK("https://www.virustotal.com/en/url/1c279be99579ad7605018eebc8b5f04aac8e1d1ba7067fef0b3a586231f4a2a0/analysis/","1 Suspicious")</f>
        <v>1 Suspicious</v>
      </c>
      <c r="G88" s="8">
        <v>42413.0</v>
      </c>
      <c r="H88" s="25" t="s">
        <v>34</v>
      </c>
      <c r="I88" s="40" t="s">
        <v>33</v>
      </c>
      <c r="J88" s="25" t="s">
        <v>34</v>
      </c>
      <c r="K88" s="25" t="s">
        <v>34</v>
      </c>
      <c r="L88" s="24" t="s">
        <v>35</v>
      </c>
      <c r="M88" s="23" t="s">
        <v>34</v>
      </c>
      <c r="N88" s="25" t="s">
        <v>34</v>
      </c>
      <c r="O88" s="26" t="str">
        <f>HYPERLINK("https://github.com/nokonoko/Pomf","Pomf")</f>
        <v>Pomf</v>
      </c>
      <c r="P88" s="7" t="s">
        <v>143</v>
      </c>
      <c r="Q88" s="37"/>
      <c r="R88" s="27" t="str">
        <f>HYPERLINK("mailto:littlescout@ruggedinbox.com","littlescout@ruggedinbox.com")</f>
        <v>littlescout@ruggedinbox.com</v>
      </c>
      <c r="S88" s="25" t="s">
        <v>34</v>
      </c>
      <c r="T88" s="29" t="s">
        <v>36</v>
      </c>
      <c r="U88" s="32">
        <v>5.6</v>
      </c>
      <c r="V88" s="32">
        <v>3.2</v>
      </c>
      <c r="W88" s="31">
        <v>23.8</v>
      </c>
      <c r="X88" s="31">
        <v>22.4</v>
      </c>
      <c r="Y88" s="32">
        <v>1.2</v>
      </c>
      <c r="Z88" s="50">
        <f>AVERAGE(U88:Y88)</f>
        <v>11.24</v>
      </c>
    </row>
    <row r="89">
      <c r="A89" s="44" t="s">
        <v>144</v>
      </c>
      <c r="B89" s="50" t="s">
        <v>125</v>
      </c>
      <c r="C89" s="12" t="s">
        <v>72</v>
      </c>
      <c r="D89" s="21" t="s">
        <v>33</v>
      </c>
      <c r="E89" s="21" t="s">
        <v>33</v>
      </c>
      <c r="F89" s="39" t="str">
        <f>HYPERLINK("https://www.virustotal.com/en/url/df1905038e2309d401b8672dc21d0548f45feea02adcd4dd7a5ac27f8bdf0820/analysis/","3 Blacklists &amp; 1 Susp.")</f>
        <v>3 Blacklists &amp; 1 Susp.</v>
      </c>
      <c r="G89" s="8">
        <v>42342.0</v>
      </c>
      <c r="H89" s="21" t="s">
        <v>33</v>
      </c>
      <c r="I89" s="40" t="s">
        <v>33</v>
      </c>
      <c r="J89" s="21" t="s">
        <v>33</v>
      </c>
      <c r="K89" s="25" t="s">
        <v>34</v>
      </c>
      <c r="L89" s="23" t="s">
        <v>34</v>
      </c>
      <c r="M89" s="23" t="s">
        <v>34</v>
      </c>
      <c r="N89" s="21" t="s">
        <v>33</v>
      </c>
      <c r="O89" s="26" t="str">
        <f>HYPERLINK("https://git.pantsu.cat/pantsu/pomf","Pantsu/Pomf")</f>
        <v>Pantsu/Pomf</v>
      </c>
      <c r="P89" s="7" t="s">
        <v>145</v>
      </c>
      <c r="Q89" s="37"/>
      <c r="R89" s="27" t="str">
        <f>HYPERLINK("mailto:ewhal@pantsu.cat","ewhal@pantsu.cat")</f>
        <v>ewhal@pantsu.cat</v>
      </c>
      <c r="S89" s="25" t="s">
        <v>34</v>
      </c>
      <c r="T89" s="29" t="s">
        <v>36</v>
      </c>
      <c r="U89" s="29"/>
      <c r="V89" s="29"/>
      <c r="W89" s="29"/>
      <c r="X89" s="29"/>
      <c r="Y89" s="29"/>
      <c r="Z89" s="29"/>
    </row>
    <row r="90">
      <c r="A90" s="44" t="s">
        <v>146</v>
      </c>
      <c r="B90" s="74" t="s">
        <v>45</v>
      </c>
      <c r="C90" s="12" t="s">
        <v>39</v>
      </c>
      <c r="D90" s="25" t="s">
        <v>34</v>
      </c>
      <c r="E90" s="25" t="s">
        <v>34</v>
      </c>
      <c r="F90" s="39" t="str">
        <f>HYPERLINK("https://www.virustotal.com/en/url/190cd8654f2c4e0e799a5d813ce0483311b1da7fbb806ef8efcd5c993578fc56/analysis/","3 Blacklists")</f>
        <v>3 Blacklists</v>
      </c>
      <c r="G90" s="8">
        <v>42437.0</v>
      </c>
      <c r="H90" s="25" t="s">
        <v>34</v>
      </c>
      <c r="I90" s="40" t="s">
        <v>33</v>
      </c>
      <c r="J90" s="25" t="s">
        <v>34</v>
      </c>
      <c r="K90" s="25" t="s">
        <v>34</v>
      </c>
      <c r="L90" s="23" t="s">
        <v>34</v>
      </c>
      <c r="M90" s="29" t="s">
        <v>36</v>
      </c>
      <c r="N90" s="25" t="s">
        <v>34</v>
      </c>
      <c r="O90" s="26" t="str">
        <f>HYPERLINK("https://github.com/nokonoko/Pomf","Pomf")</f>
        <v>Pomf</v>
      </c>
      <c r="P90" s="37"/>
      <c r="Q90" s="37"/>
      <c r="S90" s="25" t="s">
        <v>34</v>
      </c>
      <c r="T90" s="29" t="s">
        <v>36</v>
      </c>
      <c r="U90" s="32">
        <v>1.4</v>
      </c>
      <c r="V90" s="85">
        <v>0.9</v>
      </c>
      <c r="W90" s="85">
        <v>0.9</v>
      </c>
      <c r="X90" s="85">
        <v>0.9</v>
      </c>
      <c r="Y90" s="85">
        <v>0.5</v>
      </c>
      <c r="Z90" s="85">
        <f>AVERAGE(U90:Y90)</f>
        <v>0.92</v>
      </c>
    </row>
    <row r="91">
      <c r="A91" s="9" t="str">
        <f>(HYPERLINK("https://plexle.ru/", "plexle.ru"))</f>
        <v>plexle.ru</v>
      </c>
      <c r="B91" s="20" t="s">
        <v>45</v>
      </c>
      <c r="C91" s="12" t="s">
        <v>32</v>
      </c>
      <c r="D91" s="21" t="s">
        <v>33</v>
      </c>
      <c r="E91" s="34" t="s">
        <v>34</v>
      </c>
      <c r="F91" s="22" t="str">
        <f>(HYPERLINK("https://www.virustotal.com/en/url/14c1ec0e2eb0215cf2667af70fbb3f5faf5eaedb687a450d039cfddb558b9bdc/analysis/", "2 Blacklists"))</f>
        <v>2 Blacklists</v>
      </c>
      <c r="G91" s="8">
        <v>42831.0</v>
      </c>
      <c r="H91" s="25" t="s">
        <v>34</v>
      </c>
      <c r="I91" s="23" t="s">
        <v>34</v>
      </c>
      <c r="J91" s="25" t="s">
        <v>34</v>
      </c>
      <c r="K91" s="23" t="s">
        <v>34</v>
      </c>
      <c r="L91" s="24" t="s">
        <v>35</v>
      </c>
      <c r="M91" s="23" t="s">
        <v>34</v>
      </c>
      <c r="N91" s="45" t="s">
        <v>33</v>
      </c>
      <c r="O91" s="47" t="s">
        <v>147</v>
      </c>
      <c r="P91" s="12" t="s">
        <v>147</v>
      </c>
      <c r="Q91" s="86" t="str">
        <f>(HYPERLINK("https://twitter.com/Plexle", "@Plexle"))</f>
        <v>@Plexle</v>
      </c>
      <c r="R91" s="26" t="str">
        <f>HYPERLINK("mailto:plexle@mail.ru","plexle@mail.ru")</f>
        <v>plexle@mail.ru</v>
      </c>
      <c r="S91" s="25"/>
      <c r="T91" s="29"/>
      <c r="U91" s="29"/>
      <c r="V91" s="29"/>
      <c r="W91" s="29"/>
      <c r="X91" s="29"/>
      <c r="Y91" s="29"/>
      <c r="Z91" s="29"/>
    </row>
    <row r="92">
      <c r="A92" s="44" t="s">
        <v>148</v>
      </c>
      <c r="B92" s="20" t="s">
        <v>45</v>
      </c>
      <c r="C92" s="12" t="s">
        <v>149</v>
      </c>
      <c r="D92" s="21" t="s">
        <v>33</v>
      </c>
      <c r="E92" s="34" t="s">
        <v>34</v>
      </c>
      <c r="F92" s="39" t="str">
        <f>HYPERLINK("https://www.virustotal.com/en/url/1dafe3141bcefd08c95e01c0270e41fff804560fd010ec515316dfab7de6252c/analysis/","4 Blacklists")</f>
        <v>4 Blacklists</v>
      </c>
      <c r="G92" s="8">
        <v>42904.0</v>
      </c>
      <c r="H92" s="21" t="s">
        <v>33</v>
      </c>
      <c r="I92" s="40" t="s">
        <v>33</v>
      </c>
      <c r="J92" s="21" t="s">
        <v>33</v>
      </c>
      <c r="K92" s="23" t="s">
        <v>34</v>
      </c>
      <c r="L92" s="24" t="s">
        <v>35</v>
      </c>
      <c r="M92" s="23" t="s">
        <v>34</v>
      </c>
      <c r="N92" s="25" t="s">
        <v>34</v>
      </c>
      <c r="O92" s="26" t="str">
        <f>HYPERLINK("https://github.com/banksymate/Pomf","Banksymate/Pomf")</f>
        <v>Banksymate/Pomf</v>
      </c>
      <c r="P92" s="26" t="str">
        <f>HYPERLINK("http://xn--vxao.pw/","Banksy (illuminous)")</f>
        <v>Banksy (illuminous)</v>
      </c>
      <c r="Q92" s="27" t="str">
        <f>HYPERLINK("https://twitter.com/ilIuminous","@ilIuminous")</f>
        <v>@ilIuminous</v>
      </c>
      <c r="R92" s="28" t="str">
        <f>HYPERLINK("mailto:banksy@pomf.cat","banksy@pomf.cat")</f>
        <v>banksy@pomf.cat</v>
      </c>
      <c r="S92" s="25" t="s">
        <v>34</v>
      </c>
      <c r="T92" s="29" t="s">
        <v>36</v>
      </c>
      <c r="U92" s="30">
        <v>48.4</v>
      </c>
      <c r="V92" s="30">
        <v>33.6</v>
      </c>
      <c r="W92" s="51">
        <v>57.6</v>
      </c>
      <c r="X92" s="51">
        <v>69.6</v>
      </c>
      <c r="Y92" s="51">
        <v>59.8</v>
      </c>
      <c r="Z92" s="51">
        <f t="shared" ref="Z92:Z93" si="10">AVERAGE(U92:Y92)</f>
        <v>53.8</v>
      </c>
    </row>
    <row r="93">
      <c r="A93" s="44" t="s">
        <v>150</v>
      </c>
      <c r="B93" s="74" t="s">
        <v>125</v>
      </c>
      <c r="C93" s="12" t="s">
        <v>39</v>
      </c>
      <c r="D93" s="25" t="s">
        <v>34</v>
      </c>
      <c r="E93" s="25" t="s">
        <v>34</v>
      </c>
      <c r="F93" s="39" t="str">
        <f>HYPERLINK("https://www.virustotal.com/en/url/e6419007032626fa3001e3f70baf8ec9c00006efed024ab32bff82fef176fc1e/analysis/","5 Blacklists")</f>
        <v>5 Blacklists</v>
      </c>
      <c r="G93" s="8">
        <v>42351.0</v>
      </c>
      <c r="H93" s="25" t="s">
        <v>34</v>
      </c>
      <c r="I93" s="40" t="s">
        <v>33</v>
      </c>
      <c r="J93" s="25" t="s">
        <v>34</v>
      </c>
      <c r="K93" s="25" t="s">
        <v>34</v>
      </c>
      <c r="L93" s="24" t="s">
        <v>35</v>
      </c>
      <c r="M93" s="29" t="s">
        <v>36</v>
      </c>
      <c r="N93" s="25" t="s">
        <v>34</v>
      </c>
      <c r="O93" s="26" t="str">
        <f>HYPERLINK("https://github.com/nokonoko/Pomf","Pomf")</f>
        <v>Pomf</v>
      </c>
      <c r="P93" s="27" t="str">
        <f>HYPERLINK("http://www.dango.club/","KieruOkami")</f>
        <v>KieruOkami</v>
      </c>
      <c r="Q93" s="27" t="str">
        <f>HYPERLINK("https://twitter.com/KieruOkami","@KieruOkami")</f>
        <v>@KieruOkami</v>
      </c>
      <c r="R93" s="27" t="str">
        <f>HYPERLINK("mailto:dangomafia@420blaze.it","dangomafia@420blaze.it")</f>
        <v>dangomafia@420blaze.it</v>
      </c>
      <c r="S93" s="21" t="s">
        <v>33</v>
      </c>
      <c r="T93" s="29" t="s">
        <v>36</v>
      </c>
      <c r="U93" s="32">
        <v>4.8</v>
      </c>
      <c r="V93" s="32">
        <v>3.4</v>
      </c>
      <c r="W93" s="31">
        <v>26.2</v>
      </c>
      <c r="X93" s="30">
        <v>30.8</v>
      </c>
      <c r="Y93" s="32">
        <v>1.4</v>
      </c>
      <c r="Z93" s="50">
        <f t="shared" si="10"/>
        <v>13.32</v>
      </c>
    </row>
    <row r="94">
      <c r="A94" s="9" t="str">
        <f>HYPERLINK("http://qt.cx/","qt.cx")</f>
        <v>qt.cx</v>
      </c>
      <c r="B94" s="74" t="s">
        <v>45</v>
      </c>
      <c r="C94" s="12" t="s">
        <v>39</v>
      </c>
      <c r="D94" s="25" t="s">
        <v>34</v>
      </c>
      <c r="E94" s="25" t="s">
        <v>34</v>
      </c>
      <c r="F94" s="39" t="str">
        <f>HYPERLINK("https://www.virustotal.com/en/url/f16c11ca3851674f54f874060697c3f0adedbb71979cd33c99cb947b3e73f213/analysis/","4 Blacklists")</f>
        <v>4 Blacklists</v>
      </c>
      <c r="G94" s="8">
        <v>42545.0</v>
      </c>
      <c r="H94" s="21" t="s">
        <v>33</v>
      </c>
      <c r="I94" s="40" t="s">
        <v>33</v>
      </c>
      <c r="J94" s="25" t="s">
        <v>34</v>
      </c>
      <c r="K94" s="25" t="s">
        <v>34</v>
      </c>
      <c r="L94" s="23" t="s">
        <v>34</v>
      </c>
      <c r="M94" s="29" t="s">
        <v>36</v>
      </c>
      <c r="N94" s="25" t="s">
        <v>34</v>
      </c>
      <c r="O94" s="26" t="str">
        <f>HYPERLINK("https://github.com/pomf/pomf","Pomf")</f>
        <v>Pomf</v>
      </c>
      <c r="P94" s="36"/>
      <c r="Q94" s="47"/>
      <c r="R94" s="26" t="str">
        <f>HYPERLINK("mailto:admin@qt.cx","admin@qt.cx")</f>
        <v>admin@qt.cx</v>
      </c>
      <c r="S94" s="21" t="s">
        <v>33</v>
      </c>
      <c r="T94" s="29"/>
      <c r="U94" s="29"/>
      <c r="V94" s="29"/>
      <c r="W94" s="29"/>
      <c r="X94" s="29"/>
      <c r="Y94" s="29"/>
      <c r="Z94" s="29"/>
    </row>
    <row r="95">
      <c r="A95" s="9" t="str">
        <f>HYPERLINK("http://sli.mg/","sli.mg")</f>
        <v>sli.mg</v>
      </c>
      <c r="B95" s="20" t="s">
        <v>45</v>
      </c>
      <c r="C95" s="12" t="s">
        <v>102</v>
      </c>
      <c r="D95" s="25" t="s">
        <v>34</v>
      </c>
      <c r="E95" s="25" t="s">
        <v>34</v>
      </c>
      <c r="F95" s="22" t="str">
        <f>HYPERLINK("https://www.virustotal.com/en/url/c9f15fccd906f9f317c53188eecd0d23edb459ce0394a63662851336c20330de/analysis/","Clean")</f>
        <v>Clean</v>
      </c>
      <c r="G95" s="8">
        <v>42738.0</v>
      </c>
      <c r="H95" s="25" t="s">
        <v>34</v>
      </c>
      <c r="I95" s="29"/>
      <c r="J95" s="60" t="s">
        <v>151</v>
      </c>
      <c r="K95" s="23" t="s">
        <v>34</v>
      </c>
      <c r="L95" s="24" t="s">
        <v>35</v>
      </c>
      <c r="M95" s="60" t="s">
        <v>100</v>
      </c>
      <c r="N95" s="25" t="s">
        <v>34</v>
      </c>
      <c r="O95" s="36" t="s">
        <v>152</v>
      </c>
      <c r="P95" s="7"/>
      <c r="Q95" s="37"/>
      <c r="R95" s="7"/>
      <c r="S95" s="25" t="s">
        <v>34</v>
      </c>
      <c r="T95" s="29" t="s">
        <v>36</v>
      </c>
      <c r="U95" s="29"/>
      <c r="V95" s="29"/>
      <c r="W95" s="29"/>
      <c r="X95" s="29"/>
      <c r="Y95" s="29"/>
      <c r="Z95" s="29"/>
    </row>
    <row r="96">
      <c r="A96" s="9" t="str">
        <f>HYPERLINK("http://smug.bote.moe/","smug.bote.moe")</f>
        <v>smug.bote.moe</v>
      </c>
      <c r="B96" s="20" t="s">
        <v>125</v>
      </c>
      <c r="C96" s="12" t="s">
        <v>96</v>
      </c>
      <c r="D96" s="25" t="s">
        <v>34</v>
      </c>
      <c r="E96" s="34" t="s">
        <v>34</v>
      </c>
      <c r="F96" s="39" t="str">
        <f>HYPERLINK("https://www.virustotal.com/en/url/7726ad95831fd086e9d731f1f38547ae0b637a4ed33ea9717b9ea64f09b4ba79/analysis/","2 Blacklists")</f>
        <v>2 Blacklists</v>
      </c>
      <c r="G96" s="8">
        <v>42798.0</v>
      </c>
      <c r="H96" s="21" t="s">
        <v>34</v>
      </c>
      <c r="I96" s="40" t="s">
        <v>33</v>
      </c>
      <c r="J96" s="25" t="s">
        <v>34</v>
      </c>
      <c r="K96" s="23" t="s">
        <v>34</v>
      </c>
      <c r="L96" s="34" t="s">
        <v>34</v>
      </c>
      <c r="M96" s="29" t="s">
        <v>36</v>
      </c>
      <c r="N96" s="25" t="s">
        <v>33</v>
      </c>
      <c r="O96" s="26" t="str">
        <f>HYPERLINK("https://github.com/pomf/pomf","Pomf")</f>
        <v>Pomf</v>
      </c>
      <c r="P96" s="12"/>
      <c r="Q96" s="47"/>
      <c r="R96" s="47"/>
      <c r="S96" s="25"/>
      <c r="T96" s="29"/>
      <c r="U96" s="29"/>
      <c r="V96" s="29"/>
      <c r="W96" s="29"/>
      <c r="X96" s="29"/>
      <c r="Y96" s="29"/>
      <c r="Z96" s="29"/>
    </row>
    <row r="97">
      <c r="A97" s="9" t="str">
        <f>HYPERLINK("https://up1.ca/","up1.ca")</f>
        <v>up1.ca</v>
      </c>
      <c r="B97" s="74" t="s">
        <v>45</v>
      </c>
      <c r="C97" s="12" t="s">
        <v>39</v>
      </c>
      <c r="D97" s="21" t="s">
        <v>33</v>
      </c>
      <c r="E97" s="21" t="s">
        <v>33</v>
      </c>
      <c r="F97" s="22" t="str">
        <f>HYPERLINK("https://www.virustotal.com/en/url/c1172b9355c5e172514f40e6324eb871579a2f582dca01f3bf158c0f8b1f2ff4/analysis/","Clean")</f>
        <v>Clean</v>
      </c>
      <c r="G97" s="8">
        <v>42505.0</v>
      </c>
      <c r="H97" s="68" t="s">
        <v>87</v>
      </c>
      <c r="I97" s="40" t="s">
        <v>33</v>
      </c>
      <c r="J97" s="25" t="s">
        <v>34</v>
      </c>
      <c r="K97" s="25" t="s">
        <v>34</v>
      </c>
      <c r="L97" s="24" t="s">
        <v>35</v>
      </c>
      <c r="M97" s="58" t="s">
        <v>153</v>
      </c>
      <c r="N97" s="25" t="s">
        <v>89</v>
      </c>
      <c r="O97" s="26" t="str">
        <f>HYPERLINK("https://github.com/Upload/Up1","Up1")</f>
        <v>Up1</v>
      </c>
      <c r="P97" s="26" t="str">
        <f>HYPERLINK("https://github.com/Upload","Upload Devs")</f>
        <v>Upload Devs</v>
      </c>
      <c r="Q97" s="37"/>
      <c r="R97" s="26" t="str">
        <f>HYPERLINK("mailto:contact@up1.ca","contact@up1.ca")</f>
        <v>contact@up1.ca</v>
      </c>
      <c r="S97" s="21" t="s">
        <v>33</v>
      </c>
      <c r="T97" s="29" t="s">
        <v>36</v>
      </c>
      <c r="U97" s="29"/>
      <c r="V97" s="29"/>
      <c r="W97" s="29"/>
      <c r="X97" s="29"/>
      <c r="Y97" s="29"/>
      <c r="Z97" s="29"/>
    </row>
    <row r="98">
      <c r="A98" s="9" t="str">
        <f>HYPERLINK("https://www.upflask.cf/","upflask.cf")</f>
        <v>upflask.cf</v>
      </c>
      <c r="B98" s="74" t="s">
        <v>125</v>
      </c>
      <c r="C98" s="12" t="s">
        <v>102</v>
      </c>
      <c r="D98" s="21" t="s">
        <v>33</v>
      </c>
      <c r="E98" s="25" t="s">
        <v>34</v>
      </c>
      <c r="F98" s="22" t="str">
        <f>HYPERLINK("https://www.virustotal.com/en/url/4f2dd561ef5e9806379b869e02f7904c7a4a813448fb4d0611b3e624f2085402/analysis/","Clean")</f>
        <v>Clean</v>
      </c>
      <c r="G98" s="8">
        <v>42505.0</v>
      </c>
      <c r="H98" s="25" t="s">
        <v>34</v>
      </c>
      <c r="I98" s="23" t="s">
        <v>34</v>
      </c>
      <c r="J98" s="25" t="s">
        <v>34</v>
      </c>
      <c r="K98" s="25" t="s">
        <v>34</v>
      </c>
      <c r="L98" s="24" t="s">
        <v>35</v>
      </c>
      <c r="M98" s="29" t="s">
        <v>36</v>
      </c>
      <c r="N98" s="25" t="s">
        <v>34</v>
      </c>
      <c r="O98" s="26" t="str">
        <f>HYPERLINK("https://github.com/QuadPiece/QuadFile","QuadFile (Python)")</f>
        <v>QuadFile (Python)</v>
      </c>
      <c r="P98" s="26" t="str">
        <f>HYPERLINK("thebitstick.xyz","TheBitStick")</f>
        <v>TheBitStick</v>
      </c>
      <c r="Q98" s="26" t="str">
        <f>HYPERLINK("https://twitter.com/TheBitStick","@TheBitStick")</f>
        <v>@TheBitStick</v>
      </c>
      <c r="R98" s="26" t="str">
        <f>HYPERLINK("thebitstick@mail.thebitstick.xyz","thebitstick@mail.thebitstick.xyz")</f>
        <v>thebitstick@mail.thebitstick.xyz</v>
      </c>
      <c r="S98" s="46" t="s">
        <v>75</v>
      </c>
      <c r="T98" s="29" t="s">
        <v>36</v>
      </c>
      <c r="U98" s="29"/>
      <c r="V98" s="29"/>
      <c r="W98" s="29"/>
      <c r="X98" s="29"/>
      <c r="Y98" s="29"/>
      <c r="Z98" s="29"/>
    </row>
    <row r="99">
      <c r="A99" s="9" t="str">
        <f>HYPERLINK("https://uploadly.com/","uploadly.com")</f>
        <v>uploadly.com</v>
      </c>
      <c r="B99" s="74" t="s">
        <v>125</v>
      </c>
      <c r="C99" s="12" t="s">
        <v>64</v>
      </c>
      <c r="D99" s="21" t="s">
        <v>33</v>
      </c>
      <c r="E99" s="21" t="s">
        <v>33</v>
      </c>
      <c r="F99" s="22" t="str">
        <f>HYPERLINK("https://www.virustotal.com/en/url/818c7cc6950187cac547e3244e0d4f94f1b63a2f88531b6608892e100d3cc7b2/analysis/","Clean")</f>
        <v>Clean</v>
      </c>
      <c r="G99" s="8">
        <v>42531.0</v>
      </c>
      <c r="H99" s="25" t="s">
        <v>34</v>
      </c>
      <c r="I99" s="29"/>
      <c r="J99" s="25" t="s">
        <v>34</v>
      </c>
      <c r="K99" s="25" t="s">
        <v>34</v>
      </c>
      <c r="L99" s="23" t="s">
        <v>34</v>
      </c>
      <c r="M99" s="29" t="s">
        <v>36</v>
      </c>
      <c r="N99" s="25" t="s">
        <v>34</v>
      </c>
      <c r="O99" s="47" t="s">
        <v>154</v>
      </c>
      <c r="P99" s="7"/>
      <c r="Q99" s="7"/>
      <c r="R99" s="7"/>
      <c r="S99" s="21"/>
      <c r="T99" s="29"/>
      <c r="U99" s="29"/>
      <c r="V99" s="29"/>
      <c r="W99" s="29"/>
      <c r="X99" s="29"/>
      <c r="Y99" s="29"/>
      <c r="Z99" s="29"/>
    </row>
    <row r="100">
      <c r="A100" s="9" t="str">
        <f>HYPERLINK("https://wakaba.dhcp.io", "wakaba.dhcp.io")</f>
        <v>wakaba.dhcp.io</v>
      </c>
      <c r="B100" s="74" t="s">
        <v>45</v>
      </c>
      <c r="C100" s="12" t="s">
        <v>72</v>
      </c>
      <c r="D100" s="21" t="s">
        <v>33</v>
      </c>
      <c r="E100" s="21" t="s">
        <v>33</v>
      </c>
      <c r="F100" s="22" t="str">
        <f>HYPERLINK("https://www.virustotal.com/en/url/fd5e0e1d22cf33b131c3b56ed031184ae96dc29e0a4f4fbbbc4c2bcabf85b1a9/analysis/","Clean")</f>
        <v>Clean</v>
      </c>
      <c r="G100" s="8">
        <v>42505.0</v>
      </c>
      <c r="H100" s="25" t="s">
        <v>34</v>
      </c>
      <c r="I100" s="40" t="s">
        <v>33</v>
      </c>
      <c r="J100" s="25" t="s">
        <v>34</v>
      </c>
      <c r="K100" s="25" t="s">
        <v>34</v>
      </c>
      <c r="L100" s="23" t="s">
        <v>34</v>
      </c>
      <c r="M100" s="29" t="s">
        <v>36</v>
      </c>
      <c r="N100" s="21" t="s">
        <v>33</v>
      </c>
      <c r="O100" s="26" t="str">
        <f>HYPERLINK("https://github.com/sora-chan/wakaba","Wakaba")</f>
        <v>Wakaba</v>
      </c>
      <c r="P100" s="37"/>
      <c r="Q100" s="37"/>
      <c r="R100" s="37"/>
      <c r="S100" s="25" t="s">
        <v>155</v>
      </c>
      <c r="T100" s="29" t="s">
        <v>36</v>
      </c>
      <c r="U100" s="29"/>
      <c r="V100" s="29"/>
      <c r="W100" s="29"/>
      <c r="X100" s="29"/>
      <c r="Y100" s="29"/>
      <c r="Z100" s="29"/>
    </row>
    <row r="101">
      <c r="A101" s="87" t="str">
        <f>HYPERLINK("https://yiff.moe/","Yiff.moe")</f>
        <v>Yiff.moe</v>
      </c>
      <c r="B101" s="20" t="s">
        <v>31</v>
      </c>
      <c r="C101" s="12" t="s">
        <v>32</v>
      </c>
      <c r="D101" s="21" t="s">
        <v>33</v>
      </c>
      <c r="E101" s="25" t="s">
        <v>34</v>
      </c>
      <c r="F101" s="22" t="str">
        <f>HYPERLINK("https://www.virustotal.com/en/url/3a02b8e3735824822d6f01ac6b41ae293463a13a337782cad9cdb42467407ce0/analysis/","Clean")</f>
        <v>Clean</v>
      </c>
      <c r="G101" s="8">
        <v>42606.0</v>
      </c>
      <c r="H101" s="21" t="s">
        <v>33</v>
      </c>
      <c r="I101" s="23" t="s">
        <v>34</v>
      </c>
      <c r="J101" s="25" t="s">
        <v>34</v>
      </c>
      <c r="K101" s="25" t="s">
        <v>34</v>
      </c>
      <c r="L101" s="24" t="s">
        <v>35</v>
      </c>
      <c r="M101" s="54" t="s">
        <v>156</v>
      </c>
      <c r="N101" s="25" t="s">
        <v>34</v>
      </c>
      <c r="O101" s="26" t="str">
        <f>HYPERLINK("https://github.com/pomf/pomf","Pomf")</f>
        <v>Pomf</v>
      </c>
      <c r="P101" s="12" t="s">
        <v>157</v>
      </c>
      <c r="Q101" s="26" t="str">
        <f>HYPERLINK("https://twitter.com/Zomickwik","@Zomickwik")</f>
        <v>@Zomickwik</v>
      </c>
      <c r="R101" s="43" t="str">
        <f>HYPERLINK("mailto:zom@yiff.moe","zom@yiff.moe")</f>
        <v>zom@yiff.moe</v>
      </c>
      <c r="S101" s="21" t="s">
        <v>33</v>
      </c>
      <c r="T101" s="29" t="s">
        <v>36</v>
      </c>
      <c r="U101" s="29"/>
      <c r="V101" s="29"/>
      <c r="W101" s="29"/>
      <c r="X101" s="29"/>
      <c r="Y101" s="29"/>
      <c r="Z101" s="29"/>
    </row>
    <row r="102">
      <c r="B102" s="88"/>
      <c r="C102" s="37"/>
      <c r="D102" s="37"/>
      <c r="E102" s="37"/>
      <c r="F102" s="37"/>
      <c r="G102" s="89"/>
      <c r="K102" s="37"/>
      <c r="O102" s="37"/>
      <c r="P102" s="37"/>
      <c r="Q102" s="37"/>
      <c r="R102" s="37"/>
    </row>
    <row r="103">
      <c r="B103" s="12"/>
      <c r="C103" s="37"/>
      <c r="D103" s="37"/>
      <c r="E103" s="37"/>
      <c r="F103" s="37"/>
      <c r="G103" s="89"/>
      <c r="K103" s="37"/>
      <c r="O103" s="37"/>
      <c r="P103" s="37"/>
      <c r="Q103" s="37"/>
      <c r="R103" s="37"/>
    </row>
    <row r="104">
      <c r="B104" s="37"/>
      <c r="C104" s="37"/>
      <c r="D104" s="37"/>
      <c r="E104" s="37"/>
      <c r="F104" s="37"/>
      <c r="G104" s="89"/>
      <c r="K104" s="37"/>
      <c r="O104" s="37"/>
      <c r="P104" s="37"/>
      <c r="Q104" s="37"/>
      <c r="R104" s="37"/>
    </row>
    <row r="105">
      <c r="B105" s="37"/>
      <c r="C105" s="37"/>
      <c r="D105" s="37"/>
      <c r="E105" s="37"/>
      <c r="F105" s="37"/>
      <c r="G105" s="89"/>
      <c r="K105" s="37"/>
      <c r="O105" s="37"/>
      <c r="P105" s="37"/>
      <c r="Q105" s="37"/>
      <c r="R105" s="37"/>
    </row>
    <row r="106">
      <c r="B106" s="37"/>
      <c r="C106" s="37"/>
      <c r="D106" s="37"/>
      <c r="E106" s="37"/>
      <c r="F106" s="37"/>
      <c r="G106" s="89"/>
      <c r="K106" s="37"/>
      <c r="O106" s="37"/>
      <c r="P106" s="37"/>
      <c r="Q106" s="37"/>
      <c r="R106" s="37"/>
    </row>
    <row r="107">
      <c r="B107" s="37"/>
      <c r="C107" s="37"/>
      <c r="D107" s="37"/>
      <c r="E107" s="37"/>
      <c r="F107" s="37"/>
      <c r="G107" s="89"/>
      <c r="K107" s="37"/>
      <c r="O107" s="37"/>
      <c r="P107" s="37"/>
      <c r="Q107" s="37"/>
      <c r="R107" s="37"/>
    </row>
    <row r="108">
      <c r="B108" s="37"/>
      <c r="C108" s="37"/>
      <c r="D108" s="37"/>
      <c r="E108" s="37"/>
      <c r="F108" s="12"/>
      <c r="G108" s="89"/>
      <c r="K108" s="37"/>
      <c r="O108" s="37"/>
      <c r="P108" s="37"/>
      <c r="Q108" s="37"/>
      <c r="R108" s="37"/>
    </row>
    <row r="109">
      <c r="B109" s="37"/>
      <c r="C109" s="37"/>
      <c r="D109" s="37"/>
      <c r="E109" s="37"/>
      <c r="F109" s="37"/>
      <c r="G109" s="89"/>
      <c r="K109" s="37"/>
      <c r="O109" s="37"/>
      <c r="P109" s="37"/>
      <c r="Q109" s="37"/>
      <c r="R109" s="37"/>
    </row>
    <row r="110">
      <c r="B110" s="37"/>
      <c r="C110" s="37"/>
      <c r="D110" s="37"/>
      <c r="E110" s="37"/>
      <c r="F110" s="37"/>
      <c r="G110" s="89"/>
      <c r="K110" s="37"/>
      <c r="O110" s="37"/>
      <c r="P110" s="37"/>
      <c r="Q110" s="37"/>
      <c r="R110" s="37"/>
    </row>
    <row r="111">
      <c r="B111" s="37"/>
      <c r="C111" s="37"/>
      <c r="D111" s="37"/>
      <c r="E111" s="37"/>
      <c r="F111" s="37"/>
      <c r="G111" s="89"/>
      <c r="K111" s="37"/>
      <c r="O111" s="37"/>
      <c r="P111" s="37"/>
      <c r="Q111" s="37"/>
      <c r="R111" s="37"/>
    </row>
    <row r="112">
      <c r="B112" s="37"/>
      <c r="C112" s="37"/>
      <c r="D112" s="37"/>
      <c r="E112" s="37"/>
      <c r="F112" s="37"/>
      <c r="G112" s="89"/>
      <c r="K112" s="37"/>
      <c r="O112" s="37"/>
      <c r="P112" s="37"/>
      <c r="Q112" s="37"/>
      <c r="R112" s="37"/>
    </row>
    <row r="113">
      <c r="B113" s="37"/>
      <c r="C113" s="37"/>
      <c r="D113" s="37"/>
      <c r="E113" s="37"/>
      <c r="F113" s="37"/>
      <c r="G113" s="89"/>
      <c r="K113" s="37"/>
      <c r="O113" s="37"/>
      <c r="P113" s="37"/>
      <c r="Q113" s="37"/>
      <c r="R113" s="37"/>
    </row>
    <row r="114">
      <c r="B114" s="37"/>
      <c r="C114" s="37"/>
      <c r="D114" s="37"/>
      <c r="E114" s="37"/>
      <c r="F114" s="37"/>
      <c r="G114" s="89"/>
      <c r="K114" s="37"/>
      <c r="O114" s="37"/>
      <c r="P114" s="37"/>
      <c r="Q114" s="37"/>
      <c r="R114" s="37"/>
    </row>
    <row r="115">
      <c r="B115" s="37"/>
      <c r="C115" s="37"/>
      <c r="D115" s="37"/>
      <c r="E115" s="37"/>
      <c r="F115" s="37"/>
      <c r="G115" s="89"/>
      <c r="K115" s="37"/>
      <c r="O115" s="37"/>
      <c r="P115" s="37"/>
      <c r="Q115" s="37"/>
      <c r="R115" s="37"/>
    </row>
    <row r="116">
      <c r="B116" s="37"/>
      <c r="C116" s="37"/>
      <c r="D116" s="37"/>
      <c r="E116" s="37"/>
      <c r="F116" s="37"/>
      <c r="G116" s="89"/>
      <c r="K116" s="37"/>
      <c r="O116" s="37"/>
      <c r="P116" s="37"/>
      <c r="Q116" s="37"/>
      <c r="R116" s="37"/>
    </row>
    <row r="117">
      <c r="B117" s="37"/>
      <c r="C117" s="37"/>
      <c r="D117" s="37"/>
      <c r="E117" s="37"/>
      <c r="F117" s="37"/>
      <c r="G117" s="89"/>
      <c r="K117" s="37"/>
      <c r="O117" s="37"/>
      <c r="P117" s="37"/>
      <c r="Q117" s="37"/>
      <c r="R117" s="37"/>
    </row>
    <row r="118">
      <c r="B118" s="37"/>
      <c r="C118" s="37"/>
      <c r="D118" s="37"/>
      <c r="E118" s="37"/>
      <c r="F118" s="37"/>
      <c r="G118" s="89"/>
      <c r="K118" s="37"/>
      <c r="O118" s="37"/>
      <c r="P118" s="37"/>
      <c r="Q118" s="37"/>
      <c r="R118" s="37"/>
    </row>
    <row r="119">
      <c r="B119" s="37"/>
      <c r="C119" s="37"/>
      <c r="D119" s="37"/>
      <c r="E119" s="37"/>
      <c r="F119" s="37"/>
      <c r="G119" s="89"/>
      <c r="K119" s="37"/>
      <c r="O119" s="37"/>
      <c r="P119" s="37"/>
      <c r="Q119" s="37"/>
      <c r="R119" s="37"/>
    </row>
    <row r="120">
      <c r="B120" s="37"/>
      <c r="C120" s="37"/>
      <c r="D120" s="37"/>
      <c r="E120" s="37"/>
      <c r="F120" s="37"/>
      <c r="G120" s="89"/>
      <c r="K120" s="37"/>
      <c r="O120" s="37"/>
      <c r="P120" s="37"/>
      <c r="Q120" s="37"/>
      <c r="R120" s="37"/>
    </row>
    <row r="121">
      <c r="B121" s="37"/>
      <c r="C121" s="37"/>
      <c r="D121" s="37"/>
      <c r="E121" s="37"/>
      <c r="F121" s="37"/>
      <c r="G121" s="89"/>
      <c r="K121" s="37"/>
      <c r="O121" s="37"/>
      <c r="P121" s="37"/>
      <c r="Q121" s="37"/>
      <c r="R121" s="37"/>
    </row>
    <row r="122">
      <c r="B122" s="37"/>
      <c r="C122" s="37"/>
      <c r="D122" s="37"/>
      <c r="E122" s="37"/>
      <c r="F122" s="37"/>
      <c r="G122" s="89"/>
      <c r="K122" s="37"/>
      <c r="O122" s="37"/>
      <c r="P122" s="37"/>
      <c r="Q122" s="37"/>
      <c r="R122" s="37"/>
    </row>
    <row r="123">
      <c r="B123" s="37"/>
      <c r="C123" s="37"/>
      <c r="D123" s="37"/>
      <c r="E123" s="37"/>
      <c r="F123" s="37"/>
      <c r="G123" s="89"/>
      <c r="K123" s="37"/>
      <c r="O123" s="37"/>
      <c r="P123" s="37"/>
      <c r="Q123" s="37"/>
      <c r="R123" s="37"/>
    </row>
    <row r="124">
      <c r="B124" s="37"/>
      <c r="C124" s="37"/>
      <c r="D124" s="37"/>
      <c r="E124" s="37"/>
      <c r="F124" s="37"/>
      <c r="G124" s="89"/>
      <c r="K124" s="37"/>
      <c r="O124" s="37"/>
      <c r="P124" s="37"/>
      <c r="Q124" s="37"/>
      <c r="R124" s="37"/>
    </row>
    <row r="125">
      <c r="B125" s="37"/>
      <c r="C125" s="37"/>
      <c r="D125" s="37"/>
      <c r="E125" s="37"/>
      <c r="F125" s="37"/>
      <c r="G125" s="89"/>
      <c r="K125" s="37"/>
      <c r="O125" s="37"/>
      <c r="P125" s="37"/>
      <c r="Q125" s="37"/>
      <c r="R125" s="37"/>
    </row>
    <row r="126">
      <c r="B126" s="37"/>
      <c r="C126" s="37"/>
      <c r="D126" s="37"/>
      <c r="E126" s="37"/>
      <c r="F126" s="37"/>
      <c r="G126" s="89"/>
      <c r="K126" s="37"/>
      <c r="O126" s="37"/>
      <c r="P126" s="37"/>
      <c r="Q126" s="37"/>
      <c r="R126" s="37"/>
    </row>
    <row r="127">
      <c r="B127" s="37"/>
      <c r="C127" s="37"/>
      <c r="D127" s="37"/>
      <c r="E127" s="37"/>
      <c r="F127" s="37"/>
      <c r="G127" s="89"/>
      <c r="K127" s="37"/>
      <c r="O127" s="37"/>
      <c r="P127" s="37"/>
      <c r="Q127" s="37"/>
      <c r="R127" s="37"/>
    </row>
    <row r="128">
      <c r="B128" s="37"/>
      <c r="C128" s="37"/>
      <c r="D128" s="37"/>
      <c r="E128" s="37"/>
      <c r="F128" s="37"/>
      <c r="G128" s="89"/>
      <c r="K128" s="37"/>
      <c r="O128" s="37"/>
      <c r="P128" s="37"/>
      <c r="Q128" s="37"/>
      <c r="R128" s="37"/>
    </row>
    <row r="129">
      <c r="B129" s="37"/>
      <c r="C129" s="37"/>
      <c r="D129" s="37"/>
      <c r="E129" s="37"/>
      <c r="F129" s="37"/>
      <c r="G129" s="89"/>
      <c r="K129" s="37"/>
      <c r="O129" s="37"/>
      <c r="P129" s="37"/>
      <c r="Q129" s="37"/>
      <c r="R129" s="37"/>
    </row>
    <row r="130">
      <c r="B130" s="37"/>
      <c r="C130" s="37"/>
      <c r="D130" s="37"/>
      <c r="E130" s="37"/>
      <c r="F130" s="37"/>
      <c r="G130" s="89"/>
      <c r="K130" s="37"/>
      <c r="O130" s="37"/>
      <c r="P130" s="37"/>
      <c r="Q130" s="37"/>
      <c r="R130" s="37"/>
    </row>
    <row r="131">
      <c r="B131" s="37"/>
      <c r="C131" s="37"/>
      <c r="D131" s="37"/>
      <c r="E131" s="37"/>
      <c r="F131" s="37"/>
      <c r="G131" s="89"/>
      <c r="K131" s="37"/>
      <c r="O131" s="37"/>
      <c r="P131" s="37"/>
      <c r="Q131" s="37"/>
      <c r="R131" s="37"/>
    </row>
    <row r="132">
      <c r="B132" s="37"/>
      <c r="C132" s="37"/>
      <c r="D132" s="37"/>
      <c r="E132" s="37"/>
      <c r="F132" s="37"/>
      <c r="G132" s="89"/>
      <c r="K132" s="37"/>
      <c r="O132" s="37"/>
      <c r="P132" s="37"/>
      <c r="Q132" s="37"/>
      <c r="R132" s="37"/>
    </row>
    <row r="133">
      <c r="B133" s="37"/>
      <c r="C133" s="37"/>
      <c r="D133" s="37"/>
      <c r="E133" s="37"/>
      <c r="F133" s="37"/>
      <c r="G133" s="89"/>
      <c r="K133" s="37"/>
      <c r="O133" s="37"/>
      <c r="P133" s="37"/>
      <c r="Q133" s="37"/>
      <c r="R133" s="37"/>
    </row>
    <row r="134">
      <c r="B134" s="37"/>
      <c r="C134" s="37"/>
      <c r="D134" s="37"/>
      <c r="E134" s="37"/>
      <c r="F134" s="37"/>
      <c r="G134" s="89"/>
      <c r="K134" s="37"/>
      <c r="O134" s="37"/>
      <c r="P134" s="37"/>
      <c r="Q134" s="37"/>
      <c r="R134" s="37"/>
    </row>
    <row r="135">
      <c r="B135" s="37"/>
      <c r="C135" s="37"/>
      <c r="D135" s="37"/>
      <c r="E135" s="37"/>
      <c r="F135" s="37"/>
      <c r="G135" s="89"/>
      <c r="K135" s="37"/>
      <c r="O135" s="37"/>
      <c r="P135" s="37"/>
      <c r="Q135" s="37"/>
      <c r="R135" s="37"/>
    </row>
    <row r="136">
      <c r="B136" s="37"/>
      <c r="C136" s="37"/>
      <c r="D136" s="37"/>
      <c r="E136" s="37"/>
      <c r="F136" s="37"/>
      <c r="G136" s="89"/>
      <c r="K136" s="37"/>
      <c r="O136" s="37"/>
      <c r="P136" s="37"/>
      <c r="Q136" s="37"/>
      <c r="R136" s="37"/>
    </row>
    <row r="137">
      <c r="B137" s="37"/>
      <c r="C137" s="37"/>
      <c r="D137" s="37"/>
      <c r="E137" s="37"/>
      <c r="F137" s="37"/>
      <c r="G137" s="89"/>
      <c r="K137" s="37"/>
      <c r="O137" s="37"/>
      <c r="P137" s="37"/>
      <c r="Q137" s="37"/>
      <c r="R137" s="37"/>
    </row>
    <row r="138">
      <c r="B138" s="37"/>
      <c r="C138" s="37"/>
      <c r="D138" s="37"/>
      <c r="E138" s="37"/>
      <c r="F138" s="37"/>
      <c r="G138" s="89"/>
      <c r="K138" s="37"/>
      <c r="O138" s="37"/>
      <c r="P138" s="37"/>
      <c r="Q138" s="37"/>
      <c r="R138" s="37"/>
    </row>
    <row r="139">
      <c r="B139" s="37"/>
      <c r="C139" s="37"/>
      <c r="D139" s="37"/>
      <c r="E139" s="37"/>
      <c r="F139" s="37"/>
      <c r="G139" s="89"/>
      <c r="K139" s="37"/>
      <c r="O139" s="37"/>
      <c r="P139" s="37"/>
      <c r="Q139" s="37"/>
      <c r="R139" s="37"/>
    </row>
    <row r="140">
      <c r="B140" s="37"/>
      <c r="C140" s="37"/>
      <c r="D140" s="37"/>
      <c r="E140" s="37"/>
      <c r="F140" s="37"/>
      <c r="G140" s="89"/>
      <c r="K140" s="37"/>
      <c r="O140" s="37"/>
      <c r="P140" s="37"/>
      <c r="Q140" s="37"/>
      <c r="R140" s="37"/>
    </row>
    <row r="141">
      <c r="B141" s="37"/>
      <c r="C141" s="37"/>
      <c r="D141" s="37"/>
      <c r="E141" s="37"/>
      <c r="F141" s="37"/>
      <c r="G141" s="89"/>
      <c r="K141" s="37"/>
      <c r="O141" s="37"/>
      <c r="P141" s="37"/>
      <c r="Q141" s="37"/>
      <c r="R141" s="37"/>
    </row>
    <row r="142">
      <c r="B142" s="37"/>
      <c r="C142" s="37"/>
      <c r="D142" s="37"/>
      <c r="E142" s="37"/>
      <c r="F142" s="37"/>
      <c r="G142" s="89"/>
      <c r="K142" s="37"/>
      <c r="O142" s="37"/>
      <c r="P142" s="37"/>
      <c r="Q142" s="37"/>
      <c r="R142" s="37"/>
    </row>
    <row r="143">
      <c r="B143" s="37"/>
      <c r="C143" s="37"/>
      <c r="D143" s="37"/>
      <c r="E143" s="37"/>
      <c r="F143" s="37"/>
      <c r="G143" s="89"/>
      <c r="K143" s="37"/>
      <c r="O143" s="37"/>
      <c r="P143" s="37"/>
      <c r="Q143" s="37"/>
      <c r="R143" s="37"/>
    </row>
    <row r="144">
      <c r="B144" s="37"/>
      <c r="C144" s="37"/>
      <c r="D144" s="37"/>
      <c r="E144" s="37"/>
      <c r="F144" s="37"/>
      <c r="G144" s="89"/>
      <c r="K144" s="37"/>
      <c r="O144" s="37"/>
      <c r="P144" s="37"/>
      <c r="Q144" s="37"/>
      <c r="R144" s="37"/>
    </row>
    <row r="145">
      <c r="B145" s="37"/>
      <c r="C145" s="37"/>
      <c r="D145" s="37"/>
      <c r="E145" s="37"/>
      <c r="F145" s="37"/>
      <c r="G145" s="89"/>
      <c r="K145" s="37"/>
      <c r="O145" s="37"/>
      <c r="P145" s="37"/>
      <c r="Q145" s="37"/>
      <c r="R145" s="37"/>
    </row>
    <row r="146">
      <c r="B146" s="37"/>
      <c r="C146" s="37"/>
      <c r="D146" s="37"/>
      <c r="E146" s="37"/>
      <c r="F146" s="37"/>
      <c r="G146" s="89"/>
      <c r="K146" s="37"/>
      <c r="O146" s="37"/>
      <c r="P146" s="37"/>
      <c r="Q146" s="37"/>
      <c r="R146" s="37"/>
    </row>
    <row r="147">
      <c r="B147" s="37"/>
      <c r="C147" s="37"/>
      <c r="D147" s="37"/>
      <c r="E147" s="37"/>
      <c r="F147" s="37"/>
      <c r="G147" s="89"/>
      <c r="K147" s="37"/>
      <c r="O147" s="37"/>
      <c r="P147" s="37"/>
      <c r="Q147" s="37"/>
      <c r="R147" s="37"/>
    </row>
    <row r="148">
      <c r="B148" s="37"/>
      <c r="C148" s="37"/>
      <c r="D148" s="37"/>
      <c r="E148" s="37"/>
      <c r="F148" s="37"/>
      <c r="G148" s="89"/>
      <c r="K148" s="37"/>
      <c r="O148" s="37"/>
      <c r="P148" s="37"/>
      <c r="Q148" s="37"/>
      <c r="R148" s="37"/>
    </row>
    <row r="149">
      <c r="B149" s="37"/>
      <c r="C149" s="37"/>
      <c r="D149" s="37"/>
      <c r="E149" s="37"/>
      <c r="F149" s="37"/>
      <c r="G149" s="89"/>
      <c r="K149" s="37"/>
      <c r="O149" s="37"/>
      <c r="P149" s="37"/>
      <c r="Q149" s="37"/>
      <c r="R149" s="37"/>
    </row>
    <row r="150">
      <c r="B150" s="37"/>
      <c r="C150" s="37"/>
      <c r="D150" s="37"/>
      <c r="E150" s="37"/>
      <c r="F150" s="37"/>
      <c r="G150" s="89"/>
      <c r="K150" s="37"/>
      <c r="O150" s="37"/>
      <c r="P150" s="37"/>
      <c r="Q150" s="37"/>
      <c r="R150" s="37"/>
    </row>
    <row r="151">
      <c r="B151" s="37"/>
      <c r="C151" s="37"/>
      <c r="D151" s="37"/>
      <c r="E151" s="37"/>
      <c r="F151" s="37"/>
      <c r="G151" s="89"/>
      <c r="K151" s="37"/>
      <c r="O151" s="37"/>
      <c r="P151" s="37"/>
      <c r="Q151" s="37"/>
      <c r="R151" s="37"/>
    </row>
    <row r="152">
      <c r="B152" s="37"/>
      <c r="C152" s="37"/>
      <c r="D152" s="37"/>
      <c r="E152" s="37"/>
      <c r="F152" s="37"/>
      <c r="G152" s="89"/>
      <c r="K152" s="37"/>
      <c r="O152" s="37"/>
      <c r="P152" s="37"/>
      <c r="Q152" s="37"/>
      <c r="R152" s="37"/>
    </row>
    <row r="153">
      <c r="B153" s="37"/>
      <c r="C153" s="37"/>
      <c r="D153" s="37"/>
      <c r="E153" s="37"/>
      <c r="F153" s="37"/>
      <c r="G153" s="89"/>
      <c r="K153" s="37"/>
      <c r="O153" s="37"/>
      <c r="P153" s="37"/>
      <c r="Q153" s="37"/>
      <c r="R153" s="37"/>
    </row>
    <row r="154">
      <c r="B154" s="37"/>
      <c r="C154" s="37"/>
      <c r="D154" s="37"/>
      <c r="E154" s="37"/>
      <c r="F154" s="37"/>
      <c r="G154" s="89"/>
      <c r="K154" s="37"/>
      <c r="O154" s="37"/>
      <c r="P154" s="37"/>
      <c r="Q154" s="37"/>
      <c r="R154" s="37"/>
    </row>
    <row r="155">
      <c r="B155" s="37"/>
      <c r="C155" s="37"/>
      <c r="D155" s="37"/>
      <c r="E155" s="37"/>
      <c r="F155" s="37"/>
      <c r="G155" s="89"/>
      <c r="K155" s="37"/>
      <c r="O155" s="37"/>
      <c r="P155" s="37"/>
      <c r="Q155" s="37"/>
      <c r="R155" s="37"/>
    </row>
    <row r="156">
      <c r="B156" s="37"/>
      <c r="C156" s="37"/>
      <c r="D156" s="37"/>
      <c r="E156" s="37"/>
      <c r="F156" s="37"/>
      <c r="G156" s="89"/>
      <c r="K156" s="37"/>
      <c r="O156" s="37"/>
      <c r="P156" s="37"/>
      <c r="Q156" s="37"/>
      <c r="R156" s="37"/>
    </row>
    <row r="157">
      <c r="B157" s="37"/>
      <c r="C157" s="37"/>
      <c r="D157" s="37"/>
      <c r="E157" s="37"/>
      <c r="F157" s="37"/>
      <c r="G157" s="89"/>
      <c r="K157" s="37"/>
      <c r="O157" s="37"/>
      <c r="P157" s="37"/>
      <c r="Q157" s="37"/>
      <c r="R157" s="37"/>
    </row>
    <row r="158">
      <c r="B158" s="37"/>
      <c r="C158" s="37"/>
      <c r="D158" s="37"/>
      <c r="E158" s="37"/>
      <c r="F158" s="37"/>
      <c r="G158" s="89"/>
      <c r="K158" s="37"/>
      <c r="O158" s="37"/>
      <c r="P158" s="37"/>
      <c r="Q158" s="37"/>
      <c r="R158" s="37"/>
    </row>
    <row r="159">
      <c r="B159" s="37"/>
      <c r="C159" s="37"/>
      <c r="D159" s="37"/>
      <c r="E159" s="37"/>
      <c r="F159" s="37"/>
      <c r="G159" s="89"/>
      <c r="K159" s="37"/>
      <c r="O159" s="37"/>
      <c r="P159" s="37"/>
      <c r="Q159" s="37"/>
      <c r="R159" s="37"/>
    </row>
    <row r="160">
      <c r="B160" s="37"/>
      <c r="C160" s="37"/>
      <c r="D160" s="37"/>
      <c r="E160" s="37"/>
      <c r="F160" s="37"/>
      <c r="G160" s="89"/>
      <c r="K160" s="37"/>
      <c r="O160" s="37"/>
      <c r="P160" s="37"/>
      <c r="Q160" s="37"/>
      <c r="R160" s="37"/>
    </row>
    <row r="161">
      <c r="B161" s="37"/>
      <c r="C161" s="37"/>
      <c r="D161" s="37"/>
      <c r="E161" s="37"/>
      <c r="F161" s="37"/>
      <c r="G161" s="89"/>
      <c r="K161" s="37"/>
      <c r="O161" s="37"/>
      <c r="P161" s="37"/>
      <c r="Q161" s="37"/>
      <c r="R161" s="37"/>
    </row>
    <row r="162">
      <c r="B162" s="37"/>
      <c r="C162" s="37"/>
      <c r="D162" s="37"/>
      <c r="E162" s="37"/>
      <c r="F162" s="37"/>
      <c r="G162" s="89"/>
      <c r="K162" s="37"/>
      <c r="O162" s="37"/>
      <c r="P162" s="37"/>
      <c r="Q162" s="37"/>
      <c r="R162" s="37"/>
    </row>
    <row r="163">
      <c r="B163" s="37"/>
      <c r="C163" s="37"/>
      <c r="D163" s="37"/>
      <c r="E163" s="37"/>
      <c r="F163" s="37"/>
      <c r="G163" s="89"/>
      <c r="K163" s="37"/>
      <c r="O163" s="37"/>
      <c r="P163" s="37"/>
      <c r="Q163" s="37"/>
      <c r="R163" s="37"/>
    </row>
    <row r="164">
      <c r="B164" s="37"/>
      <c r="C164" s="37"/>
      <c r="D164" s="37"/>
      <c r="E164" s="37"/>
      <c r="F164" s="37"/>
      <c r="G164" s="89"/>
      <c r="K164" s="37"/>
      <c r="O164" s="37"/>
      <c r="P164" s="37"/>
      <c r="Q164" s="37"/>
      <c r="R164" s="37"/>
    </row>
    <row r="165">
      <c r="B165" s="37"/>
      <c r="C165" s="37"/>
      <c r="D165" s="37"/>
      <c r="E165" s="37"/>
      <c r="F165" s="37"/>
      <c r="G165" s="89"/>
      <c r="K165" s="37"/>
      <c r="O165" s="37"/>
      <c r="P165" s="37"/>
      <c r="Q165" s="37"/>
      <c r="R165" s="37"/>
    </row>
    <row r="166">
      <c r="B166" s="37"/>
      <c r="C166" s="37"/>
      <c r="D166" s="37"/>
      <c r="E166" s="37"/>
      <c r="F166" s="37"/>
      <c r="G166" s="89"/>
      <c r="K166" s="37"/>
      <c r="O166" s="37"/>
      <c r="P166" s="37"/>
      <c r="Q166" s="37"/>
      <c r="R166" s="37"/>
    </row>
    <row r="167">
      <c r="B167" s="37"/>
      <c r="C167" s="37"/>
      <c r="D167" s="37"/>
      <c r="E167" s="37"/>
      <c r="F167" s="37"/>
      <c r="G167" s="89"/>
      <c r="K167" s="37"/>
      <c r="O167" s="37"/>
      <c r="P167" s="37"/>
      <c r="Q167" s="37"/>
      <c r="R167" s="37"/>
    </row>
    <row r="168">
      <c r="B168" s="37"/>
      <c r="C168" s="37"/>
      <c r="D168" s="37"/>
      <c r="E168" s="37"/>
      <c r="F168" s="37"/>
      <c r="G168" s="89"/>
      <c r="K168" s="37"/>
      <c r="O168" s="37"/>
      <c r="P168" s="37"/>
      <c r="Q168" s="37"/>
      <c r="R168" s="37"/>
    </row>
    <row r="169">
      <c r="B169" s="37"/>
      <c r="C169" s="37"/>
      <c r="D169" s="37"/>
      <c r="E169" s="37"/>
      <c r="F169" s="37"/>
      <c r="G169" s="89"/>
      <c r="K169" s="37"/>
      <c r="O169" s="37"/>
      <c r="P169" s="37"/>
      <c r="Q169" s="37"/>
      <c r="R169" s="37"/>
    </row>
    <row r="170">
      <c r="B170" s="37"/>
      <c r="C170" s="37"/>
      <c r="D170" s="37"/>
      <c r="E170" s="37"/>
      <c r="F170" s="37"/>
      <c r="G170" s="89"/>
      <c r="K170" s="37"/>
      <c r="O170" s="37"/>
      <c r="P170" s="37"/>
      <c r="Q170" s="37"/>
      <c r="R170" s="37"/>
    </row>
    <row r="171">
      <c r="B171" s="37"/>
      <c r="C171" s="37"/>
      <c r="D171" s="37"/>
      <c r="E171" s="37"/>
      <c r="F171" s="37"/>
      <c r="G171" s="89"/>
      <c r="K171" s="37"/>
      <c r="O171" s="37"/>
      <c r="P171" s="37"/>
      <c r="Q171" s="37"/>
      <c r="R171" s="37"/>
    </row>
    <row r="172">
      <c r="B172" s="37"/>
      <c r="C172" s="37"/>
      <c r="D172" s="37"/>
      <c r="E172" s="37"/>
      <c r="F172" s="37"/>
      <c r="G172" s="89"/>
      <c r="K172" s="37"/>
      <c r="O172" s="37"/>
      <c r="P172" s="37"/>
      <c r="Q172" s="37"/>
      <c r="R172" s="37"/>
    </row>
    <row r="173">
      <c r="B173" s="37"/>
      <c r="C173" s="37"/>
      <c r="D173" s="37"/>
      <c r="E173" s="37"/>
      <c r="F173" s="37"/>
      <c r="G173" s="89"/>
      <c r="K173" s="37"/>
      <c r="O173" s="37"/>
      <c r="P173" s="37"/>
      <c r="Q173" s="37"/>
      <c r="R173" s="37"/>
    </row>
    <row r="174">
      <c r="B174" s="37"/>
      <c r="C174" s="37"/>
      <c r="D174" s="37"/>
      <c r="E174" s="37"/>
      <c r="F174" s="37"/>
      <c r="G174" s="89"/>
      <c r="K174" s="37"/>
      <c r="O174" s="37"/>
      <c r="P174" s="37"/>
      <c r="Q174" s="37"/>
      <c r="R174" s="37"/>
    </row>
    <row r="175">
      <c r="B175" s="37"/>
      <c r="C175" s="37"/>
      <c r="D175" s="37"/>
      <c r="E175" s="37"/>
      <c r="F175" s="37"/>
      <c r="G175" s="89"/>
      <c r="K175" s="37"/>
      <c r="O175" s="37"/>
      <c r="P175" s="37"/>
      <c r="Q175" s="37"/>
      <c r="R175" s="37"/>
    </row>
    <row r="176">
      <c r="B176" s="37"/>
      <c r="C176" s="37"/>
      <c r="D176" s="37"/>
      <c r="E176" s="37"/>
      <c r="F176" s="37"/>
      <c r="G176" s="89"/>
      <c r="K176" s="37"/>
      <c r="O176" s="37"/>
      <c r="P176" s="37"/>
      <c r="Q176" s="37"/>
      <c r="R176" s="37"/>
    </row>
    <row r="177">
      <c r="B177" s="37"/>
      <c r="C177" s="37"/>
      <c r="D177" s="37"/>
      <c r="E177" s="37"/>
      <c r="F177" s="37"/>
      <c r="G177" s="89"/>
      <c r="K177" s="37"/>
      <c r="O177" s="37"/>
      <c r="P177" s="37"/>
      <c r="Q177" s="37"/>
      <c r="R177" s="37"/>
    </row>
    <row r="178">
      <c r="B178" s="37"/>
      <c r="C178" s="37"/>
      <c r="D178" s="37"/>
      <c r="E178" s="37"/>
      <c r="F178" s="37"/>
      <c r="G178" s="89"/>
      <c r="K178" s="37"/>
      <c r="O178" s="37"/>
      <c r="P178" s="37"/>
      <c r="Q178" s="37"/>
      <c r="R178" s="37"/>
    </row>
    <row r="179">
      <c r="B179" s="37"/>
      <c r="C179" s="37"/>
      <c r="D179" s="37"/>
      <c r="E179" s="37"/>
      <c r="F179" s="37"/>
      <c r="G179" s="89"/>
      <c r="K179" s="37"/>
      <c r="O179" s="37"/>
      <c r="P179" s="37"/>
      <c r="Q179" s="37"/>
      <c r="R179" s="37"/>
    </row>
    <row r="180">
      <c r="B180" s="37"/>
      <c r="C180" s="37"/>
      <c r="D180" s="37"/>
      <c r="E180" s="37"/>
      <c r="F180" s="37"/>
      <c r="G180" s="89"/>
      <c r="K180" s="37"/>
      <c r="O180" s="37"/>
      <c r="P180" s="37"/>
      <c r="Q180" s="37"/>
      <c r="R180" s="37"/>
    </row>
    <row r="181">
      <c r="B181" s="37"/>
      <c r="C181" s="37"/>
      <c r="D181" s="37"/>
      <c r="E181" s="37"/>
      <c r="F181" s="37"/>
      <c r="G181" s="89"/>
      <c r="K181" s="37"/>
      <c r="O181" s="37"/>
      <c r="P181" s="37"/>
      <c r="Q181" s="37"/>
      <c r="R181" s="37"/>
    </row>
    <row r="182">
      <c r="B182" s="37"/>
      <c r="C182" s="37"/>
      <c r="D182" s="37"/>
      <c r="E182" s="37"/>
      <c r="F182" s="37"/>
      <c r="G182" s="89"/>
      <c r="K182" s="37"/>
      <c r="O182" s="37"/>
      <c r="P182" s="37"/>
      <c r="Q182" s="37"/>
      <c r="R182" s="37"/>
    </row>
    <row r="183">
      <c r="B183" s="37"/>
      <c r="C183" s="37"/>
      <c r="D183" s="37"/>
      <c r="E183" s="37"/>
      <c r="F183" s="37"/>
      <c r="G183" s="89"/>
      <c r="K183" s="37"/>
      <c r="O183" s="37"/>
      <c r="P183" s="37"/>
      <c r="Q183" s="37"/>
      <c r="R183" s="37"/>
    </row>
    <row r="184">
      <c r="B184" s="37"/>
      <c r="C184" s="37"/>
      <c r="D184" s="37"/>
      <c r="E184" s="37"/>
      <c r="F184" s="37"/>
      <c r="G184" s="89"/>
      <c r="K184" s="37"/>
      <c r="O184" s="37"/>
      <c r="P184" s="37"/>
      <c r="Q184" s="37"/>
      <c r="R184" s="37"/>
    </row>
    <row r="185">
      <c r="B185" s="37"/>
      <c r="C185" s="37"/>
      <c r="D185" s="37"/>
      <c r="E185" s="37"/>
      <c r="F185" s="37"/>
      <c r="G185" s="89"/>
      <c r="K185" s="37"/>
      <c r="O185" s="37"/>
      <c r="P185" s="37"/>
      <c r="Q185" s="37"/>
      <c r="R185" s="37"/>
    </row>
    <row r="186">
      <c r="B186" s="37"/>
      <c r="C186" s="37"/>
      <c r="D186" s="37"/>
      <c r="E186" s="37"/>
      <c r="F186" s="37"/>
      <c r="G186" s="89"/>
      <c r="K186" s="37"/>
      <c r="O186" s="37"/>
      <c r="P186" s="37"/>
      <c r="Q186" s="37"/>
      <c r="R186" s="37"/>
    </row>
    <row r="187">
      <c r="B187" s="37"/>
      <c r="C187" s="37"/>
      <c r="D187" s="37"/>
      <c r="E187" s="37"/>
      <c r="F187" s="37"/>
      <c r="G187" s="89"/>
      <c r="K187" s="37"/>
      <c r="O187" s="37"/>
      <c r="P187" s="37"/>
      <c r="Q187" s="37"/>
      <c r="R187" s="37"/>
    </row>
    <row r="188">
      <c r="B188" s="37"/>
      <c r="C188" s="37"/>
      <c r="D188" s="37"/>
      <c r="E188" s="37"/>
      <c r="F188" s="37"/>
      <c r="G188" s="89"/>
      <c r="K188" s="37"/>
      <c r="O188" s="37"/>
      <c r="P188" s="37"/>
      <c r="Q188" s="37"/>
      <c r="R188" s="37"/>
    </row>
    <row r="189">
      <c r="B189" s="37"/>
      <c r="C189" s="37"/>
      <c r="D189" s="37"/>
      <c r="E189" s="37"/>
      <c r="F189" s="37"/>
      <c r="G189" s="89"/>
      <c r="K189" s="37"/>
      <c r="O189" s="37"/>
      <c r="P189" s="37"/>
      <c r="Q189" s="37"/>
      <c r="R189" s="37"/>
    </row>
    <row r="190">
      <c r="B190" s="37"/>
      <c r="C190" s="37"/>
      <c r="D190" s="37"/>
      <c r="E190" s="37"/>
      <c r="F190" s="37"/>
      <c r="G190" s="89"/>
      <c r="K190" s="37"/>
      <c r="O190" s="37"/>
      <c r="P190" s="37"/>
      <c r="Q190" s="37"/>
      <c r="R190" s="37"/>
    </row>
    <row r="191">
      <c r="B191" s="37"/>
      <c r="C191" s="37"/>
      <c r="D191" s="37"/>
      <c r="E191" s="37"/>
      <c r="F191" s="37"/>
      <c r="G191" s="89"/>
      <c r="K191" s="37"/>
      <c r="O191" s="37"/>
      <c r="P191" s="37"/>
      <c r="Q191" s="37"/>
      <c r="R191" s="37"/>
    </row>
    <row r="192">
      <c r="B192" s="37"/>
      <c r="C192" s="37"/>
      <c r="D192" s="37"/>
      <c r="E192" s="37"/>
      <c r="F192" s="37"/>
      <c r="G192" s="89"/>
      <c r="K192" s="37"/>
      <c r="O192" s="37"/>
      <c r="P192" s="37"/>
      <c r="Q192" s="37"/>
      <c r="R192" s="37"/>
    </row>
    <row r="193">
      <c r="B193" s="37"/>
      <c r="C193" s="37"/>
      <c r="D193" s="37"/>
      <c r="E193" s="37"/>
      <c r="F193" s="37"/>
      <c r="G193" s="89"/>
      <c r="K193" s="37"/>
      <c r="O193" s="37"/>
      <c r="P193" s="37"/>
      <c r="Q193" s="37"/>
      <c r="R193" s="37"/>
    </row>
    <row r="194">
      <c r="B194" s="37"/>
      <c r="C194" s="37"/>
      <c r="D194" s="37"/>
      <c r="E194" s="37"/>
      <c r="F194" s="37"/>
      <c r="G194" s="89"/>
      <c r="K194" s="37"/>
      <c r="O194" s="37"/>
      <c r="P194" s="37"/>
      <c r="Q194" s="37"/>
      <c r="R194" s="37"/>
    </row>
    <row r="195">
      <c r="B195" s="37"/>
      <c r="C195" s="37"/>
      <c r="D195" s="37"/>
      <c r="E195" s="37"/>
      <c r="F195" s="37"/>
      <c r="G195" s="89"/>
      <c r="K195" s="37"/>
      <c r="O195" s="37"/>
      <c r="P195" s="37"/>
      <c r="Q195" s="37"/>
      <c r="R195" s="37"/>
    </row>
    <row r="196">
      <c r="B196" s="37"/>
      <c r="C196" s="37"/>
      <c r="D196" s="37"/>
      <c r="E196" s="37"/>
      <c r="F196" s="37"/>
      <c r="G196" s="89"/>
      <c r="K196" s="37"/>
      <c r="O196" s="37"/>
      <c r="P196" s="37"/>
      <c r="Q196" s="37"/>
      <c r="R196" s="37"/>
    </row>
    <row r="197">
      <c r="B197" s="37"/>
      <c r="C197" s="37"/>
      <c r="D197" s="37"/>
      <c r="E197" s="37"/>
      <c r="F197" s="37"/>
      <c r="G197" s="89"/>
      <c r="K197" s="37"/>
      <c r="O197" s="37"/>
      <c r="P197" s="37"/>
      <c r="Q197" s="37"/>
      <c r="R197" s="37"/>
    </row>
    <row r="198">
      <c r="B198" s="37"/>
      <c r="C198" s="37"/>
      <c r="D198" s="37"/>
      <c r="E198" s="37"/>
      <c r="F198" s="37"/>
      <c r="G198" s="89"/>
      <c r="K198" s="37"/>
      <c r="O198" s="37"/>
      <c r="P198" s="37"/>
      <c r="Q198" s="37"/>
      <c r="R198" s="37"/>
    </row>
    <row r="199">
      <c r="B199" s="37"/>
      <c r="C199" s="37"/>
      <c r="D199" s="37"/>
      <c r="E199" s="37"/>
      <c r="F199" s="37"/>
      <c r="G199" s="89"/>
      <c r="K199" s="37"/>
      <c r="O199" s="37"/>
      <c r="P199" s="37"/>
      <c r="Q199" s="37"/>
      <c r="R199" s="37"/>
    </row>
    <row r="200">
      <c r="B200" s="37"/>
      <c r="C200" s="37"/>
      <c r="D200" s="37"/>
      <c r="E200" s="37"/>
      <c r="F200" s="37"/>
      <c r="G200" s="89"/>
      <c r="K200" s="37"/>
      <c r="O200" s="37"/>
      <c r="P200" s="37"/>
      <c r="Q200" s="37"/>
      <c r="R200" s="37"/>
    </row>
    <row r="201">
      <c r="B201" s="37"/>
      <c r="C201" s="37"/>
      <c r="D201" s="37"/>
      <c r="E201" s="37"/>
      <c r="F201" s="37"/>
      <c r="G201" s="89"/>
      <c r="K201" s="37"/>
      <c r="O201" s="37"/>
      <c r="P201" s="37"/>
      <c r="Q201" s="37"/>
      <c r="R201" s="37"/>
    </row>
    <row r="202">
      <c r="B202" s="37"/>
      <c r="C202" s="37"/>
      <c r="D202" s="37"/>
      <c r="E202" s="37"/>
      <c r="F202" s="37"/>
      <c r="G202" s="89"/>
      <c r="K202" s="37"/>
      <c r="O202" s="37"/>
      <c r="P202" s="37"/>
      <c r="Q202" s="37"/>
      <c r="R202" s="37"/>
    </row>
    <row r="203">
      <c r="B203" s="37"/>
      <c r="C203" s="37"/>
      <c r="D203" s="37"/>
      <c r="E203" s="37"/>
      <c r="F203" s="37"/>
      <c r="G203" s="89"/>
      <c r="K203" s="37"/>
      <c r="O203" s="37"/>
      <c r="P203" s="37"/>
      <c r="Q203" s="37"/>
      <c r="R203" s="37"/>
    </row>
    <row r="204">
      <c r="B204" s="37"/>
      <c r="C204" s="37"/>
      <c r="D204" s="37"/>
      <c r="E204" s="37"/>
      <c r="F204" s="37"/>
      <c r="G204" s="89"/>
      <c r="K204" s="37"/>
      <c r="O204" s="37"/>
      <c r="P204" s="37"/>
      <c r="Q204" s="37"/>
      <c r="R204" s="37"/>
    </row>
    <row r="205">
      <c r="B205" s="37"/>
      <c r="C205" s="37"/>
      <c r="D205" s="37"/>
      <c r="E205" s="37"/>
      <c r="F205" s="37"/>
      <c r="G205" s="89"/>
      <c r="K205" s="37"/>
      <c r="O205" s="37"/>
      <c r="P205" s="37"/>
      <c r="Q205" s="37"/>
      <c r="R205" s="37"/>
    </row>
    <row r="206">
      <c r="B206" s="37"/>
      <c r="C206" s="37"/>
      <c r="D206" s="37"/>
      <c r="E206" s="37"/>
      <c r="F206" s="37"/>
      <c r="G206" s="89"/>
      <c r="K206" s="37"/>
      <c r="O206" s="37"/>
      <c r="P206" s="37"/>
      <c r="Q206" s="37"/>
      <c r="R206" s="37"/>
    </row>
    <row r="207">
      <c r="B207" s="37"/>
      <c r="C207" s="37"/>
      <c r="D207" s="37"/>
      <c r="E207" s="37"/>
      <c r="F207" s="37"/>
      <c r="G207" s="89"/>
      <c r="K207" s="37"/>
      <c r="O207" s="37"/>
      <c r="P207" s="37"/>
      <c r="Q207" s="37"/>
      <c r="R207" s="37"/>
    </row>
    <row r="208">
      <c r="B208" s="37"/>
      <c r="C208" s="37"/>
      <c r="D208" s="37"/>
      <c r="E208" s="37"/>
      <c r="F208" s="37"/>
      <c r="G208" s="89"/>
      <c r="K208" s="37"/>
      <c r="O208" s="37"/>
      <c r="P208" s="37"/>
      <c r="Q208" s="37"/>
      <c r="R208" s="37"/>
    </row>
    <row r="209">
      <c r="B209" s="37"/>
      <c r="C209" s="37"/>
      <c r="D209" s="37"/>
      <c r="E209" s="37"/>
      <c r="F209" s="37"/>
      <c r="G209" s="89"/>
      <c r="K209" s="37"/>
      <c r="O209" s="37"/>
      <c r="P209" s="37"/>
      <c r="Q209" s="37"/>
      <c r="R209" s="37"/>
    </row>
    <row r="210">
      <c r="B210" s="37"/>
      <c r="C210" s="37"/>
      <c r="D210" s="37"/>
      <c r="E210" s="37"/>
      <c r="F210" s="37"/>
      <c r="G210" s="89"/>
      <c r="K210" s="37"/>
      <c r="O210" s="37"/>
      <c r="P210" s="37"/>
      <c r="Q210" s="37"/>
      <c r="R210" s="37"/>
    </row>
    <row r="211">
      <c r="B211" s="37"/>
      <c r="C211" s="37"/>
      <c r="D211" s="37"/>
      <c r="E211" s="37"/>
      <c r="F211" s="37"/>
      <c r="G211" s="89"/>
      <c r="K211" s="37"/>
      <c r="O211" s="37"/>
      <c r="P211" s="37"/>
      <c r="Q211" s="37"/>
      <c r="R211" s="37"/>
    </row>
    <row r="212">
      <c r="B212" s="37"/>
      <c r="C212" s="37"/>
      <c r="D212" s="37"/>
      <c r="E212" s="37"/>
      <c r="F212" s="37"/>
      <c r="G212" s="89"/>
      <c r="K212" s="37"/>
      <c r="O212" s="37"/>
      <c r="P212" s="37"/>
      <c r="Q212" s="37"/>
      <c r="R212" s="37"/>
    </row>
    <row r="213">
      <c r="B213" s="37"/>
      <c r="C213" s="37"/>
      <c r="D213" s="37"/>
      <c r="E213" s="37"/>
      <c r="F213" s="37"/>
      <c r="G213" s="89"/>
      <c r="K213" s="37"/>
      <c r="O213" s="37"/>
      <c r="P213" s="37"/>
      <c r="Q213" s="37"/>
      <c r="R213" s="37"/>
    </row>
    <row r="214">
      <c r="B214" s="37"/>
      <c r="C214" s="37"/>
      <c r="D214" s="37"/>
      <c r="E214" s="37"/>
      <c r="F214" s="37"/>
      <c r="G214" s="89"/>
      <c r="K214" s="37"/>
      <c r="O214" s="37"/>
      <c r="P214" s="37"/>
      <c r="Q214" s="37"/>
      <c r="R214" s="37"/>
    </row>
    <row r="215">
      <c r="B215" s="37"/>
      <c r="C215" s="37"/>
      <c r="D215" s="37"/>
      <c r="E215" s="37"/>
      <c r="F215" s="37"/>
      <c r="G215" s="89"/>
      <c r="K215" s="37"/>
      <c r="O215" s="37"/>
      <c r="P215" s="37"/>
      <c r="Q215" s="37"/>
      <c r="R215" s="37"/>
    </row>
    <row r="216">
      <c r="B216" s="37"/>
      <c r="C216" s="37"/>
      <c r="D216" s="37"/>
      <c r="E216" s="37"/>
      <c r="F216" s="37"/>
      <c r="G216" s="89"/>
      <c r="K216" s="37"/>
      <c r="O216" s="37"/>
      <c r="P216" s="37"/>
      <c r="Q216" s="37"/>
      <c r="R216" s="37"/>
    </row>
    <row r="217">
      <c r="B217" s="37"/>
      <c r="C217" s="37"/>
      <c r="D217" s="37"/>
      <c r="E217" s="37"/>
      <c r="F217" s="37"/>
      <c r="G217" s="89"/>
      <c r="K217" s="37"/>
      <c r="O217" s="37"/>
      <c r="P217" s="37"/>
      <c r="Q217" s="37"/>
      <c r="R217" s="37"/>
    </row>
    <row r="218">
      <c r="B218" s="37"/>
      <c r="C218" s="37"/>
      <c r="D218" s="37"/>
      <c r="E218" s="37"/>
      <c r="F218" s="37"/>
      <c r="G218" s="89"/>
      <c r="K218" s="37"/>
      <c r="O218" s="37"/>
      <c r="P218" s="37"/>
      <c r="Q218" s="37"/>
      <c r="R218" s="37"/>
    </row>
    <row r="219">
      <c r="B219" s="37"/>
      <c r="C219" s="37"/>
      <c r="D219" s="37"/>
      <c r="E219" s="37"/>
      <c r="F219" s="37"/>
      <c r="G219" s="89"/>
      <c r="K219" s="37"/>
      <c r="O219" s="37"/>
      <c r="P219" s="37"/>
      <c r="Q219" s="37"/>
      <c r="R219" s="37"/>
    </row>
    <row r="220">
      <c r="B220" s="37"/>
      <c r="C220" s="37"/>
      <c r="D220" s="37"/>
      <c r="E220" s="37"/>
      <c r="F220" s="37"/>
      <c r="G220" s="89"/>
      <c r="K220" s="37"/>
      <c r="O220" s="37"/>
      <c r="P220" s="37"/>
      <c r="Q220" s="37"/>
      <c r="R220" s="37"/>
    </row>
    <row r="221">
      <c r="B221" s="37"/>
      <c r="C221" s="37"/>
      <c r="D221" s="37"/>
      <c r="E221" s="37"/>
      <c r="F221" s="37"/>
      <c r="G221" s="89"/>
      <c r="K221" s="37"/>
      <c r="O221" s="37"/>
      <c r="P221" s="37"/>
      <c r="Q221" s="37"/>
      <c r="R221" s="37"/>
    </row>
    <row r="222">
      <c r="B222" s="37"/>
      <c r="C222" s="37"/>
      <c r="D222" s="37"/>
      <c r="E222" s="37"/>
      <c r="F222" s="37"/>
      <c r="G222" s="89"/>
      <c r="K222" s="37"/>
      <c r="O222" s="37"/>
      <c r="P222" s="37"/>
      <c r="Q222" s="37"/>
      <c r="R222" s="37"/>
    </row>
    <row r="223">
      <c r="B223" s="37"/>
      <c r="C223" s="37"/>
      <c r="D223" s="37"/>
      <c r="E223" s="37"/>
      <c r="F223" s="37"/>
      <c r="G223" s="89"/>
      <c r="K223" s="37"/>
      <c r="O223" s="37"/>
      <c r="P223" s="37"/>
      <c r="Q223" s="37"/>
      <c r="R223" s="37"/>
    </row>
    <row r="224">
      <c r="B224" s="37"/>
      <c r="C224" s="37"/>
      <c r="D224" s="37"/>
      <c r="E224" s="37"/>
      <c r="F224" s="37"/>
      <c r="G224" s="89"/>
      <c r="K224" s="37"/>
      <c r="O224" s="37"/>
      <c r="P224" s="37"/>
      <c r="Q224" s="37"/>
      <c r="R224" s="37"/>
    </row>
    <row r="225">
      <c r="B225" s="37"/>
      <c r="C225" s="37"/>
      <c r="D225" s="37"/>
      <c r="E225" s="37"/>
      <c r="F225" s="37"/>
      <c r="G225" s="89"/>
      <c r="K225" s="37"/>
      <c r="O225" s="37"/>
      <c r="P225" s="37"/>
      <c r="Q225" s="37"/>
      <c r="R225" s="37"/>
    </row>
    <row r="226">
      <c r="B226" s="37"/>
      <c r="C226" s="37"/>
      <c r="D226" s="37"/>
      <c r="E226" s="37"/>
      <c r="F226" s="37"/>
      <c r="G226" s="89"/>
      <c r="K226" s="37"/>
      <c r="O226" s="37"/>
      <c r="P226" s="37"/>
      <c r="Q226" s="37"/>
      <c r="R226" s="37"/>
    </row>
    <row r="227">
      <c r="B227" s="37"/>
      <c r="C227" s="37"/>
      <c r="D227" s="37"/>
      <c r="E227" s="37"/>
      <c r="F227" s="37"/>
      <c r="G227" s="89"/>
      <c r="K227" s="37"/>
      <c r="O227" s="37"/>
      <c r="P227" s="37"/>
      <c r="Q227" s="37"/>
      <c r="R227" s="37"/>
    </row>
    <row r="228">
      <c r="B228" s="37"/>
      <c r="C228" s="37"/>
      <c r="D228" s="37"/>
      <c r="E228" s="37"/>
      <c r="F228" s="37"/>
      <c r="G228" s="89"/>
      <c r="K228" s="37"/>
      <c r="O228" s="37"/>
      <c r="P228" s="37"/>
      <c r="Q228" s="37"/>
      <c r="R228" s="37"/>
    </row>
    <row r="229">
      <c r="B229" s="37"/>
      <c r="C229" s="37"/>
      <c r="D229" s="37"/>
      <c r="E229" s="37"/>
      <c r="F229" s="37"/>
      <c r="G229" s="89"/>
      <c r="K229" s="37"/>
      <c r="O229" s="37"/>
      <c r="P229" s="37"/>
      <c r="Q229" s="37"/>
      <c r="R229" s="37"/>
    </row>
    <row r="230">
      <c r="B230" s="37"/>
      <c r="C230" s="37"/>
      <c r="D230" s="37"/>
      <c r="E230" s="37"/>
      <c r="F230" s="37"/>
      <c r="G230" s="89"/>
      <c r="K230" s="37"/>
      <c r="O230" s="37"/>
      <c r="P230" s="37"/>
      <c r="Q230" s="37"/>
      <c r="R230" s="37"/>
    </row>
    <row r="231">
      <c r="B231" s="37"/>
      <c r="C231" s="37"/>
      <c r="D231" s="37"/>
      <c r="E231" s="37"/>
      <c r="F231" s="37"/>
      <c r="G231" s="89"/>
      <c r="K231" s="37"/>
      <c r="O231" s="37"/>
      <c r="P231" s="37"/>
      <c r="Q231" s="37"/>
      <c r="R231" s="37"/>
    </row>
    <row r="232">
      <c r="B232" s="37"/>
      <c r="C232" s="37"/>
      <c r="D232" s="37"/>
      <c r="E232" s="37"/>
      <c r="F232" s="37"/>
      <c r="G232" s="89"/>
      <c r="K232" s="37"/>
      <c r="O232" s="37"/>
      <c r="P232" s="37"/>
      <c r="Q232" s="37"/>
      <c r="R232" s="37"/>
    </row>
    <row r="233">
      <c r="B233" s="37"/>
      <c r="C233" s="37"/>
      <c r="D233" s="37"/>
      <c r="E233" s="37"/>
      <c r="F233" s="37"/>
      <c r="G233" s="89"/>
      <c r="K233" s="37"/>
      <c r="O233" s="37"/>
      <c r="P233" s="37"/>
      <c r="Q233" s="37"/>
      <c r="R233" s="37"/>
    </row>
    <row r="234">
      <c r="B234" s="37"/>
      <c r="C234" s="37"/>
      <c r="D234" s="37"/>
      <c r="E234" s="37"/>
      <c r="F234" s="37"/>
      <c r="G234" s="89"/>
      <c r="K234" s="37"/>
      <c r="O234" s="37"/>
      <c r="P234" s="37"/>
      <c r="Q234" s="37"/>
      <c r="R234" s="37"/>
    </row>
    <row r="235">
      <c r="B235" s="37"/>
      <c r="C235" s="37"/>
      <c r="D235" s="37"/>
      <c r="E235" s="37"/>
      <c r="F235" s="37"/>
      <c r="G235" s="89"/>
      <c r="K235" s="37"/>
      <c r="O235" s="37"/>
      <c r="P235" s="37"/>
      <c r="Q235" s="37"/>
      <c r="R235" s="37"/>
    </row>
    <row r="236">
      <c r="B236" s="37"/>
      <c r="C236" s="37"/>
      <c r="D236" s="37"/>
      <c r="E236" s="37"/>
      <c r="F236" s="37"/>
      <c r="G236" s="89"/>
      <c r="K236" s="37"/>
      <c r="O236" s="37"/>
      <c r="P236" s="37"/>
      <c r="Q236" s="37"/>
      <c r="R236" s="37"/>
    </row>
    <row r="237">
      <c r="B237" s="37"/>
      <c r="C237" s="37"/>
      <c r="D237" s="37"/>
      <c r="E237" s="37"/>
      <c r="F237" s="37"/>
      <c r="G237" s="89"/>
      <c r="K237" s="37"/>
      <c r="O237" s="37"/>
      <c r="P237" s="37"/>
      <c r="Q237" s="37"/>
      <c r="R237" s="37"/>
    </row>
    <row r="238">
      <c r="B238" s="37"/>
      <c r="C238" s="37"/>
      <c r="D238" s="37"/>
      <c r="E238" s="37"/>
      <c r="F238" s="37"/>
      <c r="G238" s="89"/>
      <c r="K238" s="37"/>
      <c r="O238" s="37"/>
      <c r="P238" s="37"/>
      <c r="Q238" s="37"/>
      <c r="R238" s="37"/>
    </row>
    <row r="239">
      <c r="B239" s="37"/>
      <c r="C239" s="37"/>
      <c r="D239" s="37"/>
      <c r="E239" s="37"/>
      <c r="F239" s="37"/>
      <c r="G239" s="89"/>
      <c r="K239" s="37"/>
      <c r="O239" s="37"/>
      <c r="P239" s="37"/>
      <c r="Q239" s="37"/>
      <c r="R239" s="37"/>
    </row>
    <row r="240">
      <c r="B240" s="37"/>
      <c r="C240" s="37"/>
      <c r="D240" s="37"/>
      <c r="E240" s="37"/>
      <c r="F240" s="37"/>
      <c r="G240" s="89"/>
      <c r="K240" s="37"/>
      <c r="O240" s="37"/>
      <c r="P240" s="37"/>
      <c r="Q240" s="37"/>
      <c r="R240" s="37"/>
    </row>
    <row r="241">
      <c r="B241" s="37"/>
      <c r="C241" s="37"/>
      <c r="D241" s="37"/>
      <c r="E241" s="37"/>
      <c r="F241" s="37"/>
      <c r="G241" s="89"/>
      <c r="K241" s="37"/>
      <c r="O241" s="37"/>
      <c r="P241" s="37"/>
      <c r="Q241" s="37"/>
      <c r="R241" s="37"/>
    </row>
    <row r="242">
      <c r="B242" s="37"/>
      <c r="C242" s="37"/>
      <c r="D242" s="37"/>
      <c r="E242" s="37"/>
      <c r="F242" s="37"/>
      <c r="G242" s="89"/>
      <c r="K242" s="37"/>
      <c r="O242" s="37"/>
      <c r="P242" s="37"/>
      <c r="Q242" s="37"/>
      <c r="R242" s="37"/>
    </row>
    <row r="243">
      <c r="B243" s="37"/>
      <c r="C243" s="37"/>
      <c r="D243" s="37"/>
      <c r="E243" s="37"/>
      <c r="F243" s="37"/>
      <c r="G243" s="89"/>
      <c r="K243" s="37"/>
      <c r="O243" s="37"/>
      <c r="P243" s="37"/>
      <c r="Q243" s="37"/>
      <c r="R243" s="37"/>
    </row>
    <row r="244">
      <c r="B244" s="37"/>
      <c r="C244" s="37"/>
      <c r="D244" s="37"/>
      <c r="E244" s="37"/>
      <c r="F244" s="37"/>
      <c r="G244" s="89"/>
      <c r="K244" s="37"/>
      <c r="O244" s="37"/>
      <c r="P244" s="37"/>
      <c r="Q244" s="37"/>
      <c r="R244" s="37"/>
    </row>
    <row r="245">
      <c r="B245" s="37"/>
      <c r="C245" s="37"/>
      <c r="D245" s="37"/>
      <c r="E245" s="37"/>
      <c r="F245" s="37"/>
      <c r="G245" s="89"/>
      <c r="K245" s="37"/>
      <c r="O245" s="37"/>
      <c r="P245" s="37"/>
      <c r="Q245" s="37"/>
      <c r="R245" s="37"/>
    </row>
    <row r="246">
      <c r="B246" s="37"/>
      <c r="C246" s="37"/>
      <c r="D246" s="37"/>
      <c r="E246" s="37"/>
      <c r="F246" s="37"/>
      <c r="G246" s="89"/>
      <c r="K246" s="37"/>
      <c r="O246" s="37"/>
      <c r="P246" s="37"/>
      <c r="Q246" s="37"/>
      <c r="R246" s="37"/>
    </row>
    <row r="247">
      <c r="B247" s="37"/>
      <c r="C247" s="37"/>
      <c r="D247" s="37"/>
      <c r="E247" s="37"/>
      <c r="F247" s="37"/>
      <c r="G247" s="89"/>
      <c r="K247" s="37"/>
      <c r="O247" s="37"/>
      <c r="P247" s="37"/>
      <c r="Q247" s="37"/>
      <c r="R247" s="37"/>
    </row>
    <row r="248">
      <c r="B248" s="37"/>
      <c r="C248" s="37"/>
      <c r="D248" s="37"/>
      <c r="E248" s="37"/>
      <c r="F248" s="37"/>
      <c r="G248" s="89"/>
      <c r="K248" s="37"/>
      <c r="O248" s="37"/>
      <c r="P248" s="37"/>
      <c r="Q248" s="37"/>
      <c r="R248" s="37"/>
    </row>
    <row r="249">
      <c r="B249" s="37"/>
      <c r="C249" s="37"/>
      <c r="D249" s="37"/>
      <c r="E249" s="37"/>
      <c r="F249" s="37"/>
      <c r="G249" s="89"/>
      <c r="K249" s="37"/>
      <c r="O249" s="37"/>
      <c r="P249" s="37"/>
      <c r="Q249" s="37"/>
      <c r="R249" s="37"/>
    </row>
    <row r="250">
      <c r="B250" s="37"/>
      <c r="C250" s="37"/>
      <c r="D250" s="37"/>
      <c r="E250" s="37"/>
      <c r="F250" s="37"/>
      <c r="G250" s="89"/>
      <c r="K250" s="37"/>
      <c r="O250" s="37"/>
      <c r="P250" s="37"/>
      <c r="Q250" s="37"/>
      <c r="R250" s="37"/>
    </row>
    <row r="251">
      <c r="B251" s="37"/>
      <c r="C251" s="37"/>
      <c r="D251" s="37"/>
      <c r="E251" s="37"/>
      <c r="F251" s="37"/>
      <c r="G251" s="89"/>
      <c r="K251" s="37"/>
      <c r="O251" s="37"/>
      <c r="P251" s="37"/>
      <c r="Q251" s="37"/>
      <c r="R251" s="37"/>
    </row>
    <row r="252">
      <c r="B252" s="37"/>
      <c r="C252" s="37"/>
      <c r="D252" s="37"/>
      <c r="E252" s="37"/>
      <c r="F252" s="37"/>
      <c r="G252" s="89"/>
      <c r="K252" s="37"/>
      <c r="O252" s="37"/>
      <c r="P252" s="37"/>
      <c r="Q252" s="37"/>
      <c r="R252" s="37"/>
    </row>
    <row r="253">
      <c r="B253" s="37"/>
      <c r="C253" s="37"/>
      <c r="D253" s="37"/>
      <c r="E253" s="37"/>
      <c r="F253" s="37"/>
      <c r="G253" s="89"/>
      <c r="K253" s="37"/>
      <c r="O253" s="37"/>
      <c r="P253" s="37"/>
      <c r="Q253" s="37"/>
      <c r="R253" s="37"/>
    </row>
    <row r="254">
      <c r="B254" s="37"/>
      <c r="C254" s="37"/>
      <c r="D254" s="37"/>
      <c r="E254" s="37"/>
      <c r="F254" s="37"/>
      <c r="G254" s="89"/>
      <c r="K254" s="37"/>
      <c r="O254" s="37"/>
      <c r="P254" s="37"/>
      <c r="Q254" s="37"/>
      <c r="R254" s="37"/>
    </row>
    <row r="255">
      <c r="B255" s="37"/>
      <c r="C255" s="37"/>
      <c r="D255" s="37"/>
      <c r="E255" s="37"/>
      <c r="F255" s="37"/>
      <c r="G255" s="89"/>
      <c r="K255" s="37"/>
      <c r="O255" s="37"/>
      <c r="P255" s="37"/>
      <c r="Q255" s="37"/>
      <c r="R255" s="37"/>
    </row>
    <row r="256">
      <c r="B256" s="37"/>
      <c r="C256" s="37"/>
      <c r="D256" s="37"/>
      <c r="E256" s="37"/>
      <c r="F256" s="37"/>
      <c r="G256" s="89"/>
      <c r="K256" s="37"/>
      <c r="O256" s="37"/>
      <c r="P256" s="37"/>
      <c r="Q256" s="37"/>
      <c r="R256" s="37"/>
    </row>
    <row r="257">
      <c r="B257" s="37"/>
      <c r="C257" s="37"/>
      <c r="D257" s="37"/>
      <c r="E257" s="37"/>
      <c r="F257" s="37"/>
      <c r="G257" s="89"/>
      <c r="K257" s="37"/>
      <c r="O257" s="37"/>
      <c r="P257" s="37"/>
      <c r="Q257" s="37"/>
      <c r="R257" s="37"/>
    </row>
    <row r="258">
      <c r="B258" s="37"/>
      <c r="C258" s="37"/>
      <c r="D258" s="37"/>
      <c r="E258" s="37"/>
      <c r="F258" s="37"/>
      <c r="G258" s="89"/>
      <c r="K258" s="37"/>
      <c r="O258" s="37"/>
      <c r="P258" s="37"/>
      <c r="Q258" s="37"/>
      <c r="R258" s="37"/>
    </row>
    <row r="259">
      <c r="B259" s="37"/>
      <c r="C259" s="37"/>
      <c r="D259" s="37"/>
      <c r="E259" s="37"/>
      <c r="F259" s="37"/>
      <c r="G259" s="89"/>
      <c r="K259" s="37"/>
      <c r="O259" s="37"/>
      <c r="P259" s="37"/>
      <c r="Q259" s="37"/>
      <c r="R259" s="37"/>
    </row>
    <row r="260">
      <c r="B260" s="37"/>
      <c r="C260" s="37"/>
      <c r="D260" s="37"/>
      <c r="E260" s="37"/>
      <c r="F260" s="37"/>
      <c r="G260" s="89"/>
      <c r="K260" s="37"/>
      <c r="O260" s="37"/>
      <c r="P260" s="37"/>
      <c r="Q260" s="37"/>
      <c r="R260" s="37"/>
    </row>
    <row r="261">
      <c r="B261" s="37"/>
      <c r="C261" s="37"/>
      <c r="D261" s="37"/>
      <c r="E261" s="37"/>
      <c r="F261" s="37"/>
      <c r="G261" s="89"/>
      <c r="K261" s="37"/>
      <c r="O261" s="37"/>
      <c r="P261" s="37"/>
      <c r="Q261" s="37"/>
      <c r="R261" s="37"/>
    </row>
    <row r="262">
      <c r="B262" s="37"/>
      <c r="C262" s="37"/>
      <c r="D262" s="37"/>
      <c r="E262" s="37"/>
      <c r="F262" s="37"/>
      <c r="G262" s="89"/>
      <c r="K262" s="37"/>
      <c r="O262" s="37"/>
      <c r="P262" s="37"/>
      <c r="Q262" s="37"/>
      <c r="R262" s="37"/>
    </row>
    <row r="263">
      <c r="B263" s="37"/>
      <c r="C263" s="37"/>
      <c r="D263" s="37"/>
      <c r="E263" s="37"/>
      <c r="F263" s="37"/>
      <c r="G263" s="89"/>
      <c r="K263" s="37"/>
      <c r="O263" s="37"/>
      <c r="P263" s="37"/>
      <c r="Q263" s="37"/>
      <c r="R263" s="37"/>
    </row>
    <row r="264">
      <c r="B264" s="37"/>
      <c r="C264" s="37"/>
      <c r="D264" s="37"/>
      <c r="E264" s="37"/>
      <c r="F264" s="37"/>
      <c r="G264" s="89"/>
      <c r="K264" s="37"/>
      <c r="O264" s="37"/>
      <c r="P264" s="37"/>
      <c r="Q264" s="37"/>
      <c r="R264" s="37"/>
    </row>
    <row r="265">
      <c r="B265" s="37"/>
      <c r="C265" s="37"/>
      <c r="D265" s="37"/>
      <c r="E265" s="37"/>
      <c r="F265" s="37"/>
      <c r="G265" s="89"/>
      <c r="K265" s="37"/>
      <c r="O265" s="37"/>
      <c r="P265" s="37"/>
      <c r="Q265" s="37"/>
      <c r="R265" s="37"/>
    </row>
    <row r="266">
      <c r="B266" s="37"/>
      <c r="C266" s="37"/>
      <c r="D266" s="37"/>
      <c r="E266" s="37"/>
      <c r="F266" s="37"/>
      <c r="G266" s="89"/>
      <c r="K266" s="37"/>
      <c r="O266" s="37"/>
      <c r="P266" s="37"/>
      <c r="Q266" s="37"/>
      <c r="R266" s="37"/>
    </row>
    <row r="267">
      <c r="B267" s="37"/>
      <c r="C267" s="37"/>
      <c r="D267" s="37"/>
      <c r="E267" s="37"/>
      <c r="F267" s="37"/>
      <c r="G267" s="89"/>
      <c r="K267" s="37"/>
      <c r="O267" s="37"/>
      <c r="P267" s="37"/>
      <c r="Q267" s="37"/>
      <c r="R267" s="37"/>
    </row>
    <row r="268">
      <c r="B268" s="37"/>
      <c r="C268" s="37"/>
      <c r="D268" s="37"/>
      <c r="E268" s="37"/>
      <c r="F268" s="37"/>
      <c r="G268" s="89"/>
      <c r="K268" s="37"/>
      <c r="O268" s="37"/>
      <c r="P268" s="37"/>
      <c r="Q268" s="37"/>
      <c r="R268" s="37"/>
    </row>
    <row r="269">
      <c r="B269" s="37"/>
      <c r="C269" s="37"/>
      <c r="D269" s="37"/>
      <c r="E269" s="37"/>
      <c r="F269" s="37"/>
      <c r="G269" s="89"/>
      <c r="K269" s="37"/>
      <c r="O269" s="37"/>
      <c r="P269" s="37"/>
      <c r="Q269" s="37"/>
      <c r="R269" s="37"/>
    </row>
    <row r="270">
      <c r="B270" s="37"/>
      <c r="C270" s="37"/>
      <c r="D270" s="37"/>
      <c r="E270" s="37"/>
      <c r="F270" s="37"/>
      <c r="G270" s="89"/>
      <c r="K270" s="37"/>
      <c r="O270" s="37"/>
      <c r="P270" s="37"/>
      <c r="Q270" s="37"/>
      <c r="R270" s="37"/>
    </row>
    <row r="271">
      <c r="B271" s="37"/>
      <c r="C271" s="37"/>
      <c r="D271" s="37"/>
      <c r="E271" s="37"/>
      <c r="F271" s="37"/>
      <c r="G271" s="89"/>
      <c r="K271" s="37"/>
      <c r="O271" s="37"/>
      <c r="P271" s="37"/>
      <c r="Q271" s="37"/>
      <c r="R271" s="37"/>
    </row>
    <row r="272">
      <c r="B272" s="37"/>
      <c r="C272" s="37"/>
      <c r="D272" s="37"/>
      <c r="E272" s="37"/>
      <c r="F272" s="37"/>
      <c r="G272" s="89"/>
      <c r="K272" s="37"/>
      <c r="O272" s="37"/>
      <c r="P272" s="37"/>
      <c r="Q272" s="37"/>
      <c r="R272" s="37"/>
    </row>
    <row r="273">
      <c r="B273" s="37"/>
      <c r="C273" s="37"/>
      <c r="D273" s="37"/>
      <c r="E273" s="37"/>
      <c r="F273" s="37"/>
      <c r="G273" s="89"/>
      <c r="K273" s="37"/>
      <c r="O273" s="37"/>
      <c r="P273" s="37"/>
      <c r="Q273" s="37"/>
      <c r="R273" s="37"/>
    </row>
    <row r="274">
      <c r="B274" s="37"/>
      <c r="C274" s="37"/>
      <c r="D274" s="37"/>
      <c r="E274" s="37"/>
      <c r="F274" s="37"/>
      <c r="G274" s="89"/>
      <c r="K274" s="37"/>
      <c r="O274" s="37"/>
      <c r="P274" s="37"/>
      <c r="Q274" s="37"/>
      <c r="R274" s="37"/>
    </row>
    <row r="275">
      <c r="B275" s="37"/>
      <c r="C275" s="37"/>
      <c r="D275" s="37"/>
      <c r="E275" s="37"/>
      <c r="F275" s="37"/>
      <c r="G275" s="89"/>
      <c r="K275" s="37"/>
      <c r="O275" s="37"/>
      <c r="P275" s="37"/>
      <c r="Q275" s="37"/>
      <c r="R275" s="37"/>
    </row>
    <row r="276">
      <c r="B276" s="37"/>
      <c r="C276" s="37"/>
      <c r="D276" s="37"/>
      <c r="E276" s="37"/>
      <c r="F276" s="37"/>
      <c r="G276" s="89"/>
      <c r="K276" s="37"/>
      <c r="O276" s="37"/>
      <c r="P276" s="37"/>
      <c r="Q276" s="37"/>
      <c r="R276" s="37"/>
    </row>
    <row r="277">
      <c r="B277" s="37"/>
      <c r="C277" s="37"/>
      <c r="D277" s="37"/>
      <c r="E277" s="37"/>
      <c r="F277" s="37"/>
      <c r="G277" s="89"/>
      <c r="K277" s="37"/>
      <c r="O277" s="37"/>
      <c r="P277" s="37"/>
      <c r="Q277" s="37"/>
      <c r="R277" s="37"/>
    </row>
    <row r="278">
      <c r="B278" s="37"/>
      <c r="C278" s="37"/>
      <c r="D278" s="37"/>
      <c r="E278" s="37"/>
      <c r="F278" s="37"/>
      <c r="G278" s="89"/>
      <c r="K278" s="37"/>
      <c r="O278" s="37"/>
      <c r="P278" s="37"/>
      <c r="Q278" s="37"/>
      <c r="R278" s="37"/>
    </row>
    <row r="279">
      <c r="B279" s="37"/>
      <c r="C279" s="37"/>
      <c r="D279" s="37"/>
      <c r="E279" s="37"/>
      <c r="F279" s="37"/>
      <c r="G279" s="89"/>
      <c r="K279" s="37"/>
      <c r="O279" s="37"/>
      <c r="P279" s="37"/>
      <c r="Q279" s="37"/>
      <c r="R279" s="37"/>
    </row>
    <row r="280">
      <c r="B280" s="37"/>
      <c r="C280" s="37"/>
      <c r="D280" s="37"/>
      <c r="E280" s="37"/>
      <c r="F280" s="37"/>
      <c r="G280" s="89"/>
      <c r="K280" s="37"/>
      <c r="O280" s="37"/>
      <c r="P280" s="37"/>
      <c r="Q280" s="37"/>
      <c r="R280" s="37"/>
    </row>
    <row r="281">
      <c r="B281" s="37"/>
      <c r="C281" s="37"/>
      <c r="D281" s="37"/>
      <c r="E281" s="37"/>
      <c r="F281" s="37"/>
      <c r="G281" s="89"/>
      <c r="K281" s="37"/>
      <c r="O281" s="37"/>
      <c r="P281" s="37"/>
      <c r="Q281" s="37"/>
      <c r="R281" s="37"/>
    </row>
    <row r="282">
      <c r="B282" s="37"/>
      <c r="C282" s="37"/>
      <c r="D282" s="37"/>
      <c r="E282" s="37"/>
      <c r="F282" s="37"/>
      <c r="G282" s="89"/>
      <c r="K282" s="37"/>
      <c r="O282" s="37"/>
      <c r="P282" s="37"/>
      <c r="Q282" s="37"/>
      <c r="R282" s="37"/>
    </row>
    <row r="283">
      <c r="B283" s="37"/>
      <c r="C283" s="37"/>
      <c r="D283" s="37"/>
      <c r="E283" s="37"/>
      <c r="F283" s="37"/>
      <c r="G283" s="89"/>
      <c r="K283" s="37"/>
      <c r="O283" s="37"/>
      <c r="P283" s="37"/>
      <c r="Q283" s="37"/>
      <c r="R283" s="37"/>
    </row>
    <row r="284">
      <c r="B284" s="37"/>
      <c r="C284" s="37"/>
      <c r="D284" s="37"/>
      <c r="E284" s="37"/>
      <c r="F284" s="37"/>
      <c r="G284" s="89"/>
      <c r="K284" s="37"/>
      <c r="O284" s="37"/>
      <c r="P284" s="37"/>
      <c r="Q284" s="37"/>
      <c r="R284" s="37"/>
    </row>
    <row r="285">
      <c r="B285" s="37"/>
      <c r="C285" s="37"/>
      <c r="D285" s="37"/>
      <c r="E285" s="37"/>
      <c r="F285" s="37"/>
      <c r="G285" s="89"/>
      <c r="K285" s="37"/>
      <c r="O285" s="37"/>
      <c r="P285" s="37"/>
      <c r="Q285" s="37"/>
      <c r="R285" s="37"/>
    </row>
    <row r="286">
      <c r="B286" s="37"/>
      <c r="C286" s="37"/>
      <c r="D286" s="37"/>
      <c r="E286" s="37"/>
      <c r="F286" s="37"/>
      <c r="G286" s="89"/>
      <c r="K286" s="37"/>
      <c r="O286" s="37"/>
      <c r="P286" s="37"/>
      <c r="Q286" s="37"/>
      <c r="R286" s="37"/>
    </row>
    <row r="287">
      <c r="B287" s="37"/>
      <c r="C287" s="37"/>
      <c r="D287" s="37"/>
      <c r="E287" s="37"/>
      <c r="F287" s="37"/>
      <c r="G287" s="89"/>
      <c r="K287" s="37"/>
      <c r="O287" s="37"/>
      <c r="P287" s="37"/>
      <c r="Q287" s="37"/>
      <c r="R287" s="37"/>
    </row>
    <row r="288">
      <c r="B288" s="37"/>
      <c r="C288" s="37"/>
      <c r="D288" s="37"/>
      <c r="E288" s="37"/>
      <c r="F288" s="37"/>
      <c r="G288" s="89"/>
      <c r="K288" s="37"/>
      <c r="O288" s="37"/>
      <c r="P288" s="37"/>
      <c r="Q288" s="37"/>
      <c r="R288" s="37"/>
    </row>
    <row r="289">
      <c r="B289" s="37"/>
      <c r="C289" s="37"/>
      <c r="D289" s="37"/>
      <c r="E289" s="37"/>
      <c r="F289" s="37"/>
      <c r="G289" s="89"/>
      <c r="K289" s="37"/>
      <c r="O289" s="37"/>
      <c r="P289" s="37"/>
      <c r="Q289" s="37"/>
      <c r="R289" s="37"/>
    </row>
    <row r="290">
      <c r="B290" s="37"/>
      <c r="C290" s="37"/>
      <c r="D290" s="37"/>
      <c r="E290" s="37"/>
      <c r="F290" s="37"/>
      <c r="G290" s="89"/>
      <c r="K290" s="37"/>
      <c r="O290" s="37"/>
      <c r="P290" s="37"/>
      <c r="Q290" s="37"/>
      <c r="R290" s="37"/>
    </row>
    <row r="291">
      <c r="B291" s="37"/>
      <c r="C291" s="37"/>
      <c r="D291" s="37"/>
      <c r="E291" s="37"/>
      <c r="F291" s="37"/>
      <c r="G291" s="89"/>
      <c r="K291" s="37"/>
      <c r="O291" s="37"/>
      <c r="P291" s="37"/>
      <c r="Q291" s="37"/>
      <c r="R291" s="37"/>
    </row>
    <row r="292">
      <c r="B292" s="37"/>
      <c r="C292" s="37"/>
      <c r="D292" s="37"/>
      <c r="E292" s="37"/>
      <c r="F292" s="37"/>
      <c r="G292" s="89"/>
      <c r="K292" s="37"/>
      <c r="O292" s="37"/>
      <c r="P292" s="37"/>
      <c r="Q292" s="37"/>
      <c r="R292" s="37"/>
    </row>
    <row r="293">
      <c r="B293" s="37"/>
      <c r="C293" s="37"/>
      <c r="D293" s="37"/>
      <c r="E293" s="37"/>
      <c r="F293" s="37"/>
      <c r="G293" s="89"/>
      <c r="K293" s="37"/>
      <c r="O293" s="37"/>
      <c r="P293" s="37"/>
      <c r="Q293" s="37"/>
      <c r="R293" s="37"/>
    </row>
    <row r="294">
      <c r="B294" s="37"/>
      <c r="C294" s="37"/>
      <c r="D294" s="37"/>
      <c r="E294" s="37"/>
      <c r="F294" s="37"/>
      <c r="G294" s="89"/>
      <c r="K294" s="37"/>
      <c r="O294" s="37"/>
      <c r="P294" s="37"/>
      <c r="Q294" s="37"/>
      <c r="R294" s="37"/>
    </row>
    <row r="295">
      <c r="B295" s="37"/>
      <c r="C295" s="37"/>
      <c r="D295" s="37"/>
      <c r="E295" s="37"/>
      <c r="F295" s="37"/>
      <c r="G295" s="89"/>
      <c r="K295" s="37"/>
      <c r="O295" s="37"/>
      <c r="P295" s="37"/>
      <c r="Q295" s="37"/>
      <c r="R295" s="37"/>
    </row>
    <row r="296">
      <c r="B296" s="37"/>
      <c r="C296" s="37"/>
      <c r="D296" s="37"/>
      <c r="E296" s="37"/>
      <c r="F296" s="37"/>
      <c r="G296" s="89"/>
      <c r="K296" s="37"/>
      <c r="O296" s="37"/>
      <c r="P296" s="37"/>
      <c r="Q296" s="37"/>
      <c r="R296" s="37"/>
    </row>
    <row r="297">
      <c r="B297" s="37"/>
      <c r="C297" s="37"/>
      <c r="D297" s="37"/>
      <c r="E297" s="37"/>
      <c r="F297" s="37"/>
      <c r="G297" s="89"/>
      <c r="K297" s="37"/>
      <c r="O297" s="37"/>
      <c r="P297" s="37"/>
      <c r="Q297" s="37"/>
      <c r="R297" s="37"/>
    </row>
    <row r="298">
      <c r="B298" s="37"/>
      <c r="C298" s="37"/>
      <c r="D298" s="37"/>
      <c r="E298" s="37"/>
      <c r="F298" s="37"/>
      <c r="G298" s="89"/>
      <c r="K298" s="37"/>
      <c r="O298" s="37"/>
      <c r="P298" s="37"/>
      <c r="Q298" s="37"/>
      <c r="R298" s="37"/>
    </row>
    <row r="299">
      <c r="B299" s="37"/>
      <c r="C299" s="37"/>
      <c r="D299" s="37"/>
      <c r="E299" s="37"/>
      <c r="F299" s="37"/>
      <c r="G299" s="89"/>
      <c r="K299" s="37"/>
      <c r="O299" s="37"/>
      <c r="P299" s="37"/>
      <c r="Q299" s="37"/>
      <c r="R299" s="37"/>
    </row>
    <row r="300">
      <c r="B300" s="37"/>
      <c r="C300" s="37"/>
      <c r="D300" s="37"/>
      <c r="E300" s="37"/>
      <c r="F300" s="37"/>
      <c r="G300" s="89"/>
      <c r="K300" s="37"/>
      <c r="O300" s="37"/>
      <c r="P300" s="37"/>
      <c r="Q300" s="37"/>
      <c r="R300" s="37"/>
    </row>
    <row r="301">
      <c r="B301" s="37"/>
      <c r="C301" s="37"/>
      <c r="D301" s="37"/>
      <c r="E301" s="37"/>
      <c r="F301" s="37"/>
      <c r="G301" s="89"/>
      <c r="K301" s="37"/>
      <c r="O301" s="37"/>
      <c r="P301" s="37"/>
      <c r="Q301" s="37"/>
      <c r="R301" s="37"/>
    </row>
    <row r="302">
      <c r="B302" s="37"/>
      <c r="C302" s="37"/>
      <c r="D302" s="37"/>
      <c r="E302" s="37"/>
      <c r="F302" s="37"/>
      <c r="G302" s="89"/>
      <c r="K302" s="37"/>
      <c r="O302" s="37"/>
      <c r="P302" s="37"/>
      <c r="Q302" s="37"/>
      <c r="R302" s="37"/>
    </row>
    <row r="303">
      <c r="B303" s="37"/>
      <c r="C303" s="37"/>
      <c r="D303" s="37"/>
      <c r="E303" s="37"/>
      <c r="F303" s="37"/>
      <c r="G303" s="89"/>
      <c r="K303" s="37"/>
      <c r="O303" s="37"/>
      <c r="P303" s="37"/>
      <c r="Q303" s="37"/>
      <c r="R303" s="37"/>
    </row>
    <row r="304">
      <c r="B304" s="37"/>
      <c r="C304" s="37"/>
      <c r="D304" s="37"/>
      <c r="E304" s="37"/>
      <c r="F304" s="37"/>
      <c r="G304" s="89"/>
      <c r="K304" s="37"/>
      <c r="O304" s="37"/>
      <c r="P304" s="37"/>
      <c r="Q304" s="37"/>
      <c r="R304" s="37"/>
    </row>
    <row r="305">
      <c r="B305" s="37"/>
      <c r="C305" s="37"/>
      <c r="D305" s="37"/>
      <c r="E305" s="37"/>
      <c r="F305" s="37"/>
      <c r="G305" s="89"/>
      <c r="K305" s="37"/>
      <c r="O305" s="37"/>
      <c r="P305" s="37"/>
      <c r="Q305" s="37"/>
      <c r="R305" s="37"/>
    </row>
    <row r="306">
      <c r="B306" s="37"/>
      <c r="C306" s="37"/>
      <c r="D306" s="37"/>
      <c r="E306" s="37"/>
      <c r="F306" s="37"/>
      <c r="G306" s="89"/>
      <c r="K306" s="37"/>
      <c r="O306" s="37"/>
      <c r="P306" s="37"/>
      <c r="Q306" s="37"/>
      <c r="R306" s="37"/>
    </row>
    <row r="307">
      <c r="B307" s="37"/>
      <c r="C307" s="37"/>
      <c r="D307" s="37"/>
      <c r="E307" s="37"/>
      <c r="F307" s="37"/>
      <c r="G307" s="89"/>
      <c r="K307" s="37"/>
      <c r="O307" s="37"/>
      <c r="P307" s="37"/>
      <c r="Q307" s="37"/>
      <c r="R307" s="37"/>
    </row>
    <row r="308">
      <c r="B308" s="37"/>
      <c r="C308" s="37"/>
      <c r="D308" s="37"/>
      <c r="E308" s="37"/>
      <c r="F308" s="37"/>
      <c r="G308" s="89"/>
      <c r="K308" s="37"/>
      <c r="O308" s="37"/>
      <c r="P308" s="37"/>
      <c r="Q308" s="37"/>
      <c r="R308" s="37"/>
    </row>
    <row r="309">
      <c r="B309" s="37"/>
      <c r="C309" s="37"/>
      <c r="D309" s="37"/>
      <c r="E309" s="37"/>
      <c r="F309" s="37"/>
      <c r="G309" s="89"/>
      <c r="K309" s="37"/>
      <c r="O309" s="37"/>
      <c r="P309" s="37"/>
      <c r="Q309" s="37"/>
      <c r="R309" s="37"/>
    </row>
    <row r="310">
      <c r="B310" s="37"/>
      <c r="C310" s="37"/>
      <c r="D310" s="37"/>
      <c r="E310" s="37"/>
      <c r="F310" s="37"/>
      <c r="G310" s="89"/>
      <c r="K310" s="37"/>
      <c r="O310" s="37"/>
      <c r="P310" s="37"/>
      <c r="Q310" s="37"/>
      <c r="R310" s="37"/>
    </row>
    <row r="311">
      <c r="B311" s="37"/>
      <c r="C311" s="37"/>
      <c r="D311" s="37"/>
      <c r="E311" s="37"/>
      <c r="F311" s="37"/>
      <c r="G311" s="89"/>
      <c r="K311" s="37"/>
      <c r="O311" s="37"/>
      <c r="P311" s="37"/>
      <c r="Q311" s="37"/>
      <c r="R311" s="37"/>
    </row>
    <row r="312">
      <c r="B312" s="37"/>
      <c r="C312" s="37"/>
      <c r="D312" s="37"/>
      <c r="E312" s="37"/>
      <c r="F312" s="37"/>
      <c r="G312" s="89"/>
      <c r="K312" s="37"/>
      <c r="O312" s="37"/>
      <c r="P312" s="37"/>
      <c r="Q312" s="37"/>
      <c r="R312" s="37"/>
    </row>
    <row r="313">
      <c r="B313" s="37"/>
      <c r="C313" s="37"/>
      <c r="D313" s="37"/>
      <c r="E313" s="37"/>
      <c r="F313" s="37"/>
      <c r="G313" s="89"/>
      <c r="K313" s="37"/>
      <c r="O313" s="37"/>
      <c r="P313" s="37"/>
      <c r="Q313" s="37"/>
      <c r="R313" s="37"/>
    </row>
    <row r="314">
      <c r="B314" s="37"/>
      <c r="C314" s="37"/>
      <c r="D314" s="37"/>
      <c r="E314" s="37"/>
      <c r="F314" s="37"/>
      <c r="G314" s="89"/>
      <c r="K314" s="37"/>
      <c r="O314" s="37"/>
      <c r="P314" s="37"/>
      <c r="Q314" s="37"/>
      <c r="R314" s="37"/>
    </row>
    <row r="315">
      <c r="B315" s="37"/>
      <c r="C315" s="37"/>
      <c r="D315" s="37"/>
      <c r="E315" s="37"/>
      <c r="F315" s="37"/>
      <c r="G315" s="89"/>
      <c r="K315" s="37"/>
      <c r="O315" s="37"/>
      <c r="P315" s="37"/>
      <c r="Q315" s="37"/>
      <c r="R315" s="37"/>
    </row>
    <row r="316">
      <c r="B316" s="37"/>
      <c r="C316" s="37"/>
      <c r="D316" s="37"/>
      <c r="E316" s="37"/>
      <c r="F316" s="37"/>
      <c r="G316" s="89"/>
      <c r="K316" s="37"/>
      <c r="O316" s="37"/>
      <c r="P316" s="37"/>
      <c r="Q316" s="37"/>
      <c r="R316" s="37"/>
    </row>
    <row r="317">
      <c r="B317" s="37"/>
      <c r="C317" s="37"/>
      <c r="D317" s="37"/>
      <c r="E317" s="37"/>
      <c r="F317" s="37"/>
      <c r="G317" s="89"/>
      <c r="K317" s="37"/>
      <c r="O317" s="37"/>
      <c r="P317" s="37"/>
      <c r="Q317" s="37"/>
      <c r="R317" s="37"/>
    </row>
    <row r="318">
      <c r="B318" s="37"/>
      <c r="C318" s="37"/>
      <c r="D318" s="37"/>
      <c r="E318" s="37"/>
      <c r="F318" s="37"/>
      <c r="G318" s="89"/>
      <c r="K318" s="37"/>
      <c r="O318" s="37"/>
      <c r="P318" s="37"/>
      <c r="Q318" s="37"/>
      <c r="R318" s="37"/>
    </row>
    <row r="319">
      <c r="B319" s="37"/>
      <c r="C319" s="37"/>
      <c r="D319" s="37"/>
      <c r="E319" s="37"/>
      <c r="F319" s="37"/>
      <c r="G319" s="89"/>
      <c r="K319" s="37"/>
      <c r="O319" s="37"/>
      <c r="P319" s="37"/>
      <c r="Q319" s="37"/>
      <c r="R319" s="37"/>
    </row>
    <row r="320">
      <c r="B320" s="37"/>
      <c r="C320" s="37"/>
      <c r="D320" s="37"/>
      <c r="E320" s="37"/>
      <c r="F320" s="37"/>
      <c r="G320" s="89"/>
      <c r="K320" s="37"/>
      <c r="O320" s="37"/>
      <c r="P320" s="37"/>
      <c r="Q320" s="37"/>
      <c r="R320" s="37"/>
    </row>
    <row r="321">
      <c r="B321" s="37"/>
      <c r="C321" s="37"/>
      <c r="D321" s="37"/>
      <c r="E321" s="37"/>
      <c r="F321" s="37"/>
      <c r="G321" s="89"/>
      <c r="K321" s="37"/>
      <c r="O321" s="37"/>
      <c r="P321" s="37"/>
      <c r="Q321" s="37"/>
      <c r="R321" s="37"/>
    </row>
    <row r="322">
      <c r="B322" s="37"/>
      <c r="C322" s="37"/>
      <c r="D322" s="37"/>
      <c r="E322" s="37"/>
      <c r="F322" s="37"/>
      <c r="G322" s="89"/>
      <c r="K322" s="37"/>
      <c r="O322" s="37"/>
      <c r="P322" s="37"/>
      <c r="Q322" s="37"/>
      <c r="R322" s="37"/>
    </row>
    <row r="323">
      <c r="B323" s="37"/>
      <c r="C323" s="37"/>
      <c r="D323" s="37"/>
      <c r="E323" s="37"/>
      <c r="F323" s="37"/>
      <c r="G323" s="89"/>
      <c r="K323" s="37"/>
      <c r="O323" s="37"/>
      <c r="P323" s="37"/>
      <c r="Q323" s="37"/>
      <c r="R323" s="37"/>
    </row>
    <row r="324">
      <c r="B324" s="37"/>
      <c r="C324" s="37"/>
      <c r="D324" s="37"/>
      <c r="E324" s="37"/>
      <c r="F324" s="37"/>
      <c r="G324" s="89"/>
      <c r="K324" s="37"/>
      <c r="O324" s="37"/>
      <c r="P324" s="37"/>
      <c r="Q324" s="37"/>
      <c r="R324" s="37"/>
    </row>
    <row r="325">
      <c r="B325" s="37"/>
      <c r="C325" s="37"/>
      <c r="D325" s="37"/>
      <c r="E325" s="37"/>
      <c r="F325" s="37"/>
      <c r="G325" s="89"/>
      <c r="K325" s="37"/>
      <c r="O325" s="37"/>
      <c r="P325" s="37"/>
      <c r="Q325" s="37"/>
      <c r="R325" s="37"/>
    </row>
    <row r="326">
      <c r="B326" s="37"/>
      <c r="C326" s="37"/>
      <c r="D326" s="37"/>
      <c r="E326" s="37"/>
      <c r="F326" s="37"/>
      <c r="G326" s="89"/>
      <c r="K326" s="37"/>
      <c r="O326" s="37"/>
      <c r="P326" s="37"/>
      <c r="Q326" s="37"/>
      <c r="R326" s="37"/>
    </row>
    <row r="327">
      <c r="B327" s="37"/>
      <c r="C327" s="37"/>
      <c r="D327" s="37"/>
      <c r="E327" s="37"/>
      <c r="F327" s="37"/>
      <c r="G327" s="89"/>
      <c r="K327" s="37"/>
      <c r="O327" s="37"/>
      <c r="P327" s="37"/>
      <c r="Q327" s="37"/>
      <c r="R327" s="37"/>
    </row>
    <row r="328">
      <c r="B328" s="37"/>
      <c r="C328" s="37"/>
      <c r="D328" s="37"/>
      <c r="E328" s="37"/>
      <c r="F328" s="37"/>
      <c r="G328" s="89"/>
      <c r="K328" s="37"/>
      <c r="O328" s="37"/>
      <c r="P328" s="37"/>
      <c r="Q328" s="37"/>
      <c r="R328" s="37"/>
    </row>
    <row r="329">
      <c r="B329" s="37"/>
      <c r="C329" s="37"/>
      <c r="D329" s="37"/>
      <c r="E329" s="37"/>
      <c r="F329" s="37"/>
      <c r="G329" s="89"/>
      <c r="K329" s="37"/>
      <c r="O329" s="37"/>
      <c r="P329" s="37"/>
      <c r="Q329" s="37"/>
      <c r="R329" s="37"/>
    </row>
    <row r="330">
      <c r="B330" s="37"/>
      <c r="C330" s="37"/>
      <c r="D330" s="37"/>
      <c r="E330" s="37"/>
      <c r="F330" s="37"/>
      <c r="G330" s="89"/>
      <c r="K330" s="37"/>
      <c r="O330" s="37"/>
      <c r="P330" s="37"/>
      <c r="Q330" s="37"/>
      <c r="R330" s="37"/>
    </row>
    <row r="331">
      <c r="B331" s="37"/>
      <c r="C331" s="37"/>
      <c r="D331" s="37"/>
      <c r="E331" s="37"/>
      <c r="F331" s="37"/>
      <c r="G331" s="89"/>
      <c r="K331" s="37"/>
      <c r="O331" s="37"/>
      <c r="P331" s="37"/>
      <c r="Q331" s="37"/>
      <c r="R331" s="37"/>
    </row>
    <row r="332">
      <c r="B332" s="37"/>
      <c r="C332" s="37"/>
      <c r="D332" s="37"/>
      <c r="E332" s="37"/>
      <c r="F332" s="37"/>
      <c r="G332" s="89"/>
      <c r="K332" s="37"/>
      <c r="O332" s="37"/>
      <c r="P332" s="37"/>
      <c r="Q332" s="37"/>
      <c r="R332" s="37"/>
    </row>
    <row r="333">
      <c r="B333" s="37"/>
      <c r="C333" s="37"/>
      <c r="D333" s="37"/>
      <c r="E333" s="37"/>
      <c r="F333" s="37"/>
      <c r="G333" s="89"/>
      <c r="K333" s="37"/>
      <c r="O333" s="37"/>
      <c r="P333" s="37"/>
      <c r="Q333" s="37"/>
      <c r="R333" s="37"/>
    </row>
    <row r="334">
      <c r="B334" s="37"/>
      <c r="C334" s="37"/>
      <c r="D334" s="37"/>
      <c r="E334" s="37"/>
      <c r="F334" s="37"/>
      <c r="G334" s="89"/>
      <c r="K334" s="37"/>
      <c r="O334" s="37"/>
      <c r="P334" s="37"/>
      <c r="Q334" s="37"/>
      <c r="R334" s="37"/>
    </row>
    <row r="335">
      <c r="B335" s="37"/>
      <c r="C335" s="37"/>
      <c r="D335" s="37"/>
      <c r="E335" s="37"/>
      <c r="F335" s="37"/>
      <c r="G335" s="89"/>
      <c r="K335" s="37"/>
      <c r="O335" s="37"/>
      <c r="P335" s="37"/>
      <c r="Q335" s="37"/>
      <c r="R335" s="37"/>
    </row>
    <row r="336">
      <c r="B336" s="37"/>
      <c r="C336" s="37"/>
      <c r="D336" s="37"/>
      <c r="E336" s="37"/>
      <c r="F336" s="37"/>
      <c r="G336" s="89"/>
      <c r="K336" s="37"/>
      <c r="O336" s="37"/>
      <c r="P336" s="37"/>
      <c r="Q336" s="37"/>
      <c r="R336" s="37"/>
    </row>
    <row r="337">
      <c r="B337" s="37"/>
      <c r="C337" s="37"/>
      <c r="D337" s="37"/>
      <c r="E337" s="37"/>
      <c r="F337" s="37"/>
      <c r="G337" s="89"/>
      <c r="K337" s="37"/>
      <c r="O337" s="37"/>
      <c r="P337" s="37"/>
      <c r="Q337" s="37"/>
      <c r="R337" s="37"/>
    </row>
    <row r="338">
      <c r="B338" s="37"/>
      <c r="C338" s="37"/>
      <c r="D338" s="37"/>
      <c r="E338" s="37"/>
      <c r="F338" s="37"/>
      <c r="G338" s="89"/>
      <c r="K338" s="37"/>
      <c r="O338" s="37"/>
      <c r="P338" s="37"/>
      <c r="Q338" s="37"/>
      <c r="R338" s="37"/>
    </row>
    <row r="339">
      <c r="B339" s="37"/>
      <c r="C339" s="37"/>
      <c r="D339" s="37"/>
      <c r="E339" s="37"/>
      <c r="F339" s="37"/>
      <c r="G339" s="89"/>
      <c r="K339" s="37"/>
      <c r="O339" s="37"/>
      <c r="P339" s="37"/>
      <c r="Q339" s="37"/>
      <c r="R339" s="37"/>
    </row>
    <row r="340">
      <c r="B340" s="37"/>
      <c r="C340" s="37"/>
      <c r="D340" s="37"/>
      <c r="E340" s="37"/>
      <c r="F340" s="37"/>
      <c r="G340" s="89"/>
      <c r="K340" s="37"/>
      <c r="O340" s="37"/>
      <c r="P340" s="37"/>
      <c r="Q340" s="37"/>
      <c r="R340" s="37"/>
    </row>
    <row r="341">
      <c r="B341" s="37"/>
      <c r="C341" s="37"/>
      <c r="D341" s="37"/>
      <c r="E341" s="37"/>
      <c r="F341" s="37"/>
      <c r="G341" s="89"/>
      <c r="K341" s="37"/>
      <c r="O341" s="37"/>
      <c r="P341" s="37"/>
      <c r="Q341" s="37"/>
      <c r="R341" s="37"/>
    </row>
    <row r="342">
      <c r="B342" s="37"/>
      <c r="C342" s="37"/>
      <c r="D342" s="37"/>
      <c r="E342" s="37"/>
      <c r="F342" s="37"/>
      <c r="G342" s="89"/>
      <c r="K342" s="37"/>
      <c r="O342" s="37"/>
      <c r="P342" s="37"/>
      <c r="Q342" s="37"/>
      <c r="R342" s="37"/>
    </row>
    <row r="343">
      <c r="B343" s="37"/>
      <c r="C343" s="37"/>
      <c r="D343" s="37"/>
      <c r="E343" s="37"/>
      <c r="F343" s="37"/>
      <c r="G343" s="89"/>
      <c r="K343" s="37"/>
      <c r="O343" s="37"/>
      <c r="P343" s="37"/>
      <c r="Q343" s="37"/>
      <c r="R343" s="37"/>
    </row>
    <row r="344">
      <c r="B344" s="37"/>
      <c r="C344" s="37"/>
      <c r="D344" s="37"/>
      <c r="E344" s="37"/>
      <c r="F344" s="37"/>
      <c r="G344" s="89"/>
      <c r="K344" s="37"/>
      <c r="O344" s="37"/>
      <c r="P344" s="37"/>
      <c r="Q344" s="37"/>
      <c r="R344" s="37"/>
    </row>
    <row r="345">
      <c r="B345" s="37"/>
      <c r="C345" s="37"/>
      <c r="D345" s="37"/>
      <c r="E345" s="37"/>
      <c r="F345" s="37"/>
      <c r="G345" s="89"/>
      <c r="K345" s="37"/>
      <c r="O345" s="37"/>
      <c r="P345" s="37"/>
      <c r="Q345" s="37"/>
      <c r="R345" s="37"/>
    </row>
    <row r="346">
      <c r="B346" s="37"/>
      <c r="C346" s="37"/>
      <c r="D346" s="37"/>
      <c r="E346" s="37"/>
      <c r="F346" s="37"/>
      <c r="G346" s="89"/>
      <c r="K346" s="37"/>
      <c r="O346" s="37"/>
      <c r="P346" s="37"/>
      <c r="Q346" s="37"/>
      <c r="R346" s="37"/>
    </row>
    <row r="347">
      <c r="B347" s="37"/>
      <c r="C347" s="37"/>
      <c r="D347" s="37"/>
      <c r="E347" s="37"/>
      <c r="F347" s="37"/>
      <c r="G347" s="89"/>
      <c r="K347" s="37"/>
      <c r="O347" s="37"/>
      <c r="P347" s="37"/>
      <c r="Q347" s="37"/>
      <c r="R347" s="37"/>
    </row>
    <row r="348">
      <c r="B348" s="37"/>
      <c r="C348" s="37"/>
      <c r="D348" s="37"/>
      <c r="E348" s="37"/>
      <c r="F348" s="37"/>
      <c r="G348" s="89"/>
      <c r="K348" s="37"/>
      <c r="O348" s="37"/>
      <c r="P348" s="37"/>
      <c r="Q348" s="37"/>
      <c r="R348" s="37"/>
    </row>
    <row r="349">
      <c r="B349" s="37"/>
      <c r="C349" s="37"/>
      <c r="D349" s="37"/>
      <c r="E349" s="37"/>
      <c r="F349" s="37"/>
      <c r="G349" s="89"/>
      <c r="K349" s="37"/>
      <c r="O349" s="37"/>
      <c r="P349" s="37"/>
      <c r="Q349" s="37"/>
      <c r="R349" s="37"/>
    </row>
    <row r="350">
      <c r="B350" s="37"/>
      <c r="C350" s="37"/>
      <c r="D350" s="37"/>
      <c r="E350" s="37"/>
      <c r="F350" s="37"/>
      <c r="G350" s="89"/>
      <c r="K350" s="37"/>
      <c r="O350" s="37"/>
      <c r="P350" s="37"/>
      <c r="Q350" s="37"/>
      <c r="R350" s="37"/>
    </row>
    <row r="351">
      <c r="B351" s="37"/>
      <c r="C351" s="37"/>
      <c r="D351" s="37"/>
      <c r="E351" s="37"/>
      <c r="F351" s="37"/>
      <c r="G351" s="89"/>
      <c r="K351" s="37"/>
      <c r="O351" s="37"/>
      <c r="P351" s="37"/>
      <c r="Q351" s="37"/>
      <c r="R351" s="37"/>
    </row>
    <row r="352">
      <c r="B352" s="37"/>
      <c r="C352" s="37"/>
      <c r="D352" s="37"/>
      <c r="E352" s="37"/>
      <c r="F352" s="37"/>
      <c r="G352" s="89"/>
      <c r="K352" s="37"/>
      <c r="O352" s="37"/>
      <c r="P352" s="37"/>
      <c r="Q352" s="37"/>
      <c r="R352" s="37"/>
    </row>
    <row r="353">
      <c r="B353" s="37"/>
      <c r="C353" s="37"/>
      <c r="D353" s="37"/>
      <c r="E353" s="37"/>
      <c r="F353" s="37"/>
      <c r="G353" s="89"/>
      <c r="K353" s="37"/>
      <c r="O353" s="37"/>
      <c r="P353" s="37"/>
      <c r="Q353" s="37"/>
      <c r="R353" s="37"/>
    </row>
    <row r="354">
      <c r="B354" s="37"/>
      <c r="C354" s="37"/>
      <c r="D354" s="37"/>
      <c r="E354" s="37"/>
      <c r="F354" s="37"/>
      <c r="G354" s="89"/>
      <c r="K354" s="37"/>
      <c r="O354" s="37"/>
      <c r="P354" s="37"/>
      <c r="Q354" s="37"/>
      <c r="R354" s="37"/>
    </row>
    <row r="355">
      <c r="B355" s="37"/>
      <c r="C355" s="37"/>
      <c r="D355" s="37"/>
      <c r="E355" s="37"/>
      <c r="F355" s="37"/>
      <c r="G355" s="89"/>
      <c r="K355" s="37"/>
      <c r="O355" s="37"/>
      <c r="P355" s="37"/>
      <c r="Q355" s="37"/>
      <c r="R355" s="37"/>
    </row>
    <row r="356">
      <c r="B356" s="37"/>
      <c r="C356" s="37"/>
      <c r="D356" s="37"/>
      <c r="E356" s="37"/>
      <c r="F356" s="37"/>
      <c r="G356" s="89"/>
      <c r="K356" s="37"/>
      <c r="O356" s="37"/>
      <c r="P356" s="37"/>
      <c r="Q356" s="37"/>
      <c r="R356" s="37"/>
    </row>
    <row r="357">
      <c r="B357" s="37"/>
      <c r="C357" s="37"/>
      <c r="D357" s="37"/>
      <c r="E357" s="37"/>
      <c r="F357" s="37"/>
      <c r="G357" s="89"/>
      <c r="K357" s="37"/>
      <c r="O357" s="37"/>
      <c r="P357" s="37"/>
      <c r="Q357" s="37"/>
      <c r="R357" s="37"/>
    </row>
    <row r="358">
      <c r="B358" s="37"/>
      <c r="C358" s="37"/>
      <c r="D358" s="37"/>
      <c r="E358" s="37"/>
      <c r="F358" s="37"/>
      <c r="G358" s="89"/>
      <c r="K358" s="37"/>
      <c r="O358" s="37"/>
      <c r="P358" s="37"/>
      <c r="Q358" s="37"/>
      <c r="R358" s="37"/>
    </row>
    <row r="359">
      <c r="B359" s="37"/>
      <c r="C359" s="37"/>
      <c r="D359" s="37"/>
      <c r="E359" s="37"/>
      <c r="F359" s="37"/>
      <c r="G359" s="89"/>
      <c r="K359" s="37"/>
      <c r="O359" s="37"/>
      <c r="P359" s="37"/>
      <c r="Q359" s="37"/>
      <c r="R359" s="37"/>
    </row>
    <row r="360">
      <c r="B360" s="37"/>
      <c r="C360" s="37"/>
      <c r="D360" s="37"/>
      <c r="E360" s="37"/>
      <c r="F360" s="37"/>
      <c r="G360" s="89"/>
      <c r="K360" s="37"/>
      <c r="O360" s="37"/>
      <c r="P360" s="37"/>
      <c r="Q360" s="37"/>
      <c r="R360" s="37"/>
    </row>
    <row r="361">
      <c r="B361" s="37"/>
      <c r="C361" s="37"/>
      <c r="D361" s="37"/>
      <c r="E361" s="37"/>
      <c r="F361" s="37"/>
      <c r="G361" s="89"/>
      <c r="K361" s="37"/>
      <c r="O361" s="37"/>
      <c r="P361" s="37"/>
      <c r="Q361" s="37"/>
      <c r="R361" s="37"/>
    </row>
    <row r="362">
      <c r="B362" s="37"/>
      <c r="C362" s="37"/>
      <c r="D362" s="37"/>
      <c r="E362" s="37"/>
      <c r="F362" s="37"/>
      <c r="G362" s="89"/>
      <c r="K362" s="37"/>
      <c r="O362" s="37"/>
      <c r="P362" s="37"/>
      <c r="Q362" s="37"/>
      <c r="R362" s="37"/>
    </row>
    <row r="363">
      <c r="B363" s="37"/>
      <c r="C363" s="37"/>
      <c r="D363" s="37"/>
      <c r="E363" s="37"/>
      <c r="F363" s="37"/>
      <c r="G363" s="89"/>
      <c r="K363" s="37"/>
      <c r="O363" s="37"/>
      <c r="P363" s="37"/>
      <c r="Q363" s="37"/>
      <c r="R363" s="37"/>
    </row>
    <row r="364">
      <c r="B364" s="37"/>
      <c r="C364" s="37"/>
      <c r="D364" s="37"/>
      <c r="E364" s="37"/>
      <c r="F364" s="37"/>
      <c r="G364" s="89"/>
      <c r="K364" s="37"/>
      <c r="O364" s="37"/>
      <c r="P364" s="37"/>
      <c r="Q364" s="37"/>
      <c r="R364" s="37"/>
    </row>
    <row r="365">
      <c r="B365" s="37"/>
      <c r="C365" s="37"/>
      <c r="D365" s="37"/>
      <c r="E365" s="37"/>
      <c r="F365" s="37"/>
      <c r="G365" s="89"/>
      <c r="K365" s="37"/>
      <c r="O365" s="37"/>
      <c r="P365" s="37"/>
      <c r="Q365" s="37"/>
      <c r="R365" s="37"/>
    </row>
    <row r="366">
      <c r="B366" s="37"/>
      <c r="C366" s="37"/>
      <c r="D366" s="37"/>
      <c r="E366" s="37"/>
      <c r="F366" s="37"/>
      <c r="G366" s="89"/>
      <c r="K366" s="37"/>
      <c r="O366" s="37"/>
      <c r="P366" s="37"/>
      <c r="Q366" s="37"/>
      <c r="R366" s="37"/>
    </row>
    <row r="367">
      <c r="B367" s="37"/>
      <c r="C367" s="37"/>
      <c r="D367" s="37"/>
      <c r="E367" s="37"/>
      <c r="F367" s="37"/>
      <c r="G367" s="89"/>
      <c r="K367" s="37"/>
      <c r="O367" s="37"/>
      <c r="P367" s="37"/>
      <c r="Q367" s="37"/>
      <c r="R367" s="37"/>
    </row>
    <row r="368">
      <c r="B368" s="37"/>
      <c r="C368" s="37"/>
      <c r="D368" s="37"/>
      <c r="E368" s="37"/>
      <c r="F368" s="37"/>
      <c r="G368" s="89"/>
      <c r="K368" s="37"/>
      <c r="O368" s="37"/>
      <c r="P368" s="37"/>
      <c r="Q368" s="37"/>
      <c r="R368" s="37"/>
    </row>
    <row r="369">
      <c r="B369" s="37"/>
      <c r="C369" s="37"/>
      <c r="D369" s="37"/>
      <c r="E369" s="37"/>
      <c r="F369" s="37"/>
      <c r="G369" s="89"/>
      <c r="K369" s="37"/>
      <c r="O369" s="37"/>
      <c r="P369" s="37"/>
      <c r="Q369" s="37"/>
      <c r="R369" s="37"/>
    </row>
    <row r="370">
      <c r="B370" s="37"/>
      <c r="C370" s="37"/>
      <c r="D370" s="37"/>
      <c r="E370" s="37"/>
      <c r="F370" s="37"/>
      <c r="G370" s="89"/>
      <c r="K370" s="37"/>
      <c r="O370" s="37"/>
      <c r="P370" s="37"/>
      <c r="Q370" s="37"/>
      <c r="R370" s="37"/>
    </row>
    <row r="371">
      <c r="B371" s="37"/>
      <c r="C371" s="37"/>
      <c r="D371" s="37"/>
      <c r="E371" s="37"/>
      <c r="F371" s="37"/>
      <c r="G371" s="89"/>
      <c r="K371" s="37"/>
      <c r="O371" s="37"/>
      <c r="P371" s="37"/>
      <c r="Q371" s="37"/>
      <c r="R371" s="37"/>
    </row>
    <row r="372">
      <c r="B372" s="37"/>
      <c r="C372" s="37"/>
      <c r="D372" s="37"/>
      <c r="E372" s="37"/>
      <c r="F372" s="37"/>
      <c r="G372" s="89"/>
      <c r="K372" s="37"/>
      <c r="O372" s="37"/>
      <c r="P372" s="37"/>
      <c r="Q372" s="37"/>
      <c r="R372" s="37"/>
    </row>
    <row r="373">
      <c r="B373" s="37"/>
      <c r="C373" s="37"/>
      <c r="D373" s="37"/>
      <c r="E373" s="37"/>
      <c r="F373" s="37"/>
      <c r="G373" s="89"/>
      <c r="K373" s="37"/>
      <c r="O373" s="37"/>
      <c r="P373" s="37"/>
      <c r="Q373" s="37"/>
      <c r="R373" s="37"/>
    </row>
    <row r="374">
      <c r="B374" s="37"/>
      <c r="C374" s="37"/>
      <c r="D374" s="37"/>
      <c r="E374" s="37"/>
      <c r="F374" s="37"/>
      <c r="G374" s="89"/>
      <c r="K374" s="37"/>
      <c r="O374" s="37"/>
      <c r="P374" s="37"/>
      <c r="Q374" s="37"/>
      <c r="R374" s="37"/>
    </row>
    <row r="375">
      <c r="B375" s="37"/>
      <c r="C375" s="37"/>
      <c r="D375" s="37"/>
      <c r="E375" s="37"/>
      <c r="F375" s="37"/>
      <c r="G375" s="89"/>
      <c r="K375" s="37"/>
      <c r="O375" s="37"/>
      <c r="P375" s="37"/>
      <c r="Q375" s="37"/>
      <c r="R375" s="37"/>
    </row>
    <row r="376">
      <c r="B376" s="37"/>
      <c r="C376" s="37"/>
      <c r="D376" s="37"/>
      <c r="E376" s="37"/>
      <c r="F376" s="37"/>
      <c r="G376" s="89"/>
      <c r="K376" s="37"/>
      <c r="O376" s="37"/>
      <c r="P376" s="37"/>
      <c r="Q376" s="37"/>
      <c r="R376" s="37"/>
    </row>
    <row r="377">
      <c r="B377" s="37"/>
      <c r="C377" s="37"/>
      <c r="D377" s="37"/>
      <c r="E377" s="37"/>
      <c r="F377" s="37"/>
      <c r="G377" s="89"/>
      <c r="K377" s="37"/>
      <c r="O377" s="37"/>
      <c r="P377" s="37"/>
      <c r="Q377" s="37"/>
      <c r="R377" s="37"/>
    </row>
    <row r="378">
      <c r="B378" s="37"/>
      <c r="C378" s="37"/>
      <c r="D378" s="37"/>
      <c r="E378" s="37"/>
      <c r="F378" s="37"/>
      <c r="G378" s="89"/>
      <c r="K378" s="37"/>
      <c r="O378" s="37"/>
      <c r="P378" s="37"/>
      <c r="Q378" s="37"/>
      <c r="R378" s="37"/>
    </row>
    <row r="379">
      <c r="B379" s="37"/>
      <c r="C379" s="37"/>
      <c r="D379" s="37"/>
      <c r="E379" s="37"/>
      <c r="F379" s="37"/>
      <c r="G379" s="89"/>
      <c r="K379" s="37"/>
      <c r="O379" s="37"/>
      <c r="P379" s="37"/>
      <c r="Q379" s="37"/>
      <c r="R379" s="37"/>
    </row>
    <row r="380">
      <c r="B380" s="37"/>
      <c r="C380" s="37"/>
      <c r="D380" s="37"/>
      <c r="E380" s="37"/>
      <c r="F380" s="37"/>
      <c r="G380" s="89"/>
      <c r="K380" s="37"/>
      <c r="O380" s="37"/>
      <c r="P380" s="37"/>
      <c r="Q380" s="37"/>
      <c r="R380" s="37"/>
    </row>
    <row r="381">
      <c r="B381" s="37"/>
      <c r="C381" s="37"/>
      <c r="D381" s="37"/>
      <c r="E381" s="37"/>
      <c r="F381" s="37"/>
      <c r="G381" s="89"/>
      <c r="K381" s="37"/>
      <c r="O381" s="37"/>
      <c r="P381" s="37"/>
      <c r="Q381" s="37"/>
      <c r="R381" s="37"/>
    </row>
    <row r="382">
      <c r="B382" s="37"/>
      <c r="C382" s="37"/>
      <c r="D382" s="37"/>
      <c r="E382" s="37"/>
      <c r="F382" s="37"/>
      <c r="G382" s="89"/>
      <c r="K382" s="37"/>
      <c r="O382" s="37"/>
      <c r="P382" s="37"/>
      <c r="Q382" s="37"/>
      <c r="R382" s="37"/>
    </row>
    <row r="383">
      <c r="B383" s="37"/>
      <c r="C383" s="37"/>
      <c r="D383" s="37"/>
      <c r="E383" s="37"/>
      <c r="F383" s="37"/>
      <c r="G383" s="89"/>
      <c r="K383" s="37"/>
      <c r="O383" s="37"/>
      <c r="P383" s="37"/>
      <c r="Q383" s="37"/>
      <c r="R383" s="37"/>
    </row>
    <row r="384">
      <c r="B384" s="37"/>
      <c r="C384" s="37"/>
      <c r="D384" s="37"/>
      <c r="E384" s="37"/>
      <c r="F384" s="37"/>
      <c r="G384" s="89"/>
      <c r="K384" s="37"/>
      <c r="O384" s="37"/>
      <c r="P384" s="37"/>
      <c r="Q384" s="37"/>
      <c r="R384" s="37"/>
    </row>
    <row r="385">
      <c r="B385" s="37"/>
      <c r="C385" s="37"/>
      <c r="D385" s="37"/>
      <c r="E385" s="37"/>
      <c r="F385" s="37"/>
      <c r="G385" s="89"/>
      <c r="K385" s="37"/>
      <c r="O385" s="37"/>
      <c r="P385" s="37"/>
      <c r="Q385" s="37"/>
      <c r="R385" s="37"/>
    </row>
    <row r="386">
      <c r="B386" s="37"/>
      <c r="C386" s="37"/>
      <c r="D386" s="37"/>
      <c r="E386" s="37"/>
      <c r="F386" s="37"/>
      <c r="G386" s="89"/>
      <c r="K386" s="37"/>
      <c r="O386" s="37"/>
      <c r="P386" s="37"/>
      <c r="Q386" s="37"/>
      <c r="R386" s="37"/>
    </row>
    <row r="387">
      <c r="B387" s="37"/>
      <c r="C387" s="37"/>
      <c r="D387" s="37"/>
      <c r="E387" s="37"/>
      <c r="F387" s="37"/>
      <c r="G387" s="89"/>
      <c r="K387" s="37"/>
      <c r="O387" s="37"/>
      <c r="P387" s="37"/>
      <c r="Q387" s="37"/>
      <c r="R387" s="37"/>
    </row>
    <row r="388">
      <c r="B388" s="37"/>
      <c r="C388" s="37"/>
      <c r="D388" s="37"/>
      <c r="E388" s="37"/>
      <c r="F388" s="37"/>
      <c r="G388" s="89"/>
      <c r="K388" s="37"/>
      <c r="O388" s="37"/>
      <c r="P388" s="37"/>
      <c r="Q388" s="37"/>
      <c r="R388" s="37"/>
    </row>
    <row r="389">
      <c r="B389" s="37"/>
      <c r="C389" s="37"/>
      <c r="D389" s="37"/>
      <c r="E389" s="37"/>
      <c r="F389" s="37"/>
      <c r="G389" s="89"/>
      <c r="K389" s="37"/>
      <c r="O389" s="37"/>
      <c r="P389" s="37"/>
      <c r="Q389" s="37"/>
      <c r="R389" s="37"/>
    </row>
    <row r="390">
      <c r="B390" s="37"/>
      <c r="C390" s="37"/>
      <c r="D390" s="37"/>
      <c r="E390" s="37"/>
      <c r="F390" s="37"/>
      <c r="G390" s="89"/>
      <c r="K390" s="37"/>
      <c r="O390" s="37"/>
      <c r="P390" s="37"/>
      <c r="Q390" s="37"/>
      <c r="R390" s="37"/>
    </row>
    <row r="391">
      <c r="B391" s="37"/>
      <c r="C391" s="37"/>
      <c r="D391" s="37"/>
      <c r="E391" s="37"/>
      <c r="F391" s="37"/>
      <c r="G391" s="89"/>
      <c r="K391" s="37"/>
      <c r="O391" s="37"/>
      <c r="P391" s="37"/>
      <c r="Q391" s="37"/>
      <c r="R391" s="37"/>
    </row>
    <row r="392">
      <c r="B392" s="37"/>
      <c r="C392" s="37"/>
      <c r="D392" s="37"/>
      <c r="E392" s="37"/>
      <c r="F392" s="37"/>
      <c r="G392" s="89"/>
      <c r="K392" s="37"/>
      <c r="O392" s="37"/>
      <c r="P392" s="37"/>
      <c r="Q392" s="37"/>
      <c r="R392" s="37"/>
    </row>
    <row r="393">
      <c r="B393" s="37"/>
      <c r="C393" s="37"/>
      <c r="D393" s="37"/>
      <c r="E393" s="37"/>
      <c r="F393" s="37"/>
      <c r="G393" s="89"/>
      <c r="K393" s="37"/>
      <c r="O393" s="37"/>
      <c r="P393" s="37"/>
      <c r="Q393" s="37"/>
      <c r="R393" s="37"/>
    </row>
    <row r="394">
      <c r="B394" s="37"/>
      <c r="C394" s="37"/>
      <c r="D394" s="37"/>
      <c r="E394" s="37"/>
      <c r="F394" s="37"/>
      <c r="G394" s="89"/>
      <c r="K394" s="37"/>
      <c r="O394" s="37"/>
      <c r="P394" s="37"/>
      <c r="Q394" s="37"/>
      <c r="R394" s="37"/>
    </row>
    <row r="395">
      <c r="B395" s="37"/>
      <c r="C395" s="37"/>
      <c r="D395" s="37"/>
      <c r="E395" s="37"/>
      <c r="F395" s="37"/>
      <c r="G395" s="89"/>
      <c r="K395" s="37"/>
      <c r="O395" s="37"/>
      <c r="P395" s="37"/>
      <c r="Q395" s="37"/>
      <c r="R395" s="37"/>
    </row>
    <row r="396">
      <c r="B396" s="37"/>
      <c r="C396" s="37"/>
      <c r="D396" s="37"/>
      <c r="E396" s="37"/>
      <c r="F396" s="37"/>
      <c r="G396" s="89"/>
      <c r="K396" s="37"/>
      <c r="O396" s="37"/>
      <c r="P396" s="37"/>
      <c r="Q396" s="37"/>
      <c r="R396" s="37"/>
    </row>
    <row r="397">
      <c r="B397" s="37"/>
      <c r="C397" s="37"/>
      <c r="D397" s="37"/>
      <c r="E397" s="37"/>
      <c r="F397" s="37"/>
      <c r="G397" s="89"/>
      <c r="K397" s="37"/>
      <c r="O397" s="37"/>
      <c r="P397" s="37"/>
      <c r="Q397" s="37"/>
      <c r="R397" s="37"/>
    </row>
    <row r="398">
      <c r="B398" s="37"/>
      <c r="C398" s="37"/>
      <c r="D398" s="37"/>
      <c r="E398" s="37"/>
      <c r="F398" s="37"/>
      <c r="G398" s="89"/>
      <c r="K398" s="37"/>
      <c r="O398" s="37"/>
      <c r="P398" s="37"/>
      <c r="Q398" s="37"/>
      <c r="R398" s="37"/>
    </row>
    <row r="399">
      <c r="B399" s="37"/>
      <c r="C399" s="37"/>
      <c r="D399" s="37"/>
      <c r="E399" s="37"/>
      <c r="F399" s="37"/>
      <c r="G399" s="89"/>
      <c r="K399" s="37"/>
      <c r="O399" s="37"/>
      <c r="P399" s="37"/>
      <c r="Q399" s="37"/>
      <c r="R399" s="37"/>
    </row>
    <row r="400">
      <c r="B400" s="37"/>
      <c r="C400" s="37"/>
      <c r="D400" s="37"/>
      <c r="E400" s="37"/>
      <c r="F400" s="37"/>
      <c r="G400" s="89"/>
      <c r="K400" s="37"/>
      <c r="O400" s="37"/>
      <c r="P400" s="37"/>
      <c r="Q400" s="37"/>
      <c r="R400" s="37"/>
    </row>
    <row r="401">
      <c r="B401" s="37"/>
      <c r="C401" s="37"/>
      <c r="D401" s="37"/>
      <c r="E401" s="37"/>
      <c r="F401" s="37"/>
      <c r="G401" s="89"/>
      <c r="K401" s="37"/>
      <c r="O401" s="37"/>
      <c r="P401" s="37"/>
      <c r="Q401" s="37"/>
      <c r="R401" s="37"/>
    </row>
    <row r="402">
      <c r="B402" s="37"/>
      <c r="C402" s="37"/>
      <c r="D402" s="37"/>
      <c r="E402" s="37"/>
      <c r="F402" s="37"/>
      <c r="G402" s="89"/>
      <c r="K402" s="37"/>
      <c r="O402" s="37"/>
      <c r="P402" s="37"/>
      <c r="Q402" s="37"/>
      <c r="R402" s="37"/>
    </row>
    <row r="403">
      <c r="B403" s="37"/>
      <c r="C403" s="37"/>
      <c r="D403" s="37"/>
      <c r="E403" s="37"/>
      <c r="F403" s="37"/>
      <c r="G403" s="89"/>
      <c r="K403" s="37"/>
      <c r="O403" s="37"/>
      <c r="P403" s="37"/>
      <c r="Q403" s="37"/>
      <c r="R403" s="37"/>
    </row>
    <row r="404">
      <c r="B404" s="37"/>
      <c r="C404" s="37"/>
      <c r="D404" s="37"/>
      <c r="E404" s="37"/>
      <c r="F404" s="37"/>
      <c r="G404" s="89"/>
      <c r="K404" s="37"/>
      <c r="O404" s="37"/>
      <c r="P404" s="37"/>
      <c r="Q404" s="37"/>
      <c r="R404" s="37"/>
    </row>
    <row r="405">
      <c r="B405" s="37"/>
      <c r="C405" s="37"/>
      <c r="D405" s="37"/>
      <c r="E405" s="37"/>
      <c r="F405" s="37"/>
      <c r="G405" s="89"/>
      <c r="K405" s="37"/>
      <c r="O405" s="37"/>
      <c r="P405" s="37"/>
      <c r="Q405" s="37"/>
      <c r="R405" s="37"/>
    </row>
    <row r="406">
      <c r="B406" s="37"/>
      <c r="C406" s="37"/>
      <c r="D406" s="37"/>
      <c r="E406" s="37"/>
      <c r="F406" s="37"/>
      <c r="G406" s="89"/>
      <c r="K406" s="37"/>
      <c r="O406" s="37"/>
      <c r="P406" s="37"/>
      <c r="Q406" s="37"/>
      <c r="R406" s="37"/>
    </row>
    <row r="407">
      <c r="B407" s="37"/>
      <c r="C407" s="37"/>
      <c r="D407" s="37"/>
      <c r="E407" s="37"/>
      <c r="F407" s="37"/>
      <c r="G407" s="89"/>
      <c r="K407" s="37"/>
      <c r="O407" s="37"/>
      <c r="P407" s="37"/>
      <c r="Q407" s="37"/>
      <c r="R407" s="37"/>
    </row>
    <row r="408">
      <c r="B408" s="37"/>
      <c r="C408" s="37"/>
      <c r="D408" s="37"/>
      <c r="E408" s="37"/>
      <c r="F408" s="37"/>
      <c r="G408" s="89"/>
      <c r="K408" s="37"/>
      <c r="O408" s="37"/>
      <c r="P408" s="37"/>
      <c r="Q408" s="37"/>
      <c r="R408" s="37"/>
    </row>
    <row r="409">
      <c r="B409" s="37"/>
      <c r="C409" s="37"/>
      <c r="D409" s="37"/>
      <c r="E409" s="37"/>
      <c r="F409" s="37"/>
      <c r="G409" s="89"/>
      <c r="K409" s="37"/>
      <c r="O409" s="37"/>
      <c r="P409" s="37"/>
      <c r="Q409" s="37"/>
      <c r="R409" s="37"/>
    </row>
    <row r="410">
      <c r="B410" s="37"/>
      <c r="C410" s="37"/>
      <c r="D410" s="37"/>
      <c r="E410" s="37"/>
      <c r="F410" s="37"/>
      <c r="G410" s="89"/>
      <c r="K410" s="37"/>
      <c r="O410" s="37"/>
      <c r="P410" s="37"/>
      <c r="Q410" s="37"/>
      <c r="R410" s="37"/>
    </row>
    <row r="411">
      <c r="B411" s="37"/>
      <c r="C411" s="37"/>
      <c r="D411" s="37"/>
      <c r="E411" s="37"/>
      <c r="F411" s="37"/>
      <c r="G411" s="89"/>
      <c r="K411" s="37"/>
      <c r="O411" s="37"/>
      <c r="P411" s="37"/>
      <c r="Q411" s="37"/>
      <c r="R411" s="37"/>
    </row>
    <row r="412">
      <c r="B412" s="37"/>
      <c r="C412" s="37"/>
      <c r="D412" s="37"/>
      <c r="E412" s="37"/>
      <c r="F412" s="37"/>
      <c r="G412" s="89"/>
      <c r="K412" s="37"/>
      <c r="O412" s="37"/>
      <c r="P412" s="37"/>
      <c r="Q412" s="37"/>
      <c r="R412" s="37"/>
    </row>
    <row r="413">
      <c r="B413" s="37"/>
      <c r="C413" s="37"/>
      <c r="D413" s="37"/>
      <c r="E413" s="37"/>
      <c r="F413" s="37"/>
      <c r="G413" s="89"/>
      <c r="K413" s="37"/>
      <c r="O413" s="37"/>
      <c r="P413" s="37"/>
      <c r="Q413" s="37"/>
      <c r="R413" s="37"/>
    </row>
    <row r="414">
      <c r="B414" s="37"/>
      <c r="C414" s="37"/>
      <c r="D414" s="37"/>
      <c r="E414" s="37"/>
      <c r="F414" s="37"/>
      <c r="G414" s="89"/>
      <c r="K414" s="37"/>
      <c r="O414" s="37"/>
      <c r="P414" s="37"/>
      <c r="Q414" s="37"/>
      <c r="R414" s="37"/>
    </row>
    <row r="415">
      <c r="B415" s="37"/>
      <c r="C415" s="37"/>
      <c r="D415" s="37"/>
      <c r="E415" s="37"/>
      <c r="F415" s="37"/>
      <c r="G415" s="89"/>
      <c r="K415" s="37"/>
      <c r="O415" s="37"/>
      <c r="P415" s="37"/>
      <c r="Q415" s="37"/>
      <c r="R415" s="37"/>
    </row>
    <row r="416">
      <c r="B416" s="37"/>
      <c r="C416" s="37"/>
      <c r="D416" s="37"/>
      <c r="E416" s="37"/>
      <c r="F416" s="37"/>
      <c r="G416" s="89"/>
      <c r="K416" s="37"/>
      <c r="O416" s="37"/>
      <c r="P416" s="37"/>
      <c r="Q416" s="37"/>
      <c r="R416" s="37"/>
    </row>
    <row r="417">
      <c r="B417" s="37"/>
      <c r="C417" s="37"/>
      <c r="D417" s="37"/>
      <c r="E417" s="37"/>
      <c r="F417" s="37"/>
      <c r="G417" s="89"/>
      <c r="K417" s="37"/>
      <c r="O417" s="37"/>
      <c r="P417" s="37"/>
      <c r="Q417" s="37"/>
      <c r="R417" s="37"/>
    </row>
    <row r="418">
      <c r="B418" s="37"/>
      <c r="C418" s="37"/>
      <c r="D418" s="37"/>
      <c r="E418" s="37"/>
      <c r="F418" s="37"/>
      <c r="G418" s="89"/>
      <c r="K418" s="37"/>
      <c r="O418" s="37"/>
      <c r="P418" s="37"/>
      <c r="Q418" s="37"/>
      <c r="R418" s="37"/>
    </row>
    <row r="419">
      <c r="B419" s="37"/>
      <c r="C419" s="37"/>
      <c r="D419" s="37"/>
      <c r="E419" s="37"/>
      <c r="F419" s="37"/>
      <c r="G419" s="89"/>
      <c r="K419" s="37"/>
      <c r="O419" s="37"/>
      <c r="P419" s="37"/>
      <c r="Q419" s="37"/>
      <c r="R419" s="37"/>
    </row>
    <row r="420">
      <c r="B420" s="37"/>
      <c r="C420" s="37"/>
      <c r="D420" s="37"/>
      <c r="E420" s="37"/>
      <c r="F420" s="37"/>
      <c r="G420" s="89"/>
      <c r="K420" s="37"/>
      <c r="O420" s="37"/>
      <c r="P420" s="37"/>
      <c r="Q420" s="37"/>
      <c r="R420" s="37"/>
    </row>
    <row r="421">
      <c r="B421" s="37"/>
      <c r="C421" s="37"/>
      <c r="D421" s="37"/>
      <c r="E421" s="37"/>
      <c r="F421" s="37"/>
      <c r="G421" s="89"/>
      <c r="K421" s="37"/>
      <c r="O421" s="37"/>
      <c r="P421" s="37"/>
      <c r="Q421" s="37"/>
      <c r="R421" s="37"/>
    </row>
    <row r="422">
      <c r="B422" s="37"/>
      <c r="C422" s="37"/>
      <c r="D422" s="37"/>
      <c r="E422" s="37"/>
      <c r="F422" s="37"/>
      <c r="G422" s="89"/>
      <c r="K422" s="37"/>
      <c r="O422" s="37"/>
      <c r="P422" s="37"/>
      <c r="Q422" s="37"/>
      <c r="R422" s="37"/>
    </row>
    <row r="423">
      <c r="B423" s="37"/>
      <c r="C423" s="37"/>
      <c r="D423" s="37"/>
      <c r="E423" s="37"/>
      <c r="F423" s="37"/>
      <c r="G423" s="89"/>
      <c r="K423" s="37"/>
      <c r="O423" s="37"/>
      <c r="P423" s="37"/>
      <c r="Q423" s="37"/>
      <c r="R423" s="37"/>
    </row>
    <row r="424">
      <c r="B424" s="37"/>
      <c r="C424" s="37"/>
      <c r="D424" s="37"/>
      <c r="E424" s="37"/>
      <c r="F424" s="37"/>
      <c r="G424" s="89"/>
      <c r="K424" s="37"/>
      <c r="O424" s="37"/>
      <c r="P424" s="37"/>
      <c r="Q424" s="37"/>
      <c r="R424" s="37"/>
    </row>
    <row r="425">
      <c r="B425" s="37"/>
      <c r="C425" s="37"/>
      <c r="D425" s="37"/>
      <c r="E425" s="37"/>
      <c r="F425" s="37"/>
      <c r="G425" s="89"/>
      <c r="K425" s="37"/>
      <c r="O425" s="37"/>
      <c r="P425" s="37"/>
      <c r="Q425" s="37"/>
      <c r="R425" s="37"/>
    </row>
    <row r="426">
      <c r="B426" s="37"/>
      <c r="C426" s="37"/>
      <c r="D426" s="37"/>
      <c r="E426" s="37"/>
      <c r="F426" s="37"/>
      <c r="G426" s="89"/>
      <c r="K426" s="37"/>
      <c r="O426" s="37"/>
      <c r="P426" s="37"/>
      <c r="Q426" s="37"/>
      <c r="R426" s="37"/>
    </row>
    <row r="427">
      <c r="B427" s="37"/>
      <c r="C427" s="37"/>
      <c r="D427" s="37"/>
      <c r="E427" s="37"/>
      <c r="F427" s="37"/>
      <c r="G427" s="89"/>
      <c r="K427" s="37"/>
      <c r="O427" s="37"/>
      <c r="P427" s="37"/>
      <c r="Q427" s="37"/>
      <c r="R427" s="37"/>
    </row>
    <row r="428">
      <c r="B428" s="37"/>
      <c r="C428" s="37"/>
      <c r="D428" s="37"/>
      <c r="E428" s="37"/>
      <c r="F428" s="37"/>
      <c r="G428" s="89"/>
      <c r="K428" s="37"/>
      <c r="O428" s="37"/>
      <c r="P428" s="37"/>
      <c r="Q428" s="37"/>
      <c r="R428" s="37"/>
    </row>
    <row r="429">
      <c r="B429" s="37"/>
      <c r="C429" s="37"/>
      <c r="D429" s="37"/>
      <c r="E429" s="37"/>
      <c r="F429" s="37"/>
      <c r="G429" s="89"/>
      <c r="K429" s="37"/>
      <c r="O429" s="37"/>
      <c r="P429" s="37"/>
      <c r="Q429" s="37"/>
      <c r="R429" s="37"/>
    </row>
    <row r="430">
      <c r="B430" s="37"/>
      <c r="C430" s="37"/>
      <c r="D430" s="37"/>
      <c r="E430" s="37"/>
      <c r="F430" s="37"/>
      <c r="G430" s="89"/>
      <c r="K430" s="37"/>
      <c r="O430" s="37"/>
      <c r="P430" s="37"/>
      <c r="Q430" s="37"/>
      <c r="R430" s="37"/>
    </row>
    <row r="431">
      <c r="B431" s="37"/>
      <c r="C431" s="37"/>
      <c r="D431" s="37"/>
      <c r="E431" s="37"/>
      <c r="F431" s="37"/>
      <c r="G431" s="89"/>
      <c r="K431" s="37"/>
      <c r="O431" s="37"/>
      <c r="P431" s="37"/>
      <c r="Q431" s="37"/>
      <c r="R431" s="37"/>
    </row>
    <row r="432">
      <c r="B432" s="37"/>
      <c r="C432" s="37"/>
      <c r="D432" s="37"/>
      <c r="E432" s="37"/>
      <c r="F432" s="37"/>
      <c r="G432" s="89"/>
      <c r="K432" s="37"/>
      <c r="O432" s="37"/>
      <c r="P432" s="37"/>
      <c r="Q432" s="37"/>
      <c r="R432" s="37"/>
    </row>
    <row r="433">
      <c r="B433" s="37"/>
      <c r="C433" s="37"/>
      <c r="D433" s="37"/>
      <c r="E433" s="37"/>
      <c r="F433" s="37"/>
      <c r="G433" s="89"/>
      <c r="K433" s="37"/>
      <c r="O433" s="37"/>
      <c r="P433" s="37"/>
      <c r="Q433" s="37"/>
      <c r="R433" s="37"/>
    </row>
    <row r="434">
      <c r="B434" s="37"/>
      <c r="C434" s="37"/>
      <c r="D434" s="37"/>
      <c r="E434" s="37"/>
      <c r="F434" s="37"/>
      <c r="G434" s="89"/>
      <c r="K434" s="37"/>
      <c r="O434" s="37"/>
      <c r="P434" s="37"/>
      <c r="Q434" s="37"/>
      <c r="R434" s="37"/>
    </row>
    <row r="435">
      <c r="B435" s="37"/>
      <c r="C435" s="37"/>
      <c r="D435" s="37"/>
      <c r="E435" s="37"/>
      <c r="F435" s="37"/>
      <c r="G435" s="89"/>
      <c r="K435" s="37"/>
      <c r="O435" s="37"/>
      <c r="P435" s="37"/>
      <c r="Q435" s="37"/>
      <c r="R435" s="37"/>
    </row>
    <row r="436">
      <c r="B436" s="37"/>
      <c r="C436" s="37"/>
      <c r="D436" s="37"/>
      <c r="E436" s="37"/>
      <c r="F436" s="37"/>
      <c r="G436" s="89"/>
      <c r="K436" s="37"/>
      <c r="O436" s="37"/>
      <c r="P436" s="37"/>
      <c r="Q436" s="37"/>
      <c r="R436" s="37"/>
    </row>
    <row r="437">
      <c r="B437" s="37"/>
      <c r="C437" s="37"/>
      <c r="D437" s="37"/>
      <c r="E437" s="37"/>
      <c r="F437" s="37"/>
      <c r="G437" s="89"/>
      <c r="K437" s="37"/>
      <c r="O437" s="37"/>
      <c r="P437" s="37"/>
      <c r="Q437" s="37"/>
      <c r="R437" s="37"/>
    </row>
    <row r="438">
      <c r="B438" s="37"/>
      <c r="C438" s="37"/>
      <c r="D438" s="37"/>
      <c r="E438" s="37"/>
      <c r="F438" s="37"/>
      <c r="G438" s="89"/>
      <c r="K438" s="37"/>
      <c r="O438" s="37"/>
      <c r="P438" s="37"/>
      <c r="Q438" s="37"/>
      <c r="R438" s="37"/>
    </row>
    <row r="439">
      <c r="B439" s="37"/>
      <c r="C439" s="37"/>
      <c r="D439" s="37"/>
      <c r="E439" s="37"/>
      <c r="F439" s="37"/>
      <c r="G439" s="89"/>
      <c r="K439" s="37"/>
      <c r="O439" s="37"/>
      <c r="P439" s="37"/>
      <c r="Q439" s="37"/>
      <c r="R439" s="37"/>
    </row>
    <row r="440">
      <c r="B440" s="37"/>
      <c r="C440" s="37"/>
      <c r="D440" s="37"/>
      <c r="E440" s="37"/>
      <c r="F440" s="37"/>
      <c r="G440" s="89"/>
      <c r="K440" s="37"/>
      <c r="O440" s="37"/>
      <c r="P440" s="37"/>
      <c r="Q440" s="37"/>
      <c r="R440" s="37"/>
    </row>
    <row r="441">
      <c r="B441" s="37"/>
      <c r="C441" s="37"/>
      <c r="D441" s="37"/>
      <c r="E441" s="37"/>
      <c r="F441" s="37"/>
      <c r="G441" s="89"/>
      <c r="K441" s="37"/>
      <c r="O441" s="37"/>
      <c r="P441" s="37"/>
      <c r="Q441" s="37"/>
      <c r="R441" s="37"/>
    </row>
    <row r="442">
      <c r="B442" s="37"/>
      <c r="C442" s="37"/>
      <c r="D442" s="37"/>
      <c r="E442" s="37"/>
      <c r="F442" s="37"/>
      <c r="G442" s="89"/>
      <c r="K442" s="37"/>
      <c r="O442" s="37"/>
      <c r="P442" s="37"/>
      <c r="Q442" s="37"/>
      <c r="R442" s="37"/>
    </row>
    <row r="443">
      <c r="B443" s="37"/>
      <c r="C443" s="37"/>
      <c r="D443" s="37"/>
      <c r="E443" s="37"/>
      <c r="F443" s="37"/>
      <c r="G443" s="89"/>
      <c r="K443" s="37"/>
      <c r="O443" s="37"/>
      <c r="P443" s="37"/>
      <c r="Q443" s="37"/>
      <c r="R443" s="37"/>
    </row>
    <row r="444">
      <c r="B444" s="37"/>
      <c r="C444" s="37"/>
      <c r="D444" s="37"/>
      <c r="E444" s="37"/>
      <c r="F444" s="37"/>
      <c r="G444" s="89"/>
      <c r="K444" s="37"/>
      <c r="O444" s="37"/>
      <c r="P444" s="37"/>
      <c r="Q444" s="37"/>
      <c r="R444" s="37"/>
    </row>
    <row r="445">
      <c r="B445" s="37"/>
      <c r="C445" s="37"/>
      <c r="D445" s="37"/>
      <c r="E445" s="37"/>
      <c r="F445" s="37"/>
      <c r="G445" s="89"/>
      <c r="K445" s="37"/>
      <c r="O445" s="37"/>
      <c r="P445" s="37"/>
      <c r="Q445" s="37"/>
      <c r="R445" s="37"/>
    </row>
    <row r="446">
      <c r="B446" s="37"/>
      <c r="C446" s="37"/>
      <c r="D446" s="37"/>
      <c r="E446" s="37"/>
      <c r="F446" s="37"/>
      <c r="G446" s="89"/>
      <c r="K446" s="37"/>
      <c r="O446" s="37"/>
      <c r="P446" s="37"/>
      <c r="Q446" s="37"/>
      <c r="R446" s="37"/>
    </row>
    <row r="447">
      <c r="B447" s="37"/>
      <c r="C447" s="37"/>
      <c r="D447" s="37"/>
      <c r="E447" s="37"/>
      <c r="F447" s="37"/>
      <c r="G447" s="89"/>
      <c r="K447" s="37"/>
      <c r="O447" s="37"/>
      <c r="P447" s="37"/>
      <c r="Q447" s="37"/>
      <c r="R447" s="37"/>
    </row>
    <row r="448">
      <c r="B448" s="37"/>
      <c r="C448" s="37"/>
      <c r="D448" s="37"/>
      <c r="E448" s="37"/>
      <c r="F448" s="37"/>
      <c r="G448" s="89"/>
      <c r="K448" s="37"/>
      <c r="O448" s="37"/>
      <c r="P448" s="37"/>
      <c r="Q448" s="37"/>
      <c r="R448" s="37"/>
    </row>
    <row r="449">
      <c r="B449" s="37"/>
      <c r="C449" s="37"/>
      <c r="D449" s="37"/>
      <c r="E449" s="37"/>
      <c r="F449" s="37"/>
      <c r="G449" s="89"/>
      <c r="K449" s="37"/>
      <c r="O449" s="37"/>
      <c r="P449" s="37"/>
      <c r="Q449" s="37"/>
      <c r="R449" s="37"/>
    </row>
    <row r="450">
      <c r="B450" s="37"/>
      <c r="C450" s="37"/>
      <c r="D450" s="37"/>
      <c r="E450" s="37"/>
      <c r="F450" s="37"/>
      <c r="G450" s="89"/>
      <c r="K450" s="37"/>
      <c r="O450" s="37"/>
      <c r="P450" s="37"/>
      <c r="Q450" s="37"/>
      <c r="R450" s="37"/>
    </row>
    <row r="451">
      <c r="B451" s="37"/>
      <c r="C451" s="37"/>
      <c r="D451" s="37"/>
      <c r="E451" s="37"/>
      <c r="F451" s="37"/>
      <c r="G451" s="89"/>
      <c r="K451" s="37"/>
      <c r="O451" s="37"/>
      <c r="P451" s="37"/>
      <c r="Q451" s="37"/>
      <c r="R451" s="37"/>
    </row>
    <row r="452">
      <c r="B452" s="37"/>
      <c r="C452" s="37"/>
      <c r="D452" s="37"/>
      <c r="E452" s="37"/>
      <c r="F452" s="37"/>
      <c r="G452" s="89"/>
      <c r="K452" s="37"/>
      <c r="O452" s="37"/>
      <c r="P452" s="37"/>
      <c r="Q452" s="37"/>
      <c r="R452" s="37"/>
    </row>
    <row r="453">
      <c r="B453" s="37"/>
      <c r="C453" s="37"/>
      <c r="D453" s="37"/>
      <c r="E453" s="37"/>
      <c r="F453" s="37"/>
      <c r="G453" s="89"/>
      <c r="K453" s="37"/>
      <c r="O453" s="37"/>
      <c r="P453" s="37"/>
      <c r="Q453" s="37"/>
      <c r="R453" s="37"/>
    </row>
    <row r="454">
      <c r="B454" s="37"/>
      <c r="C454" s="37"/>
      <c r="D454" s="37"/>
      <c r="E454" s="37"/>
      <c r="F454" s="37"/>
      <c r="G454" s="89"/>
      <c r="K454" s="37"/>
      <c r="O454" s="37"/>
      <c r="P454" s="37"/>
      <c r="Q454" s="37"/>
      <c r="R454" s="37"/>
    </row>
    <row r="455">
      <c r="B455" s="37"/>
      <c r="C455" s="37"/>
      <c r="D455" s="37"/>
      <c r="E455" s="37"/>
      <c r="F455" s="37"/>
      <c r="G455" s="89"/>
      <c r="K455" s="37"/>
      <c r="O455" s="37"/>
      <c r="P455" s="37"/>
      <c r="Q455" s="37"/>
      <c r="R455" s="37"/>
    </row>
    <row r="456">
      <c r="B456" s="37"/>
      <c r="C456" s="37"/>
      <c r="D456" s="37"/>
      <c r="E456" s="37"/>
      <c r="F456" s="37"/>
      <c r="G456" s="89"/>
      <c r="K456" s="37"/>
      <c r="O456" s="37"/>
      <c r="P456" s="37"/>
      <c r="Q456" s="37"/>
      <c r="R456" s="37"/>
    </row>
    <row r="457">
      <c r="B457" s="37"/>
      <c r="C457" s="37"/>
      <c r="D457" s="37"/>
      <c r="E457" s="37"/>
      <c r="F457" s="37"/>
      <c r="G457" s="89"/>
      <c r="K457" s="37"/>
      <c r="O457" s="37"/>
      <c r="P457" s="37"/>
      <c r="Q457" s="37"/>
      <c r="R457" s="37"/>
    </row>
    <row r="458">
      <c r="B458" s="37"/>
      <c r="C458" s="37"/>
      <c r="D458" s="37"/>
      <c r="E458" s="37"/>
      <c r="F458" s="37"/>
      <c r="G458" s="89"/>
      <c r="K458" s="37"/>
      <c r="O458" s="37"/>
      <c r="P458" s="37"/>
      <c r="Q458" s="37"/>
      <c r="R458" s="37"/>
    </row>
    <row r="459">
      <c r="B459" s="37"/>
      <c r="C459" s="37"/>
      <c r="D459" s="37"/>
      <c r="E459" s="37"/>
      <c r="F459" s="37"/>
      <c r="G459" s="89"/>
      <c r="K459" s="37"/>
      <c r="O459" s="37"/>
      <c r="P459" s="37"/>
      <c r="Q459" s="37"/>
      <c r="R459" s="37"/>
    </row>
    <row r="460">
      <c r="B460" s="37"/>
      <c r="C460" s="37"/>
      <c r="D460" s="37"/>
      <c r="E460" s="37"/>
      <c r="F460" s="37"/>
      <c r="G460" s="89"/>
      <c r="K460" s="37"/>
      <c r="O460" s="37"/>
      <c r="P460" s="37"/>
      <c r="Q460" s="37"/>
      <c r="R460" s="37"/>
    </row>
    <row r="461">
      <c r="B461" s="37"/>
      <c r="C461" s="37"/>
      <c r="D461" s="37"/>
      <c r="E461" s="37"/>
      <c r="F461" s="37"/>
      <c r="G461" s="89"/>
      <c r="K461" s="37"/>
      <c r="O461" s="37"/>
      <c r="P461" s="37"/>
      <c r="Q461" s="37"/>
      <c r="R461" s="37"/>
    </row>
    <row r="462">
      <c r="B462" s="37"/>
      <c r="C462" s="37"/>
      <c r="D462" s="37"/>
      <c r="E462" s="37"/>
      <c r="F462" s="37"/>
      <c r="G462" s="89"/>
      <c r="K462" s="37"/>
      <c r="O462" s="37"/>
      <c r="P462" s="37"/>
      <c r="Q462" s="37"/>
      <c r="R462" s="37"/>
    </row>
    <row r="463">
      <c r="B463" s="37"/>
      <c r="C463" s="37"/>
      <c r="D463" s="37"/>
      <c r="E463" s="37"/>
      <c r="F463" s="37"/>
      <c r="G463" s="89"/>
      <c r="K463" s="37"/>
      <c r="O463" s="37"/>
      <c r="P463" s="37"/>
      <c r="Q463" s="37"/>
      <c r="R463" s="37"/>
    </row>
    <row r="464">
      <c r="B464" s="37"/>
      <c r="C464" s="37"/>
      <c r="D464" s="37"/>
      <c r="E464" s="37"/>
      <c r="F464" s="37"/>
      <c r="G464" s="89"/>
      <c r="K464" s="37"/>
      <c r="O464" s="37"/>
      <c r="P464" s="37"/>
      <c r="Q464" s="37"/>
      <c r="R464" s="37"/>
    </row>
    <row r="465">
      <c r="B465" s="37"/>
      <c r="C465" s="37"/>
      <c r="D465" s="37"/>
      <c r="E465" s="37"/>
      <c r="F465" s="37"/>
      <c r="G465" s="89"/>
      <c r="K465" s="37"/>
      <c r="O465" s="37"/>
      <c r="P465" s="37"/>
      <c r="Q465" s="37"/>
      <c r="R465" s="37"/>
    </row>
    <row r="466">
      <c r="B466" s="37"/>
      <c r="C466" s="37"/>
      <c r="D466" s="37"/>
      <c r="E466" s="37"/>
      <c r="F466" s="37"/>
      <c r="G466" s="89"/>
      <c r="K466" s="37"/>
      <c r="O466" s="37"/>
      <c r="P466" s="37"/>
      <c r="Q466" s="37"/>
      <c r="R466" s="37"/>
    </row>
    <row r="467">
      <c r="B467" s="37"/>
      <c r="C467" s="37"/>
      <c r="D467" s="37"/>
      <c r="E467" s="37"/>
      <c r="F467" s="37"/>
      <c r="G467" s="89"/>
      <c r="K467" s="37"/>
      <c r="O467" s="37"/>
      <c r="P467" s="37"/>
      <c r="Q467" s="37"/>
      <c r="R467" s="37"/>
    </row>
    <row r="468">
      <c r="B468" s="37"/>
      <c r="C468" s="37"/>
      <c r="D468" s="37"/>
      <c r="E468" s="37"/>
      <c r="F468" s="37"/>
      <c r="G468" s="89"/>
      <c r="K468" s="37"/>
      <c r="O468" s="37"/>
      <c r="P468" s="37"/>
      <c r="Q468" s="37"/>
      <c r="R468" s="37"/>
    </row>
    <row r="469">
      <c r="B469" s="37"/>
      <c r="C469" s="37"/>
      <c r="D469" s="37"/>
      <c r="E469" s="37"/>
      <c r="F469" s="37"/>
      <c r="G469" s="89"/>
      <c r="K469" s="37"/>
      <c r="O469" s="37"/>
      <c r="P469" s="37"/>
      <c r="Q469" s="37"/>
      <c r="R469" s="37"/>
    </row>
    <row r="470">
      <c r="B470" s="37"/>
      <c r="C470" s="37"/>
      <c r="D470" s="37"/>
      <c r="E470" s="37"/>
      <c r="F470" s="37"/>
      <c r="G470" s="89"/>
      <c r="K470" s="37"/>
      <c r="O470" s="37"/>
      <c r="P470" s="37"/>
      <c r="Q470" s="37"/>
      <c r="R470" s="37"/>
    </row>
    <row r="471">
      <c r="B471" s="37"/>
      <c r="C471" s="37"/>
      <c r="D471" s="37"/>
      <c r="E471" s="37"/>
      <c r="F471" s="37"/>
      <c r="G471" s="89"/>
      <c r="K471" s="37"/>
      <c r="O471" s="37"/>
      <c r="P471" s="37"/>
      <c r="Q471" s="37"/>
      <c r="R471" s="37"/>
    </row>
    <row r="472">
      <c r="B472" s="37"/>
      <c r="C472" s="37"/>
      <c r="D472" s="37"/>
      <c r="E472" s="37"/>
      <c r="F472" s="37"/>
      <c r="G472" s="89"/>
      <c r="K472" s="37"/>
      <c r="O472" s="37"/>
      <c r="P472" s="37"/>
      <c r="Q472" s="37"/>
      <c r="R472" s="37"/>
    </row>
    <row r="473">
      <c r="B473" s="37"/>
      <c r="C473" s="37"/>
      <c r="D473" s="37"/>
      <c r="E473" s="37"/>
      <c r="F473" s="37"/>
      <c r="G473" s="89"/>
      <c r="K473" s="37"/>
      <c r="O473" s="37"/>
      <c r="P473" s="37"/>
      <c r="Q473" s="37"/>
      <c r="R473" s="37"/>
    </row>
    <row r="474">
      <c r="B474" s="37"/>
      <c r="C474" s="37"/>
      <c r="D474" s="37"/>
      <c r="E474" s="37"/>
      <c r="F474" s="37"/>
      <c r="G474" s="89"/>
      <c r="K474" s="37"/>
      <c r="O474" s="37"/>
      <c r="P474" s="37"/>
      <c r="Q474" s="37"/>
      <c r="R474" s="37"/>
    </row>
    <row r="475">
      <c r="B475" s="37"/>
      <c r="C475" s="37"/>
      <c r="D475" s="37"/>
      <c r="E475" s="37"/>
      <c r="F475" s="37"/>
      <c r="G475" s="89"/>
      <c r="K475" s="37"/>
      <c r="O475" s="37"/>
      <c r="P475" s="37"/>
      <c r="Q475" s="37"/>
      <c r="R475" s="37"/>
    </row>
    <row r="476">
      <c r="B476" s="37"/>
      <c r="C476" s="37"/>
      <c r="D476" s="37"/>
      <c r="E476" s="37"/>
      <c r="F476" s="37"/>
      <c r="G476" s="89"/>
      <c r="K476" s="37"/>
      <c r="O476" s="37"/>
      <c r="P476" s="37"/>
      <c r="Q476" s="37"/>
      <c r="R476" s="37"/>
    </row>
    <row r="477">
      <c r="B477" s="37"/>
      <c r="C477" s="37"/>
      <c r="D477" s="37"/>
      <c r="E477" s="37"/>
      <c r="F477" s="37"/>
      <c r="G477" s="89"/>
      <c r="K477" s="37"/>
      <c r="O477" s="37"/>
      <c r="P477" s="37"/>
      <c r="Q477" s="37"/>
      <c r="R477" s="37"/>
    </row>
    <row r="478">
      <c r="B478" s="37"/>
      <c r="C478" s="37"/>
      <c r="D478" s="37"/>
      <c r="E478" s="37"/>
      <c r="F478" s="37"/>
      <c r="G478" s="89"/>
      <c r="K478" s="37"/>
      <c r="O478" s="37"/>
      <c r="P478" s="37"/>
      <c r="Q478" s="37"/>
      <c r="R478" s="37"/>
    </row>
    <row r="479">
      <c r="B479" s="37"/>
      <c r="C479" s="37"/>
      <c r="D479" s="37"/>
      <c r="E479" s="37"/>
      <c r="F479" s="37"/>
      <c r="G479" s="89"/>
      <c r="K479" s="37"/>
      <c r="O479" s="37"/>
      <c r="P479" s="37"/>
      <c r="Q479" s="37"/>
      <c r="R479" s="37"/>
    </row>
    <row r="480">
      <c r="B480" s="37"/>
      <c r="C480" s="37"/>
      <c r="D480" s="37"/>
      <c r="E480" s="37"/>
      <c r="F480" s="37"/>
      <c r="G480" s="89"/>
      <c r="K480" s="37"/>
      <c r="O480" s="37"/>
      <c r="P480" s="37"/>
      <c r="Q480" s="37"/>
      <c r="R480" s="37"/>
    </row>
    <row r="481">
      <c r="B481" s="37"/>
      <c r="C481" s="37"/>
      <c r="D481" s="37"/>
      <c r="E481" s="37"/>
      <c r="F481" s="37"/>
      <c r="G481" s="89"/>
      <c r="K481" s="37"/>
      <c r="O481" s="37"/>
      <c r="P481" s="37"/>
      <c r="Q481" s="37"/>
      <c r="R481" s="37"/>
    </row>
    <row r="482">
      <c r="B482" s="37"/>
      <c r="C482" s="37"/>
      <c r="D482" s="37"/>
      <c r="E482" s="37"/>
      <c r="F482" s="37"/>
      <c r="G482" s="89"/>
      <c r="K482" s="37"/>
      <c r="O482" s="37"/>
      <c r="P482" s="37"/>
      <c r="Q482" s="37"/>
      <c r="R482" s="37"/>
    </row>
    <row r="483">
      <c r="B483" s="37"/>
      <c r="C483" s="37"/>
      <c r="D483" s="37"/>
      <c r="E483" s="37"/>
      <c r="F483" s="37"/>
      <c r="G483" s="89"/>
      <c r="K483" s="37"/>
      <c r="O483" s="37"/>
      <c r="P483" s="37"/>
      <c r="Q483" s="37"/>
      <c r="R483" s="37"/>
    </row>
    <row r="484">
      <c r="B484" s="37"/>
      <c r="C484" s="37"/>
      <c r="D484" s="37"/>
      <c r="E484" s="37"/>
      <c r="F484" s="37"/>
      <c r="G484" s="89"/>
      <c r="K484" s="37"/>
      <c r="O484" s="37"/>
      <c r="P484" s="37"/>
      <c r="Q484" s="37"/>
      <c r="R484" s="37"/>
    </row>
    <row r="485">
      <c r="B485" s="37"/>
      <c r="C485" s="37"/>
      <c r="D485" s="37"/>
      <c r="E485" s="37"/>
      <c r="F485" s="37"/>
      <c r="G485" s="89"/>
      <c r="K485" s="37"/>
      <c r="O485" s="37"/>
      <c r="P485" s="37"/>
      <c r="Q485" s="37"/>
      <c r="R485" s="37"/>
    </row>
    <row r="486">
      <c r="B486" s="37"/>
      <c r="C486" s="37"/>
      <c r="D486" s="37"/>
      <c r="E486" s="37"/>
      <c r="F486" s="37"/>
      <c r="G486" s="89"/>
      <c r="K486" s="37"/>
      <c r="O486" s="37"/>
      <c r="P486" s="37"/>
      <c r="Q486" s="37"/>
      <c r="R486" s="37"/>
    </row>
    <row r="487">
      <c r="B487" s="37"/>
      <c r="C487" s="37"/>
      <c r="D487" s="37"/>
      <c r="E487" s="37"/>
      <c r="F487" s="37"/>
      <c r="G487" s="89"/>
      <c r="K487" s="37"/>
      <c r="O487" s="37"/>
      <c r="P487" s="37"/>
      <c r="Q487" s="37"/>
      <c r="R487" s="37"/>
    </row>
    <row r="488">
      <c r="B488" s="37"/>
      <c r="C488" s="37"/>
      <c r="D488" s="37"/>
      <c r="E488" s="37"/>
      <c r="F488" s="37"/>
      <c r="G488" s="89"/>
      <c r="K488" s="37"/>
      <c r="O488" s="37"/>
      <c r="P488" s="37"/>
      <c r="Q488" s="37"/>
      <c r="R488" s="37"/>
    </row>
    <row r="489">
      <c r="B489" s="37"/>
      <c r="C489" s="37"/>
      <c r="D489" s="37"/>
      <c r="E489" s="37"/>
      <c r="F489" s="37"/>
      <c r="G489" s="89"/>
      <c r="K489" s="37"/>
      <c r="O489" s="37"/>
      <c r="P489" s="37"/>
      <c r="Q489" s="37"/>
      <c r="R489" s="37"/>
    </row>
    <row r="490">
      <c r="B490" s="37"/>
      <c r="C490" s="37"/>
      <c r="D490" s="37"/>
      <c r="E490" s="37"/>
      <c r="F490" s="37"/>
      <c r="G490" s="89"/>
      <c r="K490" s="37"/>
      <c r="O490" s="37"/>
      <c r="P490" s="37"/>
      <c r="Q490" s="37"/>
      <c r="R490" s="37"/>
    </row>
    <row r="491">
      <c r="B491" s="37"/>
      <c r="C491" s="37"/>
      <c r="D491" s="37"/>
      <c r="E491" s="37"/>
      <c r="F491" s="37"/>
      <c r="G491" s="89"/>
      <c r="K491" s="37"/>
      <c r="O491" s="37"/>
      <c r="P491" s="37"/>
      <c r="Q491" s="37"/>
      <c r="R491" s="37"/>
    </row>
    <row r="492">
      <c r="B492" s="37"/>
      <c r="C492" s="37"/>
      <c r="D492" s="37"/>
      <c r="E492" s="37"/>
      <c r="F492" s="37"/>
      <c r="G492" s="89"/>
      <c r="K492" s="37"/>
      <c r="O492" s="37"/>
      <c r="P492" s="37"/>
      <c r="Q492" s="37"/>
      <c r="R492" s="37"/>
    </row>
    <row r="493">
      <c r="B493" s="37"/>
      <c r="C493" s="37"/>
      <c r="D493" s="37"/>
      <c r="E493" s="37"/>
      <c r="F493" s="37"/>
      <c r="G493" s="89"/>
      <c r="K493" s="37"/>
      <c r="O493" s="37"/>
      <c r="P493" s="37"/>
      <c r="Q493" s="37"/>
      <c r="R493" s="37"/>
    </row>
    <row r="494">
      <c r="B494" s="37"/>
      <c r="C494" s="37"/>
      <c r="D494" s="37"/>
      <c r="E494" s="37"/>
      <c r="F494" s="37"/>
      <c r="G494" s="89"/>
      <c r="K494" s="37"/>
      <c r="O494" s="37"/>
      <c r="P494" s="37"/>
      <c r="Q494" s="37"/>
      <c r="R494" s="37"/>
    </row>
    <row r="495">
      <c r="B495" s="37"/>
      <c r="C495" s="37"/>
      <c r="D495" s="37"/>
      <c r="E495" s="37"/>
      <c r="F495" s="37"/>
      <c r="G495" s="89"/>
      <c r="K495" s="37"/>
      <c r="O495" s="37"/>
      <c r="P495" s="37"/>
      <c r="Q495" s="37"/>
      <c r="R495" s="37"/>
    </row>
    <row r="496">
      <c r="B496" s="37"/>
      <c r="C496" s="37"/>
      <c r="D496" s="37"/>
      <c r="E496" s="37"/>
      <c r="F496" s="37"/>
      <c r="G496" s="89"/>
      <c r="K496" s="37"/>
      <c r="O496" s="37"/>
      <c r="P496" s="37"/>
      <c r="Q496" s="37"/>
      <c r="R496" s="37"/>
    </row>
    <row r="497">
      <c r="B497" s="37"/>
      <c r="C497" s="37"/>
      <c r="D497" s="37"/>
      <c r="E497" s="37"/>
      <c r="F497" s="37"/>
      <c r="G497" s="89"/>
      <c r="K497" s="37"/>
      <c r="O497" s="37"/>
      <c r="P497" s="37"/>
      <c r="Q497" s="37"/>
      <c r="R497" s="37"/>
    </row>
    <row r="498">
      <c r="B498" s="37"/>
      <c r="C498" s="37"/>
      <c r="D498" s="37"/>
      <c r="E498" s="37"/>
      <c r="F498" s="37"/>
      <c r="G498" s="89"/>
      <c r="K498" s="37"/>
      <c r="O498" s="37"/>
      <c r="P498" s="37"/>
      <c r="Q498" s="37"/>
      <c r="R498" s="37"/>
    </row>
    <row r="499">
      <c r="B499" s="37"/>
      <c r="C499" s="37"/>
      <c r="D499" s="37"/>
      <c r="E499" s="37"/>
      <c r="F499" s="37"/>
      <c r="G499" s="89"/>
      <c r="K499" s="37"/>
      <c r="O499" s="37"/>
      <c r="P499" s="37"/>
      <c r="Q499" s="37"/>
      <c r="R499" s="37"/>
    </row>
    <row r="500">
      <c r="B500" s="37"/>
      <c r="C500" s="37"/>
      <c r="D500" s="37"/>
      <c r="E500" s="37"/>
      <c r="F500" s="37"/>
      <c r="G500" s="89"/>
      <c r="K500" s="37"/>
      <c r="O500" s="37"/>
      <c r="P500" s="37"/>
      <c r="Q500" s="37"/>
      <c r="R500" s="37"/>
    </row>
    <row r="501">
      <c r="B501" s="37"/>
      <c r="C501" s="37"/>
      <c r="D501" s="37"/>
      <c r="E501" s="37"/>
      <c r="F501" s="37"/>
      <c r="G501" s="89"/>
      <c r="K501" s="37"/>
      <c r="O501" s="37"/>
      <c r="P501" s="37"/>
      <c r="Q501" s="37"/>
      <c r="R501" s="37"/>
    </row>
    <row r="502">
      <c r="B502" s="37"/>
      <c r="C502" s="37"/>
      <c r="D502" s="37"/>
      <c r="E502" s="37"/>
      <c r="F502" s="37"/>
      <c r="G502" s="89"/>
      <c r="K502" s="37"/>
      <c r="O502" s="37"/>
      <c r="P502" s="37"/>
      <c r="Q502" s="37"/>
      <c r="R502" s="37"/>
    </row>
    <row r="503">
      <c r="B503" s="37"/>
      <c r="C503" s="37"/>
      <c r="D503" s="37"/>
      <c r="E503" s="37"/>
      <c r="F503" s="37"/>
      <c r="G503" s="89"/>
      <c r="K503" s="37"/>
      <c r="O503" s="37"/>
      <c r="P503" s="37"/>
      <c r="Q503" s="37"/>
      <c r="R503" s="37"/>
    </row>
    <row r="504">
      <c r="B504" s="37"/>
      <c r="C504" s="37"/>
      <c r="D504" s="37"/>
      <c r="E504" s="37"/>
      <c r="F504" s="37"/>
      <c r="G504" s="89"/>
      <c r="K504" s="37"/>
      <c r="O504" s="37"/>
      <c r="P504" s="37"/>
      <c r="Q504" s="37"/>
      <c r="R504" s="37"/>
    </row>
    <row r="505">
      <c r="B505" s="37"/>
      <c r="C505" s="37"/>
      <c r="D505" s="37"/>
      <c r="E505" s="37"/>
      <c r="F505" s="37"/>
      <c r="G505" s="89"/>
      <c r="K505" s="37"/>
      <c r="O505" s="37"/>
      <c r="P505" s="37"/>
      <c r="Q505" s="37"/>
      <c r="R505" s="37"/>
    </row>
    <row r="506">
      <c r="B506" s="37"/>
      <c r="C506" s="37"/>
      <c r="D506" s="37"/>
      <c r="E506" s="37"/>
      <c r="F506" s="37"/>
      <c r="G506" s="89"/>
      <c r="K506" s="37"/>
      <c r="O506" s="37"/>
      <c r="P506" s="37"/>
      <c r="Q506" s="37"/>
      <c r="R506" s="37"/>
    </row>
    <row r="507">
      <c r="B507" s="37"/>
      <c r="C507" s="37"/>
      <c r="D507" s="37"/>
      <c r="E507" s="37"/>
      <c r="F507" s="37"/>
      <c r="G507" s="89"/>
      <c r="K507" s="37"/>
      <c r="O507" s="37"/>
      <c r="P507" s="37"/>
      <c r="Q507" s="37"/>
      <c r="R507" s="37"/>
    </row>
    <row r="508">
      <c r="B508" s="37"/>
      <c r="C508" s="37"/>
      <c r="D508" s="37"/>
      <c r="E508" s="37"/>
      <c r="F508" s="37"/>
      <c r="G508" s="89"/>
      <c r="K508" s="37"/>
      <c r="O508" s="37"/>
      <c r="P508" s="37"/>
      <c r="Q508" s="37"/>
      <c r="R508" s="37"/>
    </row>
    <row r="509">
      <c r="B509" s="37"/>
      <c r="C509" s="37"/>
      <c r="D509" s="37"/>
      <c r="E509" s="37"/>
      <c r="F509" s="37"/>
      <c r="G509" s="89"/>
      <c r="K509" s="37"/>
      <c r="O509" s="37"/>
      <c r="P509" s="37"/>
      <c r="Q509" s="37"/>
      <c r="R509" s="37"/>
    </row>
    <row r="510">
      <c r="B510" s="37"/>
      <c r="C510" s="37"/>
      <c r="D510" s="37"/>
      <c r="E510" s="37"/>
      <c r="F510" s="37"/>
      <c r="G510" s="89"/>
      <c r="K510" s="37"/>
      <c r="O510" s="37"/>
      <c r="P510" s="37"/>
      <c r="Q510" s="37"/>
      <c r="R510" s="37"/>
    </row>
    <row r="511">
      <c r="B511" s="37"/>
      <c r="C511" s="37"/>
      <c r="D511" s="37"/>
      <c r="E511" s="37"/>
      <c r="F511" s="37"/>
      <c r="G511" s="89"/>
      <c r="K511" s="37"/>
      <c r="O511" s="37"/>
      <c r="P511" s="37"/>
      <c r="Q511" s="37"/>
      <c r="R511" s="37"/>
    </row>
    <row r="512">
      <c r="B512" s="37"/>
      <c r="C512" s="37"/>
      <c r="D512" s="37"/>
      <c r="E512" s="37"/>
      <c r="F512" s="37"/>
      <c r="G512" s="89"/>
      <c r="K512" s="37"/>
      <c r="O512" s="37"/>
      <c r="P512" s="37"/>
      <c r="Q512" s="37"/>
      <c r="R512" s="37"/>
    </row>
    <row r="513">
      <c r="B513" s="37"/>
      <c r="C513" s="37"/>
      <c r="D513" s="37"/>
      <c r="E513" s="37"/>
      <c r="F513" s="37"/>
      <c r="G513" s="89"/>
      <c r="K513" s="37"/>
      <c r="O513" s="37"/>
      <c r="P513" s="37"/>
      <c r="Q513" s="37"/>
      <c r="R513" s="37"/>
    </row>
    <row r="514">
      <c r="B514" s="37"/>
      <c r="C514" s="37"/>
      <c r="D514" s="37"/>
      <c r="E514" s="37"/>
      <c r="F514" s="37"/>
      <c r="G514" s="89"/>
      <c r="K514" s="37"/>
      <c r="O514" s="37"/>
      <c r="P514" s="37"/>
      <c r="Q514" s="37"/>
      <c r="R514" s="37"/>
    </row>
    <row r="515">
      <c r="B515" s="37"/>
      <c r="C515" s="37"/>
      <c r="D515" s="37"/>
      <c r="E515" s="37"/>
      <c r="F515" s="37"/>
      <c r="G515" s="89"/>
      <c r="K515" s="37"/>
      <c r="O515" s="37"/>
      <c r="P515" s="37"/>
      <c r="Q515" s="37"/>
      <c r="R515" s="37"/>
    </row>
    <row r="516">
      <c r="B516" s="37"/>
      <c r="C516" s="37"/>
      <c r="D516" s="37"/>
      <c r="E516" s="37"/>
      <c r="F516" s="37"/>
      <c r="G516" s="89"/>
      <c r="K516" s="37"/>
      <c r="O516" s="37"/>
      <c r="P516" s="37"/>
      <c r="Q516" s="37"/>
      <c r="R516" s="37"/>
    </row>
    <row r="517">
      <c r="B517" s="37"/>
      <c r="C517" s="37"/>
      <c r="D517" s="37"/>
      <c r="E517" s="37"/>
      <c r="F517" s="37"/>
      <c r="G517" s="89"/>
      <c r="K517" s="37"/>
      <c r="O517" s="37"/>
      <c r="P517" s="37"/>
      <c r="Q517" s="37"/>
      <c r="R517" s="37"/>
    </row>
    <row r="518">
      <c r="B518" s="37"/>
      <c r="C518" s="37"/>
      <c r="D518" s="37"/>
      <c r="E518" s="37"/>
      <c r="F518" s="37"/>
      <c r="G518" s="89"/>
      <c r="K518" s="37"/>
      <c r="O518" s="37"/>
      <c r="P518" s="37"/>
      <c r="Q518" s="37"/>
      <c r="R518" s="37"/>
    </row>
    <row r="519">
      <c r="B519" s="37"/>
      <c r="C519" s="37"/>
      <c r="D519" s="37"/>
      <c r="E519" s="37"/>
      <c r="F519" s="37"/>
      <c r="G519" s="89"/>
      <c r="K519" s="37"/>
      <c r="O519" s="37"/>
      <c r="P519" s="37"/>
      <c r="Q519" s="37"/>
      <c r="R519" s="37"/>
    </row>
    <row r="520">
      <c r="B520" s="37"/>
      <c r="C520" s="37"/>
      <c r="D520" s="37"/>
      <c r="E520" s="37"/>
      <c r="F520" s="37"/>
      <c r="G520" s="89"/>
      <c r="K520" s="37"/>
      <c r="O520" s="37"/>
      <c r="P520" s="37"/>
      <c r="Q520" s="37"/>
      <c r="R520" s="37"/>
    </row>
    <row r="521">
      <c r="B521" s="37"/>
      <c r="C521" s="37"/>
      <c r="D521" s="37"/>
      <c r="E521" s="37"/>
      <c r="F521" s="37"/>
      <c r="G521" s="89"/>
      <c r="K521" s="37"/>
      <c r="O521" s="37"/>
      <c r="P521" s="37"/>
      <c r="Q521" s="37"/>
      <c r="R521" s="37"/>
    </row>
    <row r="522">
      <c r="B522" s="37"/>
      <c r="C522" s="37"/>
      <c r="D522" s="37"/>
      <c r="E522" s="37"/>
      <c r="F522" s="37"/>
      <c r="G522" s="89"/>
      <c r="K522" s="37"/>
      <c r="O522" s="37"/>
      <c r="P522" s="37"/>
      <c r="Q522" s="37"/>
      <c r="R522" s="37"/>
    </row>
    <row r="523">
      <c r="B523" s="37"/>
      <c r="C523" s="37"/>
      <c r="D523" s="37"/>
      <c r="E523" s="37"/>
      <c r="F523" s="37"/>
      <c r="G523" s="89"/>
      <c r="K523" s="37"/>
      <c r="O523" s="37"/>
      <c r="P523" s="37"/>
      <c r="Q523" s="37"/>
      <c r="R523" s="37"/>
    </row>
    <row r="524">
      <c r="B524" s="37"/>
      <c r="C524" s="37"/>
      <c r="D524" s="37"/>
      <c r="E524" s="37"/>
      <c r="F524" s="37"/>
      <c r="G524" s="89"/>
      <c r="K524" s="37"/>
      <c r="O524" s="37"/>
      <c r="P524" s="37"/>
      <c r="Q524" s="37"/>
      <c r="R524" s="37"/>
    </row>
    <row r="525">
      <c r="B525" s="37"/>
      <c r="C525" s="37"/>
      <c r="D525" s="37"/>
      <c r="E525" s="37"/>
      <c r="F525" s="37"/>
      <c r="G525" s="89"/>
      <c r="K525" s="37"/>
      <c r="O525" s="37"/>
      <c r="P525" s="37"/>
      <c r="Q525" s="37"/>
      <c r="R525" s="37"/>
    </row>
    <row r="526">
      <c r="B526" s="37"/>
      <c r="C526" s="37"/>
      <c r="D526" s="37"/>
      <c r="E526" s="37"/>
      <c r="F526" s="37"/>
      <c r="G526" s="89"/>
      <c r="K526" s="37"/>
      <c r="O526" s="37"/>
      <c r="P526" s="37"/>
      <c r="Q526" s="37"/>
      <c r="R526" s="37"/>
    </row>
    <row r="527">
      <c r="B527" s="37"/>
      <c r="C527" s="37"/>
      <c r="D527" s="37"/>
      <c r="E527" s="37"/>
      <c r="F527" s="37"/>
      <c r="G527" s="89"/>
      <c r="K527" s="37"/>
      <c r="O527" s="37"/>
      <c r="P527" s="37"/>
      <c r="Q527" s="37"/>
      <c r="R527" s="37"/>
    </row>
    <row r="528">
      <c r="B528" s="37"/>
      <c r="C528" s="37"/>
      <c r="D528" s="37"/>
      <c r="E528" s="37"/>
      <c r="F528" s="37"/>
      <c r="G528" s="89"/>
      <c r="K528" s="37"/>
      <c r="O528" s="37"/>
      <c r="P528" s="37"/>
      <c r="Q528" s="37"/>
      <c r="R528" s="37"/>
    </row>
    <row r="529">
      <c r="B529" s="37"/>
      <c r="C529" s="37"/>
      <c r="D529" s="37"/>
      <c r="E529" s="37"/>
      <c r="F529" s="37"/>
      <c r="G529" s="89"/>
      <c r="K529" s="37"/>
      <c r="O529" s="37"/>
      <c r="P529" s="37"/>
      <c r="Q529" s="37"/>
      <c r="R529" s="37"/>
    </row>
    <row r="530">
      <c r="B530" s="37"/>
      <c r="C530" s="37"/>
      <c r="D530" s="37"/>
      <c r="E530" s="37"/>
      <c r="F530" s="37"/>
      <c r="G530" s="89"/>
      <c r="K530" s="37"/>
      <c r="O530" s="37"/>
      <c r="P530" s="37"/>
      <c r="Q530" s="37"/>
      <c r="R530" s="37"/>
    </row>
    <row r="531">
      <c r="B531" s="37"/>
      <c r="C531" s="37"/>
      <c r="D531" s="37"/>
      <c r="E531" s="37"/>
      <c r="F531" s="37"/>
      <c r="G531" s="89"/>
      <c r="K531" s="37"/>
      <c r="O531" s="37"/>
      <c r="P531" s="37"/>
      <c r="Q531" s="37"/>
      <c r="R531" s="37"/>
    </row>
    <row r="532">
      <c r="B532" s="37"/>
      <c r="C532" s="37"/>
      <c r="D532" s="37"/>
      <c r="E532" s="37"/>
      <c r="F532" s="37"/>
      <c r="G532" s="89"/>
      <c r="K532" s="37"/>
      <c r="O532" s="37"/>
      <c r="P532" s="37"/>
      <c r="Q532" s="37"/>
      <c r="R532" s="37"/>
    </row>
    <row r="533">
      <c r="B533" s="37"/>
      <c r="C533" s="37"/>
      <c r="D533" s="37"/>
      <c r="E533" s="37"/>
      <c r="F533" s="37"/>
      <c r="G533" s="89"/>
      <c r="K533" s="37"/>
      <c r="O533" s="37"/>
      <c r="P533" s="37"/>
      <c r="Q533" s="37"/>
      <c r="R533" s="37"/>
    </row>
    <row r="534">
      <c r="B534" s="37"/>
      <c r="C534" s="37"/>
      <c r="D534" s="37"/>
      <c r="E534" s="37"/>
      <c r="F534" s="37"/>
      <c r="G534" s="89"/>
      <c r="K534" s="37"/>
      <c r="O534" s="37"/>
      <c r="P534" s="37"/>
      <c r="Q534" s="37"/>
      <c r="R534" s="37"/>
    </row>
    <row r="535">
      <c r="B535" s="37"/>
      <c r="C535" s="37"/>
      <c r="D535" s="37"/>
      <c r="E535" s="37"/>
      <c r="F535" s="37"/>
      <c r="G535" s="89"/>
      <c r="K535" s="37"/>
      <c r="O535" s="37"/>
      <c r="P535" s="37"/>
      <c r="Q535" s="37"/>
      <c r="R535" s="37"/>
    </row>
    <row r="536">
      <c r="B536" s="37"/>
      <c r="C536" s="37"/>
      <c r="D536" s="37"/>
      <c r="E536" s="37"/>
      <c r="F536" s="37"/>
      <c r="G536" s="89"/>
      <c r="K536" s="37"/>
      <c r="O536" s="37"/>
      <c r="P536" s="37"/>
      <c r="Q536" s="37"/>
      <c r="R536" s="37"/>
    </row>
    <row r="537">
      <c r="B537" s="37"/>
      <c r="C537" s="37"/>
      <c r="D537" s="37"/>
      <c r="E537" s="37"/>
      <c r="F537" s="37"/>
      <c r="G537" s="89"/>
      <c r="K537" s="37"/>
      <c r="O537" s="37"/>
      <c r="P537" s="37"/>
      <c r="Q537" s="37"/>
      <c r="R537" s="37"/>
    </row>
    <row r="538">
      <c r="B538" s="37"/>
      <c r="C538" s="37"/>
      <c r="D538" s="37"/>
      <c r="E538" s="37"/>
      <c r="F538" s="37"/>
      <c r="G538" s="89"/>
      <c r="K538" s="37"/>
      <c r="O538" s="37"/>
      <c r="P538" s="37"/>
      <c r="Q538" s="37"/>
      <c r="R538" s="37"/>
    </row>
    <row r="539">
      <c r="B539" s="37"/>
      <c r="C539" s="37"/>
      <c r="D539" s="37"/>
      <c r="E539" s="37"/>
      <c r="F539" s="37"/>
      <c r="G539" s="89"/>
      <c r="K539" s="37"/>
      <c r="O539" s="37"/>
      <c r="P539" s="37"/>
      <c r="Q539" s="37"/>
      <c r="R539" s="37"/>
    </row>
    <row r="540">
      <c r="B540" s="37"/>
      <c r="C540" s="37"/>
      <c r="D540" s="37"/>
      <c r="E540" s="37"/>
      <c r="F540" s="37"/>
      <c r="G540" s="89"/>
      <c r="K540" s="37"/>
      <c r="O540" s="37"/>
      <c r="P540" s="37"/>
      <c r="Q540" s="37"/>
      <c r="R540" s="37"/>
    </row>
    <row r="541">
      <c r="B541" s="37"/>
      <c r="C541" s="37"/>
      <c r="D541" s="37"/>
      <c r="E541" s="37"/>
      <c r="F541" s="37"/>
      <c r="G541" s="89"/>
      <c r="K541" s="37"/>
      <c r="O541" s="37"/>
      <c r="P541" s="37"/>
      <c r="Q541" s="37"/>
      <c r="R541" s="37"/>
    </row>
    <row r="542">
      <c r="B542" s="37"/>
      <c r="C542" s="37"/>
      <c r="D542" s="37"/>
      <c r="E542" s="37"/>
      <c r="F542" s="37"/>
      <c r="G542" s="89"/>
      <c r="K542" s="37"/>
      <c r="O542" s="37"/>
      <c r="P542" s="37"/>
      <c r="Q542" s="37"/>
      <c r="R542" s="37"/>
    </row>
    <row r="543">
      <c r="B543" s="37"/>
      <c r="C543" s="37"/>
      <c r="D543" s="37"/>
      <c r="E543" s="37"/>
      <c r="F543" s="37"/>
      <c r="G543" s="89"/>
      <c r="K543" s="37"/>
      <c r="O543" s="37"/>
      <c r="P543" s="37"/>
      <c r="Q543" s="37"/>
      <c r="R543" s="37"/>
    </row>
    <row r="544">
      <c r="B544" s="37"/>
      <c r="C544" s="37"/>
      <c r="D544" s="37"/>
      <c r="E544" s="37"/>
      <c r="F544" s="37"/>
      <c r="G544" s="89"/>
      <c r="K544" s="37"/>
      <c r="O544" s="37"/>
      <c r="P544" s="37"/>
      <c r="Q544" s="37"/>
      <c r="R544" s="37"/>
    </row>
    <row r="545">
      <c r="B545" s="37"/>
      <c r="C545" s="37"/>
      <c r="D545" s="37"/>
      <c r="E545" s="37"/>
      <c r="F545" s="37"/>
      <c r="G545" s="89"/>
      <c r="K545" s="37"/>
      <c r="O545" s="37"/>
      <c r="P545" s="37"/>
      <c r="Q545" s="37"/>
      <c r="R545" s="37"/>
    </row>
    <row r="546">
      <c r="B546" s="37"/>
      <c r="C546" s="37"/>
      <c r="D546" s="37"/>
      <c r="E546" s="37"/>
      <c r="F546" s="37"/>
      <c r="G546" s="89"/>
      <c r="K546" s="37"/>
      <c r="O546" s="37"/>
      <c r="P546" s="37"/>
      <c r="Q546" s="37"/>
      <c r="R546" s="37"/>
    </row>
    <row r="547">
      <c r="B547" s="37"/>
      <c r="C547" s="37"/>
      <c r="D547" s="37"/>
      <c r="E547" s="37"/>
      <c r="F547" s="37"/>
      <c r="G547" s="89"/>
      <c r="K547" s="37"/>
      <c r="O547" s="37"/>
      <c r="P547" s="37"/>
      <c r="Q547" s="37"/>
      <c r="R547" s="37"/>
    </row>
    <row r="548">
      <c r="B548" s="37"/>
      <c r="C548" s="37"/>
      <c r="D548" s="37"/>
      <c r="E548" s="37"/>
      <c r="F548" s="37"/>
      <c r="G548" s="89"/>
      <c r="K548" s="37"/>
      <c r="O548" s="37"/>
      <c r="P548" s="37"/>
      <c r="Q548" s="37"/>
      <c r="R548" s="37"/>
    </row>
    <row r="549">
      <c r="B549" s="37"/>
      <c r="C549" s="37"/>
      <c r="D549" s="37"/>
      <c r="E549" s="37"/>
      <c r="F549" s="37"/>
      <c r="G549" s="89"/>
      <c r="K549" s="37"/>
      <c r="O549" s="37"/>
      <c r="P549" s="37"/>
      <c r="Q549" s="37"/>
      <c r="R549" s="37"/>
    </row>
    <row r="550">
      <c r="B550" s="37"/>
      <c r="C550" s="37"/>
      <c r="D550" s="37"/>
      <c r="E550" s="37"/>
      <c r="F550" s="37"/>
      <c r="G550" s="89"/>
      <c r="K550" s="37"/>
      <c r="O550" s="37"/>
      <c r="P550" s="37"/>
      <c r="Q550" s="37"/>
      <c r="R550" s="37"/>
    </row>
    <row r="551">
      <c r="B551" s="37"/>
      <c r="C551" s="37"/>
      <c r="D551" s="37"/>
      <c r="E551" s="37"/>
      <c r="F551" s="37"/>
      <c r="G551" s="89"/>
      <c r="K551" s="37"/>
      <c r="O551" s="37"/>
      <c r="P551" s="37"/>
      <c r="Q551" s="37"/>
      <c r="R551" s="37"/>
    </row>
    <row r="552">
      <c r="B552" s="37"/>
      <c r="C552" s="37"/>
      <c r="D552" s="37"/>
      <c r="E552" s="37"/>
      <c r="F552" s="37"/>
      <c r="G552" s="89"/>
      <c r="K552" s="37"/>
      <c r="O552" s="37"/>
      <c r="P552" s="37"/>
      <c r="Q552" s="37"/>
      <c r="R552" s="37"/>
    </row>
    <row r="553">
      <c r="B553" s="37"/>
      <c r="C553" s="37"/>
      <c r="D553" s="37"/>
      <c r="E553" s="37"/>
      <c r="F553" s="37"/>
      <c r="G553" s="89"/>
      <c r="K553" s="37"/>
      <c r="O553" s="37"/>
      <c r="P553" s="37"/>
      <c r="Q553" s="37"/>
      <c r="R553" s="37"/>
    </row>
    <row r="554">
      <c r="B554" s="37"/>
      <c r="C554" s="37"/>
      <c r="D554" s="37"/>
      <c r="E554" s="37"/>
      <c r="F554" s="37"/>
      <c r="G554" s="89"/>
      <c r="K554" s="37"/>
      <c r="O554" s="37"/>
      <c r="P554" s="37"/>
      <c r="Q554" s="37"/>
      <c r="R554" s="37"/>
    </row>
    <row r="555">
      <c r="B555" s="37"/>
      <c r="C555" s="37"/>
      <c r="D555" s="37"/>
      <c r="E555" s="37"/>
      <c r="F555" s="37"/>
      <c r="G555" s="89"/>
      <c r="K555" s="37"/>
      <c r="O555" s="37"/>
      <c r="P555" s="37"/>
      <c r="Q555" s="37"/>
      <c r="R555" s="37"/>
    </row>
    <row r="556">
      <c r="B556" s="37"/>
      <c r="C556" s="37"/>
      <c r="D556" s="37"/>
      <c r="E556" s="37"/>
      <c r="F556" s="37"/>
      <c r="G556" s="89"/>
      <c r="K556" s="37"/>
      <c r="O556" s="37"/>
      <c r="P556" s="37"/>
      <c r="Q556" s="37"/>
      <c r="R556" s="37"/>
    </row>
    <row r="557">
      <c r="B557" s="37"/>
      <c r="C557" s="37"/>
      <c r="D557" s="37"/>
      <c r="E557" s="37"/>
      <c r="F557" s="37"/>
      <c r="G557" s="89"/>
      <c r="K557" s="37"/>
      <c r="O557" s="37"/>
      <c r="P557" s="37"/>
      <c r="Q557" s="37"/>
      <c r="R557" s="37"/>
    </row>
    <row r="558">
      <c r="B558" s="37"/>
      <c r="C558" s="37"/>
      <c r="D558" s="37"/>
      <c r="E558" s="37"/>
      <c r="F558" s="37"/>
      <c r="G558" s="89"/>
      <c r="K558" s="37"/>
      <c r="O558" s="37"/>
      <c r="P558" s="37"/>
      <c r="Q558" s="37"/>
      <c r="R558" s="37"/>
    </row>
    <row r="559">
      <c r="B559" s="37"/>
      <c r="C559" s="37"/>
      <c r="D559" s="37"/>
      <c r="E559" s="37"/>
      <c r="F559" s="37"/>
      <c r="G559" s="89"/>
      <c r="K559" s="37"/>
      <c r="O559" s="37"/>
      <c r="P559" s="37"/>
      <c r="Q559" s="37"/>
      <c r="R559" s="37"/>
    </row>
    <row r="560">
      <c r="B560" s="37"/>
      <c r="C560" s="37"/>
      <c r="D560" s="37"/>
      <c r="E560" s="37"/>
      <c r="F560" s="37"/>
      <c r="G560" s="89"/>
      <c r="K560" s="37"/>
      <c r="O560" s="37"/>
      <c r="P560" s="37"/>
      <c r="Q560" s="37"/>
      <c r="R560" s="37"/>
    </row>
    <row r="561">
      <c r="B561" s="37"/>
      <c r="C561" s="37"/>
      <c r="D561" s="37"/>
      <c r="E561" s="37"/>
      <c r="F561" s="37"/>
      <c r="G561" s="89"/>
      <c r="K561" s="37"/>
      <c r="O561" s="37"/>
      <c r="P561" s="37"/>
      <c r="Q561" s="37"/>
      <c r="R561" s="37"/>
    </row>
    <row r="562">
      <c r="B562" s="37"/>
      <c r="C562" s="37"/>
      <c r="D562" s="37"/>
      <c r="E562" s="37"/>
      <c r="F562" s="37"/>
      <c r="G562" s="89"/>
      <c r="K562" s="37"/>
      <c r="O562" s="37"/>
      <c r="P562" s="37"/>
      <c r="Q562" s="37"/>
      <c r="R562" s="37"/>
    </row>
    <row r="563">
      <c r="B563" s="37"/>
      <c r="C563" s="37"/>
      <c r="D563" s="37"/>
      <c r="E563" s="37"/>
      <c r="F563" s="37"/>
      <c r="G563" s="89"/>
      <c r="K563" s="37"/>
      <c r="O563" s="37"/>
      <c r="P563" s="37"/>
      <c r="Q563" s="37"/>
      <c r="R563" s="37"/>
    </row>
    <row r="564">
      <c r="B564" s="37"/>
      <c r="C564" s="37"/>
      <c r="D564" s="37"/>
      <c r="E564" s="37"/>
      <c r="F564" s="37"/>
      <c r="G564" s="89"/>
      <c r="K564" s="37"/>
      <c r="O564" s="37"/>
      <c r="P564" s="37"/>
      <c r="Q564" s="37"/>
      <c r="R564" s="37"/>
    </row>
    <row r="565">
      <c r="B565" s="37"/>
      <c r="C565" s="37"/>
      <c r="D565" s="37"/>
      <c r="E565" s="37"/>
      <c r="F565" s="37"/>
      <c r="G565" s="89"/>
      <c r="K565" s="37"/>
      <c r="O565" s="37"/>
      <c r="P565" s="37"/>
      <c r="Q565" s="37"/>
      <c r="R565" s="37"/>
    </row>
    <row r="566">
      <c r="B566" s="37"/>
      <c r="C566" s="37"/>
      <c r="D566" s="37"/>
      <c r="E566" s="37"/>
      <c r="F566" s="37"/>
      <c r="G566" s="89"/>
      <c r="K566" s="37"/>
      <c r="O566" s="37"/>
      <c r="P566" s="37"/>
      <c r="Q566" s="37"/>
      <c r="R566" s="37"/>
    </row>
    <row r="567">
      <c r="B567" s="37"/>
      <c r="C567" s="37"/>
      <c r="D567" s="37"/>
      <c r="E567" s="37"/>
      <c r="F567" s="37"/>
      <c r="G567" s="89"/>
      <c r="K567" s="37"/>
      <c r="O567" s="37"/>
      <c r="P567" s="37"/>
      <c r="Q567" s="37"/>
      <c r="R567" s="37"/>
    </row>
    <row r="568">
      <c r="B568" s="37"/>
      <c r="C568" s="37"/>
      <c r="D568" s="37"/>
      <c r="E568" s="37"/>
      <c r="F568" s="37"/>
      <c r="G568" s="89"/>
      <c r="K568" s="37"/>
      <c r="O568" s="37"/>
      <c r="P568" s="37"/>
      <c r="Q568" s="37"/>
      <c r="R568" s="37"/>
    </row>
    <row r="569">
      <c r="B569" s="37"/>
      <c r="C569" s="37"/>
      <c r="D569" s="37"/>
      <c r="E569" s="37"/>
      <c r="F569" s="37"/>
      <c r="G569" s="89"/>
      <c r="K569" s="37"/>
      <c r="O569" s="37"/>
      <c r="P569" s="37"/>
      <c r="Q569" s="37"/>
      <c r="R569" s="37"/>
    </row>
    <row r="570">
      <c r="B570" s="37"/>
      <c r="C570" s="37"/>
      <c r="D570" s="37"/>
      <c r="E570" s="37"/>
      <c r="F570" s="37"/>
      <c r="G570" s="89"/>
      <c r="K570" s="37"/>
      <c r="O570" s="37"/>
      <c r="P570" s="37"/>
      <c r="Q570" s="37"/>
      <c r="R570" s="37"/>
    </row>
    <row r="571">
      <c r="B571" s="37"/>
      <c r="C571" s="37"/>
      <c r="D571" s="37"/>
      <c r="E571" s="37"/>
      <c r="F571" s="37"/>
      <c r="G571" s="89"/>
      <c r="K571" s="37"/>
      <c r="O571" s="37"/>
      <c r="P571" s="37"/>
      <c r="Q571" s="37"/>
      <c r="R571" s="37"/>
    </row>
    <row r="572">
      <c r="B572" s="37"/>
      <c r="C572" s="37"/>
      <c r="D572" s="37"/>
      <c r="E572" s="37"/>
      <c r="F572" s="37"/>
      <c r="G572" s="89"/>
      <c r="K572" s="37"/>
      <c r="O572" s="37"/>
      <c r="P572" s="37"/>
      <c r="Q572" s="37"/>
      <c r="R572" s="37"/>
    </row>
    <row r="573">
      <c r="B573" s="37"/>
      <c r="C573" s="37"/>
      <c r="D573" s="37"/>
      <c r="E573" s="37"/>
      <c r="F573" s="37"/>
      <c r="G573" s="89"/>
      <c r="K573" s="37"/>
      <c r="O573" s="37"/>
      <c r="P573" s="37"/>
      <c r="Q573" s="37"/>
      <c r="R573" s="37"/>
    </row>
    <row r="574">
      <c r="B574" s="37"/>
      <c r="C574" s="37"/>
      <c r="D574" s="37"/>
      <c r="E574" s="37"/>
      <c r="F574" s="37"/>
      <c r="G574" s="89"/>
      <c r="K574" s="37"/>
      <c r="O574" s="37"/>
      <c r="P574" s="37"/>
      <c r="Q574" s="37"/>
      <c r="R574" s="37"/>
    </row>
    <row r="575">
      <c r="B575" s="37"/>
      <c r="C575" s="37"/>
      <c r="D575" s="37"/>
      <c r="E575" s="37"/>
      <c r="F575" s="37"/>
      <c r="G575" s="89"/>
      <c r="K575" s="37"/>
      <c r="O575" s="37"/>
      <c r="P575" s="37"/>
      <c r="Q575" s="37"/>
      <c r="R575" s="37"/>
    </row>
    <row r="576">
      <c r="B576" s="37"/>
      <c r="C576" s="37"/>
      <c r="D576" s="37"/>
      <c r="E576" s="37"/>
      <c r="F576" s="37"/>
      <c r="G576" s="89"/>
      <c r="K576" s="37"/>
      <c r="O576" s="37"/>
      <c r="P576" s="37"/>
      <c r="Q576" s="37"/>
      <c r="R576" s="37"/>
    </row>
    <row r="577">
      <c r="B577" s="37"/>
      <c r="C577" s="37"/>
      <c r="D577" s="37"/>
      <c r="E577" s="37"/>
      <c r="F577" s="37"/>
      <c r="G577" s="89"/>
      <c r="K577" s="37"/>
      <c r="O577" s="37"/>
      <c r="P577" s="37"/>
      <c r="Q577" s="37"/>
      <c r="R577" s="37"/>
    </row>
    <row r="578">
      <c r="B578" s="37"/>
      <c r="C578" s="37"/>
      <c r="D578" s="37"/>
      <c r="E578" s="37"/>
      <c r="F578" s="37"/>
      <c r="G578" s="89"/>
      <c r="K578" s="37"/>
      <c r="O578" s="37"/>
      <c r="P578" s="37"/>
      <c r="Q578" s="37"/>
      <c r="R578" s="37"/>
    </row>
    <row r="579">
      <c r="B579" s="37"/>
      <c r="C579" s="37"/>
      <c r="D579" s="37"/>
      <c r="E579" s="37"/>
      <c r="F579" s="37"/>
      <c r="G579" s="89"/>
      <c r="K579" s="37"/>
      <c r="O579" s="37"/>
      <c r="P579" s="37"/>
      <c r="Q579" s="37"/>
      <c r="R579" s="37"/>
    </row>
    <row r="580">
      <c r="B580" s="37"/>
      <c r="C580" s="37"/>
      <c r="D580" s="37"/>
      <c r="E580" s="37"/>
      <c r="F580" s="37"/>
      <c r="G580" s="89"/>
      <c r="K580" s="37"/>
      <c r="O580" s="37"/>
      <c r="P580" s="37"/>
      <c r="Q580" s="37"/>
      <c r="R580" s="37"/>
    </row>
    <row r="581">
      <c r="B581" s="37"/>
      <c r="C581" s="37"/>
      <c r="D581" s="37"/>
      <c r="E581" s="37"/>
      <c r="F581" s="37"/>
      <c r="G581" s="89"/>
      <c r="K581" s="37"/>
      <c r="O581" s="37"/>
      <c r="P581" s="37"/>
      <c r="Q581" s="37"/>
      <c r="R581" s="37"/>
    </row>
    <row r="582">
      <c r="B582" s="37"/>
      <c r="C582" s="37"/>
      <c r="D582" s="37"/>
      <c r="E582" s="37"/>
      <c r="F582" s="37"/>
      <c r="G582" s="89"/>
      <c r="K582" s="37"/>
      <c r="O582" s="37"/>
      <c r="P582" s="37"/>
      <c r="Q582" s="37"/>
      <c r="R582" s="37"/>
    </row>
    <row r="583">
      <c r="B583" s="37"/>
      <c r="C583" s="37"/>
      <c r="D583" s="37"/>
      <c r="E583" s="37"/>
      <c r="F583" s="37"/>
      <c r="G583" s="89"/>
      <c r="K583" s="37"/>
      <c r="O583" s="37"/>
      <c r="P583" s="37"/>
      <c r="Q583" s="37"/>
      <c r="R583" s="37"/>
    </row>
    <row r="584">
      <c r="B584" s="37"/>
      <c r="C584" s="37"/>
      <c r="D584" s="37"/>
      <c r="E584" s="37"/>
      <c r="F584" s="37"/>
      <c r="G584" s="89"/>
      <c r="K584" s="37"/>
      <c r="O584" s="37"/>
      <c r="P584" s="37"/>
      <c r="Q584" s="37"/>
      <c r="R584" s="37"/>
    </row>
    <row r="585">
      <c r="B585" s="37"/>
      <c r="C585" s="37"/>
      <c r="D585" s="37"/>
      <c r="E585" s="37"/>
      <c r="F585" s="37"/>
      <c r="G585" s="89"/>
      <c r="K585" s="37"/>
      <c r="O585" s="37"/>
      <c r="P585" s="37"/>
      <c r="Q585" s="37"/>
      <c r="R585" s="37"/>
    </row>
    <row r="586">
      <c r="B586" s="37"/>
      <c r="C586" s="37"/>
      <c r="D586" s="37"/>
      <c r="E586" s="37"/>
      <c r="F586" s="37"/>
      <c r="G586" s="89"/>
      <c r="K586" s="37"/>
      <c r="O586" s="37"/>
      <c r="P586" s="37"/>
      <c r="Q586" s="37"/>
      <c r="R586" s="37"/>
    </row>
    <row r="587">
      <c r="B587" s="37"/>
      <c r="C587" s="37"/>
      <c r="D587" s="37"/>
      <c r="E587" s="37"/>
      <c r="F587" s="37"/>
      <c r="G587" s="89"/>
      <c r="K587" s="37"/>
      <c r="O587" s="37"/>
      <c r="P587" s="37"/>
      <c r="Q587" s="37"/>
      <c r="R587" s="37"/>
    </row>
    <row r="588">
      <c r="B588" s="37"/>
      <c r="C588" s="37"/>
      <c r="D588" s="37"/>
      <c r="E588" s="37"/>
      <c r="F588" s="37"/>
      <c r="G588" s="89"/>
      <c r="K588" s="37"/>
      <c r="O588" s="37"/>
      <c r="P588" s="37"/>
      <c r="Q588" s="37"/>
      <c r="R588" s="37"/>
    </row>
    <row r="589">
      <c r="B589" s="37"/>
      <c r="C589" s="37"/>
      <c r="D589" s="37"/>
      <c r="E589" s="37"/>
      <c r="F589" s="37"/>
      <c r="G589" s="89"/>
      <c r="K589" s="37"/>
      <c r="O589" s="37"/>
      <c r="P589" s="37"/>
      <c r="Q589" s="37"/>
      <c r="R589" s="37"/>
    </row>
    <row r="590">
      <c r="B590" s="37"/>
      <c r="C590" s="37"/>
      <c r="D590" s="37"/>
      <c r="E590" s="37"/>
      <c r="F590" s="37"/>
      <c r="G590" s="89"/>
      <c r="K590" s="37"/>
      <c r="O590" s="37"/>
      <c r="P590" s="37"/>
      <c r="Q590" s="37"/>
      <c r="R590" s="37"/>
    </row>
    <row r="591">
      <c r="B591" s="37"/>
      <c r="C591" s="37"/>
      <c r="D591" s="37"/>
      <c r="E591" s="37"/>
      <c r="F591" s="37"/>
      <c r="G591" s="89"/>
      <c r="K591" s="37"/>
      <c r="O591" s="37"/>
      <c r="P591" s="37"/>
      <c r="Q591" s="37"/>
      <c r="R591" s="37"/>
    </row>
    <row r="592">
      <c r="B592" s="37"/>
      <c r="C592" s="37"/>
      <c r="D592" s="37"/>
      <c r="E592" s="37"/>
      <c r="F592" s="37"/>
      <c r="G592" s="89"/>
      <c r="K592" s="37"/>
      <c r="O592" s="37"/>
      <c r="P592" s="37"/>
      <c r="Q592" s="37"/>
      <c r="R592" s="37"/>
    </row>
    <row r="593">
      <c r="B593" s="37"/>
      <c r="C593" s="37"/>
      <c r="D593" s="37"/>
      <c r="E593" s="37"/>
      <c r="F593" s="37"/>
      <c r="G593" s="89"/>
      <c r="K593" s="37"/>
      <c r="O593" s="37"/>
      <c r="P593" s="37"/>
      <c r="Q593" s="37"/>
      <c r="R593" s="37"/>
    </row>
    <row r="594">
      <c r="B594" s="37"/>
      <c r="C594" s="37"/>
      <c r="D594" s="37"/>
      <c r="E594" s="37"/>
      <c r="F594" s="37"/>
      <c r="G594" s="89"/>
      <c r="K594" s="37"/>
      <c r="O594" s="37"/>
      <c r="P594" s="37"/>
      <c r="Q594" s="37"/>
      <c r="R594" s="37"/>
    </row>
    <row r="595">
      <c r="B595" s="37"/>
      <c r="C595" s="37"/>
      <c r="D595" s="37"/>
      <c r="E595" s="37"/>
      <c r="F595" s="37"/>
      <c r="G595" s="89"/>
      <c r="K595" s="37"/>
      <c r="O595" s="37"/>
      <c r="P595" s="37"/>
      <c r="Q595" s="37"/>
      <c r="R595" s="37"/>
    </row>
    <row r="596">
      <c r="B596" s="37"/>
      <c r="C596" s="37"/>
      <c r="D596" s="37"/>
      <c r="E596" s="37"/>
      <c r="F596" s="37"/>
      <c r="G596" s="89"/>
      <c r="K596" s="37"/>
      <c r="O596" s="37"/>
      <c r="P596" s="37"/>
      <c r="Q596" s="37"/>
      <c r="R596" s="37"/>
    </row>
    <row r="597">
      <c r="B597" s="37"/>
      <c r="C597" s="37"/>
      <c r="D597" s="37"/>
      <c r="E597" s="37"/>
      <c r="F597" s="37"/>
      <c r="G597" s="89"/>
      <c r="K597" s="37"/>
      <c r="O597" s="37"/>
      <c r="P597" s="37"/>
      <c r="Q597" s="37"/>
      <c r="R597" s="37"/>
    </row>
    <row r="598">
      <c r="B598" s="37"/>
      <c r="C598" s="37"/>
      <c r="D598" s="37"/>
      <c r="E598" s="37"/>
      <c r="F598" s="37"/>
      <c r="G598" s="89"/>
      <c r="K598" s="37"/>
      <c r="O598" s="37"/>
      <c r="P598" s="37"/>
      <c r="Q598" s="37"/>
      <c r="R598" s="37"/>
    </row>
    <row r="599">
      <c r="B599" s="37"/>
      <c r="C599" s="37"/>
      <c r="D599" s="37"/>
      <c r="E599" s="37"/>
      <c r="F599" s="37"/>
      <c r="G599" s="89"/>
      <c r="K599" s="37"/>
      <c r="O599" s="37"/>
      <c r="P599" s="37"/>
      <c r="Q599" s="37"/>
      <c r="R599" s="37"/>
    </row>
    <row r="600">
      <c r="B600" s="37"/>
      <c r="C600" s="37"/>
      <c r="D600" s="37"/>
      <c r="E600" s="37"/>
      <c r="F600" s="37"/>
      <c r="G600" s="89"/>
      <c r="K600" s="37"/>
      <c r="O600" s="37"/>
      <c r="P600" s="37"/>
      <c r="Q600" s="37"/>
      <c r="R600" s="37"/>
    </row>
    <row r="601">
      <c r="B601" s="37"/>
      <c r="C601" s="37"/>
      <c r="D601" s="37"/>
      <c r="E601" s="37"/>
      <c r="F601" s="37"/>
      <c r="G601" s="89"/>
      <c r="K601" s="37"/>
      <c r="O601" s="37"/>
      <c r="P601" s="37"/>
      <c r="Q601" s="37"/>
      <c r="R601" s="37"/>
    </row>
    <row r="602">
      <c r="B602" s="37"/>
      <c r="C602" s="37"/>
      <c r="D602" s="37"/>
      <c r="E602" s="37"/>
      <c r="F602" s="37"/>
      <c r="G602" s="89"/>
      <c r="K602" s="37"/>
      <c r="O602" s="37"/>
      <c r="P602" s="37"/>
      <c r="Q602" s="37"/>
      <c r="R602" s="37"/>
    </row>
    <row r="603">
      <c r="B603" s="37"/>
      <c r="C603" s="37"/>
      <c r="D603" s="37"/>
      <c r="E603" s="37"/>
      <c r="F603" s="37"/>
      <c r="G603" s="89"/>
      <c r="K603" s="37"/>
      <c r="O603" s="37"/>
      <c r="P603" s="37"/>
      <c r="Q603" s="37"/>
      <c r="R603" s="37"/>
    </row>
    <row r="604">
      <c r="B604" s="37"/>
      <c r="C604" s="37"/>
      <c r="D604" s="37"/>
      <c r="E604" s="37"/>
      <c r="F604" s="37"/>
      <c r="G604" s="89"/>
      <c r="K604" s="37"/>
      <c r="O604" s="37"/>
      <c r="P604" s="37"/>
      <c r="Q604" s="37"/>
      <c r="R604" s="37"/>
    </row>
    <row r="605">
      <c r="B605" s="37"/>
      <c r="C605" s="37"/>
      <c r="D605" s="37"/>
      <c r="E605" s="37"/>
      <c r="F605" s="37"/>
      <c r="G605" s="89"/>
      <c r="K605" s="37"/>
      <c r="O605" s="37"/>
      <c r="P605" s="37"/>
      <c r="Q605" s="37"/>
      <c r="R605" s="37"/>
    </row>
    <row r="606">
      <c r="B606" s="37"/>
      <c r="C606" s="37"/>
      <c r="D606" s="37"/>
      <c r="E606" s="37"/>
      <c r="F606" s="37"/>
      <c r="G606" s="89"/>
      <c r="K606" s="37"/>
      <c r="O606" s="37"/>
      <c r="P606" s="37"/>
      <c r="Q606" s="37"/>
      <c r="R606" s="37"/>
    </row>
    <row r="607">
      <c r="B607" s="37"/>
      <c r="C607" s="37"/>
      <c r="D607" s="37"/>
      <c r="E607" s="37"/>
      <c r="F607" s="37"/>
      <c r="G607" s="89"/>
      <c r="K607" s="37"/>
      <c r="O607" s="37"/>
      <c r="P607" s="37"/>
      <c r="Q607" s="37"/>
      <c r="R607" s="37"/>
    </row>
    <row r="608">
      <c r="B608" s="37"/>
      <c r="C608" s="37"/>
      <c r="D608" s="37"/>
      <c r="E608" s="37"/>
      <c r="F608" s="37"/>
      <c r="G608" s="89"/>
      <c r="K608" s="37"/>
      <c r="O608" s="37"/>
      <c r="P608" s="37"/>
      <c r="Q608" s="37"/>
      <c r="R608" s="37"/>
    </row>
    <row r="609">
      <c r="B609" s="37"/>
      <c r="C609" s="37"/>
      <c r="D609" s="37"/>
      <c r="E609" s="37"/>
      <c r="F609" s="37"/>
      <c r="G609" s="89"/>
      <c r="K609" s="37"/>
      <c r="O609" s="37"/>
      <c r="P609" s="37"/>
      <c r="Q609" s="37"/>
      <c r="R609" s="37"/>
    </row>
    <row r="610">
      <c r="B610" s="37"/>
      <c r="C610" s="37"/>
      <c r="D610" s="37"/>
      <c r="E610" s="37"/>
      <c r="F610" s="37"/>
      <c r="G610" s="89"/>
      <c r="K610" s="37"/>
      <c r="O610" s="37"/>
      <c r="P610" s="37"/>
      <c r="Q610" s="37"/>
      <c r="R610" s="37"/>
    </row>
    <row r="611">
      <c r="B611" s="37"/>
      <c r="C611" s="37"/>
      <c r="D611" s="37"/>
      <c r="E611" s="37"/>
      <c r="F611" s="37"/>
      <c r="G611" s="89"/>
      <c r="K611" s="37"/>
      <c r="O611" s="37"/>
      <c r="P611" s="37"/>
      <c r="Q611" s="37"/>
      <c r="R611" s="37"/>
    </row>
    <row r="612">
      <c r="B612" s="37"/>
      <c r="C612" s="37"/>
      <c r="D612" s="37"/>
      <c r="E612" s="37"/>
      <c r="F612" s="37"/>
      <c r="G612" s="89"/>
      <c r="K612" s="37"/>
      <c r="O612" s="37"/>
      <c r="P612" s="37"/>
      <c r="Q612" s="37"/>
      <c r="R612" s="37"/>
    </row>
    <row r="613">
      <c r="B613" s="37"/>
      <c r="C613" s="37"/>
      <c r="D613" s="37"/>
      <c r="E613" s="37"/>
      <c r="F613" s="37"/>
      <c r="G613" s="89"/>
      <c r="K613" s="37"/>
      <c r="O613" s="37"/>
      <c r="P613" s="37"/>
      <c r="Q613" s="37"/>
      <c r="R613" s="37"/>
    </row>
    <row r="614">
      <c r="B614" s="37"/>
      <c r="C614" s="37"/>
      <c r="D614" s="37"/>
      <c r="E614" s="37"/>
      <c r="F614" s="37"/>
      <c r="G614" s="89"/>
      <c r="K614" s="37"/>
      <c r="O614" s="37"/>
      <c r="P614" s="37"/>
      <c r="Q614" s="37"/>
      <c r="R614" s="37"/>
    </row>
    <row r="615">
      <c r="B615" s="37"/>
      <c r="C615" s="37"/>
      <c r="D615" s="37"/>
      <c r="E615" s="37"/>
      <c r="F615" s="37"/>
      <c r="G615" s="89"/>
      <c r="K615" s="37"/>
      <c r="O615" s="37"/>
      <c r="P615" s="37"/>
      <c r="Q615" s="37"/>
      <c r="R615" s="37"/>
    </row>
    <row r="616">
      <c r="B616" s="37"/>
      <c r="C616" s="37"/>
      <c r="D616" s="37"/>
      <c r="E616" s="37"/>
      <c r="F616" s="37"/>
      <c r="G616" s="89"/>
      <c r="K616" s="37"/>
      <c r="O616" s="37"/>
      <c r="P616" s="37"/>
      <c r="Q616" s="37"/>
      <c r="R616" s="37"/>
    </row>
    <row r="617">
      <c r="B617" s="37"/>
      <c r="C617" s="37"/>
      <c r="D617" s="37"/>
      <c r="E617" s="37"/>
      <c r="F617" s="37"/>
      <c r="G617" s="89"/>
      <c r="K617" s="37"/>
      <c r="O617" s="37"/>
      <c r="P617" s="37"/>
      <c r="Q617" s="37"/>
      <c r="R617" s="37"/>
    </row>
    <row r="618">
      <c r="B618" s="37"/>
      <c r="C618" s="37"/>
      <c r="D618" s="37"/>
      <c r="E618" s="37"/>
      <c r="F618" s="37"/>
      <c r="G618" s="89"/>
      <c r="K618" s="37"/>
      <c r="O618" s="37"/>
      <c r="P618" s="37"/>
      <c r="Q618" s="37"/>
      <c r="R618" s="37"/>
    </row>
    <row r="619">
      <c r="B619" s="37"/>
      <c r="C619" s="37"/>
      <c r="D619" s="37"/>
      <c r="E619" s="37"/>
      <c r="F619" s="37"/>
      <c r="G619" s="89"/>
      <c r="K619" s="37"/>
      <c r="O619" s="37"/>
      <c r="P619" s="37"/>
      <c r="Q619" s="37"/>
      <c r="R619" s="37"/>
    </row>
    <row r="620">
      <c r="B620" s="37"/>
      <c r="C620" s="37"/>
      <c r="D620" s="37"/>
      <c r="E620" s="37"/>
      <c r="F620" s="37"/>
      <c r="G620" s="89"/>
      <c r="K620" s="37"/>
      <c r="O620" s="37"/>
      <c r="P620" s="37"/>
      <c r="Q620" s="37"/>
      <c r="R620" s="37"/>
    </row>
    <row r="621">
      <c r="B621" s="37"/>
      <c r="C621" s="37"/>
      <c r="D621" s="37"/>
      <c r="E621" s="37"/>
      <c r="F621" s="37"/>
      <c r="G621" s="89"/>
      <c r="K621" s="37"/>
      <c r="O621" s="37"/>
      <c r="P621" s="37"/>
      <c r="Q621" s="37"/>
      <c r="R621" s="37"/>
    </row>
    <row r="622">
      <c r="B622" s="37"/>
      <c r="C622" s="37"/>
      <c r="D622" s="37"/>
      <c r="E622" s="37"/>
      <c r="F622" s="37"/>
      <c r="G622" s="89"/>
      <c r="K622" s="37"/>
      <c r="O622" s="37"/>
      <c r="P622" s="37"/>
      <c r="Q622" s="37"/>
      <c r="R622" s="37"/>
    </row>
    <row r="623">
      <c r="B623" s="37"/>
      <c r="C623" s="37"/>
      <c r="D623" s="37"/>
      <c r="E623" s="37"/>
      <c r="F623" s="37"/>
      <c r="G623" s="89"/>
      <c r="K623" s="37"/>
      <c r="O623" s="37"/>
      <c r="P623" s="37"/>
      <c r="Q623" s="37"/>
      <c r="R623" s="37"/>
    </row>
    <row r="624">
      <c r="B624" s="37"/>
      <c r="C624" s="37"/>
      <c r="D624" s="37"/>
      <c r="E624" s="37"/>
      <c r="F624" s="37"/>
      <c r="G624" s="89"/>
      <c r="K624" s="37"/>
      <c r="O624" s="37"/>
      <c r="P624" s="37"/>
      <c r="Q624" s="37"/>
      <c r="R624" s="37"/>
    </row>
    <row r="625">
      <c r="B625" s="37"/>
      <c r="C625" s="37"/>
      <c r="D625" s="37"/>
      <c r="E625" s="37"/>
      <c r="F625" s="37"/>
      <c r="G625" s="89"/>
      <c r="K625" s="37"/>
      <c r="O625" s="37"/>
      <c r="P625" s="37"/>
      <c r="Q625" s="37"/>
      <c r="R625" s="37"/>
    </row>
    <row r="626">
      <c r="B626" s="37"/>
      <c r="C626" s="37"/>
      <c r="D626" s="37"/>
      <c r="E626" s="37"/>
      <c r="F626" s="37"/>
      <c r="G626" s="89"/>
      <c r="K626" s="37"/>
      <c r="O626" s="37"/>
      <c r="P626" s="37"/>
      <c r="Q626" s="37"/>
      <c r="R626" s="37"/>
    </row>
    <row r="627">
      <c r="B627" s="37"/>
      <c r="C627" s="37"/>
      <c r="D627" s="37"/>
      <c r="E627" s="37"/>
      <c r="F627" s="37"/>
      <c r="G627" s="89"/>
      <c r="K627" s="37"/>
      <c r="O627" s="37"/>
      <c r="P627" s="37"/>
      <c r="Q627" s="37"/>
      <c r="R627" s="37"/>
    </row>
    <row r="628">
      <c r="B628" s="37"/>
      <c r="C628" s="37"/>
      <c r="D628" s="37"/>
      <c r="E628" s="37"/>
      <c r="F628" s="37"/>
      <c r="G628" s="89"/>
      <c r="K628" s="37"/>
      <c r="O628" s="37"/>
      <c r="P628" s="37"/>
      <c r="Q628" s="37"/>
      <c r="R628" s="37"/>
    </row>
    <row r="629">
      <c r="B629" s="37"/>
      <c r="C629" s="37"/>
      <c r="D629" s="37"/>
      <c r="E629" s="37"/>
      <c r="F629" s="37"/>
      <c r="G629" s="89"/>
      <c r="K629" s="37"/>
      <c r="O629" s="37"/>
      <c r="P629" s="37"/>
      <c r="Q629" s="37"/>
      <c r="R629" s="37"/>
    </row>
    <row r="630">
      <c r="B630" s="37"/>
      <c r="C630" s="37"/>
      <c r="D630" s="37"/>
      <c r="E630" s="37"/>
      <c r="F630" s="37"/>
      <c r="G630" s="89"/>
      <c r="K630" s="37"/>
      <c r="O630" s="37"/>
      <c r="P630" s="37"/>
      <c r="Q630" s="37"/>
      <c r="R630" s="37"/>
    </row>
    <row r="631">
      <c r="B631" s="37"/>
      <c r="C631" s="37"/>
      <c r="D631" s="37"/>
      <c r="E631" s="37"/>
      <c r="F631" s="37"/>
      <c r="G631" s="89"/>
      <c r="K631" s="37"/>
      <c r="O631" s="37"/>
      <c r="P631" s="37"/>
      <c r="Q631" s="37"/>
      <c r="R631" s="37"/>
    </row>
    <row r="632">
      <c r="B632" s="37"/>
      <c r="C632" s="37"/>
      <c r="D632" s="37"/>
      <c r="E632" s="37"/>
      <c r="F632" s="37"/>
      <c r="G632" s="89"/>
      <c r="K632" s="37"/>
      <c r="O632" s="37"/>
      <c r="P632" s="37"/>
      <c r="Q632" s="37"/>
      <c r="R632" s="37"/>
    </row>
    <row r="633">
      <c r="B633" s="37"/>
      <c r="C633" s="37"/>
      <c r="D633" s="37"/>
      <c r="E633" s="37"/>
      <c r="F633" s="37"/>
      <c r="G633" s="89"/>
      <c r="K633" s="37"/>
      <c r="O633" s="37"/>
      <c r="P633" s="37"/>
      <c r="Q633" s="37"/>
      <c r="R633" s="37"/>
    </row>
    <row r="634">
      <c r="B634" s="37"/>
      <c r="C634" s="37"/>
      <c r="D634" s="37"/>
      <c r="E634" s="37"/>
      <c r="F634" s="37"/>
      <c r="G634" s="89"/>
      <c r="K634" s="37"/>
      <c r="O634" s="37"/>
      <c r="P634" s="37"/>
      <c r="Q634" s="37"/>
      <c r="R634" s="37"/>
    </row>
    <row r="635">
      <c r="B635" s="37"/>
      <c r="C635" s="37"/>
      <c r="D635" s="37"/>
      <c r="E635" s="37"/>
      <c r="F635" s="37"/>
      <c r="G635" s="89"/>
      <c r="K635" s="37"/>
      <c r="O635" s="37"/>
      <c r="P635" s="37"/>
      <c r="Q635" s="37"/>
      <c r="R635" s="37"/>
    </row>
    <row r="636">
      <c r="B636" s="37"/>
      <c r="C636" s="37"/>
      <c r="D636" s="37"/>
      <c r="E636" s="37"/>
      <c r="F636" s="37"/>
      <c r="G636" s="89"/>
      <c r="K636" s="37"/>
      <c r="O636" s="37"/>
      <c r="P636" s="37"/>
      <c r="Q636" s="37"/>
      <c r="R636" s="37"/>
    </row>
    <row r="637">
      <c r="B637" s="37"/>
      <c r="C637" s="37"/>
      <c r="D637" s="37"/>
      <c r="E637" s="37"/>
      <c r="F637" s="37"/>
      <c r="G637" s="89"/>
      <c r="K637" s="37"/>
      <c r="O637" s="37"/>
      <c r="P637" s="37"/>
      <c r="Q637" s="37"/>
      <c r="R637" s="37"/>
    </row>
    <row r="638">
      <c r="B638" s="37"/>
      <c r="C638" s="37"/>
      <c r="D638" s="37"/>
      <c r="E638" s="37"/>
      <c r="F638" s="37"/>
      <c r="G638" s="89"/>
      <c r="K638" s="37"/>
      <c r="O638" s="37"/>
      <c r="P638" s="37"/>
      <c r="Q638" s="37"/>
      <c r="R638" s="37"/>
    </row>
    <row r="639">
      <c r="B639" s="37"/>
      <c r="C639" s="37"/>
      <c r="D639" s="37"/>
      <c r="E639" s="37"/>
      <c r="F639" s="37"/>
      <c r="G639" s="89"/>
      <c r="K639" s="37"/>
      <c r="O639" s="37"/>
      <c r="P639" s="37"/>
      <c r="Q639" s="37"/>
      <c r="R639" s="37"/>
    </row>
    <row r="640">
      <c r="B640" s="37"/>
      <c r="C640" s="37"/>
      <c r="D640" s="37"/>
      <c r="E640" s="37"/>
      <c r="F640" s="37"/>
      <c r="G640" s="89"/>
      <c r="K640" s="37"/>
      <c r="O640" s="37"/>
      <c r="P640" s="37"/>
      <c r="Q640" s="37"/>
      <c r="R640" s="37"/>
    </row>
    <row r="641">
      <c r="B641" s="37"/>
      <c r="C641" s="37"/>
      <c r="D641" s="37"/>
      <c r="E641" s="37"/>
      <c r="F641" s="37"/>
      <c r="G641" s="89"/>
      <c r="K641" s="37"/>
      <c r="O641" s="37"/>
      <c r="P641" s="37"/>
      <c r="Q641" s="37"/>
      <c r="R641" s="37"/>
    </row>
    <row r="642">
      <c r="B642" s="37"/>
      <c r="C642" s="37"/>
      <c r="D642" s="37"/>
      <c r="E642" s="37"/>
      <c r="F642" s="37"/>
      <c r="G642" s="89"/>
      <c r="K642" s="37"/>
      <c r="O642" s="37"/>
      <c r="P642" s="37"/>
      <c r="Q642" s="37"/>
      <c r="R642" s="37"/>
    </row>
    <row r="643">
      <c r="B643" s="37"/>
      <c r="C643" s="37"/>
      <c r="D643" s="37"/>
      <c r="E643" s="37"/>
      <c r="F643" s="37"/>
      <c r="G643" s="89"/>
      <c r="K643" s="37"/>
      <c r="O643" s="37"/>
      <c r="P643" s="37"/>
      <c r="Q643" s="37"/>
      <c r="R643" s="37"/>
    </row>
    <row r="644">
      <c r="B644" s="37"/>
      <c r="C644" s="37"/>
      <c r="D644" s="37"/>
      <c r="E644" s="37"/>
      <c r="F644" s="37"/>
      <c r="G644" s="89"/>
      <c r="K644" s="37"/>
      <c r="O644" s="37"/>
      <c r="P644" s="37"/>
      <c r="Q644" s="37"/>
      <c r="R644" s="37"/>
    </row>
    <row r="645">
      <c r="B645" s="37"/>
      <c r="C645" s="37"/>
      <c r="D645" s="37"/>
      <c r="E645" s="37"/>
      <c r="F645" s="37"/>
      <c r="G645" s="89"/>
      <c r="K645" s="37"/>
      <c r="O645" s="37"/>
      <c r="P645" s="37"/>
      <c r="Q645" s="37"/>
      <c r="R645" s="37"/>
    </row>
    <row r="646">
      <c r="B646" s="37"/>
      <c r="C646" s="37"/>
      <c r="D646" s="37"/>
      <c r="E646" s="37"/>
      <c r="F646" s="37"/>
      <c r="G646" s="89"/>
      <c r="K646" s="37"/>
      <c r="O646" s="37"/>
      <c r="P646" s="37"/>
      <c r="Q646" s="37"/>
      <c r="R646" s="37"/>
    </row>
    <row r="647">
      <c r="B647" s="37"/>
      <c r="C647" s="37"/>
      <c r="D647" s="37"/>
      <c r="E647" s="37"/>
      <c r="F647" s="37"/>
      <c r="G647" s="89"/>
      <c r="K647" s="37"/>
      <c r="O647" s="37"/>
      <c r="P647" s="37"/>
      <c r="Q647" s="37"/>
      <c r="R647" s="37"/>
    </row>
    <row r="648">
      <c r="B648" s="37"/>
      <c r="C648" s="37"/>
      <c r="D648" s="37"/>
      <c r="E648" s="37"/>
      <c r="F648" s="37"/>
      <c r="G648" s="89"/>
      <c r="K648" s="37"/>
      <c r="O648" s="37"/>
      <c r="P648" s="37"/>
      <c r="Q648" s="37"/>
      <c r="R648" s="37"/>
    </row>
    <row r="649">
      <c r="B649" s="37"/>
      <c r="C649" s="37"/>
      <c r="D649" s="37"/>
      <c r="E649" s="37"/>
      <c r="F649" s="37"/>
      <c r="G649" s="89"/>
      <c r="K649" s="37"/>
      <c r="O649" s="37"/>
      <c r="P649" s="37"/>
      <c r="Q649" s="37"/>
      <c r="R649" s="37"/>
    </row>
    <row r="650">
      <c r="B650" s="37"/>
      <c r="C650" s="37"/>
      <c r="D650" s="37"/>
      <c r="E650" s="37"/>
      <c r="F650" s="37"/>
      <c r="G650" s="89"/>
      <c r="K650" s="37"/>
      <c r="O650" s="37"/>
      <c r="P650" s="37"/>
      <c r="Q650" s="37"/>
      <c r="R650" s="37"/>
    </row>
    <row r="651">
      <c r="B651" s="37"/>
      <c r="C651" s="37"/>
      <c r="D651" s="37"/>
      <c r="E651" s="37"/>
      <c r="F651" s="37"/>
      <c r="G651" s="89"/>
      <c r="K651" s="37"/>
      <c r="O651" s="37"/>
      <c r="P651" s="37"/>
      <c r="Q651" s="37"/>
      <c r="R651" s="37"/>
    </row>
    <row r="652">
      <c r="B652" s="37"/>
      <c r="C652" s="37"/>
      <c r="D652" s="37"/>
      <c r="E652" s="37"/>
      <c r="F652" s="37"/>
      <c r="G652" s="89"/>
      <c r="K652" s="37"/>
      <c r="O652" s="37"/>
      <c r="P652" s="37"/>
      <c r="Q652" s="37"/>
      <c r="R652" s="37"/>
    </row>
    <row r="653">
      <c r="B653" s="37"/>
      <c r="C653" s="37"/>
      <c r="D653" s="37"/>
      <c r="E653" s="37"/>
      <c r="F653" s="37"/>
      <c r="G653" s="89"/>
      <c r="K653" s="37"/>
      <c r="O653" s="37"/>
      <c r="P653" s="37"/>
      <c r="Q653" s="37"/>
      <c r="R653" s="37"/>
    </row>
    <row r="654">
      <c r="B654" s="37"/>
      <c r="C654" s="37"/>
      <c r="D654" s="37"/>
      <c r="E654" s="37"/>
      <c r="F654" s="37"/>
      <c r="G654" s="89"/>
      <c r="K654" s="37"/>
      <c r="O654" s="37"/>
      <c r="P654" s="37"/>
      <c r="Q654" s="37"/>
      <c r="R654" s="37"/>
    </row>
    <row r="655">
      <c r="B655" s="37"/>
      <c r="C655" s="37"/>
      <c r="D655" s="37"/>
      <c r="E655" s="37"/>
      <c r="F655" s="37"/>
      <c r="G655" s="89"/>
      <c r="K655" s="37"/>
      <c r="O655" s="37"/>
      <c r="P655" s="37"/>
      <c r="Q655" s="37"/>
      <c r="R655" s="37"/>
    </row>
    <row r="656">
      <c r="B656" s="37"/>
      <c r="C656" s="37"/>
      <c r="D656" s="37"/>
      <c r="E656" s="37"/>
      <c r="F656" s="37"/>
      <c r="G656" s="89"/>
      <c r="K656" s="37"/>
      <c r="O656" s="37"/>
      <c r="P656" s="37"/>
      <c r="Q656" s="37"/>
      <c r="R656" s="37"/>
    </row>
    <row r="657">
      <c r="B657" s="37"/>
      <c r="C657" s="37"/>
      <c r="D657" s="37"/>
      <c r="E657" s="37"/>
      <c r="F657" s="37"/>
      <c r="G657" s="89"/>
      <c r="K657" s="37"/>
      <c r="O657" s="37"/>
      <c r="P657" s="37"/>
      <c r="Q657" s="37"/>
      <c r="R657" s="37"/>
    </row>
    <row r="658">
      <c r="B658" s="37"/>
      <c r="C658" s="37"/>
      <c r="D658" s="37"/>
      <c r="E658" s="37"/>
      <c r="F658" s="37"/>
      <c r="G658" s="89"/>
      <c r="K658" s="37"/>
      <c r="O658" s="37"/>
      <c r="P658" s="37"/>
      <c r="Q658" s="37"/>
      <c r="R658" s="37"/>
    </row>
    <row r="659">
      <c r="B659" s="37"/>
      <c r="C659" s="37"/>
      <c r="D659" s="37"/>
      <c r="E659" s="37"/>
      <c r="F659" s="37"/>
      <c r="G659" s="89"/>
      <c r="K659" s="37"/>
      <c r="O659" s="37"/>
      <c r="P659" s="37"/>
      <c r="Q659" s="37"/>
      <c r="R659" s="37"/>
    </row>
    <row r="660">
      <c r="B660" s="37"/>
      <c r="C660" s="37"/>
      <c r="D660" s="37"/>
      <c r="E660" s="37"/>
      <c r="F660" s="37"/>
      <c r="G660" s="89"/>
      <c r="K660" s="37"/>
      <c r="O660" s="37"/>
      <c r="P660" s="37"/>
      <c r="Q660" s="37"/>
      <c r="R660" s="37"/>
    </row>
    <row r="661">
      <c r="B661" s="37"/>
      <c r="C661" s="37"/>
      <c r="D661" s="37"/>
      <c r="E661" s="37"/>
      <c r="F661" s="37"/>
      <c r="G661" s="89"/>
      <c r="K661" s="37"/>
      <c r="O661" s="37"/>
      <c r="P661" s="37"/>
      <c r="Q661" s="37"/>
      <c r="R661" s="37"/>
    </row>
    <row r="662">
      <c r="B662" s="37"/>
      <c r="C662" s="37"/>
      <c r="D662" s="37"/>
      <c r="E662" s="37"/>
      <c r="F662" s="37"/>
      <c r="G662" s="89"/>
      <c r="K662" s="37"/>
      <c r="O662" s="37"/>
      <c r="P662" s="37"/>
      <c r="Q662" s="37"/>
      <c r="R662" s="37"/>
    </row>
    <row r="663">
      <c r="B663" s="37"/>
      <c r="C663" s="37"/>
      <c r="D663" s="37"/>
      <c r="E663" s="37"/>
      <c r="F663" s="37"/>
      <c r="G663" s="89"/>
      <c r="K663" s="37"/>
      <c r="O663" s="37"/>
      <c r="P663" s="37"/>
      <c r="Q663" s="37"/>
      <c r="R663" s="37"/>
    </row>
    <row r="664">
      <c r="B664" s="37"/>
      <c r="C664" s="37"/>
      <c r="D664" s="37"/>
      <c r="E664" s="37"/>
      <c r="F664" s="37"/>
      <c r="G664" s="89"/>
      <c r="K664" s="37"/>
      <c r="O664" s="37"/>
      <c r="P664" s="37"/>
      <c r="Q664" s="37"/>
      <c r="R664" s="37"/>
    </row>
    <row r="665">
      <c r="B665" s="37"/>
      <c r="C665" s="37"/>
      <c r="D665" s="37"/>
      <c r="E665" s="37"/>
      <c r="F665" s="37"/>
      <c r="G665" s="89"/>
      <c r="K665" s="37"/>
      <c r="O665" s="37"/>
      <c r="P665" s="37"/>
      <c r="Q665" s="37"/>
      <c r="R665" s="37"/>
    </row>
    <row r="666">
      <c r="B666" s="37"/>
      <c r="C666" s="37"/>
      <c r="D666" s="37"/>
      <c r="E666" s="37"/>
      <c r="F666" s="37"/>
      <c r="G666" s="89"/>
      <c r="K666" s="37"/>
      <c r="O666" s="37"/>
      <c r="P666" s="37"/>
      <c r="Q666" s="37"/>
      <c r="R666" s="37"/>
    </row>
    <row r="667">
      <c r="B667" s="37"/>
      <c r="C667" s="37"/>
      <c r="D667" s="37"/>
      <c r="E667" s="37"/>
      <c r="F667" s="37"/>
      <c r="G667" s="89"/>
      <c r="K667" s="37"/>
      <c r="O667" s="37"/>
      <c r="P667" s="37"/>
      <c r="Q667" s="37"/>
      <c r="R667" s="37"/>
    </row>
    <row r="668">
      <c r="B668" s="37"/>
      <c r="C668" s="37"/>
      <c r="D668" s="37"/>
      <c r="E668" s="37"/>
      <c r="F668" s="37"/>
      <c r="G668" s="89"/>
      <c r="K668" s="37"/>
      <c r="O668" s="37"/>
      <c r="P668" s="37"/>
      <c r="Q668" s="37"/>
      <c r="R668" s="37"/>
    </row>
    <row r="669">
      <c r="B669" s="37"/>
      <c r="C669" s="37"/>
      <c r="D669" s="37"/>
      <c r="E669" s="37"/>
      <c r="F669" s="37"/>
      <c r="G669" s="89"/>
      <c r="K669" s="37"/>
      <c r="O669" s="37"/>
      <c r="P669" s="37"/>
      <c r="Q669" s="37"/>
      <c r="R669" s="37"/>
    </row>
    <row r="670">
      <c r="B670" s="37"/>
      <c r="C670" s="37"/>
      <c r="D670" s="37"/>
      <c r="E670" s="37"/>
      <c r="F670" s="37"/>
      <c r="G670" s="89"/>
      <c r="K670" s="37"/>
      <c r="O670" s="37"/>
      <c r="P670" s="37"/>
      <c r="Q670" s="37"/>
      <c r="R670" s="37"/>
    </row>
    <row r="671">
      <c r="B671" s="37"/>
      <c r="C671" s="37"/>
      <c r="D671" s="37"/>
      <c r="E671" s="37"/>
      <c r="F671" s="37"/>
      <c r="G671" s="89"/>
      <c r="K671" s="37"/>
      <c r="O671" s="37"/>
      <c r="P671" s="37"/>
      <c r="Q671" s="37"/>
      <c r="R671" s="37"/>
    </row>
    <row r="672">
      <c r="B672" s="37"/>
      <c r="C672" s="37"/>
      <c r="D672" s="37"/>
      <c r="E672" s="37"/>
      <c r="F672" s="37"/>
      <c r="G672" s="89"/>
      <c r="K672" s="37"/>
      <c r="O672" s="37"/>
      <c r="P672" s="37"/>
      <c r="Q672" s="37"/>
      <c r="R672" s="37"/>
    </row>
    <row r="673">
      <c r="B673" s="37"/>
      <c r="C673" s="37"/>
      <c r="D673" s="37"/>
      <c r="E673" s="37"/>
      <c r="F673" s="37"/>
      <c r="G673" s="89"/>
      <c r="K673" s="37"/>
      <c r="O673" s="37"/>
      <c r="P673" s="37"/>
      <c r="Q673" s="37"/>
      <c r="R673" s="37"/>
    </row>
    <row r="674">
      <c r="B674" s="37"/>
      <c r="C674" s="37"/>
      <c r="D674" s="37"/>
      <c r="E674" s="37"/>
      <c r="F674" s="37"/>
      <c r="G674" s="89"/>
      <c r="K674" s="37"/>
      <c r="O674" s="37"/>
      <c r="P674" s="37"/>
      <c r="Q674" s="37"/>
      <c r="R674" s="37"/>
    </row>
    <row r="675">
      <c r="B675" s="37"/>
      <c r="C675" s="37"/>
      <c r="D675" s="37"/>
      <c r="E675" s="37"/>
      <c r="F675" s="37"/>
      <c r="G675" s="89"/>
      <c r="K675" s="37"/>
      <c r="O675" s="37"/>
      <c r="P675" s="37"/>
      <c r="Q675" s="37"/>
      <c r="R675" s="37"/>
    </row>
    <row r="676">
      <c r="B676" s="37"/>
      <c r="C676" s="37"/>
      <c r="D676" s="37"/>
      <c r="E676" s="37"/>
      <c r="F676" s="37"/>
      <c r="G676" s="89"/>
      <c r="K676" s="37"/>
      <c r="O676" s="37"/>
      <c r="P676" s="37"/>
      <c r="Q676" s="37"/>
      <c r="R676" s="37"/>
    </row>
    <row r="677">
      <c r="B677" s="37"/>
      <c r="C677" s="37"/>
      <c r="D677" s="37"/>
      <c r="E677" s="37"/>
      <c r="F677" s="37"/>
      <c r="G677" s="89"/>
      <c r="K677" s="37"/>
      <c r="O677" s="37"/>
      <c r="P677" s="37"/>
      <c r="Q677" s="37"/>
      <c r="R677" s="37"/>
    </row>
    <row r="678">
      <c r="B678" s="37"/>
      <c r="C678" s="37"/>
      <c r="D678" s="37"/>
      <c r="E678" s="37"/>
      <c r="F678" s="37"/>
      <c r="G678" s="89"/>
      <c r="K678" s="37"/>
      <c r="O678" s="37"/>
      <c r="P678" s="37"/>
      <c r="Q678" s="37"/>
      <c r="R678" s="37"/>
    </row>
    <row r="679">
      <c r="B679" s="37"/>
      <c r="C679" s="37"/>
      <c r="D679" s="37"/>
      <c r="E679" s="37"/>
      <c r="F679" s="37"/>
      <c r="G679" s="89"/>
      <c r="K679" s="37"/>
      <c r="O679" s="37"/>
      <c r="P679" s="37"/>
      <c r="Q679" s="37"/>
      <c r="R679" s="37"/>
    </row>
    <row r="680">
      <c r="B680" s="37"/>
      <c r="C680" s="37"/>
      <c r="D680" s="37"/>
      <c r="E680" s="37"/>
      <c r="F680" s="37"/>
      <c r="G680" s="89"/>
      <c r="K680" s="37"/>
      <c r="O680" s="37"/>
      <c r="P680" s="37"/>
      <c r="Q680" s="37"/>
      <c r="R680" s="37"/>
    </row>
    <row r="681">
      <c r="B681" s="37"/>
      <c r="C681" s="37"/>
      <c r="D681" s="37"/>
      <c r="E681" s="37"/>
      <c r="F681" s="37"/>
      <c r="G681" s="89"/>
      <c r="K681" s="37"/>
      <c r="O681" s="37"/>
      <c r="P681" s="37"/>
      <c r="Q681" s="37"/>
      <c r="R681" s="37"/>
    </row>
    <row r="682">
      <c r="B682" s="37"/>
      <c r="C682" s="37"/>
      <c r="D682" s="37"/>
      <c r="E682" s="37"/>
      <c r="F682" s="37"/>
      <c r="G682" s="89"/>
      <c r="K682" s="37"/>
      <c r="O682" s="37"/>
      <c r="P682" s="37"/>
      <c r="Q682" s="37"/>
      <c r="R682" s="37"/>
    </row>
    <row r="683">
      <c r="B683" s="37"/>
      <c r="C683" s="37"/>
      <c r="D683" s="37"/>
      <c r="E683" s="37"/>
      <c r="F683" s="37"/>
      <c r="G683" s="89"/>
      <c r="K683" s="37"/>
      <c r="O683" s="37"/>
      <c r="P683" s="37"/>
      <c r="Q683" s="37"/>
      <c r="R683" s="37"/>
    </row>
    <row r="684">
      <c r="B684" s="37"/>
      <c r="C684" s="37"/>
      <c r="D684" s="37"/>
      <c r="E684" s="37"/>
      <c r="F684" s="37"/>
      <c r="G684" s="89"/>
      <c r="K684" s="37"/>
      <c r="O684" s="37"/>
      <c r="P684" s="37"/>
      <c r="Q684" s="37"/>
      <c r="R684" s="37"/>
    </row>
    <row r="685">
      <c r="B685" s="37"/>
      <c r="C685" s="37"/>
      <c r="D685" s="37"/>
      <c r="E685" s="37"/>
      <c r="F685" s="37"/>
      <c r="G685" s="89"/>
      <c r="K685" s="37"/>
      <c r="O685" s="37"/>
      <c r="P685" s="37"/>
      <c r="Q685" s="37"/>
      <c r="R685" s="37"/>
    </row>
    <row r="686">
      <c r="B686" s="37"/>
      <c r="C686" s="37"/>
      <c r="D686" s="37"/>
      <c r="E686" s="37"/>
      <c r="F686" s="37"/>
      <c r="G686" s="89"/>
      <c r="K686" s="37"/>
      <c r="O686" s="37"/>
      <c r="P686" s="37"/>
      <c r="Q686" s="37"/>
      <c r="R686" s="37"/>
    </row>
    <row r="687">
      <c r="B687" s="37"/>
      <c r="C687" s="37"/>
      <c r="D687" s="37"/>
      <c r="E687" s="37"/>
      <c r="F687" s="37"/>
      <c r="G687" s="89"/>
      <c r="K687" s="37"/>
      <c r="O687" s="37"/>
      <c r="P687" s="37"/>
      <c r="Q687" s="37"/>
      <c r="R687" s="37"/>
    </row>
    <row r="688">
      <c r="B688" s="37"/>
      <c r="C688" s="37"/>
      <c r="D688" s="37"/>
      <c r="E688" s="37"/>
      <c r="F688" s="37"/>
      <c r="G688" s="89"/>
      <c r="K688" s="37"/>
      <c r="O688" s="37"/>
      <c r="P688" s="37"/>
      <c r="Q688" s="37"/>
      <c r="R688" s="37"/>
    </row>
    <row r="689">
      <c r="B689" s="37"/>
      <c r="C689" s="37"/>
      <c r="D689" s="37"/>
      <c r="E689" s="37"/>
      <c r="F689" s="37"/>
      <c r="G689" s="89"/>
      <c r="K689" s="37"/>
      <c r="O689" s="37"/>
      <c r="P689" s="37"/>
      <c r="Q689" s="37"/>
      <c r="R689" s="37"/>
    </row>
    <row r="690">
      <c r="B690" s="37"/>
      <c r="C690" s="37"/>
      <c r="D690" s="37"/>
      <c r="E690" s="37"/>
      <c r="F690" s="37"/>
      <c r="G690" s="89"/>
      <c r="K690" s="37"/>
      <c r="O690" s="37"/>
      <c r="P690" s="37"/>
      <c r="Q690" s="37"/>
      <c r="R690" s="37"/>
    </row>
    <row r="691">
      <c r="B691" s="37"/>
      <c r="C691" s="37"/>
      <c r="D691" s="37"/>
      <c r="E691" s="37"/>
      <c r="F691" s="37"/>
      <c r="G691" s="89"/>
      <c r="K691" s="37"/>
      <c r="O691" s="37"/>
      <c r="P691" s="37"/>
      <c r="Q691" s="37"/>
      <c r="R691" s="37"/>
    </row>
    <row r="692">
      <c r="B692" s="37"/>
      <c r="C692" s="37"/>
      <c r="D692" s="37"/>
      <c r="E692" s="37"/>
      <c r="F692" s="37"/>
      <c r="G692" s="89"/>
      <c r="K692" s="37"/>
      <c r="O692" s="37"/>
      <c r="P692" s="37"/>
      <c r="Q692" s="37"/>
      <c r="R692" s="37"/>
    </row>
    <row r="693">
      <c r="B693" s="37"/>
      <c r="C693" s="37"/>
      <c r="D693" s="37"/>
      <c r="E693" s="37"/>
      <c r="F693" s="37"/>
      <c r="G693" s="89"/>
      <c r="K693" s="37"/>
      <c r="O693" s="37"/>
      <c r="P693" s="37"/>
      <c r="Q693" s="37"/>
      <c r="R693" s="37"/>
    </row>
    <row r="694">
      <c r="B694" s="37"/>
      <c r="C694" s="37"/>
      <c r="D694" s="37"/>
      <c r="E694" s="37"/>
      <c r="F694" s="37"/>
      <c r="G694" s="89"/>
      <c r="K694" s="37"/>
      <c r="O694" s="37"/>
      <c r="P694" s="37"/>
      <c r="Q694" s="37"/>
      <c r="R694" s="37"/>
    </row>
    <row r="695">
      <c r="B695" s="37"/>
      <c r="C695" s="37"/>
      <c r="D695" s="37"/>
      <c r="E695" s="37"/>
      <c r="F695" s="37"/>
      <c r="G695" s="89"/>
      <c r="K695" s="37"/>
      <c r="O695" s="37"/>
      <c r="P695" s="37"/>
      <c r="Q695" s="37"/>
      <c r="R695" s="37"/>
    </row>
    <row r="696">
      <c r="B696" s="37"/>
      <c r="C696" s="37"/>
      <c r="D696" s="37"/>
      <c r="E696" s="37"/>
      <c r="F696" s="37"/>
      <c r="G696" s="89"/>
      <c r="K696" s="37"/>
      <c r="O696" s="37"/>
      <c r="P696" s="37"/>
      <c r="Q696" s="37"/>
      <c r="R696" s="37"/>
    </row>
    <row r="697">
      <c r="B697" s="37"/>
      <c r="C697" s="37"/>
      <c r="D697" s="37"/>
      <c r="E697" s="37"/>
      <c r="F697" s="37"/>
      <c r="G697" s="89"/>
      <c r="K697" s="37"/>
      <c r="O697" s="37"/>
      <c r="P697" s="37"/>
      <c r="Q697" s="37"/>
      <c r="R697" s="37"/>
    </row>
    <row r="698">
      <c r="B698" s="37"/>
      <c r="C698" s="37"/>
      <c r="D698" s="37"/>
      <c r="E698" s="37"/>
      <c r="F698" s="37"/>
      <c r="G698" s="89"/>
      <c r="K698" s="37"/>
      <c r="O698" s="37"/>
      <c r="P698" s="37"/>
      <c r="Q698" s="37"/>
      <c r="R698" s="37"/>
    </row>
    <row r="699">
      <c r="B699" s="37"/>
      <c r="C699" s="37"/>
      <c r="D699" s="37"/>
      <c r="E699" s="37"/>
      <c r="F699" s="37"/>
      <c r="G699" s="89"/>
      <c r="K699" s="37"/>
      <c r="O699" s="37"/>
      <c r="P699" s="37"/>
      <c r="Q699" s="37"/>
      <c r="R699" s="37"/>
    </row>
    <row r="700">
      <c r="B700" s="37"/>
      <c r="C700" s="37"/>
      <c r="D700" s="37"/>
      <c r="E700" s="37"/>
      <c r="F700" s="37"/>
      <c r="G700" s="89"/>
      <c r="K700" s="37"/>
      <c r="O700" s="37"/>
      <c r="P700" s="37"/>
      <c r="Q700" s="37"/>
      <c r="R700" s="37"/>
    </row>
    <row r="701">
      <c r="B701" s="37"/>
      <c r="C701" s="37"/>
      <c r="D701" s="37"/>
      <c r="E701" s="37"/>
      <c r="F701" s="37"/>
      <c r="G701" s="89"/>
      <c r="K701" s="37"/>
      <c r="O701" s="37"/>
      <c r="P701" s="37"/>
      <c r="Q701" s="37"/>
      <c r="R701" s="37"/>
    </row>
    <row r="702">
      <c r="B702" s="37"/>
      <c r="C702" s="37"/>
      <c r="D702" s="37"/>
      <c r="E702" s="37"/>
      <c r="F702" s="37"/>
      <c r="G702" s="89"/>
      <c r="K702" s="37"/>
      <c r="O702" s="37"/>
      <c r="P702" s="37"/>
      <c r="Q702" s="37"/>
      <c r="R702" s="37"/>
    </row>
    <row r="703">
      <c r="B703" s="37"/>
      <c r="C703" s="37"/>
      <c r="D703" s="37"/>
      <c r="E703" s="37"/>
      <c r="F703" s="37"/>
      <c r="G703" s="89"/>
      <c r="K703" s="37"/>
      <c r="O703" s="37"/>
      <c r="P703" s="37"/>
      <c r="Q703" s="37"/>
      <c r="R703" s="37"/>
    </row>
    <row r="704">
      <c r="B704" s="37"/>
      <c r="C704" s="37"/>
      <c r="D704" s="37"/>
      <c r="E704" s="37"/>
      <c r="F704" s="37"/>
      <c r="G704" s="89"/>
      <c r="K704" s="37"/>
      <c r="O704" s="37"/>
      <c r="P704" s="37"/>
      <c r="Q704" s="37"/>
      <c r="R704" s="37"/>
    </row>
    <row r="705">
      <c r="B705" s="37"/>
      <c r="C705" s="37"/>
      <c r="D705" s="37"/>
      <c r="E705" s="37"/>
      <c r="F705" s="37"/>
      <c r="G705" s="89"/>
      <c r="K705" s="37"/>
      <c r="O705" s="37"/>
      <c r="P705" s="37"/>
      <c r="Q705" s="37"/>
      <c r="R705" s="37"/>
    </row>
    <row r="706">
      <c r="B706" s="37"/>
      <c r="C706" s="37"/>
      <c r="D706" s="37"/>
      <c r="E706" s="37"/>
      <c r="F706" s="37"/>
      <c r="G706" s="89"/>
      <c r="K706" s="37"/>
      <c r="O706" s="37"/>
      <c r="P706" s="37"/>
      <c r="Q706" s="37"/>
      <c r="R706" s="37"/>
    </row>
    <row r="707">
      <c r="B707" s="37"/>
      <c r="C707" s="37"/>
      <c r="D707" s="37"/>
      <c r="E707" s="37"/>
      <c r="F707" s="37"/>
      <c r="G707" s="89"/>
      <c r="K707" s="37"/>
      <c r="O707" s="37"/>
      <c r="P707" s="37"/>
      <c r="Q707" s="37"/>
      <c r="R707" s="37"/>
    </row>
    <row r="708">
      <c r="B708" s="37"/>
      <c r="C708" s="37"/>
      <c r="D708" s="37"/>
      <c r="E708" s="37"/>
      <c r="F708" s="37"/>
      <c r="G708" s="89"/>
      <c r="K708" s="37"/>
      <c r="O708" s="37"/>
      <c r="P708" s="37"/>
      <c r="Q708" s="37"/>
      <c r="R708" s="37"/>
    </row>
    <row r="709">
      <c r="B709" s="37"/>
      <c r="C709" s="37"/>
      <c r="D709" s="37"/>
      <c r="E709" s="37"/>
      <c r="F709" s="37"/>
      <c r="G709" s="89"/>
      <c r="K709" s="37"/>
      <c r="O709" s="37"/>
      <c r="P709" s="37"/>
      <c r="Q709" s="37"/>
      <c r="R709" s="37"/>
    </row>
    <row r="710">
      <c r="B710" s="37"/>
      <c r="C710" s="37"/>
      <c r="D710" s="37"/>
      <c r="E710" s="37"/>
      <c r="F710" s="37"/>
      <c r="G710" s="89"/>
      <c r="K710" s="37"/>
      <c r="O710" s="37"/>
      <c r="P710" s="37"/>
      <c r="Q710" s="37"/>
      <c r="R710" s="37"/>
    </row>
    <row r="711">
      <c r="B711" s="37"/>
      <c r="C711" s="37"/>
      <c r="D711" s="37"/>
      <c r="E711" s="37"/>
      <c r="F711" s="37"/>
      <c r="G711" s="89"/>
      <c r="K711" s="37"/>
      <c r="O711" s="37"/>
      <c r="P711" s="37"/>
      <c r="Q711" s="37"/>
      <c r="R711" s="37"/>
    </row>
    <row r="712">
      <c r="B712" s="37"/>
      <c r="C712" s="37"/>
      <c r="D712" s="37"/>
      <c r="E712" s="37"/>
      <c r="F712" s="37"/>
      <c r="G712" s="89"/>
      <c r="K712" s="37"/>
      <c r="O712" s="37"/>
      <c r="P712" s="37"/>
      <c r="Q712" s="37"/>
      <c r="R712" s="37"/>
    </row>
    <row r="713">
      <c r="B713" s="37"/>
      <c r="C713" s="37"/>
      <c r="D713" s="37"/>
      <c r="E713" s="37"/>
      <c r="F713" s="37"/>
      <c r="G713" s="89"/>
      <c r="K713" s="37"/>
      <c r="O713" s="37"/>
      <c r="P713" s="37"/>
      <c r="Q713" s="37"/>
      <c r="R713" s="37"/>
    </row>
    <row r="714">
      <c r="B714" s="37"/>
      <c r="C714" s="37"/>
      <c r="D714" s="37"/>
      <c r="E714" s="37"/>
      <c r="F714" s="37"/>
      <c r="G714" s="89"/>
      <c r="K714" s="37"/>
      <c r="O714" s="37"/>
      <c r="P714" s="37"/>
      <c r="Q714" s="37"/>
      <c r="R714" s="37"/>
    </row>
    <row r="715">
      <c r="B715" s="37"/>
      <c r="C715" s="37"/>
      <c r="D715" s="37"/>
      <c r="E715" s="37"/>
      <c r="F715" s="37"/>
      <c r="G715" s="89"/>
      <c r="K715" s="37"/>
      <c r="O715" s="37"/>
      <c r="P715" s="37"/>
      <c r="Q715" s="37"/>
      <c r="R715" s="37"/>
    </row>
    <row r="716">
      <c r="B716" s="37"/>
      <c r="C716" s="37"/>
      <c r="D716" s="37"/>
      <c r="E716" s="37"/>
      <c r="F716" s="37"/>
      <c r="G716" s="89"/>
      <c r="K716" s="37"/>
      <c r="O716" s="37"/>
      <c r="P716" s="37"/>
      <c r="Q716" s="37"/>
      <c r="R716" s="37"/>
    </row>
    <row r="717">
      <c r="B717" s="37"/>
      <c r="C717" s="37"/>
      <c r="D717" s="37"/>
      <c r="E717" s="37"/>
      <c r="F717" s="37"/>
      <c r="G717" s="89"/>
      <c r="K717" s="37"/>
      <c r="O717" s="37"/>
      <c r="P717" s="37"/>
      <c r="Q717" s="37"/>
      <c r="R717" s="37"/>
    </row>
    <row r="718">
      <c r="B718" s="37"/>
      <c r="C718" s="37"/>
      <c r="D718" s="37"/>
      <c r="E718" s="37"/>
      <c r="F718" s="37"/>
      <c r="G718" s="89"/>
      <c r="K718" s="37"/>
      <c r="O718" s="37"/>
      <c r="P718" s="37"/>
      <c r="Q718" s="37"/>
      <c r="R718" s="37"/>
    </row>
    <row r="719">
      <c r="B719" s="37"/>
      <c r="C719" s="37"/>
      <c r="D719" s="37"/>
      <c r="E719" s="37"/>
      <c r="F719" s="37"/>
      <c r="G719" s="89"/>
      <c r="K719" s="37"/>
      <c r="O719" s="37"/>
      <c r="P719" s="37"/>
      <c r="Q719" s="37"/>
      <c r="R719" s="37"/>
    </row>
    <row r="720">
      <c r="B720" s="37"/>
      <c r="C720" s="37"/>
      <c r="D720" s="37"/>
      <c r="E720" s="37"/>
      <c r="F720" s="37"/>
      <c r="G720" s="89"/>
      <c r="K720" s="37"/>
      <c r="O720" s="37"/>
      <c r="P720" s="37"/>
      <c r="Q720" s="37"/>
      <c r="R720" s="37"/>
    </row>
    <row r="721">
      <c r="B721" s="37"/>
      <c r="C721" s="37"/>
      <c r="D721" s="37"/>
      <c r="E721" s="37"/>
      <c r="F721" s="37"/>
      <c r="G721" s="89"/>
      <c r="K721" s="37"/>
      <c r="O721" s="37"/>
      <c r="P721" s="37"/>
      <c r="Q721" s="37"/>
      <c r="R721" s="37"/>
    </row>
    <row r="722">
      <c r="B722" s="37"/>
      <c r="C722" s="37"/>
      <c r="D722" s="37"/>
      <c r="E722" s="37"/>
      <c r="F722" s="37"/>
      <c r="G722" s="89"/>
      <c r="K722" s="37"/>
      <c r="O722" s="37"/>
      <c r="P722" s="37"/>
      <c r="Q722" s="37"/>
      <c r="R722" s="37"/>
    </row>
    <row r="723">
      <c r="B723" s="37"/>
      <c r="C723" s="37"/>
      <c r="D723" s="37"/>
      <c r="E723" s="37"/>
      <c r="F723" s="37"/>
      <c r="G723" s="89"/>
      <c r="K723" s="37"/>
      <c r="O723" s="37"/>
      <c r="P723" s="37"/>
      <c r="Q723" s="37"/>
      <c r="R723" s="37"/>
    </row>
    <row r="724">
      <c r="B724" s="37"/>
      <c r="C724" s="37"/>
      <c r="D724" s="37"/>
      <c r="E724" s="37"/>
      <c r="F724" s="37"/>
      <c r="G724" s="89"/>
      <c r="K724" s="37"/>
      <c r="O724" s="37"/>
      <c r="P724" s="37"/>
      <c r="Q724" s="37"/>
      <c r="R724" s="37"/>
    </row>
    <row r="725">
      <c r="B725" s="37"/>
      <c r="C725" s="37"/>
      <c r="D725" s="37"/>
      <c r="E725" s="37"/>
      <c r="F725" s="37"/>
      <c r="G725" s="89"/>
      <c r="K725" s="37"/>
      <c r="O725" s="37"/>
      <c r="P725" s="37"/>
      <c r="Q725" s="37"/>
      <c r="R725" s="37"/>
    </row>
    <row r="726">
      <c r="B726" s="37"/>
      <c r="C726" s="37"/>
      <c r="D726" s="37"/>
      <c r="E726" s="37"/>
      <c r="F726" s="37"/>
      <c r="G726" s="89"/>
      <c r="K726" s="37"/>
      <c r="O726" s="37"/>
      <c r="P726" s="37"/>
      <c r="Q726" s="37"/>
      <c r="R726" s="37"/>
    </row>
    <row r="727">
      <c r="B727" s="37"/>
      <c r="C727" s="37"/>
      <c r="D727" s="37"/>
      <c r="E727" s="37"/>
      <c r="F727" s="37"/>
      <c r="G727" s="89"/>
      <c r="K727" s="37"/>
      <c r="O727" s="37"/>
      <c r="P727" s="37"/>
      <c r="Q727" s="37"/>
      <c r="R727" s="37"/>
    </row>
    <row r="728">
      <c r="B728" s="37"/>
      <c r="C728" s="37"/>
      <c r="D728" s="37"/>
      <c r="E728" s="37"/>
      <c r="F728" s="37"/>
      <c r="G728" s="89"/>
      <c r="K728" s="37"/>
      <c r="O728" s="37"/>
      <c r="P728" s="37"/>
      <c r="Q728" s="37"/>
      <c r="R728" s="37"/>
    </row>
    <row r="729">
      <c r="B729" s="37"/>
      <c r="C729" s="37"/>
      <c r="D729" s="37"/>
      <c r="E729" s="37"/>
      <c r="F729" s="37"/>
      <c r="G729" s="89"/>
      <c r="K729" s="37"/>
      <c r="O729" s="37"/>
      <c r="P729" s="37"/>
      <c r="Q729" s="37"/>
      <c r="R729" s="37"/>
    </row>
    <row r="730">
      <c r="B730" s="37"/>
      <c r="C730" s="37"/>
      <c r="D730" s="37"/>
      <c r="E730" s="37"/>
      <c r="F730" s="37"/>
      <c r="G730" s="89"/>
      <c r="K730" s="37"/>
      <c r="O730" s="37"/>
      <c r="P730" s="37"/>
      <c r="Q730" s="37"/>
      <c r="R730" s="37"/>
    </row>
    <row r="731">
      <c r="B731" s="37"/>
      <c r="C731" s="37"/>
      <c r="D731" s="37"/>
      <c r="E731" s="37"/>
      <c r="F731" s="37"/>
      <c r="G731" s="89"/>
      <c r="K731" s="37"/>
      <c r="O731" s="37"/>
      <c r="P731" s="37"/>
      <c r="Q731" s="37"/>
      <c r="R731" s="37"/>
    </row>
    <row r="732">
      <c r="B732" s="37"/>
      <c r="C732" s="37"/>
      <c r="D732" s="37"/>
      <c r="E732" s="37"/>
      <c r="F732" s="37"/>
      <c r="G732" s="89"/>
      <c r="K732" s="37"/>
      <c r="O732" s="37"/>
      <c r="P732" s="37"/>
      <c r="Q732" s="37"/>
      <c r="R732" s="37"/>
    </row>
    <row r="733">
      <c r="B733" s="37"/>
      <c r="C733" s="37"/>
      <c r="D733" s="37"/>
      <c r="E733" s="37"/>
      <c r="F733" s="37"/>
      <c r="G733" s="89"/>
      <c r="K733" s="37"/>
      <c r="O733" s="37"/>
      <c r="P733" s="37"/>
      <c r="Q733" s="37"/>
      <c r="R733" s="37"/>
    </row>
    <row r="734">
      <c r="B734" s="37"/>
      <c r="C734" s="37"/>
      <c r="D734" s="37"/>
      <c r="E734" s="37"/>
      <c r="F734" s="37"/>
      <c r="G734" s="89"/>
      <c r="K734" s="37"/>
      <c r="O734" s="37"/>
      <c r="P734" s="37"/>
      <c r="Q734" s="37"/>
      <c r="R734" s="37"/>
    </row>
    <row r="735">
      <c r="B735" s="37"/>
      <c r="C735" s="37"/>
      <c r="D735" s="37"/>
      <c r="E735" s="37"/>
      <c r="F735" s="37"/>
      <c r="G735" s="89"/>
      <c r="K735" s="37"/>
      <c r="O735" s="37"/>
      <c r="P735" s="37"/>
      <c r="Q735" s="37"/>
      <c r="R735" s="37"/>
    </row>
    <row r="736">
      <c r="B736" s="37"/>
      <c r="C736" s="37"/>
      <c r="D736" s="37"/>
      <c r="E736" s="37"/>
      <c r="F736" s="37"/>
      <c r="G736" s="89"/>
      <c r="K736" s="37"/>
      <c r="O736" s="37"/>
      <c r="P736" s="37"/>
      <c r="Q736" s="37"/>
      <c r="R736" s="37"/>
    </row>
    <row r="737">
      <c r="B737" s="37"/>
      <c r="C737" s="37"/>
      <c r="D737" s="37"/>
      <c r="E737" s="37"/>
      <c r="F737" s="37"/>
      <c r="G737" s="89"/>
      <c r="K737" s="37"/>
      <c r="O737" s="37"/>
      <c r="P737" s="37"/>
      <c r="Q737" s="37"/>
      <c r="R737" s="37"/>
    </row>
    <row r="738">
      <c r="B738" s="37"/>
      <c r="C738" s="37"/>
      <c r="D738" s="37"/>
      <c r="E738" s="37"/>
      <c r="F738" s="37"/>
      <c r="G738" s="89"/>
      <c r="K738" s="37"/>
      <c r="O738" s="37"/>
      <c r="P738" s="37"/>
      <c r="Q738" s="37"/>
      <c r="R738" s="37"/>
    </row>
    <row r="739">
      <c r="B739" s="37"/>
      <c r="C739" s="37"/>
      <c r="D739" s="37"/>
      <c r="E739" s="37"/>
      <c r="F739" s="37"/>
      <c r="G739" s="89"/>
      <c r="K739" s="37"/>
      <c r="O739" s="37"/>
      <c r="P739" s="37"/>
      <c r="Q739" s="37"/>
      <c r="R739" s="37"/>
    </row>
    <row r="740">
      <c r="B740" s="37"/>
      <c r="C740" s="37"/>
      <c r="D740" s="37"/>
      <c r="E740" s="37"/>
      <c r="F740" s="37"/>
      <c r="G740" s="89"/>
      <c r="K740" s="37"/>
      <c r="O740" s="37"/>
      <c r="P740" s="37"/>
      <c r="Q740" s="37"/>
      <c r="R740" s="37"/>
    </row>
    <row r="741">
      <c r="B741" s="37"/>
      <c r="C741" s="37"/>
      <c r="D741" s="37"/>
      <c r="E741" s="37"/>
      <c r="F741" s="37"/>
      <c r="G741" s="89"/>
      <c r="K741" s="37"/>
      <c r="O741" s="37"/>
      <c r="P741" s="37"/>
      <c r="Q741" s="37"/>
      <c r="R741" s="37"/>
    </row>
    <row r="742">
      <c r="B742" s="37"/>
      <c r="C742" s="37"/>
      <c r="D742" s="37"/>
      <c r="E742" s="37"/>
      <c r="F742" s="37"/>
      <c r="G742" s="89"/>
      <c r="K742" s="37"/>
      <c r="O742" s="37"/>
      <c r="P742" s="37"/>
      <c r="Q742" s="37"/>
      <c r="R742" s="37"/>
    </row>
    <row r="743">
      <c r="B743" s="37"/>
      <c r="C743" s="37"/>
      <c r="D743" s="37"/>
      <c r="E743" s="37"/>
      <c r="F743" s="37"/>
      <c r="G743" s="89"/>
      <c r="K743" s="37"/>
      <c r="O743" s="37"/>
      <c r="P743" s="37"/>
      <c r="Q743" s="37"/>
      <c r="R743" s="37"/>
    </row>
    <row r="744">
      <c r="B744" s="37"/>
      <c r="C744" s="37"/>
      <c r="D744" s="37"/>
      <c r="E744" s="37"/>
      <c r="F744" s="37"/>
      <c r="G744" s="89"/>
      <c r="K744" s="37"/>
      <c r="O744" s="37"/>
      <c r="P744" s="37"/>
      <c r="Q744" s="37"/>
      <c r="R744" s="37"/>
    </row>
    <row r="745">
      <c r="B745" s="37"/>
      <c r="C745" s="37"/>
      <c r="D745" s="37"/>
      <c r="E745" s="37"/>
      <c r="F745" s="37"/>
      <c r="G745" s="89"/>
      <c r="K745" s="37"/>
      <c r="O745" s="37"/>
      <c r="P745" s="37"/>
      <c r="Q745" s="37"/>
      <c r="R745" s="37"/>
    </row>
    <row r="746">
      <c r="B746" s="37"/>
      <c r="C746" s="37"/>
      <c r="D746" s="37"/>
      <c r="E746" s="37"/>
      <c r="F746" s="37"/>
      <c r="G746" s="89"/>
      <c r="K746" s="37"/>
      <c r="O746" s="37"/>
      <c r="P746" s="37"/>
      <c r="Q746" s="37"/>
      <c r="R746" s="37"/>
    </row>
    <row r="747">
      <c r="B747" s="37"/>
      <c r="C747" s="37"/>
      <c r="D747" s="37"/>
      <c r="E747" s="37"/>
      <c r="F747" s="37"/>
      <c r="G747" s="89"/>
      <c r="K747" s="37"/>
      <c r="O747" s="37"/>
      <c r="P747" s="37"/>
      <c r="Q747" s="37"/>
      <c r="R747" s="37"/>
    </row>
    <row r="748">
      <c r="B748" s="37"/>
      <c r="C748" s="37"/>
      <c r="D748" s="37"/>
      <c r="E748" s="37"/>
      <c r="F748" s="37"/>
      <c r="G748" s="89"/>
      <c r="K748" s="37"/>
      <c r="O748" s="37"/>
      <c r="P748" s="37"/>
      <c r="Q748" s="37"/>
      <c r="R748" s="37"/>
    </row>
    <row r="749">
      <c r="B749" s="37"/>
      <c r="C749" s="37"/>
      <c r="D749" s="37"/>
      <c r="E749" s="37"/>
      <c r="F749" s="37"/>
      <c r="G749" s="89"/>
      <c r="K749" s="37"/>
      <c r="O749" s="37"/>
      <c r="P749" s="37"/>
      <c r="Q749" s="37"/>
      <c r="R749" s="37"/>
    </row>
    <row r="750">
      <c r="B750" s="37"/>
      <c r="C750" s="37"/>
      <c r="D750" s="37"/>
      <c r="E750" s="37"/>
      <c r="F750" s="37"/>
      <c r="G750" s="89"/>
      <c r="K750" s="37"/>
      <c r="O750" s="37"/>
      <c r="P750" s="37"/>
      <c r="Q750" s="37"/>
      <c r="R750" s="37"/>
    </row>
    <row r="751">
      <c r="B751" s="37"/>
      <c r="C751" s="37"/>
      <c r="D751" s="37"/>
      <c r="E751" s="37"/>
      <c r="F751" s="37"/>
      <c r="G751" s="89"/>
      <c r="K751" s="37"/>
      <c r="O751" s="37"/>
      <c r="P751" s="37"/>
      <c r="Q751" s="37"/>
      <c r="R751" s="37"/>
    </row>
    <row r="752">
      <c r="B752" s="37"/>
      <c r="C752" s="37"/>
      <c r="D752" s="37"/>
      <c r="E752" s="37"/>
      <c r="F752" s="37"/>
      <c r="G752" s="89"/>
      <c r="K752" s="37"/>
      <c r="O752" s="37"/>
      <c r="P752" s="37"/>
      <c r="Q752" s="37"/>
      <c r="R752" s="37"/>
    </row>
    <row r="753">
      <c r="B753" s="37"/>
      <c r="C753" s="37"/>
      <c r="D753" s="37"/>
      <c r="E753" s="37"/>
      <c r="F753" s="37"/>
      <c r="G753" s="89"/>
      <c r="K753" s="37"/>
      <c r="O753" s="37"/>
      <c r="P753" s="37"/>
      <c r="Q753" s="37"/>
      <c r="R753" s="37"/>
    </row>
    <row r="754">
      <c r="B754" s="37"/>
      <c r="C754" s="37"/>
      <c r="D754" s="37"/>
      <c r="E754" s="37"/>
      <c r="F754" s="37"/>
      <c r="G754" s="89"/>
      <c r="K754" s="37"/>
      <c r="O754" s="37"/>
      <c r="P754" s="37"/>
      <c r="Q754" s="37"/>
      <c r="R754" s="37"/>
    </row>
    <row r="755">
      <c r="B755" s="37"/>
      <c r="C755" s="37"/>
      <c r="D755" s="37"/>
      <c r="E755" s="37"/>
      <c r="F755" s="37"/>
      <c r="G755" s="89"/>
      <c r="K755" s="37"/>
      <c r="O755" s="37"/>
      <c r="P755" s="37"/>
      <c r="Q755" s="37"/>
      <c r="R755" s="37"/>
    </row>
    <row r="756">
      <c r="B756" s="37"/>
      <c r="C756" s="37"/>
      <c r="D756" s="37"/>
      <c r="E756" s="37"/>
      <c r="F756" s="37"/>
      <c r="G756" s="89"/>
      <c r="K756" s="37"/>
      <c r="O756" s="37"/>
      <c r="P756" s="37"/>
      <c r="Q756" s="37"/>
      <c r="R756" s="37"/>
    </row>
    <row r="757">
      <c r="B757" s="37"/>
      <c r="C757" s="37"/>
      <c r="D757" s="37"/>
      <c r="E757" s="37"/>
      <c r="F757" s="37"/>
      <c r="G757" s="89"/>
      <c r="K757" s="37"/>
      <c r="O757" s="37"/>
      <c r="P757" s="37"/>
      <c r="Q757" s="37"/>
      <c r="R757" s="37"/>
    </row>
    <row r="758">
      <c r="B758" s="37"/>
      <c r="C758" s="37"/>
      <c r="D758" s="37"/>
      <c r="E758" s="37"/>
      <c r="F758" s="37"/>
      <c r="G758" s="89"/>
      <c r="K758" s="37"/>
      <c r="O758" s="37"/>
      <c r="P758" s="37"/>
      <c r="Q758" s="37"/>
      <c r="R758" s="37"/>
    </row>
    <row r="759">
      <c r="B759" s="37"/>
      <c r="C759" s="37"/>
      <c r="D759" s="37"/>
      <c r="E759" s="37"/>
      <c r="F759" s="37"/>
      <c r="G759" s="89"/>
      <c r="K759" s="37"/>
      <c r="O759" s="37"/>
      <c r="P759" s="37"/>
      <c r="Q759" s="37"/>
      <c r="R759" s="37"/>
    </row>
    <row r="760">
      <c r="B760" s="37"/>
      <c r="C760" s="37"/>
      <c r="D760" s="37"/>
      <c r="E760" s="37"/>
      <c r="F760" s="37"/>
      <c r="G760" s="89"/>
      <c r="K760" s="37"/>
      <c r="O760" s="37"/>
      <c r="P760" s="37"/>
      <c r="Q760" s="37"/>
      <c r="R760" s="37"/>
    </row>
    <row r="761">
      <c r="B761" s="37"/>
      <c r="C761" s="37"/>
      <c r="D761" s="37"/>
      <c r="E761" s="37"/>
      <c r="F761" s="37"/>
      <c r="G761" s="89"/>
      <c r="K761" s="37"/>
      <c r="O761" s="37"/>
      <c r="P761" s="37"/>
      <c r="Q761" s="37"/>
      <c r="R761" s="37"/>
    </row>
    <row r="762">
      <c r="B762" s="37"/>
      <c r="C762" s="37"/>
      <c r="D762" s="37"/>
      <c r="E762" s="37"/>
      <c r="F762" s="37"/>
      <c r="G762" s="89"/>
      <c r="K762" s="37"/>
      <c r="O762" s="37"/>
      <c r="P762" s="37"/>
      <c r="Q762" s="37"/>
      <c r="R762" s="37"/>
    </row>
    <row r="763">
      <c r="B763" s="37"/>
      <c r="C763" s="37"/>
      <c r="D763" s="37"/>
      <c r="E763" s="37"/>
      <c r="F763" s="37"/>
      <c r="G763" s="89"/>
      <c r="K763" s="37"/>
      <c r="O763" s="37"/>
      <c r="P763" s="37"/>
      <c r="Q763" s="37"/>
      <c r="R763" s="37"/>
    </row>
    <row r="764">
      <c r="B764" s="37"/>
      <c r="C764" s="37"/>
      <c r="D764" s="37"/>
      <c r="E764" s="37"/>
      <c r="F764" s="37"/>
      <c r="G764" s="89"/>
      <c r="K764" s="37"/>
      <c r="O764" s="37"/>
      <c r="P764" s="37"/>
      <c r="Q764" s="37"/>
      <c r="R764" s="37"/>
    </row>
    <row r="765">
      <c r="B765" s="37"/>
      <c r="C765" s="37"/>
      <c r="D765" s="37"/>
      <c r="E765" s="37"/>
      <c r="F765" s="37"/>
      <c r="G765" s="89"/>
      <c r="K765" s="37"/>
      <c r="O765" s="37"/>
      <c r="P765" s="37"/>
      <c r="Q765" s="37"/>
      <c r="R765" s="37"/>
    </row>
    <row r="766">
      <c r="B766" s="37"/>
      <c r="C766" s="37"/>
      <c r="D766" s="37"/>
      <c r="E766" s="37"/>
      <c r="F766" s="37"/>
      <c r="G766" s="89"/>
      <c r="K766" s="37"/>
      <c r="O766" s="37"/>
      <c r="P766" s="37"/>
      <c r="Q766" s="37"/>
      <c r="R766" s="37"/>
    </row>
    <row r="767">
      <c r="B767" s="37"/>
      <c r="C767" s="37"/>
      <c r="D767" s="37"/>
      <c r="E767" s="37"/>
      <c r="F767" s="37"/>
      <c r="G767" s="89"/>
      <c r="K767" s="37"/>
      <c r="O767" s="37"/>
      <c r="P767" s="37"/>
      <c r="Q767" s="37"/>
      <c r="R767" s="37"/>
    </row>
    <row r="768">
      <c r="B768" s="37"/>
      <c r="C768" s="37"/>
      <c r="D768" s="37"/>
      <c r="E768" s="37"/>
      <c r="F768" s="37"/>
      <c r="G768" s="89"/>
      <c r="K768" s="37"/>
      <c r="O768" s="37"/>
      <c r="P768" s="37"/>
      <c r="Q768" s="37"/>
      <c r="R768" s="37"/>
    </row>
    <row r="769">
      <c r="B769" s="37"/>
      <c r="C769" s="37"/>
      <c r="D769" s="37"/>
      <c r="E769" s="37"/>
      <c r="F769" s="37"/>
      <c r="G769" s="89"/>
      <c r="K769" s="37"/>
      <c r="O769" s="37"/>
      <c r="P769" s="37"/>
      <c r="Q769" s="37"/>
      <c r="R769" s="37"/>
    </row>
    <row r="770">
      <c r="B770" s="37"/>
      <c r="C770" s="37"/>
      <c r="D770" s="37"/>
      <c r="E770" s="37"/>
      <c r="F770" s="37"/>
      <c r="G770" s="89"/>
      <c r="K770" s="37"/>
      <c r="O770" s="37"/>
      <c r="P770" s="37"/>
      <c r="Q770" s="37"/>
      <c r="R770" s="37"/>
    </row>
    <row r="771">
      <c r="B771" s="37"/>
      <c r="C771" s="37"/>
      <c r="D771" s="37"/>
      <c r="E771" s="37"/>
      <c r="F771" s="37"/>
      <c r="G771" s="89"/>
      <c r="K771" s="37"/>
      <c r="O771" s="37"/>
      <c r="P771" s="37"/>
      <c r="Q771" s="37"/>
      <c r="R771" s="37"/>
    </row>
    <row r="772">
      <c r="B772" s="37"/>
      <c r="C772" s="37"/>
      <c r="D772" s="37"/>
      <c r="E772" s="37"/>
      <c r="F772" s="37"/>
      <c r="G772" s="89"/>
      <c r="K772" s="37"/>
      <c r="O772" s="37"/>
      <c r="P772" s="37"/>
      <c r="Q772" s="37"/>
      <c r="R772" s="37"/>
    </row>
    <row r="773">
      <c r="B773" s="37"/>
      <c r="C773" s="37"/>
      <c r="D773" s="37"/>
      <c r="E773" s="37"/>
      <c r="F773" s="37"/>
      <c r="G773" s="89"/>
      <c r="K773" s="37"/>
      <c r="O773" s="37"/>
      <c r="P773" s="37"/>
      <c r="Q773" s="37"/>
      <c r="R773" s="37"/>
    </row>
    <row r="774">
      <c r="B774" s="37"/>
      <c r="C774" s="37"/>
      <c r="D774" s="37"/>
      <c r="E774" s="37"/>
      <c r="F774" s="37"/>
      <c r="G774" s="89"/>
      <c r="K774" s="37"/>
      <c r="O774" s="37"/>
      <c r="P774" s="37"/>
      <c r="Q774" s="37"/>
      <c r="R774" s="37"/>
    </row>
    <row r="775">
      <c r="B775" s="37"/>
      <c r="C775" s="37"/>
      <c r="D775" s="37"/>
      <c r="E775" s="37"/>
      <c r="F775" s="37"/>
      <c r="G775" s="89"/>
      <c r="K775" s="37"/>
      <c r="O775" s="37"/>
      <c r="P775" s="37"/>
      <c r="Q775" s="37"/>
      <c r="R775" s="37"/>
    </row>
    <row r="776">
      <c r="B776" s="37"/>
      <c r="C776" s="37"/>
      <c r="D776" s="37"/>
      <c r="E776" s="37"/>
      <c r="F776" s="37"/>
      <c r="G776" s="89"/>
      <c r="K776" s="37"/>
      <c r="O776" s="37"/>
      <c r="P776" s="37"/>
      <c r="Q776" s="37"/>
      <c r="R776" s="37"/>
    </row>
    <row r="777">
      <c r="B777" s="37"/>
      <c r="C777" s="37"/>
      <c r="D777" s="37"/>
      <c r="E777" s="37"/>
      <c r="F777" s="37"/>
      <c r="G777" s="89"/>
      <c r="K777" s="37"/>
      <c r="O777" s="37"/>
      <c r="P777" s="37"/>
      <c r="Q777" s="37"/>
      <c r="R777" s="37"/>
    </row>
    <row r="778">
      <c r="B778" s="37"/>
      <c r="C778" s="37"/>
      <c r="D778" s="37"/>
      <c r="E778" s="37"/>
      <c r="F778" s="37"/>
      <c r="G778" s="89"/>
      <c r="K778" s="37"/>
      <c r="O778" s="37"/>
      <c r="P778" s="37"/>
      <c r="Q778" s="37"/>
      <c r="R778" s="37"/>
    </row>
    <row r="779">
      <c r="B779" s="37"/>
      <c r="C779" s="37"/>
      <c r="D779" s="37"/>
      <c r="E779" s="37"/>
      <c r="F779" s="37"/>
      <c r="G779" s="89"/>
      <c r="K779" s="37"/>
      <c r="O779" s="37"/>
      <c r="P779" s="37"/>
      <c r="Q779" s="37"/>
      <c r="R779" s="37"/>
    </row>
    <row r="780">
      <c r="B780" s="37"/>
      <c r="C780" s="37"/>
      <c r="D780" s="37"/>
      <c r="E780" s="37"/>
      <c r="F780" s="37"/>
      <c r="G780" s="89"/>
      <c r="K780" s="37"/>
      <c r="O780" s="37"/>
      <c r="P780" s="37"/>
      <c r="Q780" s="37"/>
      <c r="R780" s="37"/>
    </row>
    <row r="781">
      <c r="B781" s="37"/>
      <c r="C781" s="37"/>
      <c r="D781" s="37"/>
      <c r="E781" s="37"/>
      <c r="F781" s="37"/>
      <c r="G781" s="89"/>
      <c r="K781" s="37"/>
      <c r="O781" s="37"/>
      <c r="P781" s="37"/>
      <c r="Q781" s="37"/>
      <c r="R781" s="37"/>
    </row>
    <row r="782">
      <c r="B782" s="37"/>
      <c r="C782" s="37"/>
      <c r="D782" s="37"/>
      <c r="E782" s="37"/>
      <c r="F782" s="37"/>
      <c r="G782" s="89"/>
      <c r="K782" s="37"/>
      <c r="O782" s="37"/>
      <c r="P782" s="37"/>
      <c r="Q782" s="37"/>
      <c r="R782" s="37"/>
    </row>
    <row r="783">
      <c r="B783" s="37"/>
      <c r="C783" s="37"/>
      <c r="D783" s="37"/>
      <c r="E783" s="37"/>
      <c r="F783" s="37"/>
      <c r="G783" s="89"/>
      <c r="K783" s="37"/>
      <c r="O783" s="37"/>
      <c r="P783" s="37"/>
      <c r="Q783" s="37"/>
      <c r="R783" s="37"/>
    </row>
    <row r="784">
      <c r="B784" s="37"/>
      <c r="C784" s="37"/>
      <c r="D784" s="37"/>
      <c r="E784" s="37"/>
      <c r="F784" s="37"/>
      <c r="G784" s="89"/>
      <c r="K784" s="37"/>
      <c r="O784" s="37"/>
      <c r="P784" s="37"/>
      <c r="Q784" s="37"/>
      <c r="R784" s="37"/>
    </row>
    <row r="785">
      <c r="B785" s="37"/>
      <c r="C785" s="37"/>
      <c r="D785" s="37"/>
      <c r="E785" s="37"/>
      <c r="F785" s="37"/>
      <c r="G785" s="89"/>
      <c r="K785" s="37"/>
      <c r="O785" s="37"/>
      <c r="P785" s="37"/>
      <c r="Q785" s="37"/>
      <c r="R785" s="37"/>
    </row>
    <row r="786">
      <c r="B786" s="37"/>
      <c r="C786" s="37"/>
      <c r="D786" s="37"/>
      <c r="E786" s="37"/>
      <c r="F786" s="37"/>
      <c r="G786" s="89"/>
      <c r="K786" s="37"/>
      <c r="O786" s="37"/>
      <c r="P786" s="37"/>
      <c r="Q786" s="37"/>
      <c r="R786" s="37"/>
    </row>
    <row r="787">
      <c r="B787" s="37"/>
      <c r="C787" s="37"/>
      <c r="D787" s="37"/>
      <c r="E787" s="37"/>
      <c r="F787" s="37"/>
      <c r="G787" s="89"/>
      <c r="K787" s="37"/>
      <c r="O787" s="37"/>
      <c r="P787" s="37"/>
      <c r="Q787" s="37"/>
      <c r="R787" s="37"/>
    </row>
    <row r="788">
      <c r="B788" s="37"/>
      <c r="C788" s="37"/>
      <c r="D788" s="37"/>
      <c r="E788" s="37"/>
      <c r="F788" s="37"/>
      <c r="G788" s="89"/>
      <c r="K788" s="37"/>
      <c r="O788" s="37"/>
      <c r="P788" s="37"/>
      <c r="Q788" s="37"/>
      <c r="R788" s="37"/>
    </row>
    <row r="789">
      <c r="B789" s="37"/>
      <c r="C789" s="37"/>
      <c r="D789" s="37"/>
      <c r="E789" s="37"/>
      <c r="F789" s="37"/>
      <c r="G789" s="89"/>
      <c r="K789" s="37"/>
      <c r="O789" s="37"/>
      <c r="P789" s="37"/>
      <c r="Q789" s="37"/>
      <c r="R789" s="37"/>
    </row>
    <row r="790">
      <c r="B790" s="37"/>
      <c r="C790" s="37"/>
      <c r="D790" s="37"/>
      <c r="E790" s="37"/>
      <c r="F790" s="37"/>
      <c r="G790" s="89"/>
      <c r="K790" s="37"/>
      <c r="O790" s="37"/>
      <c r="P790" s="37"/>
      <c r="Q790" s="37"/>
      <c r="R790" s="37"/>
    </row>
    <row r="791">
      <c r="B791" s="37"/>
      <c r="C791" s="37"/>
      <c r="D791" s="37"/>
      <c r="E791" s="37"/>
      <c r="F791" s="37"/>
      <c r="G791" s="89"/>
      <c r="K791" s="37"/>
      <c r="O791" s="37"/>
      <c r="P791" s="37"/>
      <c r="Q791" s="37"/>
      <c r="R791" s="37"/>
    </row>
    <row r="792">
      <c r="B792" s="37"/>
      <c r="C792" s="37"/>
      <c r="D792" s="37"/>
      <c r="E792" s="37"/>
      <c r="F792" s="37"/>
      <c r="G792" s="89"/>
      <c r="K792" s="37"/>
      <c r="O792" s="37"/>
      <c r="P792" s="37"/>
      <c r="Q792" s="37"/>
      <c r="R792" s="37"/>
    </row>
    <row r="793">
      <c r="B793" s="37"/>
      <c r="C793" s="37"/>
      <c r="D793" s="37"/>
      <c r="E793" s="37"/>
      <c r="F793" s="37"/>
      <c r="G793" s="89"/>
      <c r="K793" s="37"/>
      <c r="O793" s="37"/>
      <c r="P793" s="37"/>
      <c r="Q793" s="37"/>
      <c r="R793" s="37"/>
    </row>
    <row r="794">
      <c r="B794" s="37"/>
      <c r="C794" s="37"/>
      <c r="D794" s="37"/>
      <c r="E794" s="37"/>
      <c r="F794" s="37"/>
      <c r="G794" s="89"/>
      <c r="K794" s="37"/>
      <c r="O794" s="37"/>
      <c r="P794" s="37"/>
      <c r="Q794" s="37"/>
      <c r="R794" s="37"/>
    </row>
    <row r="795">
      <c r="B795" s="37"/>
      <c r="C795" s="37"/>
      <c r="D795" s="37"/>
      <c r="E795" s="37"/>
      <c r="F795" s="37"/>
      <c r="G795" s="89"/>
      <c r="K795" s="37"/>
      <c r="O795" s="37"/>
      <c r="P795" s="37"/>
      <c r="Q795" s="37"/>
      <c r="R795" s="37"/>
    </row>
    <row r="796">
      <c r="B796" s="37"/>
      <c r="C796" s="37"/>
      <c r="D796" s="37"/>
      <c r="E796" s="37"/>
      <c r="F796" s="37"/>
      <c r="G796" s="89"/>
      <c r="K796" s="37"/>
      <c r="O796" s="37"/>
      <c r="P796" s="37"/>
      <c r="Q796" s="37"/>
      <c r="R796" s="37"/>
    </row>
    <row r="797">
      <c r="B797" s="37"/>
      <c r="C797" s="37"/>
      <c r="D797" s="37"/>
      <c r="E797" s="37"/>
      <c r="F797" s="37"/>
      <c r="G797" s="89"/>
      <c r="K797" s="37"/>
      <c r="O797" s="37"/>
      <c r="P797" s="37"/>
      <c r="Q797" s="37"/>
      <c r="R797" s="37"/>
    </row>
    <row r="798">
      <c r="B798" s="37"/>
      <c r="C798" s="37"/>
      <c r="D798" s="37"/>
      <c r="E798" s="37"/>
      <c r="F798" s="37"/>
      <c r="G798" s="89"/>
      <c r="K798" s="37"/>
      <c r="O798" s="37"/>
      <c r="P798" s="37"/>
      <c r="Q798" s="37"/>
      <c r="R798" s="37"/>
    </row>
    <row r="799">
      <c r="B799" s="37"/>
      <c r="C799" s="37"/>
      <c r="D799" s="37"/>
      <c r="E799" s="37"/>
      <c r="F799" s="37"/>
      <c r="G799" s="89"/>
      <c r="K799" s="37"/>
      <c r="O799" s="37"/>
      <c r="P799" s="37"/>
      <c r="Q799" s="37"/>
      <c r="R799" s="37"/>
    </row>
    <row r="800">
      <c r="B800" s="37"/>
      <c r="C800" s="37"/>
      <c r="D800" s="37"/>
      <c r="E800" s="37"/>
      <c r="F800" s="37"/>
      <c r="G800" s="89"/>
      <c r="K800" s="37"/>
      <c r="O800" s="37"/>
      <c r="P800" s="37"/>
      <c r="Q800" s="37"/>
      <c r="R800" s="37"/>
    </row>
    <row r="801">
      <c r="B801" s="37"/>
      <c r="C801" s="37"/>
      <c r="D801" s="37"/>
      <c r="E801" s="37"/>
      <c r="F801" s="37"/>
      <c r="G801" s="89"/>
      <c r="K801" s="37"/>
      <c r="O801" s="37"/>
      <c r="P801" s="37"/>
      <c r="Q801" s="37"/>
      <c r="R801" s="37"/>
    </row>
    <row r="802">
      <c r="B802" s="37"/>
      <c r="C802" s="37"/>
      <c r="D802" s="37"/>
      <c r="E802" s="37"/>
      <c r="F802" s="37"/>
      <c r="G802" s="89"/>
      <c r="K802" s="37"/>
      <c r="O802" s="37"/>
      <c r="P802" s="37"/>
      <c r="Q802" s="37"/>
      <c r="R802" s="37"/>
    </row>
    <row r="803">
      <c r="B803" s="37"/>
      <c r="C803" s="37"/>
      <c r="D803" s="37"/>
      <c r="E803" s="37"/>
      <c r="F803" s="37"/>
      <c r="G803" s="89"/>
      <c r="K803" s="37"/>
      <c r="O803" s="37"/>
      <c r="P803" s="37"/>
      <c r="Q803" s="37"/>
      <c r="R803" s="37"/>
    </row>
    <row r="804">
      <c r="B804" s="37"/>
      <c r="C804" s="37"/>
      <c r="D804" s="37"/>
      <c r="E804" s="37"/>
      <c r="F804" s="37"/>
      <c r="G804" s="89"/>
      <c r="K804" s="37"/>
      <c r="O804" s="37"/>
      <c r="P804" s="37"/>
      <c r="Q804" s="37"/>
      <c r="R804" s="37"/>
    </row>
    <row r="805">
      <c r="B805" s="37"/>
      <c r="C805" s="37"/>
      <c r="D805" s="37"/>
      <c r="E805" s="37"/>
      <c r="F805" s="37"/>
      <c r="G805" s="89"/>
      <c r="K805" s="37"/>
      <c r="O805" s="37"/>
      <c r="P805" s="37"/>
      <c r="Q805" s="37"/>
      <c r="R805" s="37"/>
    </row>
    <row r="806">
      <c r="B806" s="37"/>
      <c r="C806" s="37"/>
      <c r="D806" s="37"/>
      <c r="E806" s="37"/>
      <c r="F806" s="37"/>
      <c r="G806" s="89"/>
      <c r="K806" s="37"/>
      <c r="O806" s="37"/>
      <c r="P806" s="37"/>
      <c r="Q806" s="37"/>
      <c r="R806" s="37"/>
    </row>
    <row r="807">
      <c r="B807" s="37"/>
      <c r="C807" s="37"/>
      <c r="D807" s="37"/>
      <c r="E807" s="37"/>
      <c r="F807" s="37"/>
      <c r="G807" s="89"/>
      <c r="K807" s="37"/>
      <c r="O807" s="37"/>
      <c r="P807" s="37"/>
      <c r="Q807" s="37"/>
      <c r="R807" s="37"/>
    </row>
    <row r="808">
      <c r="B808" s="37"/>
      <c r="C808" s="37"/>
      <c r="D808" s="37"/>
      <c r="E808" s="37"/>
      <c r="F808" s="37"/>
      <c r="G808" s="89"/>
      <c r="K808" s="37"/>
      <c r="O808" s="37"/>
      <c r="P808" s="37"/>
      <c r="Q808" s="37"/>
      <c r="R808" s="37"/>
    </row>
    <row r="809">
      <c r="B809" s="37"/>
      <c r="C809" s="37"/>
      <c r="D809" s="37"/>
      <c r="E809" s="37"/>
      <c r="F809" s="37"/>
      <c r="G809" s="89"/>
      <c r="K809" s="37"/>
      <c r="O809" s="37"/>
      <c r="P809" s="37"/>
      <c r="Q809" s="37"/>
      <c r="R809" s="37"/>
    </row>
    <row r="810">
      <c r="B810" s="37"/>
      <c r="C810" s="37"/>
      <c r="D810" s="37"/>
      <c r="E810" s="37"/>
      <c r="F810" s="37"/>
      <c r="G810" s="89"/>
      <c r="K810" s="37"/>
      <c r="O810" s="37"/>
      <c r="P810" s="37"/>
      <c r="Q810" s="37"/>
      <c r="R810" s="37"/>
    </row>
    <row r="811">
      <c r="B811" s="37"/>
      <c r="C811" s="37"/>
      <c r="D811" s="37"/>
      <c r="E811" s="37"/>
      <c r="F811" s="37"/>
      <c r="G811" s="89"/>
      <c r="K811" s="37"/>
      <c r="O811" s="37"/>
      <c r="P811" s="37"/>
      <c r="Q811" s="37"/>
      <c r="R811" s="37"/>
    </row>
    <row r="812">
      <c r="B812" s="37"/>
      <c r="C812" s="37"/>
      <c r="D812" s="37"/>
      <c r="E812" s="37"/>
      <c r="F812" s="37"/>
      <c r="G812" s="89"/>
      <c r="K812" s="37"/>
      <c r="O812" s="37"/>
      <c r="P812" s="37"/>
      <c r="Q812" s="37"/>
      <c r="R812" s="37"/>
    </row>
    <row r="813">
      <c r="B813" s="37"/>
      <c r="C813" s="37"/>
      <c r="D813" s="37"/>
      <c r="E813" s="37"/>
      <c r="F813" s="37"/>
      <c r="G813" s="89"/>
      <c r="K813" s="37"/>
      <c r="O813" s="37"/>
      <c r="P813" s="37"/>
      <c r="Q813" s="37"/>
      <c r="R813" s="37"/>
    </row>
    <row r="814">
      <c r="B814" s="37"/>
      <c r="C814" s="37"/>
      <c r="D814" s="37"/>
      <c r="E814" s="37"/>
      <c r="F814" s="37"/>
      <c r="G814" s="89"/>
      <c r="K814" s="37"/>
      <c r="O814" s="37"/>
      <c r="P814" s="37"/>
      <c r="Q814" s="37"/>
      <c r="R814" s="37"/>
    </row>
    <row r="815">
      <c r="B815" s="37"/>
      <c r="C815" s="37"/>
      <c r="D815" s="37"/>
      <c r="E815" s="37"/>
      <c r="F815" s="37"/>
      <c r="G815" s="89"/>
      <c r="K815" s="37"/>
      <c r="O815" s="37"/>
      <c r="P815" s="37"/>
      <c r="Q815" s="37"/>
      <c r="R815" s="37"/>
    </row>
    <row r="816">
      <c r="B816" s="37"/>
      <c r="C816" s="37"/>
      <c r="D816" s="37"/>
      <c r="E816" s="37"/>
      <c r="F816" s="37"/>
      <c r="G816" s="89"/>
      <c r="K816" s="37"/>
      <c r="O816" s="37"/>
      <c r="P816" s="37"/>
      <c r="Q816" s="37"/>
      <c r="R816" s="37"/>
    </row>
    <row r="817">
      <c r="B817" s="37"/>
      <c r="C817" s="37"/>
      <c r="D817" s="37"/>
      <c r="E817" s="37"/>
      <c r="F817" s="37"/>
      <c r="G817" s="89"/>
      <c r="K817" s="37"/>
      <c r="O817" s="37"/>
      <c r="P817" s="37"/>
      <c r="Q817" s="37"/>
      <c r="R817" s="37"/>
    </row>
    <row r="818">
      <c r="B818" s="37"/>
      <c r="C818" s="37"/>
      <c r="D818" s="37"/>
      <c r="E818" s="37"/>
      <c r="F818" s="37"/>
      <c r="G818" s="89"/>
      <c r="K818" s="37"/>
      <c r="O818" s="37"/>
      <c r="P818" s="37"/>
      <c r="Q818" s="37"/>
      <c r="R818" s="37"/>
    </row>
    <row r="819">
      <c r="B819" s="37"/>
      <c r="C819" s="37"/>
      <c r="D819" s="37"/>
      <c r="E819" s="37"/>
      <c r="F819" s="37"/>
      <c r="G819" s="89"/>
      <c r="K819" s="37"/>
      <c r="O819" s="37"/>
      <c r="P819" s="37"/>
      <c r="Q819" s="37"/>
      <c r="R819" s="37"/>
    </row>
    <row r="820">
      <c r="B820" s="37"/>
      <c r="C820" s="37"/>
      <c r="D820" s="37"/>
      <c r="E820" s="37"/>
      <c r="F820" s="37"/>
      <c r="G820" s="89"/>
      <c r="K820" s="37"/>
      <c r="O820" s="37"/>
      <c r="P820" s="37"/>
      <c r="Q820" s="37"/>
      <c r="R820" s="37"/>
    </row>
    <row r="821">
      <c r="B821" s="37"/>
      <c r="C821" s="37"/>
      <c r="D821" s="37"/>
      <c r="E821" s="37"/>
      <c r="F821" s="37"/>
      <c r="G821" s="89"/>
      <c r="K821" s="37"/>
      <c r="O821" s="37"/>
      <c r="P821" s="37"/>
      <c r="Q821" s="37"/>
      <c r="R821" s="37"/>
    </row>
    <row r="822">
      <c r="B822" s="37"/>
      <c r="C822" s="37"/>
      <c r="D822" s="37"/>
      <c r="E822" s="37"/>
      <c r="F822" s="37"/>
      <c r="G822" s="89"/>
      <c r="K822" s="37"/>
      <c r="O822" s="37"/>
      <c r="P822" s="37"/>
      <c r="Q822" s="37"/>
      <c r="R822" s="37"/>
    </row>
    <row r="823">
      <c r="B823" s="37"/>
      <c r="C823" s="37"/>
      <c r="D823" s="37"/>
      <c r="E823" s="37"/>
      <c r="F823" s="37"/>
      <c r="G823" s="89"/>
      <c r="K823" s="37"/>
      <c r="O823" s="37"/>
      <c r="P823" s="37"/>
      <c r="Q823" s="37"/>
      <c r="R823" s="37"/>
    </row>
    <row r="824">
      <c r="B824" s="37"/>
      <c r="C824" s="37"/>
      <c r="D824" s="37"/>
      <c r="E824" s="37"/>
      <c r="F824" s="37"/>
      <c r="G824" s="89"/>
      <c r="K824" s="37"/>
      <c r="O824" s="37"/>
      <c r="P824" s="37"/>
      <c r="Q824" s="37"/>
      <c r="R824" s="37"/>
    </row>
    <row r="825">
      <c r="B825" s="37"/>
      <c r="C825" s="37"/>
      <c r="D825" s="37"/>
      <c r="E825" s="37"/>
      <c r="F825" s="37"/>
      <c r="G825" s="89"/>
      <c r="K825" s="37"/>
      <c r="O825" s="37"/>
      <c r="P825" s="37"/>
      <c r="Q825" s="37"/>
      <c r="R825" s="37"/>
    </row>
    <row r="826">
      <c r="B826" s="37"/>
      <c r="C826" s="37"/>
      <c r="D826" s="37"/>
      <c r="E826" s="37"/>
      <c r="F826" s="37"/>
      <c r="G826" s="89"/>
      <c r="K826" s="37"/>
      <c r="O826" s="37"/>
      <c r="P826" s="37"/>
      <c r="Q826" s="37"/>
      <c r="R826" s="37"/>
    </row>
    <row r="827">
      <c r="B827" s="37"/>
      <c r="C827" s="37"/>
      <c r="D827" s="37"/>
      <c r="E827" s="37"/>
      <c r="F827" s="37"/>
      <c r="G827" s="89"/>
      <c r="K827" s="37"/>
      <c r="O827" s="37"/>
      <c r="P827" s="37"/>
      <c r="Q827" s="37"/>
      <c r="R827" s="37"/>
    </row>
    <row r="828">
      <c r="B828" s="37"/>
      <c r="C828" s="37"/>
      <c r="D828" s="37"/>
      <c r="E828" s="37"/>
      <c r="F828" s="37"/>
      <c r="G828" s="89"/>
      <c r="K828" s="37"/>
      <c r="O828" s="37"/>
      <c r="P828" s="37"/>
      <c r="Q828" s="37"/>
      <c r="R828" s="37"/>
    </row>
    <row r="829">
      <c r="B829" s="37"/>
      <c r="C829" s="37"/>
      <c r="D829" s="37"/>
      <c r="E829" s="37"/>
      <c r="F829" s="37"/>
      <c r="G829" s="89"/>
      <c r="K829" s="37"/>
      <c r="O829" s="37"/>
      <c r="P829" s="37"/>
      <c r="Q829" s="37"/>
      <c r="R829" s="37"/>
    </row>
    <row r="830">
      <c r="B830" s="37"/>
      <c r="C830" s="37"/>
      <c r="D830" s="37"/>
      <c r="E830" s="37"/>
      <c r="F830" s="37"/>
      <c r="G830" s="89"/>
      <c r="K830" s="37"/>
      <c r="O830" s="37"/>
      <c r="P830" s="37"/>
      <c r="Q830" s="37"/>
      <c r="R830" s="37"/>
    </row>
    <row r="831">
      <c r="B831" s="37"/>
      <c r="C831" s="37"/>
      <c r="D831" s="37"/>
      <c r="E831" s="37"/>
      <c r="F831" s="37"/>
      <c r="G831" s="89"/>
      <c r="K831" s="37"/>
      <c r="O831" s="37"/>
      <c r="P831" s="37"/>
      <c r="Q831" s="37"/>
      <c r="R831" s="37"/>
    </row>
    <row r="832">
      <c r="B832" s="37"/>
      <c r="C832" s="37"/>
      <c r="D832" s="37"/>
      <c r="E832" s="37"/>
      <c r="F832" s="37"/>
      <c r="G832" s="89"/>
      <c r="K832" s="37"/>
      <c r="O832" s="37"/>
      <c r="P832" s="37"/>
      <c r="Q832" s="37"/>
      <c r="R832" s="37"/>
    </row>
    <row r="833">
      <c r="B833" s="37"/>
      <c r="C833" s="37"/>
      <c r="D833" s="37"/>
      <c r="E833" s="37"/>
      <c r="F833" s="37"/>
      <c r="G833" s="89"/>
      <c r="K833" s="37"/>
      <c r="O833" s="37"/>
      <c r="P833" s="37"/>
      <c r="Q833" s="37"/>
      <c r="R833" s="37"/>
    </row>
    <row r="834">
      <c r="B834" s="37"/>
      <c r="C834" s="37"/>
      <c r="D834" s="37"/>
      <c r="E834" s="37"/>
      <c r="F834" s="37"/>
      <c r="G834" s="89"/>
      <c r="K834" s="37"/>
      <c r="O834" s="37"/>
      <c r="P834" s="37"/>
      <c r="Q834" s="37"/>
      <c r="R834" s="37"/>
    </row>
    <row r="835">
      <c r="B835" s="37"/>
      <c r="C835" s="37"/>
      <c r="D835" s="37"/>
      <c r="E835" s="37"/>
      <c r="F835" s="37"/>
      <c r="G835" s="89"/>
      <c r="K835" s="37"/>
      <c r="O835" s="37"/>
      <c r="P835" s="37"/>
      <c r="Q835" s="37"/>
      <c r="R835" s="37"/>
    </row>
    <row r="836">
      <c r="B836" s="37"/>
      <c r="C836" s="37"/>
      <c r="D836" s="37"/>
      <c r="E836" s="37"/>
      <c r="F836" s="37"/>
      <c r="G836" s="89"/>
      <c r="K836" s="37"/>
      <c r="O836" s="37"/>
      <c r="P836" s="37"/>
      <c r="Q836" s="37"/>
      <c r="R836" s="37"/>
    </row>
    <row r="837">
      <c r="B837" s="37"/>
      <c r="C837" s="37"/>
      <c r="D837" s="37"/>
      <c r="E837" s="37"/>
      <c r="F837" s="37"/>
      <c r="G837" s="89"/>
      <c r="K837" s="37"/>
      <c r="O837" s="37"/>
      <c r="P837" s="37"/>
      <c r="Q837" s="37"/>
      <c r="R837" s="37"/>
    </row>
    <row r="838">
      <c r="B838" s="37"/>
      <c r="C838" s="37"/>
      <c r="D838" s="37"/>
      <c r="E838" s="37"/>
      <c r="F838" s="37"/>
      <c r="G838" s="89"/>
      <c r="K838" s="37"/>
      <c r="O838" s="37"/>
      <c r="P838" s="37"/>
      <c r="Q838" s="37"/>
      <c r="R838" s="37"/>
    </row>
    <row r="839">
      <c r="B839" s="37"/>
      <c r="C839" s="37"/>
      <c r="D839" s="37"/>
      <c r="E839" s="37"/>
      <c r="F839" s="37"/>
      <c r="G839" s="89"/>
      <c r="K839" s="37"/>
      <c r="O839" s="37"/>
      <c r="P839" s="37"/>
      <c r="Q839" s="37"/>
      <c r="R839" s="37"/>
    </row>
    <row r="840">
      <c r="B840" s="37"/>
      <c r="C840" s="37"/>
      <c r="D840" s="37"/>
      <c r="E840" s="37"/>
      <c r="F840" s="37"/>
      <c r="G840" s="89"/>
      <c r="K840" s="37"/>
      <c r="O840" s="37"/>
      <c r="P840" s="37"/>
      <c r="Q840" s="37"/>
      <c r="R840" s="37"/>
    </row>
    <row r="841">
      <c r="B841" s="37"/>
      <c r="C841" s="37"/>
      <c r="D841" s="37"/>
      <c r="E841" s="37"/>
      <c r="F841" s="37"/>
      <c r="G841" s="89"/>
      <c r="K841" s="37"/>
      <c r="O841" s="37"/>
      <c r="P841" s="37"/>
      <c r="Q841" s="37"/>
      <c r="R841" s="37"/>
    </row>
    <row r="842">
      <c r="B842" s="37"/>
      <c r="C842" s="37"/>
      <c r="D842" s="37"/>
      <c r="E842" s="37"/>
      <c r="F842" s="37"/>
      <c r="G842" s="89"/>
      <c r="K842" s="37"/>
      <c r="O842" s="37"/>
      <c r="P842" s="37"/>
      <c r="Q842" s="37"/>
      <c r="R842" s="37"/>
    </row>
    <row r="843">
      <c r="B843" s="37"/>
      <c r="C843" s="37"/>
      <c r="D843" s="37"/>
      <c r="E843" s="37"/>
      <c r="F843" s="37"/>
      <c r="G843" s="89"/>
      <c r="K843" s="37"/>
      <c r="O843" s="37"/>
      <c r="P843" s="37"/>
      <c r="Q843" s="37"/>
      <c r="R843" s="37"/>
    </row>
    <row r="844">
      <c r="B844" s="37"/>
      <c r="C844" s="37"/>
      <c r="D844" s="37"/>
      <c r="E844" s="37"/>
      <c r="F844" s="37"/>
      <c r="G844" s="89"/>
      <c r="K844" s="37"/>
      <c r="O844" s="37"/>
      <c r="P844" s="37"/>
      <c r="Q844" s="37"/>
      <c r="R844" s="37"/>
    </row>
    <row r="845">
      <c r="B845" s="37"/>
      <c r="C845" s="37"/>
      <c r="D845" s="37"/>
      <c r="E845" s="37"/>
      <c r="F845" s="37"/>
      <c r="G845" s="89"/>
      <c r="K845" s="37"/>
      <c r="O845" s="37"/>
      <c r="P845" s="37"/>
      <c r="Q845" s="37"/>
      <c r="R845" s="37"/>
    </row>
    <row r="846">
      <c r="B846" s="37"/>
      <c r="C846" s="37"/>
      <c r="D846" s="37"/>
      <c r="E846" s="37"/>
      <c r="F846" s="37"/>
      <c r="G846" s="89"/>
      <c r="K846" s="37"/>
      <c r="O846" s="37"/>
      <c r="P846" s="37"/>
      <c r="Q846" s="37"/>
      <c r="R846" s="37"/>
    </row>
    <row r="847">
      <c r="B847" s="37"/>
      <c r="C847" s="37"/>
      <c r="D847" s="37"/>
      <c r="E847" s="37"/>
      <c r="F847" s="37"/>
      <c r="G847" s="89"/>
      <c r="K847" s="37"/>
      <c r="O847" s="37"/>
      <c r="P847" s="37"/>
      <c r="Q847" s="37"/>
      <c r="R847" s="37"/>
    </row>
    <row r="848">
      <c r="B848" s="37"/>
      <c r="C848" s="37"/>
      <c r="D848" s="37"/>
      <c r="E848" s="37"/>
      <c r="F848" s="37"/>
      <c r="G848" s="89"/>
      <c r="K848" s="37"/>
      <c r="O848" s="37"/>
      <c r="P848" s="37"/>
      <c r="Q848" s="37"/>
      <c r="R848" s="37"/>
    </row>
    <row r="849">
      <c r="B849" s="37"/>
      <c r="C849" s="37"/>
      <c r="D849" s="37"/>
      <c r="E849" s="37"/>
      <c r="F849" s="37"/>
      <c r="G849" s="89"/>
      <c r="K849" s="37"/>
      <c r="O849" s="37"/>
      <c r="P849" s="37"/>
      <c r="Q849" s="37"/>
      <c r="R849" s="37"/>
    </row>
    <row r="850">
      <c r="B850" s="37"/>
      <c r="C850" s="37"/>
      <c r="D850" s="37"/>
      <c r="E850" s="37"/>
      <c r="F850" s="37"/>
      <c r="G850" s="89"/>
      <c r="K850" s="37"/>
      <c r="O850" s="37"/>
      <c r="P850" s="37"/>
      <c r="Q850" s="37"/>
      <c r="R850" s="37"/>
    </row>
    <row r="851">
      <c r="B851" s="37"/>
      <c r="C851" s="37"/>
      <c r="D851" s="37"/>
      <c r="E851" s="37"/>
      <c r="F851" s="37"/>
      <c r="G851" s="89"/>
      <c r="K851" s="37"/>
      <c r="O851" s="37"/>
      <c r="P851" s="37"/>
      <c r="Q851" s="37"/>
      <c r="R851" s="37"/>
    </row>
    <row r="852">
      <c r="B852" s="37"/>
      <c r="C852" s="37"/>
      <c r="D852" s="37"/>
      <c r="E852" s="37"/>
      <c r="F852" s="37"/>
      <c r="G852" s="89"/>
      <c r="K852" s="37"/>
      <c r="O852" s="37"/>
      <c r="P852" s="37"/>
      <c r="Q852" s="37"/>
      <c r="R852" s="37"/>
    </row>
    <row r="853">
      <c r="B853" s="37"/>
      <c r="C853" s="37"/>
      <c r="D853" s="37"/>
      <c r="E853" s="37"/>
      <c r="F853" s="37"/>
      <c r="G853" s="89"/>
      <c r="K853" s="37"/>
      <c r="O853" s="37"/>
      <c r="P853" s="37"/>
      <c r="Q853" s="37"/>
      <c r="R853" s="37"/>
    </row>
    <row r="854">
      <c r="B854" s="37"/>
      <c r="C854" s="37"/>
      <c r="D854" s="37"/>
      <c r="E854" s="37"/>
      <c r="F854" s="37"/>
      <c r="G854" s="89"/>
      <c r="K854" s="37"/>
      <c r="O854" s="37"/>
      <c r="P854" s="37"/>
      <c r="Q854" s="37"/>
      <c r="R854" s="37"/>
    </row>
    <row r="855">
      <c r="B855" s="37"/>
      <c r="C855" s="37"/>
      <c r="D855" s="37"/>
      <c r="E855" s="37"/>
      <c r="F855" s="37"/>
      <c r="G855" s="89"/>
      <c r="K855" s="37"/>
      <c r="O855" s="37"/>
      <c r="P855" s="37"/>
      <c r="Q855" s="37"/>
      <c r="R855" s="37"/>
    </row>
    <row r="856">
      <c r="B856" s="37"/>
      <c r="C856" s="37"/>
      <c r="D856" s="37"/>
      <c r="E856" s="37"/>
      <c r="F856" s="37"/>
      <c r="G856" s="89"/>
      <c r="K856" s="37"/>
      <c r="O856" s="37"/>
      <c r="P856" s="37"/>
      <c r="Q856" s="37"/>
      <c r="R856" s="37"/>
    </row>
    <row r="857">
      <c r="B857" s="37"/>
      <c r="C857" s="37"/>
      <c r="D857" s="37"/>
      <c r="E857" s="37"/>
      <c r="F857" s="37"/>
      <c r="G857" s="89"/>
      <c r="K857" s="37"/>
      <c r="O857" s="37"/>
      <c r="P857" s="37"/>
      <c r="Q857" s="37"/>
      <c r="R857" s="37"/>
    </row>
    <row r="858">
      <c r="B858" s="37"/>
      <c r="C858" s="37"/>
      <c r="D858" s="37"/>
      <c r="E858" s="37"/>
      <c r="F858" s="37"/>
      <c r="G858" s="89"/>
      <c r="K858" s="37"/>
      <c r="O858" s="37"/>
      <c r="P858" s="37"/>
      <c r="Q858" s="37"/>
      <c r="R858" s="37"/>
    </row>
    <row r="859">
      <c r="B859" s="37"/>
      <c r="C859" s="37"/>
      <c r="D859" s="37"/>
      <c r="E859" s="37"/>
      <c r="F859" s="37"/>
      <c r="G859" s="89"/>
      <c r="K859" s="37"/>
      <c r="O859" s="37"/>
      <c r="P859" s="37"/>
      <c r="Q859" s="37"/>
      <c r="R859" s="37"/>
    </row>
    <row r="860">
      <c r="B860" s="37"/>
      <c r="C860" s="37"/>
      <c r="D860" s="37"/>
      <c r="E860" s="37"/>
      <c r="F860" s="37"/>
      <c r="G860" s="89"/>
      <c r="K860" s="37"/>
      <c r="O860" s="37"/>
      <c r="P860" s="37"/>
      <c r="Q860" s="37"/>
      <c r="R860" s="37"/>
    </row>
    <row r="861">
      <c r="B861" s="37"/>
      <c r="C861" s="37"/>
      <c r="D861" s="37"/>
      <c r="E861" s="37"/>
      <c r="F861" s="37"/>
      <c r="G861" s="89"/>
      <c r="K861" s="37"/>
      <c r="O861" s="37"/>
      <c r="P861" s="37"/>
      <c r="Q861" s="37"/>
      <c r="R861" s="37"/>
    </row>
    <row r="862">
      <c r="B862" s="37"/>
      <c r="C862" s="37"/>
      <c r="D862" s="37"/>
      <c r="E862" s="37"/>
      <c r="F862" s="37"/>
      <c r="G862" s="89"/>
      <c r="K862" s="37"/>
      <c r="O862" s="37"/>
      <c r="P862" s="37"/>
      <c r="Q862" s="37"/>
      <c r="R862" s="37"/>
    </row>
    <row r="863">
      <c r="B863" s="37"/>
      <c r="C863" s="37"/>
      <c r="D863" s="37"/>
      <c r="E863" s="37"/>
      <c r="F863" s="37"/>
      <c r="G863" s="89"/>
      <c r="K863" s="37"/>
      <c r="O863" s="37"/>
      <c r="P863" s="37"/>
      <c r="Q863" s="37"/>
      <c r="R863" s="37"/>
    </row>
    <row r="864">
      <c r="B864" s="37"/>
      <c r="C864" s="37"/>
      <c r="D864" s="37"/>
      <c r="E864" s="37"/>
      <c r="F864" s="37"/>
      <c r="G864" s="89"/>
      <c r="K864" s="37"/>
      <c r="O864" s="37"/>
      <c r="P864" s="37"/>
      <c r="Q864" s="37"/>
      <c r="R864" s="37"/>
    </row>
    <row r="865">
      <c r="B865" s="37"/>
      <c r="C865" s="37"/>
      <c r="D865" s="37"/>
      <c r="E865" s="37"/>
      <c r="F865" s="37"/>
      <c r="G865" s="89"/>
      <c r="K865" s="37"/>
      <c r="O865" s="37"/>
      <c r="P865" s="37"/>
      <c r="Q865" s="37"/>
      <c r="R865" s="37"/>
    </row>
    <row r="866">
      <c r="B866" s="37"/>
      <c r="C866" s="37"/>
      <c r="D866" s="37"/>
      <c r="E866" s="37"/>
      <c r="F866" s="37"/>
      <c r="G866" s="89"/>
      <c r="K866" s="37"/>
      <c r="O866" s="37"/>
      <c r="P866" s="37"/>
      <c r="Q866" s="37"/>
      <c r="R866" s="37"/>
    </row>
    <row r="867">
      <c r="B867" s="37"/>
      <c r="C867" s="37"/>
      <c r="D867" s="37"/>
      <c r="E867" s="37"/>
      <c r="F867" s="37"/>
      <c r="G867" s="89"/>
      <c r="K867" s="37"/>
      <c r="O867" s="37"/>
      <c r="P867" s="37"/>
      <c r="Q867" s="37"/>
      <c r="R867" s="37"/>
    </row>
    <row r="868">
      <c r="B868" s="37"/>
      <c r="C868" s="37"/>
      <c r="D868" s="37"/>
      <c r="E868" s="37"/>
      <c r="F868" s="37"/>
      <c r="G868" s="89"/>
      <c r="K868" s="37"/>
      <c r="O868" s="37"/>
      <c r="P868" s="37"/>
      <c r="Q868" s="37"/>
      <c r="R868" s="37"/>
    </row>
    <row r="869">
      <c r="B869" s="37"/>
      <c r="C869" s="37"/>
      <c r="D869" s="37"/>
      <c r="E869" s="37"/>
      <c r="F869" s="37"/>
      <c r="G869" s="89"/>
      <c r="K869" s="37"/>
      <c r="O869" s="37"/>
      <c r="P869" s="37"/>
      <c r="Q869" s="37"/>
      <c r="R869" s="37"/>
    </row>
    <row r="870">
      <c r="B870" s="37"/>
      <c r="C870" s="37"/>
      <c r="D870" s="37"/>
      <c r="E870" s="37"/>
      <c r="F870" s="37"/>
      <c r="G870" s="89"/>
      <c r="K870" s="37"/>
      <c r="O870" s="37"/>
      <c r="P870" s="37"/>
      <c r="Q870" s="37"/>
      <c r="R870" s="37"/>
    </row>
    <row r="871">
      <c r="B871" s="37"/>
      <c r="C871" s="37"/>
      <c r="D871" s="37"/>
      <c r="E871" s="37"/>
      <c r="F871" s="37"/>
      <c r="G871" s="89"/>
      <c r="K871" s="37"/>
      <c r="O871" s="37"/>
      <c r="P871" s="37"/>
      <c r="Q871" s="37"/>
      <c r="R871" s="37"/>
    </row>
    <row r="872">
      <c r="B872" s="37"/>
      <c r="C872" s="37"/>
      <c r="D872" s="37"/>
      <c r="E872" s="37"/>
      <c r="F872" s="37"/>
      <c r="G872" s="89"/>
      <c r="K872" s="37"/>
      <c r="O872" s="37"/>
      <c r="P872" s="37"/>
      <c r="Q872" s="37"/>
      <c r="R872" s="37"/>
    </row>
    <row r="873">
      <c r="B873" s="37"/>
      <c r="C873" s="37"/>
      <c r="D873" s="37"/>
      <c r="E873" s="37"/>
      <c r="F873" s="37"/>
      <c r="G873" s="89"/>
      <c r="K873" s="37"/>
      <c r="O873" s="37"/>
      <c r="P873" s="37"/>
      <c r="Q873" s="37"/>
      <c r="R873" s="37"/>
    </row>
    <row r="874">
      <c r="B874" s="37"/>
      <c r="C874" s="37"/>
      <c r="D874" s="37"/>
      <c r="E874" s="37"/>
      <c r="F874" s="37"/>
      <c r="G874" s="89"/>
      <c r="K874" s="37"/>
      <c r="O874" s="37"/>
      <c r="P874" s="37"/>
      <c r="Q874" s="37"/>
      <c r="R874" s="37"/>
    </row>
    <row r="875">
      <c r="B875" s="37"/>
      <c r="C875" s="37"/>
      <c r="D875" s="37"/>
      <c r="E875" s="37"/>
      <c r="F875" s="37"/>
      <c r="G875" s="89"/>
      <c r="K875" s="37"/>
      <c r="O875" s="37"/>
      <c r="P875" s="37"/>
      <c r="Q875" s="37"/>
      <c r="R875" s="37"/>
    </row>
    <row r="876">
      <c r="B876" s="37"/>
      <c r="C876" s="37"/>
      <c r="D876" s="37"/>
      <c r="E876" s="37"/>
      <c r="F876" s="37"/>
      <c r="G876" s="89"/>
      <c r="K876" s="37"/>
      <c r="O876" s="37"/>
      <c r="P876" s="37"/>
      <c r="Q876" s="37"/>
      <c r="R876" s="37"/>
    </row>
    <row r="877">
      <c r="B877" s="37"/>
      <c r="C877" s="37"/>
      <c r="D877" s="37"/>
      <c r="E877" s="37"/>
      <c r="F877" s="37"/>
      <c r="G877" s="89"/>
      <c r="K877" s="37"/>
      <c r="O877" s="37"/>
      <c r="P877" s="37"/>
      <c r="Q877" s="37"/>
      <c r="R877" s="37"/>
    </row>
    <row r="878">
      <c r="B878" s="37"/>
      <c r="C878" s="37"/>
      <c r="D878" s="37"/>
      <c r="E878" s="37"/>
      <c r="F878" s="37"/>
      <c r="G878" s="89"/>
      <c r="K878" s="37"/>
      <c r="O878" s="37"/>
      <c r="P878" s="37"/>
      <c r="Q878" s="37"/>
      <c r="R878" s="37"/>
    </row>
    <row r="879">
      <c r="B879" s="37"/>
      <c r="C879" s="37"/>
      <c r="D879" s="37"/>
      <c r="E879" s="37"/>
      <c r="F879" s="37"/>
      <c r="G879" s="89"/>
      <c r="K879" s="37"/>
      <c r="O879" s="37"/>
      <c r="P879" s="37"/>
      <c r="Q879" s="37"/>
      <c r="R879" s="37"/>
    </row>
    <row r="880">
      <c r="B880" s="37"/>
      <c r="C880" s="37"/>
      <c r="D880" s="37"/>
      <c r="E880" s="37"/>
      <c r="F880" s="37"/>
      <c r="G880" s="89"/>
      <c r="K880" s="37"/>
      <c r="O880" s="37"/>
      <c r="P880" s="37"/>
      <c r="Q880" s="37"/>
      <c r="R880" s="37"/>
    </row>
    <row r="881">
      <c r="B881" s="37"/>
      <c r="C881" s="37"/>
      <c r="D881" s="37"/>
      <c r="E881" s="37"/>
      <c r="F881" s="37"/>
      <c r="G881" s="89"/>
      <c r="K881" s="37"/>
      <c r="O881" s="37"/>
      <c r="P881" s="37"/>
      <c r="Q881" s="37"/>
      <c r="R881" s="37"/>
    </row>
    <row r="882">
      <c r="B882" s="37"/>
      <c r="C882" s="37"/>
      <c r="D882" s="37"/>
      <c r="E882" s="37"/>
      <c r="F882" s="37"/>
      <c r="G882" s="89"/>
      <c r="K882" s="37"/>
      <c r="O882" s="37"/>
      <c r="P882" s="37"/>
      <c r="Q882" s="37"/>
      <c r="R882" s="37"/>
    </row>
    <row r="883">
      <c r="B883" s="37"/>
      <c r="C883" s="37"/>
      <c r="D883" s="37"/>
      <c r="E883" s="37"/>
      <c r="F883" s="37"/>
      <c r="G883" s="89"/>
      <c r="K883" s="37"/>
      <c r="O883" s="37"/>
      <c r="P883" s="37"/>
      <c r="Q883" s="37"/>
      <c r="R883" s="37"/>
    </row>
    <row r="884">
      <c r="B884" s="37"/>
      <c r="C884" s="37"/>
      <c r="D884" s="37"/>
      <c r="E884" s="37"/>
      <c r="F884" s="37"/>
      <c r="G884" s="89"/>
      <c r="K884" s="37"/>
      <c r="O884" s="37"/>
      <c r="P884" s="37"/>
      <c r="Q884" s="37"/>
      <c r="R884" s="37"/>
    </row>
    <row r="885">
      <c r="B885" s="37"/>
      <c r="C885" s="37"/>
      <c r="D885" s="37"/>
      <c r="E885" s="37"/>
      <c r="F885" s="37"/>
      <c r="G885" s="89"/>
      <c r="K885" s="37"/>
      <c r="O885" s="37"/>
      <c r="P885" s="37"/>
      <c r="Q885" s="37"/>
      <c r="R885" s="37"/>
    </row>
    <row r="886">
      <c r="B886" s="37"/>
      <c r="C886" s="37"/>
      <c r="D886" s="37"/>
      <c r="E886" s="37"/>
      <c r="F886" s="37"/>
      <c r="G886" s="89"/>
      <c r="K886" s="37"/>
      <c r="O886" s="37"/>
      <c r="P886" s="37"/>
      <c r="Q886" s="37"/>
      <c r="R886" s="37"/>
    </row>
    <row r="887">
      <c r="B887" s="37"/>
      <c r="C887" s="37"/>
      <c r="D887" s="37"/>
      <c r="E887" s="37"/>
      <c r="F887" s="37"/>
      <c r="G887" s="89"/>
      <c r="K887" s="37"/>
      <c r="O887" s="37"/>
      <c r="P887" s="37"/>
      <c r="Q887" s="37"/>
      <c r="R887" s="37"/>
    </row>
    <row r="888">
      <c r="B888" s="37"/>
      <c r="C888" s="37"/>
      <c r="D888" s="37"/>
      <c r="E888" s="37"/>
      <c r="F888" s="37"/>
      <c r="G888" s="89"/>
      <c r="K888" s="37"/>
      <c r="O888" s="37"/>
      <c r="P888" s="37"/>
      <c r="Q888" s="37"/>
      <c r="R888" s="37"/>
    </row>
    <row r="889">
      <c r="B889" s="37"/>
      <c r="C889" s="37"/>
      <c r="D889" s="37"/>
      <c r="E889" s="37"/>
      <c r="F889" s="37"/>
      <c r="G889" s="89"/>
      <c r="K889" s="37"/>
      <c r="O889" s="37"/>
      <c r="P889" s="37"/>
      <c r="Q889" s="37"/>
      <c r="R889" s="37"/>
    </row>
    <row r="890">
      <c r="B890" s="37"/>
      <c r="C890" s="37"/>
      <c r="D890" s="37"/>
      <c r="E890" s="37"/>
      <c r="F890" s="37"/>
      <c r="G890" s="89"/>
      <c r="K890" s="37"/>
      <c r="O890" s="37"/>
      <c r="P890" s="37"/>
      <c r="Q890" s="37"/>
      <c r="R890" s="37"/>
    </row>
    <row r="891">
      <c r="B891" s="37"/>
      <c r="C891" s="37"/>
      <c r="D891" s="37"/>
      <c r="E891" s="37"/>
      <c r="F891" s="37"/>
      <c r="G891" s="89"/>
      <c r="K891" s="37"/>
      <c r="O891" s="37"/>
      <c r="P891" s="37"/>
      <c r="Q891" s="37"/>
      <c r="R891" s="37"/>
    </row>
    <row r="892">
      <c r="B892" s="37"/>
      <c r="C892" s="37"/>
      <c r="D892" s="37"/>
      <c r="E892" s="37"/>
      <c r="F892" s="37"/>
      <c r="G892" s="89"/>
      <c r="K892" s="37"/>
      <c r="O892" s="37"/>
      <c r="P892" s="37"/>
      <c r="Q892" s="37"/>
      <c r="R892" s="37"/>
    </row>
    <row r="893">
      <c r="B893" s="37"/>
      <c r="C893" s="37"/>
      <c r="D893" s="37"/>
      <c r="E893" s="37"/>
      <c r="F893" s="37"/>
      <c r="G893" s="89"/>
      <c r="K893" s="37"/>
      <c r="O893" s="37"/>
      <c r="P893" s="37"/>
      <c r="Q893" s="37"/>
      <c r="R893" s="37"/>
    </row>
    <row r="894">
      <c r="B894" s="37"/>
      <c r="C894" s="37"/>
      <c r="D894" s="37"/>
      <c r="E894" s="37"/>
      <c r="F894" s="37"/>
      <c r="G894" s="89"/>
      <c r="K894" s="37"/>
      <c r="O894" s="37"/>
      <c r="P894" s="37"/>
      <c r="Q894" s="37"/>
      <c r="R894" s="37"/>
    </row>
    <row r="895">
      <c r="B895" s="37"/>
      <c r="C895" s="37"/>
      <c r="D895" s="37"/>
      <c r="E895" s="37"/>
      <c r="F895" s="37"/>
      <c r="G895" s="89"/>
      <c r="K895" s="37"/>
      <c r="O895" s="37"/>
      <c r="P895" s="37"/>
      <c r="Q895" s="37"/>
      <c r="R895" s="37"/>
    </row>
    <row r="896">
      <c r="B896" s="37"/>
      <c r="C896" s="37"/>
      <c r="D896" s="37"/>
      <c r="E896" s="37"/>
      <c r="F896" s="37"/>
      <c r="G896" s="89"/>
      <c r="K896" s="37"/>
      <c r="O896" s="37"/>
      <c r="P896" s="37"/>
      <c r="Q896" s="37"/>
      <c r="R896" s="37"/>
    </row>
    <row r="897">
      <c r="B897" s="37"/>
      <c r="C897" s="37"/>
      <c r="D897" s="37"/>
      <c r="E897" s="37"/>
      <c r="F897" s="37"/>
      <c r="G897" s="89"/>
      <c r="K897" s="37"/>
      <c r="O897" s="37"/>
      <c r="P897" s="37"/>
      <c r="Q897" s="37"/>
      <c r="R897" s="37"/>
    </row>
    <row r="898">
      <c r="B898" s="37"/>
      <c r="C898" s="37"/>
      <c r="D898" s="37"/>
      <c r="E898" s="37"/>
      <c r="F898" s="37"/>
      <c r="G898" s="89"/>
      <c r="K898" s="37"/>
      <c r="O898" s="37"/>
      <c r="P898" s="37"/>
      <c r="Q898" s="37"/>
      <c r="R898" s="37"/>
    </row>
    <row r="899">
      <c r="B899" s="37"/>
      <c r="C899" s="37"/>
      <c r="D899" s="37"/>
      <c r="E899" s="37"/>
      <c r="F899" s="37"/>
      <c r="G899" s="89"/>
      <c r="K899" s="37"/>
      <c r="O899" s="37"/>
      <c r="P899" s="37"/>
      <c r="Q899" s="37"/>
      <c r="R899" s="37"/>
    </row>
    <row r="900">
      <c r="B900" s="37"/>
      <c r="C900" s="37"/>
      <c r="D900" s="37"/>
      <c r="E900" s="37"/>
      <c r="F900" s="37"/>
      <c r="G900" s="89"/>
      <c r="K900" s="37"/>
      <c r="O900" s="37"/>
      <c r="P900" s="37"/>
      <c r="Q900" s="37"/>
      <c r="R900" s="37"/>
    </row>
    <row r="901">
      <c r="B901" s="37"/>
      <c r="C901" s="37"/>
      <c r="D901" s="37"/>
      <c r="E901" s="37"/>
      <c r="F901" s="37"/>
      <c r="G901" s="89"/>
      <c r="K901" s="37"/>
      <c r="O901" s="37"/>
      <c r="P901" s="37"/>
      <c r="Q901" s="37"/>
      <c r="R901" s="37"/>
    </row>
    <row r="902">
      <c r="B902" s="37"/>
      <c r="C902" s="37"/>
      <c r="D902" s="37"/>
      <c r="E902" s="37"/>
      <c r="F902" s="37"/>
      <c r="G902" s="89"/>
      <c r="K902" s="37"/>
      <c r="O902" s="37"/>
      <c r="P902" s="37"/>
      <c r="Q902" s="37"/>
      <c r="R902" s="37"/>
    </row>
    <row r="903">
      <c r="B903" s="37"/>
      <c r="C903" s="37"/>
      <c r="D903" s="37"/>
      <c r="E903" s="37"/>
      <c r="F903" s="37"/>
      <c r="G903" s="89"/>
      <c r="K903" s="37"/>
      <c r="O903" s="37"/>
      <c r="P903" s="37"/>
      <c r="Q903" s="37"/>
      <c r="R903" s="37"/>
    </row>
    <row r="904">
      <c r="B904" s="37"/>
      <c r="C904" s="37"/>
      <c r="D904" s="37"/>
      <c r="E904" s="37"/>
      <c r="F904" s="37"/>
      <c r="G904" s="89"/>
      <c r="K904" s="37"/>
      <c r="O904" s="37"/>
      <c r="P904" s="37"/>
      <c r="Q904" s="37"/>
      <c r="R904" s="37"/>
    </row>
    <row r="905">
      <c r="B905" s="37"/>
      <c r="C905" s="37"/>
      <c r="D905" s="37"/>
      <c r="E905" s="37"/>
      <c r="F905" s="37"/>
      <c r="G905" s="89"/>
      <c r="K905" s="37"/>
      <c r="O905" s="37"/>
      <c r="P905" s="37"/>
      <c r="Q905" s="37"/>
      <c r="R905" s="37"/>
    </row>
    <row r="906">
      <c r="B906" s="37"/>
      <c r="C906" s="37"/>
      <c r="D906" s="37"/>
      <c r="E906" s="37"/>
      <c r="F906" s="37"/>
      <c r="G906" s="89"/>
      <c r="K906" s="37"/>
      <c r="O906" s="37"/>
      <c r="P906" s="37"/>
      <c r="Q906" s="37"/>
      <c r="R906" s="37"/>
    </row>
    <row r="907">
      <c r="B907" s="37"/>
      <c r="C907" s="37"/>
      <c r="D907" s="37"/>
      <c r="E907" s="37"/>
      <c r="F907" s="37"/>
      <c r="G907" s="89"/>
      <c r="K907" s="37"/>
      <c r="O907" s="37"/>
      <c r="P907" s="37"/>
      <c r="Q907" s="37"/>
      <c r="R907" s="37"/>
    </row>
    <row r="908">
      <c r="B908" s="37"/>
      <c r="C908" s="37"/>
      <c r="D908" s="37"/>
      <c r="E908" s="37"/>
      <c r="F908" s="37"/>
      <c r="G908" s="89"/>
      <c r="K908" s="37"/>
      <c r="O908" s="37"/>
      <c r="P908" s="37"/>
      <c r="Q908" s="37"/>
      <c r="R908" s="37"/>
    </row>
    <row r="909">
      <c r="B909" s="37"/>
      <c r="C909" s="37"/>
      <c r="D909" s="37"/>
      <c r="E909" s="37"/>
      <c r="F909" s="37"/>
      <c r="G909" s="89"/>
      <c r="K909" s="37"/>
      <c r="O909" s="37"/>
      <c r="P909" s="37"/>
      <c r="Q909" s="37"/>
      <c r="R909" s="37"/>
    </row>
    <row r="910">
      <c r="B910" s="37"/>
      <c r="C910" s="37"/>
      <c r="D910" s="37"/>
      <c r="E910" s="37"/>
      <c r="F910" s="37"/>
      <c r="G910" s="89"/>
      <c r="K910" s="37"/>
      <c r="O910" s="37"/>
      <c r="P910" s="37"/>
      <c r="Q910" s="37"/>
      <c r="R910" s="37"/>
    </row>
    <row r="911">
      <c r="B911" s="37"/>
      <c r="C911" s="37"/>
      <c r="D911" s="37"/>
      <c r="E911" s="37"/>
      <c r="F911" s="37"/>
      <c r="G911" s="89"/>
      <c r="K911" s="37"/>
      <c r="O911" s="37"/>
      <c r="P911" s="37"/>
      <c r="Q911" s="37"/>
      <c r="R911" s="37"/>
    </row>
    <row r="912">
      <c r="B912" s="37"/>
      <c r="C912" s="37"/>
      <c r="D912" s="37"/>
      <c r="E912" s="37"/>
      <c r="F912" s="37"/>
      <c r="G912" s="89"/>
      <c r="K912" s="37"/>
      <c r="O912" s="37"/>
      <c r="P912" s="37"/>
      <c r="Q912" s="37"/>
      <c r="R912" s="37"/>
    </row>
    <row r="913">
      <c r="B913" s="37"/>
      <c r="C913" s="37"/>
      <c r="D913" s="37"/>
      <c r="E913" s="37"/>
      <c r="F913" s="37"/>
      <c r="G913" s="89"/>
      <c r="K913" s="37"/>
      <c r="O913" s="37"/>
      <c r="P913" s="37"/>
      <c r="Q913" s="37"/>
      <c r="R913" s="37"/>
    </row>
    <row r="914">
      <c r="B914" s="37"/>
      <c r="C914" s="37"/>
      <c r="D914" s="37"/>
      <c r="E914" s="37"/>
      <c r="F914" s="37"/>
      <c r="G914" s="89"/>
      <c r="K914" s="37"/>
      <c r="O914" s="37"/>
      <c r="P914" s="37"/>
      <c r="Q914" s="37"/>
      <c r="R914" s="37"/>
    </row>
    <row r="915">
      <c r="B915" s="37"/>
      <c r="C915" s="37"/>
      <c r="D915" s="37"/>
      <c r="E915" s="37"/>
      <c r="F915" s="37"/>
      <c r="G915" s="89"/>
      <c r="K915" s="37"/>
      <c r="O915" s="37"/>
      <c r="P915" s="37"/>
      <c r="Q915" s="37"/>
      <c r="R915" s="37"/>
    </row>
    <row r="916">
      <c r="B916" s="37"/>
      <c r="C916" s="37"/>
      <c r="D916" s="37"/>
      <c r="E916" s="37"/>
      <c r="F916" s="37"/>
      <c r="G916" s="89"/>
      <c r="K916" s="37"/>
      <c r="O916" s="37"/>
      <c r="P916" s="37"/>
      <c r="Q916" s="37"/>
      <c r="R916" s="37"/>
    </row>
    <row r="917">
      <c r="B917" s="37"/>
      <c r="C917" s="37"/>
      <c r="D917" s="37"/>
      <c r="E917" s="37"/>
      <c r="F917" s="37"/>
      <c r="G917" s="89"/>
      <c r="K917" s="37"/>
      <c r="O917" s="37"/>
      <c r="P917" s="37"/>
      <c r="Q917" s="37"/>
      <c r="R917" s="37"/>
    </row>
    <row r="918">
      <c r="B918" s="37"/>
      <c r="C918" s="37"/>
      <c r="D918" s="37"/>
      <c r="E918" s="37"/>
      <c r="F918" s="37"/>
      <c r="G918" s="89"/>
      <c r="K918" s="37"/>
      <c r="O918" s="37"/>
      <c r="P918" s="37"/>
      <c r="Q918" s="37"/>
      <c r="R918" s="37"/>
    </row>
    <row r="919">
      <c r="B919" s="37"/>
      <c r="C919" s="37"/>
      <c r="D919" s="37"/>
      <c r="E919" s="37"/>
      <c r="F919" s="37"/>
      <c r="G919" s="89"/>
      <c r="K919" s="37"/>
      <c r="O919" s="37"/>
      <c r="P919" s="37"/>
      <c r="Q919" s="37"/>
      <c r="R919" s="37"/>
    </row>
    <row r="920">
      <c r="B920" s="37"/>
      <c r="C920" s="37"/>
      <c r="D920" s="37"/>
      <c r="E920" s="37"/>
      <c r="F920" s="37"/>
      <c r="G920" s="89"/>
      <c r="K920" s="37"/>
      <c r="O920" s="37"/>
      <c r="P920" s="37"/>
      <c r="Q920" s="37"/>
      <c r="R920" s="37"/>
    </row>
    <row r="921">
      <c r="B921" s="37"/>
      <c r="C921" s="37"/>
      <c r="D921" s="37"/>
      <c r="E921" s="37"/>
      <c r="F921" s="37"/>
      <c r="G921" s="89"/>
      <c r="K921" s="37"/>
      <c r="O921" s="37"/>
      <c r="P921" s="37"/>
      <c r="Q921" s="37"/>
      <c r="R921" s="37"/>
    </row>
    <row r="922">
      <c r="B922" s="37"/>
      <c r="C922" s="37"/>
      <c r="D922" s="37"/>
      <c r="E922" s="37"/>
      <c r="F922" s="37"/>
      <c r="G922" s="89"/>
      <c r="K922" s="37"/>
      <c r="O922" s="37"/>
      <c r="P922" s="37"/>
      <c r="Q922" s="37"/>
      <c r="R922" s="37"/>
    </row>
    <row r="923">
      <c r="B923" s="37"/>
      <c r="C923" s="37"/>
      <c r="D923" s="37"/>
      <c r="E923" s="37"/>
      <c r="F923" s="37"/>
      <c r="G923" s="89"/>
      <c r="K923" s="37"/>
      <c r="O923" s="37"/>
      <c r="P923" s="37"/>
      <c r="Q923" s="37"/>
      <c r="R923" s="37"/>
    </row>
    <row r="924">
      <c r="B924" s="37"/>
      <c r="C924" s="37"/>
      <c r="D924" s="37"/>
      <c r="E924" s="37"/>
      <c r="F924" s="37"/>
      <c r="G924" s="89"/>
      <c r="K924" s="37"/>
      <c r="O924" s="37"/>
      <c r="P924" s="37"/>
      <c r="Q924" s="37"/>
      <c r="R924" s="37"/>
    </row>
    <row r="925">
      <c r="B925" s="37"/>
      <c r="C925" s="37"/>
      <c r="D925" s="37"/>
      <c r="E925" s="37"/>
      <c r="F925" s="37"/>
      <c r="G925" s="89"/>
      <c r="K925" s="37"/>
      <c r="O925" s="37"/>
      <c r="P925" s="37"/>
      <c r="Q925" s="37"/>
      <c r="R925" s="37"/>
    </row>
    <row r="926">
      <c r="B926" s="37"/>
      <c r="C926" s="37"/>
      <c r="D926" s="37"/>
      <c r="E926" s="37"/>
      <c r="F926" s="37"/>
      <c r="G926" s="89"/>
      <c r="K926" s="37"/>
      <c r="O926" s="37"/>
      <c r="P926" s="37"/>
      <c r="Q926" s="37"/>
      <c r="R926" s="37"/>
    </row>
    <row r="927">
      <c r="B927" s="37"/>
      <c r="C927" s="37"/>
      <c r="D927" s="37"/>
      <c r="E927" s="37"/>
      <c r="F927" s="37"/>
      <c r="G927" s="89"/>
      <c r="K927" s="37"/>
      <c r="O927" s="37"/>
      <c r="P927" s="37"/>
      <c r="Q927" s="37"/>
      <c r="R927" s="37"/>
    </row>
    <row r="928">
      <c r="B928" s="37"/>
      <c r="C928" s="37"/>
      <c r="D928" s="37"/>
      <c r="E928" s="37"/>
      <c r="F928" s="37"/>
      <c r="G928" s="89"/>
      <c r="K928" s="37"/>
      <c r="O928" s="37"/>
      <c r="P928" s="37"/>
      <c r="Q928" s="37"/>
      <c r="R928" s="37"/>
    </row>
    <row r="929">
      <c r="B929" s="37"/>
      <c r="C929" s="37"/>
      <c r="D929" s="37"/>
      <c r="E929" s="37"/>
      <c r="F929" s="37"/>
      <c r="G929" s="89"/>
      <c r="K929" s="37"/>
      <c r="O929" s="37"/>
      <c r="P929" s="37"/>
      <c r="Q929" s="37"/>
      <c r="R929" s="37"/>
    </row>
    <row r="930">
      <c r="B930" s="37"/>
      <c r="C930" s="37"/>
      <c r="D930" s="37"/>
      <c r="E930" s="37"/>
      <c r="F930" s="37"/>
      <c r="G930" s="89"/>
      <c r="K930" s="37"/>
      <c r="O930" s="37"/>
      <c r="P930" s="37"/>
      <c r="Q930" s="37"/>
      <c r="R930" s="37"/>
    </row>
    <row r="931">
      <c r="B931" s="37"/>
      <c r="C931" s="37"/>
      <c r="D931" s="37"/>
      <c r="E931" s="37"/>
      <c r="F931" s="37"/>
      <c r="G931" s="89"/>
      <c r="K931" s="37"/>
      <c r="O931" s="37"/>
      <c r="P931" s="37"/>
      <c r="Q931" s="37"/>
      <c r="R931" s="37"/>
    </row>
    <row r="932">
      <c r="B932" s="37"/>
      <c r="C932" s="37"/>
      <c r="D932" s="37"/>
      <c r="E932" s="37"/>
      <c r="F932" s="37"/>
      <c r="G932" s="89"/>
      <c r="K932" s="37"/>
      <c r="O932" s="37"/>
      <c r="P932" s="37"/>
      <c r="Q932" s="37"/>
      <c r="R932" s="37"/>
    </row>
    <row r="933">
      <c r="B933" s="37"/>
      <c r="C933" s="37"/>
      <c r="D933" s="37"/>
      <c r="E933" s="37"/>
      <c r="F933" s="37"/>
      <c r="G933" s="89"/>
      <c r="K933" s="37"/>
      <c r="O933" s="37"/>
      <c r="P933" s="37"/>
      <c r="Q933" s="37"/>
      <c r="R933" s="37"/>
    </row>
    <row r="934">
      <c r="B934" s="37"/>
      <c r="C934" s="37"/>
      <c r="D934" s="37"/>
      <c r="E934" s="37"/>
      <c r="F934" s="37"/>
      <c r="G934" s="89"/>
      <c r="K934" s="37"/>
      <c r="O934" s="37"/>
      <c r="P934" s="37"/>
      <c r="Q934" s="37"/>
      <c r="R934" s="37"/>
    </row>
    <row r="935">
      <c r="B935" s="37"/>
      <c r="C935" s="37"/>
      <c r="D935" s="37"/>
      <c r="E935" s="37"/>
      <c r="F935" s="37"/>
      <c r="G935" s="89"/>
      <c r="K935" s="37"/>
      <c r="O935" s="37"/>
      <c r="P935" s="37"/>
      <c r="Q935" s="37"/>
      <c r="R935" s="37"/>
    </row>
    <row r="936">
      <c r="B936" s="37"/>
      <c r="C936" s="37"/>
      <c r="D936" s="37"/>
      <c r="E936" s="37"/>
      <c r="F936" s="37"/>
      <c r="G936" s="89"/>
      <c r="K936" s="37"/>
      <c r="O936" s="37"/>
      <c r="P936" s="37"/>
      <c r="Q936" s="37"/>
      <c r="R936" s="37"/>
    </row>
    <row r="937">
      <c r="B937" s="37"/>
      <c r="C937" s="37"/>
      <c r="D937" s="37"/>
      <c r="E937" s="37"/>
      <c r="F937" s="37"/>
      <c r="G937" s="89"/>
      <c r="K937" s="37"/>
      <c r="O937" s="37"/>
      <c r="P937" s="37"/>
      <c r="Q937" s="37"/>
      <c r="R937" s="37"/>
    </row>
    <row r="938">
      <c r="B938" s="37"/>
      <c r="C938" s="37"/>
      <c r="D938" s="37"/>
      <c r="E938" s="37"/>
      <c r="F938" s="37"/>
      <c r="G938" s="89"/>
      <c r="K938" s="37"/>
      <c r="O938" s="37"/>
      <c r="P938" s="37"/>
      <c r="Q938" s="37"/>
      <c r="R938" s="37"/>
    </row>
    <row r="939">
      <c r="B939" s="37"/>
      <c r="C939" s="37"/>
      <c r="D939" s="37"/>
      <c r="E939" s="37"/>
      <c r="F939" s="37"/>
      <c r="G939" s="89"/>
      <c r="K939" s="37"/>
      <c r="O939" s="37"/>
      <c r="P939" s="37"/>
      <c r="Q939" s="37"/>
      <c r="R939" s="37"/>
    </row>
    <row r="940">
      <c r="B940" s="37"/>
      <c r="C940" s="37"/>
      <c r="D940" s="37"/>
      <c r="E940" s="37"/>
      <c r="F940" s="37"/>
      <c r="G940" s="89"/>
      <c r="K940" s="37"/>
      <c r="O940" s="37"/>
      <c r="P940" s="37"/>
      <c r="Q940" s="37"/>
      <c r="R940" s="37"/>
    </row>
    <row r="941">
      <c r="B941" s="37"/>
      <c r="C941" s="37"/>
      <c r="D941" s="37"/>
      <c r="E941" s="37"/>
      <c r="F941" s="37"/>
      <c r="G941" s="89"/>
      <c r="K941" s="37"/>
      <c r="O941" s="37"/>
      <c r="P941" s="37"/>
      <c r="Q941" s="37"/>
      <c r="R941" s="37"/>
    </row>
    <row r="942">
      <c r="B942" s="37"/>
      <c r="C942" s="37"/>
      <c r="D942" s="37"/>
      <c r="E942" s="37"/>
      <c r="F942" s="37"/>
      <c r="G942" s="89"/>
      <c r="K942" s="37"/>
      <c r="O942" s="37"/>
      <c r="P942" s="37"/>
      <c r="Q942" s="37"/>
      <c r="R942" s="37"/>
    </row>
    <row r="943">
      <c r="B943" s="37"/>
      <c r="C943" s="37"/>
      <c r="D943" s="37"/>
      <c r="E943" s="37"/>
      <c r="F943" s="37"/>
      <c r="G943" s="89"/>
      <c r="K943" s="37"/>
      <c r="O943" s="37"/>
      <c r="P943" s="37"/>
      <c r="Q943" s="37"/>
      <c r="R943" s="37"/>
    </row>
    <row r="944">
      <c r="B944" s="37"/>
      <c r="C944" s="37"/>
      <c r="D944" s="37"/>
      <c r="E944" s="37"/>
      <c r="F944" s="37"/>
      <c r="G944" s="89"/>
      <c r="K944" s="37"/>
      <c r="O944" s="37"/>
      <c r="P944" s="37"/>
      <c r="Q944" s="37"/>
      <c r="R944" s="37"/>
    </row>
    <row r="945">
      <c r="B945" s="37"/>
      <c r="C945" s="37"/>
      <c r="D945" s="37"/>
      <c r="E945" s="37"/>
      <c r="F945" s="37"/>
      <c r="G945" s="89"/>
      <c r="K945" s="37"/>
      <c r="O945" s="37"/>
      <c r="P945" s="37"/>
      <c r="Q945" s="37"/>
      <c r="R945" s="37"/>
    </row>
    <row r="946">
      <c r="B946" s="37"/>
      <c r="C946" s="37"/>
      <c r="D946" s="37"/>
      <c r="E946" s="37"/>
      <c r="F946" s="37"/>
      <c r="G946" s="89"/>
      <c r="K946" s="37"/>
      <c r="O946" s="37"/>
      <c r="P946" s="37"/>
      <c r="Q946" s="37"/>
      <c r="R946" s="37"/>
    </row>
    <row r="947">
      <c r="B947" s="37"/>
      <c r="C947" s="37"/>
      <c r="D947" s="37"/>
      <c r="E947" s="37"/>
      <c r="F947" s="37"/>
      <c r="G947" s="89"/>
      <c r="K947" s="37"/>
      <c r="O947" s="37"/>
      <c r="P947" s="37"/>
      <c r="Q947" s="37"/>
      <c r="R947" s="37"/>
    </row>
    <row r="948">
      <c r="B948" s="37"/>
      <c r="C948" s="37"/>
      <c r="D948" s="37"/>
      <c r="E948" s="37"/>
      <c r="F948" s="37"/>
      <c r="G948" s="89"/>
      <c r="K948" s="37"/>
      <c r="O948" s="37"/>
      <c r="P948" s="37"/>
      <c r="Q948" s="37"/>
      <c r="R948" s="37"/>
    </row>
    <row r="949">
      <c r="B949" s="37"/>
      <c r="C949" s="37"/>
      <c r="D949" s="37"/>
      <c r="E949" s="37"/>
      <c r="F949" s="37"/>
      <c r="G949" s="89"/>
      <c r="K949" s="37"/>
      <c r="O949" s="37"/>
      <c r="P949" s="37"/>
      <c r="Q949" s="37"/>
      <c r="R949" s="37"/>
    </row>
    <row r="950">
      <c r="B950" s="37"/>
      <c r="C950" s="37"/>
      <c r="D950" s="37"/>
      <c r="E950" s="37"/>
      <c r="F950" s="37"/>
      <c r="G950" s="89"/>
      <c r="K950" s="37"/>
      <c r="O950" s="37"/>
      <c r="P950" s="37"/>
      <c r="Q950" s="37"/>
      <c r="R950" s="37"/>
    </row>
    <row r="951">
      <c r="B951" s="37"/>
      <c r="C951" s="37"/>
      <c r="D951" s="37"/>
      <c r="E951" s="37"/>
      <c r="F951" s="37"/>
      <c r="G951" s="89"/>
      <c r="K951" s="37"/>
      <c r="O951" s="37"/>
      <c r="P951" s="37"/>
      <c r="Q951" s="37"/>
      <c r="R951" s="37"/>
    </row>
    <row r="952">
      <c r="B952" s="37"/>
      <c r="C952" s="37"/>
      <c r="D952" s="37"/>
      <c r="E952" s="37"/>
      <c r="F952" s="37"/>
      <c r="G952" s="89"/>
      <c r="K952" s="37"/>
      <c r="O952" s="37"/>
      <c r="P952" s="37"/>
      <c r="Q952" s="37"/>
      <c r="R952" s="37"/>
    </row>
    <row r="953">
      <c r="B953" s="37"/>
      <c r="C953" s="37"/>
      <c r="D953" s="37"/>
      <c r="E953" s="37"/>
      <c r="F953" s="37"/>
      <c r="G953" s="89"/>
      <c r="K953" s="37"/>
      <c r="O953" s="37"/>
      <c r="P953" s="37"/>
      <c r="Q953" s="37"/>
      <c r="R953" s="37"/>
    </row>
    <row r="954">
      <c r="B954" s="37"/>
      <c r="C954" s="37"/>
      <c r="D954" s="37"/>
      <c r="E954" s="37"/>
      <c r="F954" s="37"/>
      <c r="G954" s="89"/>
      <c r="K954" s="37"/>
      <c r="O954" s="37"/>
      <c r="P954" s="37"/>
      <c r="Q954" s="37"/>
      <c r="R954" s="37"/>
    </row>
    <row r="955">
      <c r="B955" s="37"/>
      <c r="C955" s="37"/>
      <c r="D955" s="37"/>
      <c r="E955" s="37"/>
      <c r="F955" s="37"/>
      <c r="G955" s="89"/>
      <c r="K955" s="37"/>
      <c r="O955" s="37"/>
      <c r="P955" s="37"/>
      <c r="Q955" s="37"/>
      <c r="R955" s="37"/>
    </row>
    <row r="956">
      <c r="B956" s="37"/>
      <c r="C956" s="37"/>
      <c r="D956" s="37"/>
      <c r="E956" s="37"/>
      <c r="F956" s="37"/>
      <c r="G956" s="89"/>
      <c r="K956" s="37"/>
      <c r="O956" s="37"/>
      <c r="P956" s="37"/>
      <c r="Q956" s="37"/>
      <c r="R956" s="37"/>
    </row>
    <row r="957">
      <c r="B957" s="37"/>
      <c r="C957" s="37"/>
      <c r="D957" s="37"/>
      <c r="E957" s="37"/>
      <c r="F957" s="37"/>
      <c r="G957" s="89"/>
      <c r="K957" s="37"/>
      <c r="O957" s="37"/>
      <c r="P957" s="37"/>
      <c r="Q957" s="37"/>
      <c r="R957" s="37"/>
    </row>
    <row r="958">
      <c r="B958" s="37"/>
      <c r="C958" s="37"/>
      <c r="D958" s="37"/>
      <c r="E958" s="37"/>
      <c r="F958" s="37"/>
      <c r="G958" s="89"/>
      <c r="K958" s="37"/>
      <c r="O958" s="37"/>
      <c r="P958" s="37"/>
      <c r="Q958" s="37"/>
      <c r="R958" s="37"/>
    </row>
    <row r="959">
      <c r="B959" s="37"/>
      <c r="C959" s="37"/>
      <c r="D959" s="37"/>
      <c r="E959" s="37"/>
      <c r="F959" s="37"/>
      <c r="G959" s="89"/>
      <c r="K959" s="37"/>
      <c r="O959" s="37"/>
      <c r="P959" s="37"/>
      <c r="Q959" s="37"/>
      <c r="R959" s="37"/>
    </row>
    <row r="960">
      <c r="B960" s="37"/>
      <c r="C960" s="37"/>
      <c r="D960" s="37"/>
      <c r="E960" s="37"/>
      <c r="F960" s="37"/>
      <c r="G960" s="89"/>
      <c r="K960" s="37"/>
      <c r="O960" s="37"/>
      <c r="P960" s="37"/>
      <c r="Q960" s="37"/>
      <c r="R960" s="37"/>
    </row>
    <row r="961">
      <c r="B961" s="37"/>
      <c r="C961" s="37"/>
      <c r="D961" s="37"/>
      <c r="E961" s="37"/>
      <c r="F961" s="37"/>
      <c r="G961" s="89"/>
      <c r="K961" s="37"/>
      <c r="O961" s="37"/>
      <c r="P961" s="37"/>
      <c r="Q961" s="37"/>
      <c r="R961" s="37"/>
    </row>
    <row r="962">
      <c r="B962" s="37"/>
      <c r="C962" s="37"/>
      <c r="D962" s="37"/>
      <c r="E962" s="37"/>
      <c r="F962" s="37"/>
      <c r="G962" s="89"/>
      <c r="K962" s="37"/>
      <c r="O962" s="37"/>
      <c r="P962" s="37"/>
      <c r="Q962" s="37"/>
      <c r="R962" s="37"/>
    </row>
    <row r="963">
      <c r="B963" s="37"/>
      <c r="C963" s="37"/>
      <c r="D963" s="37"/>
      <c r="E963" s="37"/>
      <c r="F963" s="37"/>
      <c r="G963" s="89"/>
      <c r="K963" s="37"/>
      <c r="O963" s="37"/>
      <c r="P963" s="37"/>
      <c r="Q963" s="37"/>
      <c r="R963" s="37"/>
    </row>
    <row r="964">
      <c r="B964" s="37"/>
      <c r="C964" s="37"/>
      <c r="D964" s="37"/>
      <c r="E964" s="37"/>
      <c r="F964" s="37"/>
      <c r="G964" s="89"/>
      <c r="K964" s="37"/>
      <c r="O964" s="37"/>
      <c r="P964" s="37"/>
      <c r="Q964" s="37"/>
      <c r="R964" s="37"/>
    </row>
    <row r="965">
      <c r="B965" s="37"/>
      <c r="C965" s="37"/>
      <c r="D965" s="37"/>
      <c r="E965" s="37"/>
      <c r="F965" s="37"/>
      <c r="G965" s="89"/>
      <c r="K965" s="37"/>
      <c r="O965" s="37"/>
      <c r="P965" s="37"/>
      <c r="Q965" s="37"/>
      <c r="R965" s="37"/>
    </row>
    <row r="966">
      <c r="B966" s="37"/>
      <c r="C966" s="37"/>
      <c r="D966" s="37"/>
      <c r="E966" s="37"/>
      <c r="F966" s="37"/>
      <c r="G966" s="89"/>
      <c r="K966" s="37"/>
      <c r="O966" s="37"/>
      <c r="P966" s="37"/>
      <c r="Q966" s="37"/>
      <c r="R966" s="37"/>
    </row>
    <row r="967">
      <c r="B967" s="37"/>
      <c r="C967" s="37"/>
      <c r="D967" s="37"/>
      <c r="E967" s="37"/>
      <c r="F967" s="37"/>
      <c r="G967" s="89"/>
      <c r="K967" s="37"/>
      <c r="O967" s="37"/>
      <c r="P967" s="37"/>
      <c r="Q967" s="37"/>
      <c r="R967" s="37"/>
    </row>
    <row r="968">
      <c r="B968" s="37"/>
      <c r="C968" s="37"/>
      <c r="D968" s="37"/>
      <c r="E968" s="37"/>
      <c r="F968" s="37"/>
      <c r="G968" s="89"/>
      <c r="K968" s="37"/>
      <c r="O968" s="37"/>
      <c r="P968" s="37"/>
      <c r="Q968" s="37"/>
      <c r="R968" s="37"/>
    </row>
    <row r="969">
      <c r="B969" s="37"/>
      <c r="C969" s="37"/>
      <c r="D969" s="37"/>
      <c r="E969" s="37"/>
      <c r="F969" s="37"/>
      <c r="G969" s="89"/>
      <c r="K969" s="37"/>
      <c r="O969" s="37"/>
      <c r="P969" s="37"/>
      <c r="Q969" s="37"/>
      <c r="R969" s="37"/>
    </row>
    <row r="970">
      <c r="B970" s="37"/>
      <c r="C970" s="37"/>
      <c r="D970" s="37"/>
      <c r="E970" s="37"/>
      <c r="F970" s="37"/>
      <c r="G970" s="89"/>
      <c r="K970" s="37"/>
      <c r="O970" s="37"/>
      <c r="P970" s="37"/>
      <c r="Q970" s="37"/>
      <c r="R970" s="37"/>
    </row>
    <row r="971">
      <c r="B971" s="37"/>
      <c r="C971" s="37"/>
      <c r="D971" s="37"/>
      <c r="E971" s="37"/>
      <c r="F971" s="37"/>
      <c r="G971" s="89"/>
      <c r="K971" s="37"/>
      <c r="O971" s="37"/>
      <c r="P971" s="37"/>
      <c r="Q971" s="37"/>
      <c r="R971" s="37"/>
    </row>
    <row r="972">
      <c r="B972" s="37"/>
      <c r="C972" s="37"/>
      <c r="D972" s="37"/>
      <c r="E972" s="37"/>
      <c r="F972" s="37"/>
      <c r="G972" s="89"/>
      <c r="K972" s="37"/>
      <c r="O972" s="37"/>
      <c r="P972" s="37"/>
      <c r="Q972" s="37"/>
      <c r="R972" s="37"/>
    </row>
    <row r="973">
      <c r="B973" s="37"/>
      <c r="C973" s="37"/>
      <c r="D973" s="37"/>
      <c r="E973" s="37"/>
      <c r="F973" s="37"/>
      <c r="G973" s="89"/>
      <c r="K973" s="37"/>
      <c r="O973" s="37"/>
      <c r="P973" s="37"/>
      <c r="Q973" s="37"/>
      <c r="R973" s="37"/>
    </row>
    <row r="974">
      <c r="B974" s="37"/>
      <c r="C974" s="37"/>
      <c r="D974" s="37"/>
      <c r="E974" s="37"/>
      <c r="F974" s="37"/>
      <c r="G974" s="89"/>
      <c r="K974" s="37"/>
      <c r="O974" s="37"/>
      <c r="P974" s="37"/>
      <c r="Q974" s="37"/>
      <c r="R974" s="37"/>
    </row>
    <row r="975">
      <c r="B975" s="37"/>
      <c r="C975" s="37"/>
      <c r="D975" s="37"/>
      <c r="E975" s="37"/>
      <c r="F975" s="37"/>
      <c r="G975" s="89"/>
      <c r="K975" s="37"/>
      <c r="O975" s="37"/>
      <c r="P975" s="37"/>
      <c r="Q975" s="37"/>
      <c r="R975" s="37"/>
    </row>
    <row r="976">
      <c r="B976" s="37"/>
      <c r="C976" s="37"/>
      <c r="D976" s="37"/>
      <c r="E976" s="37"/>
      <c r="F976" s="37"/>
      <c r="G976" s="89"/>
      <c r="K976" s="37"/>
      <c r="O976" s="37"/>
      <c r="P976" s="37"/>
      <c r="Q976" s="37"/>
      <c r="R976" s="37"/>
    </row>
    <row r="977">
      <c r="B977" s="37"/>
      <c r="C977" s="37"/>
      <c r="D977" s="37"/>
      <c r="E977" s="37"/>
      <c r="F977" s="37"/>
      <c r="G977" s="89"/>
      <c r="K977" s="37"/>
      <c r="O977" s="37"/>
      <c r="P977" s="37"/>
      <c r="Q977" s="37"/>
      <c r="R977" s="37"/>
    </row>
    <row r="978">
      <c r="B978" s="37"/>
      <c r="C978" s="37"/>
      <c r="D978" s="37"/>
      <c r="E978" s="37"/>
      <c r="F978" s="37"/>
      <c r="G978" s="89"/>
      <c r="K978" s="37"/>
      <c r="O978" s="37"/>
      <c r="P978" s="37"/>
      <c r="Q978" s="37"/>
      <c r="R978" s="37"/>
    </row>
    <row r="979">
      <c r="B979" s="37"/>
      <c r="C979" s="37"/>
      <c r="D979" s="37"/>
      <c r="E979" s="37"/>
      <c r="F979" s="37"/>
      <c r="G979" s="89"/>
      <c r="K979" s="37"/>
      <c r="O979" s="37"/>
      <c r="P979" s="37"/>
      <c r="Q979" s="37"/>
      <c r="R979" s="37"/>
    </row>
    <row r="980">
      <c r="B980" s="37"/>
      <c r="C980" s="37"/>
      <c r="D980" s="37"/>
      <c r="E980" s="37"/>
      <c r="F980" s="37"/>
      <c r="G980" s="89"/>
      <c r="K980" s="37"/>
      <c r="O980" s="37"/>
      <c r="P980" s="37"/>
      <c r="Q980" s="37"/>
      <c r="R980" s="37"/>
    </row>
    <row r="981">
      <c r="B981" s="37"/>
      <c r="C981" s="37"/>
      <c r="D981" s="37"/>
      <c r="E981" s="37"/>
      <c r="F981" s="37"/>
      <c r="G981" s="89"/>
      <c r="K981" s="37"/>
      <c r="O981" s="37"/>
      <c r="P981" s="37"/>
      <c r="Q981" s="37"/>
      <c r="R981" s="37"/>
    </row>
    <row r="982">
      <c r="B982" s="37"/>
      <c r="C982" s="37"/>
      <c r="D982" s="37"/>
      <c r="E982" s="37"/>
      <c r="F982" s="37"/>
      <c r="G982" s="89"/>
      <c r="K982" s="37"/>
      <c r="O982" s="37"/>
      <c r="P982" s="37"/>
      <c r="Q982" s="37"/>
      <c r="R982" s="37"/>
    </row>
    <row r="983">
      <c r="A983" s="11" t="s">
        <v>158</v>
      </c>
      <c r="B983" s="37"/>
      <c r="C983" s="37"/>
      <c r="D983" s="37"/>
      <c r="E983" s="37"/>
      <c r="F983" s="37"/>
      <c r="G983" s="89"/>
      <c r="K983" s="37"/>
      <c r="O983" s="37"/>
      <c r="P983" s="37"/>
      <c r="Q983" s="37"/>
      <c r="R983" s="37"/>
    </row>
    <row r="984">
      <c r="B984" s="37"/>
      <c r="C984" s="37"/>
      <c r="D984" s="37"/>
      <c r="E984" s="37"/>
      <c r="F984" s="37"/>
      <c r="G984" s="89"/>
      <c r="K984" s="37"/>
      <c r="O984" s="37"/>
      <c r="P984" s="37"/>
      <c r="Q984" s="37"/>
      <c r="R984" s="37"/>
    </row>
    <row r="985">
      <c r="B985" s="37"/>
      <c r="C985" s="37"/>
      <c r="D985" s="37"/>
      <c r="E985" s="37"/>
      <c r="F985" s="37"/>
      <c r="G985" s="89"/>
      <c r="K985" s="37"/>
      <c r="O985" s="37"/>
      <c r="P985" s="37"/>
      <c r="Q985" s="37"/>
      <c r="R985" s="37"/>
    </row>
    <row r="986">
      <c r="B986" s="37"/>
      <c r="C986" s="37"/>
      <c r="D986" s="37"/>
      <c r="E986" s="37"/>
      <c r="F986" s="37"/>
      <c r="G986" s="89"/>
      <c r="K986" s="37"/>
      <c r="O986" s="37"/>
      <c r="P986" s="37"/>
      <c r="Q986" s="37"/>
      <c r="R986" s="37"/>
    </row>
    <row r="987">
      <c r="B987" s="37"/>
      <c r="C987" s="37"/>
      <c r="D987" s="37"/>
      <c r="E987" s="37"/>
      <c r="F987" s="37"/>
      <c r="G987" s="89"/>
      <c r="K987" s="37"/>
      <c r="O987" s="37"/>
      <c r="P987" s="37"/>
      <c r="Q987" s="37"/>
      <c r="R987" s="37"/>
    </row>
    <row r="988">
      <c r="B988" s="37"/>
      <c r="C988" s="37"/>
      <c r="D988" s="37"/>
      <c r="E988" s="37"/>
      <c r="F988" s="37"/>
      <c r="G988" s="89"/>
      <c r="K988" s="37"/>
      <c r="O988" s="37"/>
      <c r="P988" s="37"/>
      <c r="Q988" s="37"/>
      <c r="R988" s="37"/>
    </row>
    <row r="989">
      <c r="B989" s="37"/>
      <c r="C989" s="37"/>
      <c r="D989" s="37"/>
      <c r="E989" s="37"/>
      <c r="F989" s="37"/>
      <c r="G989" s="89"/>
      <c r="K989" s="37"/>
      <c r="O989" s="37"/>
      <c r="P989" s="37"/>
      <c r="Q989" s="37"/>
      <c r="R989" s="37"/>
    </row>
    <row r="990">
      <c r="B990" s="37"/>
      <c r="C990" s="37"/>
      <c r="D990" s="37"/>
      <c r="E990" s="37"/>
      <c r="F990" s="37"/>
      <c r="G990" s="89"/>
      <c r="K990" s="37"/>
      <c r="O990" s="37"/>
      <c r="P990" s="37"/>
      <c r="Q990" s="37"/>
      <c r="R990" s="37"/>
    </row>
    <row r="991">
      <c r="B991" s="37"/>
      <c r="C991" s="37"/>
      <c r="D991" s="37"/>
      <c r="E991" s="37"/>
      <c r="F991" s="37"/>
      <c r="G991" s="89"/>
      <c r="K991" s="37"/>
      <c r="O991" s="37"/>
      <c r="P991" s="37"/>
      <c r="Q991" s="37"/>
      <c r="R991" s="37"/>
    </row>
    <row r="992">
      <c r="B992" s="37"/>
      <c r="C992" s="37"/>
      <c r="D992" s="37"/>
      <c r="E992" s="37"/>
      <c r="F992" s="37"/>
      <c r="G992" s="89"/>
      <c r="K992" s="37"/>
      <c r="O992" s="37"/>
      <c r="P992" s="37"/>
      <c r="Q992" s="37"/>
      <c r="R992" s="37"/>
    </row>
    <row r="993">
      <c r="B993" s="37"/>
      <c r="C993" s="37"/>
      <c r="D993" s="37"/>
      <c r="E993" s="37"/>
      <c r="F993" s="37"/>
      <c r="G993" s="89"/>
      <c r="K993" s="37"/>
      <c r="O993" s="37"/>
      <c r="P993" s="37"/>
      <c r="Q993" s="37"/>
      <c r="R993" s="37"/>
    </row>
    <row r="994">
      <c r="B994" s="37"/>
      <c r="C994" s="37"/>
      <c r="D994" s="37"/>
      <c r="E994" s="37"/>
      <c r="F994" s="37"/>
      <c r="G994" s="89"/>
      <c r="K994" s="37"/>
      <c r="O994" s="37"/>
      <c r="P994" s="37"/>
      <c r="Q994" s="37"/>
      <c r="R994" s="37"/>
    </row>
    <row r="995">
      <c r="B995" s="37"/>
      <c r="C995" s="37"/>
      <c r="D995" s="37"/>
      <c r="E995" s="37"/>
      <c r="F995" s="37"/>
      <c r="G995" s="89"/>
      <c r="K995" s="37"/>
      <c r="O995" s="37"/>
      <c r="P995" s="37"/>
      <c r="Q995" s="37"/>
      <c r="R995" s="37"/>
    </row>
    <row r="996">
      <c r="B996" s="37"/>
      <c r="C996" s="37"/>
      <c r="D996" s="37"/>
      <c r="E996" s="37"/>
      <c r="F996" s="37"/>
      <c r="G996" s="89"/>
      <c r="K996" s="37"/>
      <c r="O996" s="37"/>
      <c r="P996" s="37"/>
      <c r="Q996" s="37"/>
      <c r="R996" s="37"/>
    </row>
    <row r="997">
      <c r="B997" s="37"/>
      <c r="C997" s="37"/>
      <c r="D997" s="37"/>
      <c r="E997" s="37"/>
      <c r="F997" s="37"/>
      <c r="G997" s="89"/>
      <c r="K997" s="37"/>
      <c r="O997" s="37"/>
      <c r="P997" s="37"/>
      <c r="Q997" s="37"/>
      <c r="R997" s="37"/>
    </row>
    <row r="998">
      <c r="B998" s="37"/>
      <c r="C998" s="37"/>
      <c r="D998" s="37"/>
      <c r="E998" s="37"/>
      <c r="F998" s="37"/>
      <c r="G998" s="89"/>
      <c r="K998" s="37"/>
      <c r="O998" s="37"/>
      <c r="P998" s="37"/>
      <c r="Q998" s="37"/>
      <c r="R998" s="37"/>
    </row>
    <row r="999">
      <c r="B999" s="37"/>
      <c r="C999" s="37"/>
      <c r="D999" s="37"/>
      <c r="E999" s="37"/>
      <c r="F999" s="37"/>
      <c r="G999" s="89"/>
      <c r="K999" s="37"/>
      <c r="O999" s="37"/>
      <c r="P999" s="37"/>
      <c r="Q999" s="37"/>
      <c r="R999" s="37"/>
    </row>
    <row r="1000">
      <c r="B1000" s="37"/>
      <c r="C1000" s="37"/>
      <c r="D1000" s="37"/>
      <c r="E1000" s="37"/>
      <c r="F1000" s="37"/>
      <c r="G1000" s="89"/>
      <c r="K1000" s="37"/>
      <c r="O1000" s="37"/>
      <c r="P1000" s="37"/>
      <c r="Q1000" s="37"/>
      <c r="R1000" s="37"/>
    </row>
    <row r="1001">
      <c r="B1001" s="37"/>
      <c r="C1001" s="37"/>
      <c r="D1001" s="37"/>
      <c r="E1001" s="37"/>
      <c r="F1001" s="37"/>
      <c r="G1001" s="89"/>
      <c r="K1001" s="37"/>
      <c r="O1001" s="37"/>
      <c r="P1001" s="37"/>
      <c r="Q1001" s="37"/>
      <c r="R1001" s="37"/>
    </row>
    <row r="1002">
      <c r="B1002" s="37"/>
      <c r="C1002" s="37"/>
      <c r="D1002" s="37"/>
      <c r="E1002" s="37"/>
      <c r="F1002" s="37"/>
      <c r="G1002" s="89"/>
      <c r="K1002" s="37"/>
      <c r="O1002" s="37"/>
      <c r="P1002" s="37"/>
      <c r="Q1002" s="37"/>
      <c r="R1002" s="37"/>
    </row>
    <row r="1003">
      <c r="B1003" s="37"/>
      <c r="C1003" s="37"/>
      <c r="D1003" s="37"/>
      <c r="E1003" s="37"/>
      <c r="F1003" s="37"/>
      <c r="G1003" s="89"/>
      <c r="K1003" s="37"/>
      <c r="O1003" s="37"/>
      <c r="P1003" s="37"/>
      <c r="Q1003" s="37"/>
      <c r="R1003" s="37"/>
    </row>
    <row r="1004">
      <c r="B1004" s="37"/>
      <c r="C1004" s="37"/>
      <c r="D1004" s="37"/>
      <c r="E1004" s="37"/>
      <c r="F1004" s="37"/>
      <c r="G1004" s="89"/>
      <c r="K1004" s="37"/>
      <c r="O1004" s="37"/>
      <c r="P1004" s="37"/>
      <c r="Q1004" s="37"/>
      <c r="R1004" s="37"/>
    </row>
    <row r="1005">
      <c r="B1005" s="37"/>
      <c r="C1005" s="37"/>
      <c r="D1005" s="37"/>
      <c r="E1005" s="37"/>
      <c r="F1005" s="37"/>
      <c r="G1005" s="89"/>
      <c r="K1005" s="37"/>
      <c r="O1005" s="37"/>
      <c r="P1005" s="37"/>
      <c r="Q1005" s="37"/>
      <c r="R1005" s="37"/>
    </row>
    <row r="1006">
      <c r="B1006" s="37"/>
      <c r="C1006" s="37"/>
      <c r="D1006" s="37"/>
      <c r="E1006" s="37"/>
      <c r="F1006" s="37"/>
      <c r="G1006" s="89"/>
      <c r="K1006" s="37"/>
      <c r="O1006" s="37"/>
      <c r="P1006" s="37"/>
      <c r="Q1006" s="37"/>
      <c r="R1006" s="37"/>
    </row>
    <row r="1007">
      <c r="B1007" s="37"/>
      <c r="C1007" s="37"/>
      <c r="D1007" s="37"/>
      <c r="E1007" s="37"/>
      <c r="F1007" s="37"/>
      <c r="G1007" s="89"/>
      <c r="K1007" s="37"/>
      <c r="O1007" s="37"/>
      <c r="P1007" s="37"/>
      <c r="Q1007" s="37"/>
      <c r="R1007" s="37"/>
    </row>
    <row r="1008">
      <c r="B1008" s="37"/>
      <c r="C1008" s="37"/>
      <c r="D1008" s="37"/>
      <c r="E1008" s="37"/>
      <c r="F1008" s="37"/>
      <c r="G1008" s="89"/>
      <c r="K1008" s="37"/>
      <c r="O1008" s="37"/>
      <c r="P1008" s="37"/>
      <c r="Q1008" s="37"/>
      <c r="R1008" s="37"/>
    </row>
    <row r="1009">
      <c r="B1009" s="37"/>
      <c r="C1009" s="37"/>
      <c r="D1009" s="37"/>
      <c r="E1009" s="37"/>
      <c r="F1009" s="37"/>
      <c r="G1009" s="89"/>
      <c r="K1009" s="37"/>
      <c r="O1009" s="37"/>
      <c r="P1009" s="37"/>
      <c r="Q1009" s="37"/>
      <c r="R1009" s="37"/>
    </row>
    <row r="1010">
      <c r="B1010" s="37"/>
      <c r="C1010" s="37"/>
      <c r="D1010" s="37"/>
      <c r="E1010" s="37"/>
      <c r="F1010" s="37"/>
      <c r="G1010" s="89"/>
      <c r="K1010" s="37"/>
      <c r="O1010" s="37"/>
      <c r="P1010" s="37"/>
      <c r="Q1010" s="37"/>
      <c r="R1010" s="37"/>
    </row>
    <row r="1011">
      <c r="B1011" s="37"/>
      <c r="C1011" s="37"/>
      <c r="D1011" s="37"/>
      <c r="E1011" s="37"/>
      <c r="F1011" s="37"/>
      <c r="G1011" s="89"/>
      <c r="K1011" s="37"/>
      <c r="O1011" s="37"/>
      <c r="P1011" s="37"/>
      <c r="Q1011" s="37"/>
      <c r="R1011" s="37"/>
    </row>
    <row r="1012">
      <c r="B1012" s="37"/>
      <c r="C1012" s="37"/>
      <c r="D1012" s="37"/>
      <c r="E1012" s="37"/>
      <c r="F1012" s="37"/>
      <c r="G1012" s="89"/>
      <c r="K1012" s="37"/>
      <c r="O1012" s="37"/>
      <c r="P1012" s="37"/>
      <c r="Q1012" s="37"/>
      <c r="R1012" s="37"/>
    </row>
    <row r="1013">
      <c r="B1013" s="37"/>
      <c r="C1013" s="37"/>
      <c r="D1013" s="37"/>
      <c r="E1013" s="37"/>
      <c r="F1013" s="37"/>
      <c r="G1013" s="89"/>
      <c r="K1013" s="37"/>
      <c r="O1013" s="37"/>
      <c r="P1013" s="37"/>
      <c r="Q1013" s="37"/>
      <c r="R1013" s="37"/>
    </row>
    <row r="1014">
      <c r="B1014" s="37"/>
      <c r="C1014" s="37"/>
      <c r="D1014" s="37"/>
      <c r="E1014" s="37"/>
      <c r="F1014" s="37"/>
      <c r="G1014" s="89"/>
      <c r="K1014" s="37"/>
      <c r="O1014" s="37"/>
      <c r="P1014" s="37"/>
      <c r="Q1014" s="37"/>
      <c r="R1014" s="37"/>
    </row>
    <row r="1015">
      <c r="B1015" s="37"/>
      <c r="C1015" s="37"/>
      <c r="D1015" s="37"/>
      <c r="E1015" s="37"/>
      <c r="F1015" s="37"/>
      <c r="G1015" s="89"/>
      <c r="K1015" s="37"/>
      <c r="O1015" s="37"/>
      <c r="P1015" s="37"/>
      <c r="Q1015" s="37"/>
      <c r="R1015" s="37"/>
    </row>
    <row r="1016">
      <c r="B1016" s="37"/>
      <c r="C1016" s="37"/>
      <c r="D1016" s="37"/>
      <c r="E1016" s="37"/>
      <c r="F1016" s="37"/>
      <c r="G1016" s="89"/>
      <c r="K1016" s="37"/>
      <c r="O1016" s="37"/>
      <c r="P1016" s="37"/>
      <c r="Q1016" s="37"/>
      <c r="R1016" s="37"/>
    </row>
    <row r="1017">
      <c r="B1017" s="37"/>
      <c r="C1017" s="37"/>
      <c r="D1017" s="37"/>
      <c r="E1017" s="37"/>
      <c r="F1017" s="37"/>
      <c r="G1017" s="89"/>
      <c r="K1017" s="37"/>
      <c r="O1017" s="37"/>
      <c r="P1017" s="37"/>
      <c r="Q1017" s="37"/>
      <c r="R1017" s="37"/>
    </row>
    <row r="1018">
      <c r="B1018" s="37"/>
      <c r="C1018" s="37"/>
      <c r="D1018" s="37"/>
      <c r="E1018" s="37"/>
      <c r="F1018" s="37"/>
      <c r="G1018" s="89"/>
      <c r="K1018" s="37"/>
      <c r="O1018" s="37"/>
      <c r="P1018" s="37"/>
      <c r="Q1018" s="37"/>
      <c r="R1018" s="37"/>
    </row>
    <row r="1019">
      <c r="B1019" s="37"/>
      <c r="C1019" s="37"/>
      <c r="D1019" s="37"/>
      <c r="E1019" s="37"/>
      <c r="F1019" s="37"/>
      <c r="G1019" s="89"/>
      <c r="K1019" s="37"/>
      <c r="O1019" s="37"/>
      <c r="P1019" s="37"/>
      <c r="Q1019" s="37"/>
      <c r="R1019" s="37"/>
    </row>
    <row r="1020">
      <c r="B1020" s="37"/>
      <c r="C1020" s="37"/>
      <c r="D1020" s="37"/>
      <c r="E1020" s="37"/>
      <c r="F1020" s="37"/>
      <c r="G1020" s="89"/>
      <c r="K1020" s="37"/>
      <c r="O1020" s="37"/>
      <c r="P1020" s="37"/>
      <c r="Q1020" s="37"/>
      <c r="R1020" s="37"/>
    </row>
    <row r="1021">
      <c r="B1021" s="37"/>
      <c r="C1021" s="37"/>
      <c r="D1021" s="37"/>
      <c r="E1021" s="37"/>
      <c r="F1021" s="37"/>
      <c r="G1021" s="89"/>
      <c r="K1021" s="37"/>
      <c r="O1021" s="37"/>
      <c r="P1021" s="37"/>
      <c r="Q1021" s="37"/>
      <c r="R1021" s="37"/>
    </row>
    <row r="1022">
      <c r="B1022" s="37"/>
      <c r="C1022" s="37"/>
      <c r="D1022" s="37"/>
      <c r="E1022" s="37"/>
      <c r="F1022" s="37"/>
      <c r="G1022" s="89"/>
      <c r="K1022" s="37"/>
      <c r="O1022" s="37"/>
      <c r="P1022" s="37"/>
      <c r="Q1022" s="37"/>
      <c r="R1022" s="37"/>
    </row>
    <row r="1023">
      <c r="B1023" s="37"/>
      <c r="C1023" s="37"/>
      <c r="D1023" s="37"/>
      <c r="E1023" s="37"/>
      <c r="F1023" s="37"/>
      <c r="G1023" s="89"/>
      <c r="K1023" s="37"/>
      <c r="O1023" s="37"/>
      <c r="P1023" s="37"/>
      <c r="Q1023" s="37"/>
      <c r="R1023" s="37"/>
    </row>
    <row r="1024">
      <c r="B1024" s="37"/>
      <c r="C1024" s="37"/>
      <c r="D1024" s="37"/>
      <c r="E1024" s="37"/>
      <c r="F1024" s="37"/>
      <c r="G1024" s="89"/>
      <c r="K1024" s="37"/>
      <c r="O1024" s="37"/>
      <c r="P1024" s="37"/>
      <c r="Q1024" s="37"/>
      <c r="R1024" s="37"/>
    </row>
    <row r="1025">
      <c r="B1025" s="37"/>
      <c r="C1025" s="37"/>
      <c r="D1025" s="37"/>
      <c r="E1025" s="37"/>
      <c r="F1025" s="37"/>
      <c r="G1025" s="89"/>
      <c r="K1025" s="37"/>
      <c r="O1025" s="37"/>
      <c r="P1025" s="37"/>
      <c r="Q1025" s="37"/>
      <c r="R1025" s="37"/>
    </row>
    <row r="1026">
      <c r="B1026" s="37"/>
      <c r="C1026" s="37"/>
      <c r="D1026" s="37"/>
      <c r="E1026" s="37"/>
      <c r="F1026" s="37"/>
      <c r="G1026" s="89"/>
      <c r="K1026" s="37"/>
      <c r="O1026" s="37"/>
      <c r="P1026" s="37"/>
      <c r="Q1026" s="37"/>
      <c r="R1026" s="37"/>
    </row>
    <row r="1027">
      <c r="B1027" s="37"/>
      <c r="C1027" s="37"/>
      <c r="D1027" s="37"/>
      <c r="E1027" s="37"/>
      <c r="F1027" s="37"/>
      <c r="G1027" s="89"/>
      <c r="K1027" s="37"/>
      <c r="O1027" s="37"/>
      <c r="P1027" s="37"/>
      <c r="Q1027" s="37"/>
      <c r="R1027" s="37"/>
    </row>
    <row r="1028">
      <c r="B1028" s="37"/>
      <c r="C1028" s="37"/>
      <c r="D1028" s="37"/>
      <c r="E1028" s="37"/>
      <c r="F1028" s="37"/>
      <c r="G1028" s="89"/>
      <c r="K1028" s="37"/>
      <c r="O1028" s="37"/>
      <c r="P1028" s="37"/>
      <c r="Q1028" s="37"/>
      <c r="R1028" s="37"/>
    </row>
    <row r="1029">
      <c r="B1029" s="37"/>
      <c r="C1029" s="37"/>
      <c r="D1029" s="37"/>
      <c r="E1029" s="37"/>
      <c r="F1029" s="37"/>
      <c r="G1029" s="89"/>
      <c r="K1029" s="37"/>
      <c r="O1029" s="37"/>
      <c r="P1029" s="37"/>
      <c r="Q1029" s="37"/>
      <c r="R1029" s="37"/>
    </row>
    <row r="1030">
      <c r="B1030" s="37"/>
      <c r="C1030" s="37"/>
      <c r="D1030" s="37"/>
      <c r="E1030" s="37"/>
      <c r="F1030" s="37"/>
      <c r="G1030" s="89"/>
      <c r="K1030" s="37"/>
      <c r="O1030" s="37"/>
      <c r="P1030" s="37"/>
      <c r="Q1030" s="37"/>
      <c r="R1030" s="37"/>
    </row>
    <row r="1031">
      <c r="B1031" s="37"/>
      <c r="C1031" s="37"/>
      <c r="D1031" s="37"/>
      <c r="E1031" s="37"/>
      <c r="F1031" s="37"/>
      <c r="G1031" s="89"/>
      <c r="K1031" s="37"/>
      <c r="O1031" s="37"/>
      <c r="P1031" s="37"/>
      <c r="Q1031" s="37"/>
      <c r="R1031" s="37"/>
    </row>
    <row r="1032">
      <c r="B1032" s="37"/>
      <c r="C1032" s="37"/>
      <c r="D1032" s="37"/>
      <c r="E1032" s="37"/>
      <c r="F1032" s="37"/>
      <c r="G1032" s="89"/>
      <c r="K1032" s="37"/>
      <c r="O1032" s="37"/>
      <c r="P1032" s="37"/>
      <c r="Q1032" s="37"/>
      <c r="R1032" s="37"/>
    </row>
    <row r="1033">
      <c r="B1033" s="37"/>
      <c r="C1033" s="37"/>
      <c r="D1033" s="37"/>
      <c r="E1033" s="37"/>
      <c r="F1033" s="37"/>
      <c r="G1033" s="89"/>
      <c r="K1033" s="37"/>
      <c r="O1033" s="37"/>
      <c r="P1033" s="37"/>
      <c r="Q1033" s="37"/>
      <c r="R1033" s="37"/>
    </row>
    <row r="1034">
      <c r="B1034" s="37"/>
      <c r="C1034" s="37"/>
      <c r="D1034" s="37"/>
      <c r="E1034" s="37"/>
      <c r="F1034" s="37"/>
      <c r="G1034" s="89"/>
      <c r="K1034" s="37"/>
      <c r="O1034" s="37"/>
      <c r="P1034" s="37"/>
      <c r="Q1034" s="37"/>
      <c r="R1034" s="37"/>
    </row>
    <row r="1035">
      <c r="B1035" s="37"/>
      <c r="C1035" s="37"/>
      <c r="D1035" s="37"/>
      <c r="E1035" s="37"/>
      <c r="F1035" s="37"/>
      <c r="G1035" s="89"/>
      <c r="K1035" s="37"/>
      <c r="O1035" s="37"/>
      <c r="P1035" s="37"/>
      <c r="Q1035" s="37"/>
      <c r="R1035" s="37"/>
    </row>
    <row r="1036">
      <c r="B1036" s="37"/>
      <c r="C1036" s="37"/>
      <c r="D1036" s="37"/>
      <c r="E1036" s="37"/>
      <c r="F1036" s="37"/>
      <c r="G1036" s="89"/>
      <c r="K1036" s="37"/>
      <c r="O1036" s="37"/>
      <c r="P1036" s="37"/>
      <c r="Q1036" s="37"/>
      <c r="R1036" s="37"/>
    </row>
    <row r="1037">
      <c r="B1037" s="37"/>
      <c r="C1037" s="37"/>
      <c r="D1037" s="37"/>
      <c r="E1037" s="37"/>
      <c r="F1037" s="37"/>
      <c r="G1037" s="89"/>
      <c r="K1037" s="37"/>
      <c r="O1037" s="37"/>
      <c r="P1037" s="37"/>
      <c r="Q1037" s="37"/>
      <c r="R1037" s="37"/>
    </row>
    <row r="1038">
      <c r="B1038" s="37"/>
      <c r="C1038" s="37"/>
      <c r="D1038" s="37"/>
      <c r="E1038" s="37"/>
      <c r="F1038" s="37"/>
      <c r="G1038" s="89"/>
      <c r="K1038" s="37"/>
      <c r="O1038" s="37"/>
      <c r="P1038" s="37"/>
      <c r="Q1038" s="37"/>
      <c r="R1038" s="37"/>
    </row>
    <row r="1039">
      <c r="B1039" s="37"/>
      <c r="C1039" s="37"/>
      <c r="D1039" s="37"/>
      <c r="E1039" s="37"/>
      <c r="F1039" s="37"/>
      <c r="G1039" s="89"/>
      <c r="K1039" s="37"/>
      <c r="O1039" s="37"/>
      <c r="P1039" s="37"/>
      <c r="Q1039" s="37"/>
      <c r="R1039" s="37"/>
    </row>
    <row r="1040">
      <c r="B1040" s="37"/>
      <c r="C1040" s="37"/>
      <c r="D1040" s="37"/>
      <c r="E1040" s="37"/>
      <c r="F1040" s="37"/>
      <c r="G1040" s="89"/>
      <c r="K1040" s="37"/>
      <c r="O1040" s="37"/>
      <c r="P1040" s="37"/>
      <c r="Q1040" s="37"/>
      <c r="R1040" s="37"/>
    </row>
    <row r="1041">
      <c r="B1041" s="37"/>
      <c r="C1041" s="37"/>
      <c r="D1041" s="37"/>
      <c r="E1041" s="37"/>
      <c r="F1041" s="37"/>
      <c r="G1041" s="89"/>
      <c r="K1041" s="37"/>
      <c r="O1041" s="37"/>
      <c r="P1041" s="37"/>
      <c r="Q1041" s="37"/>
      <c r="R1041" s="37"/>
    </row>
    <row r="1042">
      <c r="B1042" s="37"/>
      <c r="C1042" s="37"/>
      <c r="D1042" s="37"/>
      <c r="E1042" s="37"/>
      <c r="F1042" s="37"/>
      <c r="G1042" s="89"/>
      <c r="K1042" s="37"/>
      <c r="O1042" s="37"/>
      <c r="P1042" s="37"/>
      <c r="Q1042" s="37"/>
      <c r="R1042" s="37"/>
    </row>
    <row r="1043">
      <c r="B1043" s="37"/>
      <c r="C1043" s="37"/>
      <c r="D1043" s="37"/>
      <c r="E1043" s="37"/>
      <c r="F1043" s="37"/>
      <c r="G1043" s="89"/>
      <c r="K1043" s="37"/>
      <c r="O1043" s="37"/>
      <c r="P1043" s="37"/>
      <c r="Q1043" s="37"/>
      <c r="R1043" s="37"/>
    </row>
    <row r="1044">
      <c r="B1044" s="37"/>
      <c r="C1044" s="37"/>
      <c r="D1044" s="37"/>
      <c r="E1044" s="37"/>
      <c r="F1044" s="37"/>
      <c r="G1044" s="89"/>
      <c r="K1044" s="37"/>
      <c r="O1044" s="37"/>
      <c r="P1044" s="37"/>
      <c r="Q1044" s="37"/>
      <c r="R1044" s="37"/>
    </row>
    <row r="1045">
      <c r="B1045" s="37"/>
      <c r="C1045" s="37"/>
      <c r="D1045" s="37"/>
      <c r="E1045" s="37"/>
      <c r="F1045" s="37"/>
      <c r="G1045" s="89"/>
      <c r="K1045" s="37"/>
      <c r="O1045" s="37"/>
      <c r="P1045" s="37"/>
      <c r="Q1045" s="37"/>
      <c r="R1045" s="37"/>
    </row>
    <row r="1046">
      <c r="B1046" s="37"/>
      <c r="C1046" s="37"/>
      <c r="D1046" s="37"/>
      <c r="E1046" s="37"/>
      <c r="F1046" s="37"/>
      <c r="G1046" s="89"/>
      <c r="K1046" s="37"/>
      <c r="O1046" s="37"/>
      <c r="P1046" s="37"/>
      <c r="Q1046" s="37"/>
      <c r="R1046" s="37"/>
    </row>
    <row r="1047">
      <c r="B1047" s="37"/>
      <c r="C1047" s="37"/>
      <c r="D1047" s="37"/>
      <c r="E1047" s="37"/>
      <c r="F1047" s="37"/>
      <c r="G1047" s="89"/>
      <c r="K1047" s="37"/>
      <c r="O1047" s="37"/>
      <c r="P1047" s="37"/>
      <c r="Q1047" s="37"/>
      <c r="R1047" s="37"/>
    </row>
    <row r="1048">
      <c r="B1048" s="37"/>
      <c r="C1048" s="37"/>
      <c r="D1048" s="37"/>
      <c r="E1048" s="37"/>
      <c r="F1048" s="37"/>
      <c r="G1048" s="89"/>
      <c r="K1048" s="37"/>
      <c r="O1048" s="37"/>
      <c r="P1048" s="37"/>
      <c r="Q1048" s="37"/>
      <c r="R1048" s="37"/>
    </row>
    <row r="1049">
      <c r="B1049" s="37"/>
      <c r="C1049" s="37"/>
      <c r="D1049" s="37"/>
      <c r="E1049" s="37"/>
      <c r="F1049" s="37"/>
      <c r="G1049" s="89"/>
      <c r="K1049" s="37"/>
      <c r="O1049" s="37"/>
      <c r="P1049" s="37"/>
      <c r="Q1049" s="37"/>
      <c r="R1049" s="37"/>
    </row>
    <row r="1050">
      <c r="B1050" s="37"/>
      <c r="C1050" s="37"/>
      <c r="D1050" s="37"/>
      <c r="E1050" s="37"/>
      <c r="F1050" s="37"/>
      <c r="G1050" s="89"/>
      <c r="K1050" s="37"/>
      <c r="O1050" s="37"/>
      <c r="P1050" s="37"/>
      <c r="Q1050" s="37"/>
      <c r="R1050" s="37"/>
    </row>
    <row r="1051">
      <c r="B1051" s="37"/>
      <c r="C1051" s="37"/>
      <c r="D1051" s="37"/>
      <c r="E1051" s="37"/>
      <c r="F1051" s="37"/>
      <c r="G1051" s="89"/>
      <c r="K1051" s="37"/>
      <c r="O1051" s="37"/>
      <c r="P1051" s="37"/>
      <c r="Q1051" s="37"/>
      <c r="R1051" s="37"/>
    </row>
    <row r="1052">
      <c r="B1052" s="37"/>
      <c r="C1052" s="37"/>
      <c r="D1052" s="37"/>
      <c r="E1052" s="37"/>
      <c r="F1052" s="37"/>
      <c r="G1052" s="89"/>
      <c r="K1052" s="37"/>
      <c r="O1052" s="37"/>
      <c r="P1052" s="37"/>
      <c r="Q1052" s="37"/>
      <c r="R1052" s="37"/>
    </row>
    <row r="1053">
      <c r="B1053" s="37"/>
      <c r="C1053" s="37"/>
      <c r="D1053" s="37"/>
      <c r="E1053" s="37"/>
      <c r="F1053" s="37"/>
      <c r="G1053" s="89"/>
      <c r="K1053" s="37"/>
      <c r="O1053" s="37"/>
      <c r="P1053" s="37"/>
      <c r="Q1053" s="37"/>
      <c r="R1053" s="37"/>
    </row>
    <row r="1054">
      <c r="B1054" s="37"/>
      <c r="C1054" s="37"/>
      <c r="D1054" s="37"/>
      <c r="E1054" s="37"/>
      <c r="F1054" s="37"/>
      <c r="G1054" s="89"/>
      <c r="K1054" s="37"/>
      <c r="O1054" s="37"/>
      <c r="P1054" s="37"/>
      <c r="Q1054" s="37"/>
      <c r="R1054" s="37"/>
    </row>
    <row r="1055">
      <c r="B1055" s="37"/>
      <c r="C1055" s="37"/>
      <c r="D1055" s="37"/>
      <c r="E1055" s="37"/>
      <c r="F1055" s="37"/>
      <c r="G1055" s="89"/>
      <c r="K1055" s="37"/>
      <c r="O1055" s="37"/>
      <c r="P1055" s="37"/>
      <c r="Q1055" s="37"/>
      <c r="R1055" s="37"/>
    </row>
    <row r="1056">
      <c r="B1056" s="37"/>
      <c r="C1056" s="37"/>
      <c r="D1056" s="37"/>
      <c r="E1056" s="37"/>
      <c r="F1056" s="37"/>
      <c r="G1056" s="89"/>
      <c r="K1056" s="37"/>
      <c r="O1056" s="37"/>
      <c r="P1056" s="37"/>
      <c r="Q1056" s="37"/>
      <c r="R1056" s="37"/>
    </row>
    <row r="1057">
      <c r="B1057" s="37"/>
      <c r="C1057" s="37"/>
      <c r="D1057" s="37"/>
      <c r="E1057" s="37"/>
      <c r="F1057" s="37"/>
      <c r="G1057" s="89"/>
      <c r="K1057" s="37"/>
      <c r="O1057" s="37"/>
      <c r="P1057" s="37"/>
      <c r="Q1057" s="37"/>
      <c r="R1057" s="37"/>
    </row>
    <row r="1058">
      <c r="B1058" s="37"/>
      <c r="C1058" s="37"/>
      <c r="D1058" s="37"/>
      <c r="E1058" s="37"/>
      <c r="F1058" s="37"/>
      <c r="G1058" s="89"/>
      <c r="K1058" s="37"/>
      <c r="O1058" s="37"/>
      <c r="P1058" s="37"/>
      <c r="Q1058" s="37"/>
      <c r="R1058" s="37"/>
    </row>
  </sheetData>
  <conditionalFormatting sqref="F1:F17 F18:F1058">
    <cfRule type="containsText" dxfId="0" priority="1" operator="containsText" text="Clean">
      <formula>NOT(ISERROR(SEARCH(("Clean"),(F1))))</formula>
    </cfRule>
  </conditionalFormatting>
  <conditionalFormatting sqref="F1:F17 F18:F1058">
    <cfRule type="containsText" dxfId="1" priority="2" operator="containsText" text="Blacklist">
      <formula>NOT(ISERROR(SEARCH(("Blacklist"),(F1))))</formula>
    </cfRule>
  </conditionalFormatting>
  <conditionalFormatting sqref="F1:F17 F18:F1058">
    <cfRule type="containsText" dxfId="2" priority="3" operator="containsText" text="Suspicious">
      <formula>NOT(ISERROR(SEARCH(("Suspicious"),(F1))))</formula>
    </cfRule>
  </conditionalFormatting>
  <conditionalFormatting sqref="H1:H17 H18:H1058">
    <cfRule type="containsText" dxfId="0" priority="4" operator="containsText" text="Yes">
      <formula>NOT(ISERROR(SEARCH(("Yes"),(H1))))</formula>
    </cfRule>
  </conditionalFormatting>
  <conditionalFormatting sqref="H1:H17 H18:H1058">
    <cfRule type="containsText" dxfId="1" priority="5" operator="containsText" text="No">
      <formula>NOT(ISERROR(SEARCH(("No"),(H1))))</formula>
    </cfRule>
  </conditionalFormatting>
  <conditionalFormatting sqref="L1:L17 L18:L1058">
    <cfRule type="containsText" dxfId="3" priority="6" operator="containsText" text="Cloudflare">
      <formula>NOT(ISERROR(SEARCH(("Cloudflare"),(L1))))</formula>
    </cfRule>
  </conditionalFormatting>
  <conditionalFormatting sqref="L1:L17 L18:L1058">
    <cfRule type="containsText" dxfId="4" priority="7" operator="containsText" text="Pomflare">
      <formula>NOT(ISERROR(SEARCH(("Pomflare"),(L1))))</formula>
    </cfRule>
  </conditionalFormatting>
  <conditionalFormatting sqref="L1:L17 L18:L1058">
    <cfRule type="containsText" dxfId="5" priority="8" operator="containsText" text="No">
      <formula>NOT(ISERROR(SEARCH(("No"),(L1))))</formula>
    </cfRule>
  </conditionalFormatting>
  <conditionalFormatting sqref="L1:L17 L18:L1058">
    <cfRule type="containsText" dxfId="6" priority="9" operator="containsText" text="Fastly">
      <formula>NOT(ISERROR(SEARCH(("Fastly"),(L1))))</formula>
    </cfRule>
  </conditionalFormatting>
  <conditionalFormatting sqref="J1:J17 J18:J1058">
    <cfRule type="containsText" dxfId="0" priority="10" operator="containsText" text="Yes">
      <formula>NOT(ISERROR(SEARCH(("Yes"),(J1))))</formula>
    </cfRule>
  </conditionalFormatting>
  <conditionalFormatting sqref="J1:J17 J18:J1058">
    <cfRule type="containsText" dxfId="1" priority="11" operator="containsText" text="No">
      <formula>NOT(ISERROR(SEARCH(("No"),(J1))))</formula>
    </cfRule>
  </conditionalFormatting>
  <conditionalFormatting sqref="I1:I17 I18:I1058">
    <cfRule type="containsText" dxfId="7" priority="12" operator="containsText" text="Yes">
      <formula>NOT(ISERROR(SEARCH(("Yes"),(I1))))</formula>
    </cfRule>
  </conditionalFormatting>
  <conditionalFormatting sqref="I1:I17 I18:I1058">
    <cfRule type="containsText" dxfId="8" priority="13" operator="containsText" text="No">
      <formula>NOT(ISERROR(SEARCH(("No"),(I1))))</formula>
    </cfRule>
  </conditionalFormatting>
  <conditionalFormatting sqref="I1:I17 I18:I1058">
    <cfRule type="containsText" dxfId="9" priority="14" operator="containsText" text="Temp">
      <formula>NOT(ISERROR(SEARCH(("Temp"),(I1))))</formula>
    </cfRule>
  </conditionalFormatting>
  <conditionalFormatting sqref="B1:B4 B6:B17 B18:B1058">
    <cfRule type="containsText" dxfId="10" priority="15" operator="containsText" text="Up">
      <formula>NOT(ISERROR(SEARCH(("Up"),(B1))))</formula>
    </cfRule>
  </conditionalFormatting>
  <conditionalFormatting sqref="B1:B4 B6:B17 B18:B1058">
    <cfRule type="containsText" dxfId="11" priority="16" operator="containsText" text="Down">
      <formula>NOT(ISERROR(SEARCH(("Down"),(B1))))</formula>
    </cfRule>
  </conditionalFormatting>
  <conditionalFormatting sqref="B1:B17 B18:B1058">
    <cfRule type="containsText" dxfId="11" priority="17" operator="containsText" text="Closed">
      <formula>NOT(ISERROR(SEARCH(("Closed"),(B1))))</formula>
    </cfRule>
  </conditionalFormatting>
  <conditionalFormatting sqref="B1:B17 B18:B1058">
    <cfRule type="containsText" dxfId="11" priority="18" operator="containsText" text="Fire">
      <formula>NOT(ISERROR(SEARCH(("Fire"),(B1))))</formula>
    </cfRule>
  </conditionalFormatting>
  <conditionalFormatting sqref="B1:B17 B18:B1058">
    <cfRule type="containsText" dxfId="11" priority="19" operator="containsText" text="Hijacked">
      <formula>NOT(ISERROR(SEARCH(("Hijacked"),(B1))))</formula>
    </cfRule>
  </conditionalFormatting>
  <conditionalFormatting sqref="B1:B17 B18:B1058">
    <cfRule type="containsText" dxfId="12" priority="20" operator="containsText" text="Private">
      <formula>NOT(ISERROR(SEARCH(("Private"),(B1))))</formula>
    </cfRule>
  </conditionalFormatting>
  <conditionalFormatting sqref="D1:D17 D18:D1058">
    <cfRule type="containsText" dxfId="0" priority="21" operator="containsText" text="Yes">
      <formula>NOT(ISERROR(SEARCH(("Yes"),(D1))))</formula>
    </cfRule>
  </conditionalFormatting>
  <conditionalFormatting sqref="D1:D17 D18:D1058">
    <cfRule type="containsText" dxfId="1" priority="22" operator="containsText" text="No">
      <formula>NOT(ISERROR(SEARCH(("No"),(D1))))</formula>
    </cfRule>
  </conditionalFormatting>
  <conditionalFormatting sqref="E1:E17 E18:E1058">
    <cfRule type="containsText" dxfId="0" priority="23" operator="containsText" text="Yes">
      <formula>NOT(ISERROR(SEARCH(("Yes"),(E1))))</formula>
    </cfRule>
  </conditionalFormatting>
  <conditionalFormatting sqref="E1:E17 E18:E1058">
    <cfRule type="containsText" dxfId="5" priority="24" operator="containsText" text="No">
      <formula>NOT(ISERROR(SEARCH(("No"),(E1))))</formula>
    </cfRule>
  </conditionalFormatting>
  <conditionalFormatting sqref="K1:K17 K18:K1058">
    <cfRule type="containsText" dxfId="8" priority="25" operator="containsText" text="No">
      <formula>NOT(ISERROR(SEARCH(("No"),(K1))))</formula>
    </cfRule>
  </conditionalFormatting>
  <conditionalFormatting sqref="N1:N17 N18:N1058">
    <cfRule type="containsText" dxfId="0" priority="26" operator="containsText" text="Yes">
      <formula>NOT(ISERROR(SEARCH(("Yes"),(N1))))</formula>
    </cfRule>
  </conditionalFormatting>
  <conditionalFormatting sqref="N1:N17 N18:N1058">
    <cfRule type="cellIs" dxfId="5" priority="27" operator="equal">
      <formula>"No"</formula>
    </cfRule>
  </conditionalFormatting>
  <conditionalFormatting sqref="H1:H17 H18:H1058">
    <cfRule type="containsText" dxfId="13" priority="28" operator="containsText" text="Can't">
      <formula>NOT(ISERROR(SEARCH(("Can't"),(H1))))</formula>
    </cfRule>
  </conditionalFormatting>
  <conditionalFormatting sqref="B1:B17 B18:B1058">
    <cfRule type="containsText" dxfId="14" priority="29" operator="containsText" text="Broken">
      <formula>NOT(ISERROR(SEARCH(("Broken"),(B1))))</formula>
    </cfRule>
  </conditionalFormatting>
  <conditionalFormatting sqref="M1:M17 M18:M1058">
    <cfRule type="containsText" dxfId="8" priority="30" operator="containsText" text="No">
      <formula>NOT(ISERROR(SEARCH(("No"),(M1))))</formula>
    </cfRule>
  </conditionalFormatting>
  <conditionalFormatting sqref="Y7">
    <cfRule type="notContainsBlanks" dxfId="15" priority="31">
      <formula>LEN(TRIM(Y7))&gt;0</formula>
    </cfRule>
  </conditionalFormatting>
  <conditionalFormatting sqref="B1:B17 B18:B1058">
    <cfRule type="containsText" dxfId="12" priority="32" operator="containsText" text="Disabled">
      <formula>NOT(ISERROR(SEARCH(("Disabled"),(B1))))</formula>
    </cfRule>
  </conditionalFormatting>
  <hyperlinks>
    <hyperlink r:id="rId2" ref="B3"/>
    <hyperlink r:id="rId3" ref="A14"/>
    <hyperlink r:id="rId4" ref="R15"/>
    <hyperlink r:id="rId5" ref="R24"/>
    <hyperlink r:id="rId6" ref="A38"/>
    <hyperlink r:id="rId7" ref="O39"/>
    <hyperlink r:id="rId8" ref="A44"/>
    <hyperlink r:id="rId9" ref="R49"/>
    <hyperlink r:id="rId10" ref="A51"/>
    <hyperlink r:id="rId11" ref="A63"/>
    <hyperlink r:id="rId12" ref="A73"/>
    <hyperlink r:id="rId13" ref="A80"/>
    <hyperlink r:id="rId14" ref="A82"/>
    <hyperlink r:id="rId15" ref="A87"/>
    <hyperlink r:id="rId16" ref="A89"/>
    <hyperlink r:id="rId17" ref="A90"/>
    <hyperlink r:id="rId18" ref="A92"/>
    <hyperlink r:id="rId19" ref="A93"/>
  </hyperlinks>
  <drawing r:id="rId20"/>
  <legacyDrawing r:id="rId21"/>
</worksheet>
</file>