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bwedu-my.sharepoint.com/personal/raghavakrishna_devineni_bwedu_de/Documents/5_PythonFiles/RandS/"/>
    </mc:Choice>
  </mc:AlternateContent>
  <xr:revisionPtr revIDLastSave="0" documentId="13_ncr:1_{032A75C3-FC42-4505-A85C-9224CFA91E94}" xr6:coauthVersionLast="47" xr6:coauthVersionMax="47" xr10:uidLastSave="{00000000-0000-0000-0000-000000000000}"/>
  <bookViews>
    <workbookView xWindow="-110" yWindow="-110" windowWidth="19420" windowHeight="10420" xr2:uid="{3D13CFD7-B66F-4462-B9D7-7C98A67E48B5}"/>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12" i="1" l="1"/>
  <c r="X12" i="1"/>
  <c r="W12" i="1"/>
  <c r="U12" i="1"/>
  <c r="S12" i="1"/>
  <c r="Q12" i="1"/>
  <c r="C12" i="1"/>
  <c r="Q22" i="1"/>
  <c r="BH12" i="1" l="1"/>
  <c r="BI12" i="1"/>
  <c r="BK12" i="1" s="1"/>
  <c r="BG12" i="1"/>
  <c r="BG22" i="1"/>
  <c r="BC12" i="1"/>
  <c r="AY12" i="1"/>
  <c r="BI22" i="1"/>
  <c r="BK22" i="1" s="1"/>
  <c r="BC22" i="1"/>
  <c r="AY22" i="1"/>
  <c r="BF22" i="1"/>
  <c r="AI22" i="1"/>
  <c r="AJ22" i="1"/>
  <c r="AK22" i="1" s="1"/>
  <c r="AN22" i="1" s="1"/>
  <c r="AG22" i="1"/>
  <c r="BH22" i="1"/>
  <c r="BJ22" i="1" s="1"/>
  <c r="BN22" i="1" s="1"/>
  <c r="BA22" i="1"/>
  <c r="AW22" i="1"/>
  <c r="AE22" i="1"/>
  <c r="P22" i="1"/>
  <c r="O22" i="1"/>
  <c r="N22" i="1"/>
  <c r="M22" i="1"/>
  <c r="BO12" i="1" l="1"/>
  <c r="BM12" i="1"/>
  <c r="C22" i="1"/>
  <c r="AM22" i="1" s="1"/>
  <c r="BO22" i="1"/>
  <c r="BM22" i="1"/>
  <c r="AL22" i="1"/>
  <c r="BS22" i="1" s="1"/>
  <c r="BL22" i="1"/>
  <c r="R22" i="1" l="1"/>
  <c r="AO22" i="1" s="1"/>
  <c r="BT22" i="1"/>
  <c r="BJ12" i="1" l="1"/>
  <c r="BF12" i="1"/>
  <c r="BA12" i="1"/>
  <c r="AW12" i="1"/>
  <c r="AI12" i="1"/>
  <c r="AJ12" i="1"/>
  <c r="AK12" i="1" s="1"/>
  <c r="AN12" i="1" s="1"/>
  <c r="BL12" i="1" l="1"/>
  <c r="BN12" i="1"/>
  <c r="S13" i="1"/>
  <c r="S14" i="1"/>
  <c r="S15" i="1"/>
  <c r="S16" i="1"/>
  <c r="S17" i="1"/>
  <c r="S18" i="1"/>
  <c r="S19" i="1"/>
  <c r="S20" i="1"/>
  <c r="S21" i="1"/>
  <c r="S22" i="1"/>
  <c r="S23" i="1"/>
  <c r="S24" i="1"/>
  <c r="S25" i="1"/>
  <c r="S26" i="1"/>
  <c r="S27" i="1"/>
  <c r="S8" i="1"/>
  <c r="S9" i="1"/>
  <c r="S10" i="1"/>
  <c r="S11" i="1"/>
  <c r="AG12" i="1"/>
  <c r="AE12" i="1"/>
  <c r="O12" i="1"/>
  <c r="N12" i="1"/>
  <c r="M12" i="1"/>
  <c r="AL12" i="1" l="1"/>
  <c r="BS12" i="1" l="1"/>
  <c r="BT12" i="1"/>
  <c r="AM12" i="1"/>
  <c r="R12" i="1"/>
  <c r="U18" i="1"/>
  <c r="V18" i="1" s="1"/>
  <c r="W18" i="1" s="1"/>
  <c r="U19" i="1"/>
  <c r="V19" i="1" s="1"/>
  <c r="W19" i="1" s="1"/>
  <c r="T17" i="1"/>
  <c r="Z17" i="1" s="1"/>
  <c r="T18" i="1"/>
  <c r="Z18" i="1" s="1"/>
  <c r="T19" i="1"/>
  <c r="Z19" i="1" s="1"/>
  <c r="T20" i="1"/>
  <c r="Z20" i="1" s="1"/>
  <c r="T21" i="1"/>
  <c r="Z21" i="1" s="1"/>
  <c r="T22" i="1"/>
  <c r="T23" i="1"/>
  <c r="Z23" i="1" s="1"/>
  <c r="T24" i="1"/>
  <c r="Z24" i="1" s="1"/>
  <c r="T25" i="1"/>
  <c r="Z25" i="1" s="1"/>
  <c r="T26" i="1"/>
  <c r="Z26" i="1" s="1"/>
  <c r="T27" i="1"/>
  <c r="Z27" i="1" s="1"/>
  <c r="T16" i="1"/>
  <c r="T9" i="1"/>
  <c r="T10" i="1"/>
  <c r="T11" i="1"/>
  <c r="T13" i="1"/>
  <c r="T14" i="1"/>
  <c r="T15" i="1"/>
  <c r="T8" i="1"/>
  <c r="Z8" i="1" s="1"/>
  <c r="V12" i="1" l="1"/>
  <c r="AU12" i="1" s="1"/>
  <c r="T12" i="1"/>
  <c r="AP12" i="1" s="1"/>
  <c r="U24" i="1"/>
  <c r="V24" i="1" s="1"/>
  <c r="W24" i="1" s="1"/>
  <c r="AO12" i="1"/>
  <c r="Z22" i="1"/>
  <c r="AP22" i="1"/>
  <c r="U25" i="1"/>
  <c r="V25" i="1" s="1"/>
  <c r="W25" i="1" s="1"/>
  <c r="U17" i="1"/>
  <c r="V17" i="1" s="1"/>
  <c r="W17" i="1" s="1"/>
  <c r="U27" i="1"/>
  <c r="V27" i="1" s="1"/>
  <c r="W27" i="1" s="1"/>
  <c r="U26" i="1"/>
  <c r="V26" i="1" s="1"/>
  <c r="W26" i="1" s="1"/>
  <c r="U16" i="1"/>
  <c r="V16" i="1" s="1"/>
  <c r="Z16" i="1"/>
  <c r="AA16" i="1" s="1"/>
  <c r="X24" i="1"/>
  <c r="Y24" i="1" s="1"/>
  <c r="X18" i="1"/>
  <c r="Y18" i="1" s="1"/>
  <c r="AA19" i="1"/>
  <c r="U23" i="1"/>
  <c r="V23" i="1" s="1"/>
  <c r="W23" i="1" s="1"/>
  <c r="AA26" i="1"/>
  <c r="AA18" i="1"/>
  <c r="U22" i="1"/>
  <c r="V22" i="1" s="1"/>
  <c r="W22" i="1" s="1"/>
  <c r="X26" i="1"/>
  <c r="Y26" i="1" s="1"/>
  <c r="AA8" i="1"/>
  <c r="AA17" i="1"/>
  <c r="U21" i="1"/>
  <c r="V21" i="1" s="1"/>
  <c r="W21" i="1" s="1"/>
  <c r="AA24" i="1"/>
  <c r="U8" i="1"/>
  <c r="V8" i="1" s="1"/>
  <c r="W8" i="1" s="1"/>
  <c r="U20" i="1"/>
  <c r="V20" i="1" s="1"/>
  <c r="X19" i="1"/>
  <c r="Y19" i="1" s="1"/>
  <c r="X16" i="1"/>
  <c r="Y16" i="1" s="1"/>
  <c r="W16" i="1"/>
  <c r="U14" i="1"/>
  <c r="V14" i="1" s="1"/>
  <c r="W14" i="1" s="1"/>
  <c r="Z14" i="1"/>
  <c r="U15" i="1"/>
  <c r="V15" i="1" s="1"/>
  <c r="W15" i="1" s="1"/>
  <c r="Z15" i="1"/>
  <c r="U13" i="1"/>
  <c r="V13" i="1" s="1"/>
  <c r="W13" i="1" s="1"/>
  <c r="Z13" i="1"/>
  <c r="U11" i="1"/>
  <c r="V11" i="1" s="1"/>
  <c r="W11" i="1" s="1"/>
  <c r="Z11" i="1"/>
  <c r="AA11" i="1" s="1"/>
  <c r="U10" i="1"/>
  <c r="V10" i="1" s="1"/>
  <c r="W10" i="1" s="1"/>
  <c r="Z10" i="1"/>
  <c r="U9" i="1"/>
  <c r="V9" i="1" s="1"/>
  <c r="W9" i="1" s="1"/>
  <c r="Z9" i="1"/>
  <c r="BQ12" i="1" l="1"/>
  <c r="AS12" i="1"/>
  <c r="AQ12" i="1" s="1"/>
  <c r="Z12" i="1"/>
  <c r="X11" i="1"/>
  <c r="Y11" i="1" s="1"/>
  <c r="AA25" i="1"/>
  <c r="AC25" i="1" s="1"/>
  <c r="AR22" i="1"/>
  <c r="AT22" i="1" s="1"/>
  <c r="BP22" i="1" s="1"/>
  <c r="AU22" i="1"/>
  <c r="AS22" i="1" s="1"/>
  <c r="AQ22" i="1" s="1"/>
  <c r="X25" i="1"/>
  <c r="Y25" i="1" s="1"/>
  <c r="X9" i="1"/>
  <c r="Y9" i="1" s="1"/>
  <c r="AA13" i="1"/>
  <c r="AB13" i="1" s="1"/>
  <c r="X27" i="1"/>
  <c r="Y27" i="1" s="1"/>
  <c r="AA9" i="1"/>
  <c r="X13" i="1"/>
  <c r="Y13" i="1" s="1"/>
  <c r="X22" i="1"/>
  <c r="Y22" i="1" s="1"/>
  <c r="X8" i="1"/>
  <c r="Y8" i="1" s="1"/>
  <c r="AA21" i="1"/>
  <c r="AB21" i="1" s="1"/>
  <c r="AR12" i="1"/>
  <c r="AA22" i="1"/>
  <c r="AC22" i="1" s="1"/>
  <c r="BR22" i="1" s="1"/>
  <c r="X17" i="1"/>
  <c r="Y17" i="1" s="1"/>
  <c r="AA27" i="1"/>
  <c r="AC27" i="1" s="1"/>
  <c r="AB17" i="1"/>
  <c r="AC17" i="1"/>
  <c r="AB19" i="1"/>
  <c r="AC19" i="1"/>
  <c r="AB8" i="1"/>
  <c r="AC8" i="1"/>
  <c r="AC18" i="1"/>
  <c r="AB18" i="1"/>
  <c r="AB27" i="1"/>
  <c r="AB25" i="1"/>
  <c r="AC26" i="1"/>
  <c r="AB26" i="1"/>
  <c r="AB24" i="1"/>
  <c r="AC24" i="1"/>
  <c r="X23" i="1"/>
  <c r="Y23" i="1" s="1"/>
  <c r="AA20" i="1"/>
  <c r="W20" i="1"/>
  <c r="X20" i="1"/>
  <c r="Y20" i="1" s="1"/>
  <c r="AC16" i="1"/>
  <c r="AB16" i="1"/>
  <c r="X21" i="1"/>
  <c r="Y21" i="1" s="1"/>
  <c r="AA23" i="1"/>
  <c r="X10" i="1"/>
  <c r="Y10" i="1" s="1"/>
  <c r="AB11" i="1"/>
  <c r="AC11" i="1"/>
  <c r="AA14" i="1"/>
  <c r="AC9" i="1"/>
  <c r="AB9" i="1"/>
  <c r="AA15" i="1"/>
  <c r="X15" i="1"/>
  <c r="Y15" i="1" s="1"/>
  <c r="X14" i="1"/>
  <c r="Y14" i="1" s="1"/>
  <c r="AA10" i="1"/>
  <c r="AA12" i="1"/>
  <c r="Y12" i="1"/>
  <c r="AT12" i="1" l="1"/>
  <c r="BP12" i="1" s="1"/>
  <c r="BQ22" i="1"/>
  <c r="AC21" i="1"/>
  <c r="AB22" i="1"/>
  <c r="AB12" i="1"/>
  <c r="BR12" i="1"/>
  <c r="AC13" i="1"/>
  <c r="AC23" i="1"/>
  <c r="AB23" i="1"/>
  <c r="AB20" i="1"/>
  <c r="AC20" i="1"/>
  <c r="AB15" i="1"/>
  <c r="AC15" i="1"/>
  <c r="AC14" i="1"/>
  <c r="AB14" i="1"/>
  <c r="AC10" i="1"/>
  <c r="AB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tc={1E650BE0-25CD-4BC9-9C44-53D529B12339}</author>
  </authors>
  <commentList>
    <comment ref="AU6" authorId="0" shapeId="0" xr:uid="{1E650BE0-25CD-4BC9-9C44-53D529B12339}">
      <text>
        <t>[Threaded comment]
Your version of Excel allows you to read this threaded comment; however, any edits to it will get removed if the file is opened in a newer version of Excel. Learn more: https://go.microsoft.com/fwlink/?linkid=870924
Comment:
    Die Rezirkulationsrate berechnet sich besser, weil weniger mit Unsicherheiten belastet aus dem relativen Luftaustauschwirkungsgrad des inneren Systems (2, 3) und der Kurzschlussrate S.
Reply:
    Der Grund liegt darin, dass das Ergebnis zwar vom Abluftverweilzeiten tau_e2 aber nicht mehr vom Abluftalter tau_e1 abhängig ist. Die möglichst genaue Bestimmung beider Abluftverweilzeiten gelingt am besten, wenn der Spurengassensor möglichst in der Blende liegt. Auf diese Weise wird eine zu starke Rückvermischung mit Innenraumluft vor erreichen des Sensors vermieden.</t>
      </text>
    </comment>
  </commentList>
</comments>
</file>

<file path=xl/sharedStrings.xml><?xml version="1.0" encoding="utf-8"?>
<sst xmlns="http://schemas.openxmlformats.org/spreadsheetml/2006/main" count="119" uniqueCount="107">
  <si>
    <t>Volumen</t>
  </si>
  <si>
    <t>herder</t>
  </si>
  <si>
    <t>ESHL</t>
  </si>
  <si>
    <t>Volumenströme</t>
  </si>
  <si>
    <t>S Ie0 Herdern</t>
  </si>
  <si>
    <t>S Ie1 Herdern</t>
  </si>
  <si>
    <t>S H e0 Herdern</t>
  </si>
  <si>
    <t>S H e1 Herdern</t>
  </si>
  <si>
    <t>W Ie0 Herdern</t>
  </si>
  <si>
    <t>W Ie1 Herdern</t>
  </si>
  <si>
    <t>W H e0 Herdern</t>
  </si>
  <si>
    <t>W H e1 Herdern</t>
  </si>
  <si>
    <t>S Ie0 ESHL</t>
  </si>
  <si>
    <t>S Ie1 ESHL</t>
  </si>
  <si>
    <t>S IKT on ESHL</t>
  </si>
  <si>
    <t>S H e0 ESHL</t>
  </si>
  <si>
    <t>S H e1 ESHL</t>
  </si>
  <si>
    <t>S H KT on ESHL</t>
  </si>
  <si>
    <t>W Ie0 ESHL</t>
  </si>
  <si>
    <t>W Ie1 ESHL</t>
  </si>
  <si>
    <t>W IKT on ESHL</t>
  </si>
  <si>
    <t>W H e0 ESHL</t>
  </si>
  <si>
    <t>W H e1 ESHL</t>
  </si>
  <si>
    <t>W H KT on ES</t>
  </si>
  <si>
    <t>mittlere Raumluftalter</t>
  </si>
  <si>
    <t>geschätztes Abluftverweilzeit</t>
  </si>
  <si>
    <t>Kurzschlussvolumen</t>
  </si>
  <si>
    <t>Effektiver Volumenstrom für die Gebäudezone</t>
  </si>
  <si>
    <t>dot(V)s</t>
  </si>
  <si>
    <t>[tau]3</t>
  </si>
  <si>
    <t>bar(tau)e,2</t>
  </si>
  <si>
    <t>V2</t>
  </si>
  <si>
    <t>dot(V)3</t>
  </si>
  <si>
    <t>V23</t>
  </si>
  <si>
    <t xml:space="preserve">Effektiver Volumenstrom durch das Kurzschlussvolumen </t>
  </si>
  <si>
    <t>dot(V)2</t>
  </si>
  <si>
    <t>nominale Verweilzeit im Kurzschlussvolumen</t>
  </si>
  <si>
    <t>tau_e1</t>
  </si>
  <si>
    <t>tau_e2</t>
  </si>
  <si>
    <t>tau_e3</t>
  </si>
  <si>
    <t>tau_e4</t>
  </si>
  <si>
    <t>dotV1</t>
  </si>
  <si>
    <t>dotV2</t>
  </si>
  <si>
    <t>dotV3</t>
  </si>
  <si>
    <t>dotV4</t>
  </si>
  <si>
    <t>Volumen der Aufenthaltszone</t>
  </si>
  <si>
    <t>V3</t>
  </si>
  <si>
    <t>nominale Verweilzeit in der Aufenthaltszone</t>
  </si>
  <si>
    <t>relativer Luftaustauschwirkungsgrad</t>
  </si>
  <si>
    <t>mittleres Luftalter der Kurzschlusszone</t>
  </si>
  <si>
    <t>[tau]2</t>
  </si>
  <si>
    <t>[tau]2,3</t>
  </si>
  <si>
    <t>nominale Verweilzeit des inneren Systems 2 &amp; 3</t>
  </si>
  <si>
    <t>tau_n,2</t>
  </si>
  <si>
    <t>tau_n,2,3</t>
  </si>
  <si>
    <t>tau_n,3</t>
  </si>
  <si>
    <t>sigma^2</t>
  </si>
  <si>
    <t>mu3</t>
  </si>
  <si>
    <t>mu4</t>
  </si>
  <si>
    <t>(sigma^2)*</t>
  </si>
  <si>
    <t>Relativer Luftaustauschwirkungsgrad des inneren Systems</t>
  </si>
  <si>
    <t>Verweilzeit der Abluft des inneren Systems 2 &amp; 3</t>
  </si>
  <si>
    <t>Mittlere Luftalter des inneren Systems 2 &amp; 3</t>
  </si>
  <si>
    <t>Kurzschlussrate</t>
  </si>
  <si>
    <t>S</t>
  </si>
  <si>
    <t>Varianz des inneren Systems 2 &amp; 3</t>
  </si>
  <si>
    <t>Dimensionslose Varianz</t>
  </si>
  <si>
    <t>bar(tau)_(e,2,3)</t>
  </si>
  <si>
    <t>tau_s1</t>
  </si>
  <si>
    <t>tau_s2</t>
  </si>
  <si>
    <t>tau_s3</t>
  </si>
  <si>
    <t>tau_s4</t>
  </si>
  <si>
    <t>bar(tau)e,1</t>
  </si>
  <si>
    <r>
      <t xml:space="preserve">Rezirkulationsvolumen </t>
    </r>
    <r>
      <rPr>
        <b/>
        <sz val="11"/>
        <color rgb="FFFF0000"/>
        <rFont val="Calibri"/>
        <family val="2"/>
        <scheme val="minor"/>
      </rPr>
      <t>Annahme!</t>
    </r>
  </si>
  <si>
    <t xml:space="preserve">nominale Verweilzeit / Zeitkonstante </t>
  </si>
  <si>
    <t>tau_n1</t>
  </si>
  <si>
    <t>alpha_2,3</t>
  </si>
  <si>
    <t>epsilon^a_2,3</t>
  </si>
  <si>
    <t>Frischluftvolumenstrom</t>
  </si>
  <si>
    <t>nominale Verweilzeit des gesamten Systems 1, 2 &amp; 3</t>
  </si>
  <si>
    <t>mittleres Luftalter des gesamten Systems 1, 2 &amp; 3</t>
  </si>
  <si>
    <t>Varianz des gesamten Systems 1, 2 &amp; 3</t>
  </si>
  <si>
    <t>Verweilzeit der Abluft des gesamten Systems 1, 2 &amp; 3</t>
  </si>
  <si>
    <t>Mittlere Luftalter des gesamten Systems 1, 2 &amp; 3</t>
  </si>
  <si>
    <t>Relativer Luftaustauschwirkungsgrad des gesamten Systems 1, 2 &amp; 3</t>
  </si>
  <si>
    <t>alpha_1,2,3</t>
  </si>
  <si>
    <t>tau_n,1,2,3</t>
  </si>
  <si>
    <t>Volumen des inneren System 2 &amp; 3</t>
  </si>
  <si>
    <t>V_2,3</t>
  </si>
  <si>
    <t>Relativer Luftaustauschwirkungsgrad des inneren Systems berechnet aus S und R</t>
  </si>
  <si>
    <t>Rezirkulationsrate aus Volumenströmen</t>
  </si>
  <si>
    <t>Rezirkulationsrate aus Wirkungsgrad und Kurzschlussrate</t>
  </si>
  <si>
    <t>dotV0_(0)</t>
  </si>
  <si>
    <t>R_(0)</t>
  </si>
  <si>
    <t>R_(1)</t>
  </si>
  <si>
    <t>dotV0_(1)</t>
  </si>
  <si>
    <t>Frischluftvolumenstrom aus effektiven Gerätevolumenstrom und R_(1)</t>
  </si>
  <si>
    <t>V_1_(0)</t>
  </si>
  <si>
    <t>V_1_(1)</t>
  </si>
  <si>
    <t>globaler Luftaustauschwirkungsgrad 1, 2 &amp; 3</t>
  </si>
  <si>
    <t>globaler Luftaustauschwirkungsgrad Rückwärtsberechnung  Messkampagnen 2 &amp; 3</t>
  </si>
  <si>
    <t>epsilon^a,r_1,2,3</t>
  </si>
  <si>
    <t>epsilon^a,a_DRK</t>
  </si>
  <si>
    <t>epsilon^a,a_123_(0)</t>
  </si>
  <si>
    <t>epsilon^a,a_123_(1)</t>
  </si>
  <si>
    <t>epsilon^a,r_2,3_(0)</t>
  </si>
  <si>
    <t>epsilon^a,r_2,3_(1)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</si>
</sst>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164" formatCode="#0.##\ &quot;h&quot;"/>
    <numFmt numFmtId="165" formatCode="General\ &quot;s&quot;"/>
    <numFmt numFmtId="166" formatCode="General\ &quot;m³/h&quot;"/>
    <numFmt numFmtId="167" formatCode="General\ &quot;m³&quot;"/>
    <numFmt numFmtId="168" formatCode="#\ ###.#\ &quot;m³/h&quot;"/>
    <numFmt numFmtId="169" formatCode="#\ ##0.#\ &quot;m³/h&quot;"/>
    <numFmt numFmtId="170" formatCode="#\ ##0.###\ &quot;h&quot;"/>
    <numFmt numFmtId="171" formatCode="#\ ##0\ &quot;s&quot;"/>
    <numFmt numFmtId="172" formatCode="#0.##\ &quot;s&quot;"/>
    <numFmt numFmtId="173" formatCode="#0.##\ &quot;m³/h&quot;"/>
    <numFmt numFmtId="174" formatCode="0.0%"/>
    <numFmt numFmtId="175" formatCode="##\ ##0.###\ &quot;h&quot;"/>
    <numFmt numFmtId="176" formatCode="#####\ ##0.###\ &quot;h&quot;"/>
    <numFmt numFmtId="177" formatCode="#,##0.00\ &quot;h²&quot;"/>
    <numFmt numFmtId="178" formatCode="#,##0.00\ &quot;s²&quot;"/>
    <numFmt numFmtId="179" formatCode="#,##0.00\ &quot;min²&quot;"/>
    <numFmt numFmtId="180" formatCode="#,##0.00\ &quot;h³&quot;"/>
    <numFmt numFmtId="181" formatCode="0.000%"/>
    <numFmt numFmtId="182" formatCode="0.0000%"/>
    <numFmt numFmtId="183" formatCode="##\ ##0.###\ &quot;m³&quot;"/>
    <numFmt numFmtId="184" formatCode="#\ ###.0\ &quot;m³/h&quot;"/>
  </numFmts>
  <fonts count="5"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48">
    <xf numFmtId="0" fontId="0" fillId="0" borderId="0" xfId="0"/>
    <xf numFmtId="164"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0" fillId="0" borderId="0" xfId="0" applyAlignment="1">
      <alignment wrapText="1"/>
    </xf>
    <xf numFmtId="169" fontId="0" fillId="0" borderId="0" xfId="0" applyNumberFormat="1"/>
    <xf numFmtId="170" fontId="0" fillId="0" borderId="0" xfId="0" applyNumberFormat="1"/>
    <xf numFmtId="171" fontId="0" fillId="0" borderId="0" xfId="0" applyNumberFormat="1"/>
    <xf numFmtId="172" fontId="0" fillId="0" borderId="0" xfId="0" applyNumberFormat="1"/>
    <xf numFmtId="0" fontId="0" fillId="0" borderId="0" xfId="0" applyAlignment="1">
      <alignment wrapText="1"/>
    </xf>
    <xf numFmtId="174" fontId="0" fillId="0" borderId="0" xfId="1" applyNumberFormat="1" applyFont="1"/>
    <xf numFmtId="10" fontId="0" fillId="0" borderId="0" xfId="1" applyNumberFormat="1" applyFont="1"/>
    <xf numFmtId="176" fontId="0" fillId="0" borderId="0" xfId="0" applyNumberFormat="1"/>
    <xf numFmtId="178" fontId="0" fillId="0" borderId="0" xfId="0" applyNumberFormat="1"/>
    <xf numFmtId="179" fontId="0" fillId="0" borderId="0" xfId="0" applyNumberFormat="1"/>
    <xf numFmtId="10" fontId="0" fillId="0" borderId="0" xfId="0" applyNumberFormat="1"/>
    <xf numFmtId="0" fontId="0" fillId="0" borderId="0" xfId="0" applyNumberFormat="1"/>
    <xf numFmtId="0" fontId="3" fillId="0" borderId="0" xfId="0" applyFont="1"/>
    <xf numFmtId="166" fontId="3" fillId="0" borderId="0" xfId="0" applyNumberFormat="1" applyFont="1"/>
    <xf numFmtId="164" fontId="3" fillId="0" borderId="0" xfId="0" applyNumberFormat="1" applyFont="1"/>
    <xf numFmtId="172" fontId="3" fillId="0" borderId="0" xfId="0" applyNumberFormat="1" applyFont="1"/>
    <xf numFmtId="173" fontId="3" fillId="0" borderId="0" xfId="0" applyNumberFormat="1" applyFont="1"/>
    <xf numFmtId="169" fontId="3" fillId="0" borderId="0" xfId="0" applyNumberFormat="1" applyFont="1"/>
    <xf numFmtId="165" fontId="3" fillId="0" borderId="0" xfId="0" applyNumberFormat="1" applyFont="1"/>
    <xf numFmtId="167" fontId="3" fillId="0" borderId="0" xfId="0" applyNumberFormat="1" applyFont="1"/>
    <xf numFmtId="168" fontId="3" fillId="0" borderId="0" xfId="0" applyNumberFormat="1" applyFont="1"/>
    <xf numFmtId="174" fontId="3" fillId="0" borderId="0" xfId="1" applyNumberFormat="1" applyFont="1"/>
    <xf numFmtId="176" fontId="3" fillId="0" borderId="0" xfId="0" applyNumberFormat="1" applyFont="1"/>
    <xf numFmtId="171" fontId="3" fillId="0" borderId="0" xfId="0" applyNumberFormat="1" applyFont="1"/>
    <xf numFmtId="170" fontId="3" fillId="0" borderId="0" xfId="0" applyNumberFormat="1" applyFont="1"/>
    <xf numFmtId="0" fontId="0" fillId="0" borderId="0" xfId="0" applyAlignment="1"/>
    <xf numFmtId="9" fontId="3" fillId="0" borderId="0" xfId="1" applyFont="1"/>
    <xf numFmtId="10" fontId="3" fillId="0" borderId="0" xfId="1" applyNumberFormat="1" applyFont="1"/>
    <xf numFmtId="181" fontId="3" fillId="0" borderId="0" xfId="1" applyNumberFormat="1" applyFont="1"/>
    <xf numFmtId="182" fontId="3" fillId="0" borderId="0" xfId="1" applyNumberFormat="1" applyFont="1"/>
    <xf numFmtId="184" fontId="0" fillId="0" borderId="0" xfId="0" applyNumberFormat="1"/>
    <xf numFmtId="184" fontId="3" fillId="0" borderId="0" xfId="0" applyNumberFormat="1" applyFont="1"/>
    <xf numFmtId="175" fontId="3" fillId="0" borderId="0" xfId="0" applyNumberFormat="1" applyFont="1"/>
    <xf numFmtId="177" fontId="3" fillId="0" borderId="0" xfId="0" applyNumberFormat="1" applyFont="1"/>
    <xf numFmtId="178" fontId="3" fillId="0" borderId="0" xfId="0" applyNumberFormat="1" applyFont="1"/>
    <xf numFmtId="180" fontId="3" fillId="0" borderId="0" xfId="0" applyNumberFormat="1" applyFont="1"/>
    <xf numFmtId="183" fontId="3" fillId="0" borderId="0" xfId="0" applyNumberFormat="1" applyFont="1"/>
    <xf numFmtId="10" fontId="3" fillId="0" borderId="0" xfId="0" applyNumberFormat="1" applyFont="1"/>
    <xf numFmtId="169" fontId="3" fillId="0" borderId="0" xfId="0" applyNumberFormat="1" applyFont="1" applyFill="1"/>
    <xf numFmtId="0" fontId="0" fillId="0" borderId="0" xfId="0" applyAlignment="1">
      <alignment wrapText="1"/>
    </xf>
    <xf numFmtId="0" fontId="0" fillId="0" borderId="0" xfId="0" applyAlignment="1"/>
  </cellXfs>
  <cellStyles count="2">
    <cellStyle name="Normal" xfId="0" builtinId="0"/>
    <cellStyle name="Percent" xfId="1" builtinId="5"/>
  </cellStyles>
  <dxfs count="0"/>
  <tableStyles count="0" defaultTableStyle="TableStyleMedium2" defaultPivotStyle="PivotStyleLight16"/>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uerswald, Sven" id="{D3D234A7-5A69-47CE-8DE5-28D54A3060FA}" userId="S::sven.auerswald@ise.fraunhofer.de::7f06b3b9-7d5b-4a83-8844-8bd610d5be5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6" dT="2021-06-05T13:36:13.48" personId="{D3D234A7-5A69-47CE-8DE5-28D54A3060FA}" id="{1E650BE0-25CD-4BC9-9C44-53D529B12339}">
    <text>Die Rezirkulationsrate berechnet sich besser, weil weniger mit Unsicherheiten belastet aus dem relativen Luftaustauschwirkungsgrad des inneren Systems (2, 3) und der Kurzschlussrate S.</text>
  </threadedComment>
  <threadedComment ref="AU6" dT="2021-06-05T13:41:38.94" personId="{D3D234A7-5A69-47CE-8DE5-28D54A3060FA}" id="{C36D9CFA-0F6A-4CD0-AEAC-0B57C6F7BAEA}" parentId="{1E650BE0-25CD-4BC9-9C44-53D529B12339}">
    <text>Der Grund liegt darin, dass das Ergebnis zwar vom Abluftverweilzeiten tau_e2 aber nicht mehr vom Abluftalter tau_e1 abhängig ist. Die möglichst genaue Bestimmung beider Abluftverweilzeiten gelingt am besten, wenn der Spurengassensor möglichst in der Blende liegt. Auf diese Weise wird eine zu starke Rückvermischung mit Innenraumluft vor erreichen des Sensors vermieden.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F9BC7-AB38-4CBE-8994-93731AE59AB9}">
  <dimension ref="A1:BY51"/>
  <sheetViews>
    <sheetView tabSelected="1" topLeftCell="Y6" zoomScale="85" zoomScaleNormal="85" workbookViewId="0">
      <selection activeCell="AD12" sqref="AD12"/>
    </sheetView>
  </sheetViews>
  <sheetFormatPr defaultColWidth="10.90625" defaultRowHeight="14.5" x14ac:dyDescent="0.35"/>
  <cols>
    <col min="2" max="2" width="18.1796875" customWidth="1"/>
    <col min="3" max="3" width="15.1796875" customWidth="1"/>
    <col min="4" max="16" width="21.26953125" customWidth="1"/>
    <col min="17" max="19" width="28.453125" customWidth="1"/>
    <col min="20" max="20" width="24.26953125" customWidth="1"/>
    <col min="21" max="21" width="17.7265625" customWidth="1"/>
    <col min="22" max="23" width="23" customWidth="1"/>
    <col min="24" max="24" width="18.7265625" customWidth="1"/>
    <col min="28" max="28" width="22.1796875" bestFit="1" customWidth="1"/>
    <col min="29" max="29" width="18.453125" bestFit="1" customWidth="1"/>
    <col min="30" max="31" width="22.54296875" customWidth="1"/>
    <col min="32" max="32" width="17" customWidth="1"/>
    <col min="33" max="33" width="20.54296875" customWidth="1"/>
    <col min="36" max="36" width="19.7265625" customWidth="1"/>
    <col min="37" max="37" width="16.54296875" customWidth="1"/>
    <col min="40" max="40" width="15.453125" customWidth="1"/>
    <col min="41" max="41" width="23.26953125" customWidth="1"/>
    <col min="44" max="67" width="19" customWidth="1"/>
    <col min="68" max="68" width="36.453125" customWidth="1"/>
    <col min="69" max="69" width="25" customWidth="1"/>
    <col min="70" max="70" width="18.1796875" customWidth="1"/>
    <col min="71" max="71" width="20.1796875" customWidth="1"/>
    <col min="72" max="72" width="19.81640625" customWidth="1"/>
    <col min="73" max="75" width="11.453125" customWidth="1"/>
  </cols>
  <sheetData>
    <row r="1" spans="1:77" x14ac:dyDescent="0.35">
      <c r="C1" t="s">
        <v>0</v>
      </c>
      <c r="D1" t="s">
        <v>3</v>
      </c>
    </row>
    <row r="2" spans="1:77" x14ac:dyDescent="0.35">
      <c r="C2" t="s">
        <v>33</v>
      </c>
    </row>
    <row r="3" spans="1:77" x14ac:dyDescent="0.35">
      <c r="B3" t="s">
        <v>1</v>
      </c>
      <c r="C3">
        <v>195.1</v>
      </c>
    </row>
    <row r="4" spans="1:77" x14ac:dyDescent="0.35">
      <c r="B4" t="s">
        <v>2</v>
      </c>
      <c r="C4">
        <v>145</v>
      </c>
    </row>
    <row r="6" spans="1:77" s="6" customFormat="1" ht="43.5" customHeight="1" x14ac:dyDescent="0.35">
      <c r="C6" s="6" t="s">
        <v>3</v>
      </c>
      <c r="D6" s="6" t="s">
        <v>24</v>
      </c>
      <c r="I6" s="11"/>
      <c r="J6" s="11"/>
      <c r="K6" s="11"/>
      <c r="L6" s="11"/>
      <c r="Q6" s="6" t="s">
        <v>25</v>
      </c>
      <c r="R6" s="11" t="s">
        <v>25</v>
      </c>
      <c r="S6" s="6" t="s">
        <v>49</v>
      </c>
      <c r="T6" s="6" t="s">
        <v>26</v>
      </c>
      <c r="U6" s="6" t="s">
        <v>27</v>
      </c>
      <c r="V6" s="6" t="s">
        <v>34</v>
      </c>
      <c r="W6" s="6" t="s">
        <v>63</v>
      </c>
      <c r="X6" s="46" t="s">
        <v>36</v>
      </c>
      <c r="Y6" s="46"/>
      <c r="Z6" s="6" t="s">
        <v>45</v>
      </c>
      <c r="AA6" s="46" t="s">
        <v>47</v>
      </c>
      <c r="AB6" s="46"/>
      <c r="AC6" s="6" t="s">
        <v>48</v>
      </c>
      <c r="AD6" s="46" t="s">
        <v>52</v>
      </c>
      <c r="AE6" s="46"/>
      <c r="AF6" s="46" t="s">
        <v>65</v>
      </c>
      <c r="AG6" s="46"/>
      <c r="AJ6" s="6" t="s">
        <v>66</v>
      </c>
      <c r="AK6" s="6" t="s">
        <v>61</v>
      </c>
      <c r="AL6" s="6" t="s">
        <v>62</v>
      </c>
      <c r="AM6" s="11" t="s">
        <v>87</v>
      </c>
      <c r="AN6" s="6" t="s">
        <v>60</v>
      </c>
      <c r="AO6" s="6" t="s">
        <v>74</v>
      </c>
      <c r="AP6" s="6" t="s">
        <v>73</v>
      </c>
      <c r="AQ6" s="11"/>
      <c r="AR6" s="6" t="s">
        <v>78</v>
      </c>
      <c r="AS6" s="11" t="s">
        <v>96</v>
      </c>
      <c r="AT6" s="11" t="s">
        <v>90</v>
      </c>
      <c r="AU6" s="11" t="s">
        <v>91</v>
      </c>
      <c r="AV6" s="11" t="s">
        <v>79</v>
      </c>
      <c r="AW6" s="11" t="s">
        <v>80</v>
      </c>
      <c r="AX6" s="11"/>
      <c r="AY6" s="11"/>
      <c r="AZ6" s="46" t="s">
        <v>81</v>
      </c>
      <c r="BA6" s="46"/>
      <c r="BB6" s="11"/>
      <c r="BC6" s="11"/>
      <c r="BD6" s="11"/>
      <c r="BE6" s="11"/>
      <c r="BF6" s="11"/>
      <c r="BG6" s="11"/>
      <c r="BH6" s="11" t="s">
        <v>66</v>
      </c>
      <c r="BI6" s="11"/>
      <c r="BJ6" s="11" t="s">
        <v>82</v>
      </c>
      <c r="BK6" s="11"/>
      <c r="BL6" s="11" t="s">
        <v>83</v>
      </c>
      <c r="BM6" s="11"/>
      <c r="BN6" s="11" t="s">
        <v>84</v>
      </c>
      <c r="BO6" s="11"/>
      <c r="BP6" s="11" t="s">
        <v>89</v>
      </c>
      <c r="BQ6" s="11"/>
      <c r="BR6" s="6" t="s">
        <v>100</v>
      </c>
      <c r="BS6" s="11" t="s">
        <v>99</v>
      </c>
      <c r="BT6" s="11" t="s">
        <v>99</v>
      </c>
    </row>
    <row r="7" spans="1:77" x14ac:dyDescent="0.35">
      <c r="C7" t="s">
        <v>28</v>
      </c>
      <c r="D7" t="s">
        <v>29</v>
      </c>
      <c r="E7" t="s">
        <v>37</v>
      </c>
      <c r="F7" t="s">
        <v>38</v>
      </c>
      <c r="G7" t="s">
        <v>39</v>
      </c>
      <c r="H7" t="s">
        <v>40</v>
      </c>
      <c r="I7" t="s">
        <v>68</v>
      </c>
      <c r="J7" t="s">
        <v>69</v>
      </c>
      <c r="K7" t="s">
        <v>70</v>
      </c>
      <c r="L7" t="s">
        <v>71</v>
      </c>
      <c r="M7" t="s">
        <v>41</v>
      </c>
      <c r="N7" t="s">
        <v>42</v>
      </c>
      <c r="O7" t="s">
        <v>43</v>
      </c>
      <c r="P7" t="s">
        <v>44</v>
      </c>
      <c r="Q7" t="s">
        <v>30</v>
      </c>
      <c r="R7" t="s">
        <v>72</v>
      </c>
      <c r="S7" t="s">
        <v>50</v>
      </c>
      <c r="T7" t="s">
        <v>31</v>
      </c>
      <c r="U7" t="s">
        <v>32</v>
      </c>
      <c r="V7" t="s">
        <v>35</v>
      </c>
      <c r="W7" t="s">
        <v>64</v>
      </c>
      <c r="X7" t="s">
        <v>53</v>
      </c>
      <c r="Y7" t="s">
        <v>53</v>
      </c>
      <c r="Z7" t="s">
        <v>46</v>
      </c>
      <c r="AA7" t="s">
        <v>55</v>
      </c>
      <c r="AB7" t="s">
        <v>55</v>
      </c>
      <c r="AD7" t="s">
        <v>54</v>
      </c>
      <c r="AE7" t="s">
        <v>51</v>
      </c>
      <c r="AF7" s="47" t="s">
        <v>56</v>
      </c>
      <c r="AG7" s="47"/>
      <c r="AH7" t="s">
        <v>57</v>
      </c>
      <c r="AI7" t="s">
        <v>58</v>
      </c>
      <c r="AJ7" t="s">
        <v>59</v>
      </c>
      <c r="AK7" t="s">
        <v>67</v>
      </c>
      <c r="AL7" t="s">
        <v>76</v>
      </c>
      <c r="AM7" t="s">
        <v>88</v>
      </c>
      <c r="AN7" t="s">
        <v>77</v>
      </c>
      <c r="AO7" t="s">
        <v>75</v>
      </c>
      <c r="AP7" t="s">
        <v>98</v>
      </c>
      <c r="AQ7" t="s">
        <v>97</v>
      </c>
      <c r="AR7" t="s">
        <v>92</v>
      </c>
      <c r="AS7" t="s">
        <v>95</v>
      </c>
      <c r="AT7" t="s">
        <v>93</v>
      </c>
      <c r="AU7" t="s">
        <v>94</v>
      </c>
      <c r="AV7" t="s">
        <v>86</v>
      </c>
      <c r="AW7" t="s">
        <v>51</v>
      </c>
      <c r="AZ7" s="47" t="s">
        <v>56</v>
      </c>
      <c r="BA7" s="47"/>
      <c r="BB7" s="32"/>
      <c r="BC7" s="32"/>
      <c r="BD7" t="s">
        <v>57</v>
      </c>
      <c r="BF7" t="s">
        <v>58</v>
      </c>
      <c r="BH7" t="s">
        <v>59</v>
      </c>
      <c r="BJ7" t="s">
        <v>67</v>
      </c>
      <c r="BL7" t="s">
        <v>85</v>
      </c>
      <c r="BN7" t="s">
        <v>101</v>
      </c>
      <c r="BP7" t="s">
        <v>105</v>
      </c>
      <c r="BQ7" t="s">
        <v>106</v>
      </c>
      <c r="BR7" t="s">
        <v>102</v>
      </c>
      <c r="BS7" t="s">
        <v>103</v>
      </c>
      <c r="BT7" t="s">
        <v>104</v>
      </c>
    </row>
    <row r="8" spans="1:77" x14ac:dyDescent="0.35">
      <c r="A8">
        <v>0</v>
      </c>
      <c r="B8" t="s">
        <v>4</v>
      </c>
      <c r="C8" s="3">
        <v>48</v>
      </c>
      <c r="D8" s="1">
        <v>3.25</v>
      </c>
      <c r="E8" s="10"/>
      <c r="F8" s="1"/>
      <c r="G8" s="1"/>
      <c r="H8" s="1"/>
      <c r="I8" s="1"/>
      <c r="J8" s="1"/>
      <c r="K8" s="1"/>
      <c r="L8" s="1"/>
      <c r="M8" s="1"/>
      <c r="N8" s="1"/>
      <c r="O8" s="1"/>
      <c r="P8" s="1"/>
      <c r="Q8" s="2">
        <v>60</v>
      </c>
      <c r="R8" s="2">
        <v>20</v>
      </c>
      <c r="S8" s="2">
        <f t="shared" ref="S8:S27" si="0">Q8/2</f>
        <v>30</v>
      </c>
      <c r="T8" s="4">
        <f t="shared" ref="T8:T15" si="1">(Q8/3600*(C8+$C$3/D8))/(2+Q8/(3600*D8))</f>
        <v>0.89795396419437346</v>
      </c>
      <c r="U8" s="5">
        <f t="shared" ref="U8:U15" si="2">($C$3-T8)/D8</f>
        <v>59.7544757033248</v>
      </c>
      <c r="V8" s="7">
        <f t="shared" ref="V8:V27" si="3">U8+C8</f>
        <v>107.7544757033248</v>
      </c>
      <c r="W8" s="12">
        <f>C8/V8</f>
        <v>0.4454571347194532</v>
      </c>
      <c r="X8" s="14">
        <f t="shared" ref="X8:X11" si="4">T8/V8</f>
        <v>8.333333333333335E-3</v>
      </c>
      <c r="Y8" s="9">
        <f t="shared" ref="Y8:Y27" si="5">X8*3600</f>
        <v>30.000000000000007</v>
      </c>
      <c r="Z8" s="4">
        <f t="shared" ref="Z8:Z11" si="6">$C$3-T8</f>
        <v>194.20204603580561</v>
      </c>
      <c r="AA8" s="8">
        <f t="shared" ref="AA8:AA11" si="7">Z8/U8</f>
        <v>3.25</v>
      </c>
      <c r="AB8" s="9">
        <f t="shared" ref="AB8:AB27" si="8">AA8*3600</f>
        <v>11700</v>
      </c>
      <c r="AC8">
        <f t="shared" ref="AC8:AC27" si="9">AA8/(2*D8)</f>
        <v>0.5</v>
      </c>
      <c r="AD8" s="2"/>
      <c r="AE8" s="8"/>
      <c r="AF8" s="13"/>
      <c r="AR8" s="37"/>
      <c r="AS8" s="37"/>
      <c r="AV8" s="2"/>
      <c r="AW8" s="8"/>
      <c r="AX8" s="8"/>
      <c r="AY8" s="8"/>
      <c r="AZ8" s="13"/>
    </row>
    <row r="9" spans="1:77" x14ac:dyDescent="0.35">
      <c r="A9">
        <v>1</v>
      </c>
      <c r="B9" t="s">
        <v>5</v>
      </c>
      <c r="C9" s="3">
        <v>93</v>
      </c>
      <c r="D9" s="1">
        <v>2.0299999999999998</v>
      </c>
      <c r="E9" s="10"/>
      <c r="F9" s="1"/>
      <c r="G9" s="1"/>
      <c r="H9" s="1"/>
      <c r="I9" s="1"/>
      <c r="J9" s="1"/>
      <c r="K9" s="1"/>
      <c r="L9" s="1"/>
      <c r="M9" s="1"/>
      <c r="N9" s="1"/>
      <c r="O9" s="1"/>
      <c r="P9" s="1"/>
      <c r="Q9" s="2">
        <v>60</v>
      </c>
      <c r="R9" s="2">
        <v>20</v>
      </c>
      <c r="S9" s="2">
        <f t="shared" si="0"/>
        <v>30</v>
      </c>
      <c r="T9" s="4">
        <f t="shared" si="1"/>
        <v>1.5694603434178254</v>
      </c>
      <c r="U9" s="5">
        <f t="shared" si="2"/>
        <v>95.335241210139003</v>
      </c>
      <c r="V9" s="7">
        <f t="shared" si="3"/>
        <v>188.335241210139</v>
      </c>
      <c r="W9" s="12">
        <f>C9/V9</f>
        <v>0.49380030737971814</v>
      </c>
      <c r="X9" s="14">
        <f t="shared" si="4"/>
        <v>8.333333333333335E-3</v>
      </c>
      <c r="Y9" s="9">
        <f t="shared" si="5"/>
        <v>30.000000000000007</v>
      </c>
      <c r="Z9" s="4">
        <f t="shared" si="6"/>
        <v>193.53053965658216</v>
      </c>
      <c r="AA9" s="8">
        <f t="shared" si="7"/>
        <v>2.0299999999999998</v>
      </c>
      <c r="AB9" s="9">
        <f t="shared" si="8"/>
        <v>7307.9999999999991</v>
      </c>
      <c r="AC9">
        <f t="shared" si="9"/>
        <v>0.5</v>
      </c>
      <c r="AD9" s="2"/>
      <c r="AE9" s="8"/>
      <c r="AF9" s="13"/>
      <c r="AR9" s="37"/>
      <c r="AS9" s="37"/>
      <c r="AV9" s="2"/>
      <c r="AW9" s="8"/>
      <c r="AX9" s="8"/>
      <c r="AY9" s="8"/>
      <c r="AZ9" s="13"/>
    </row>
    <row r="10" spans="1:77" x14ac:dyDescent="0.35">
      <c r="A10">
        <v>2</v>
      </c>
      <c r="B10" t="s">
        <v>6</v>
      </c>
      <c r="C10" s="3">
        <v>39</v>
      </c>
      <c r="D10" s="1">
        <v>3.99</v>
      </c>
      <c r="E10" s="10"/>
      <c r="F10" s="1"/>
      <c r="G10" s="1"/>
      <c r="H10" s="1"/>
      <c r="I10" s="1"/>
      <c r="J10" s="1"/>
      <c r="K10" s="1"/>
      <c r="L10" s="1"/>
      <c r="M10" s="1"/>
      <c r="N10" s="1"/>
      <c r="O10" s="1"/>
      <c r="P10" s="1"/>
      <c r="Q10" s="2">
        <v>60</v>
      </c>
      <c r="R10" s="2">
        <v>20</v>
      </c>
      <c r="S10" s="2">
        <f t="shared" si="0"/>
        <v>30</v>
      </c>
      <c r="T10" s="4">
        <f t="shared" si="1"/>
        <v>0.73095039599833245</v>
      </c>
      <c r="U10" s="5">
        <f t="shared" si="2"/>
        <v>48.714047519799912</v>
      </c>
      <c r="V10" s="7">
        <f t="shared" si="3"/>
        <v>87.714047519799919</v>
      </c>
      <c r="W10" s="12">
        <f>C10/V10</f>
        <v>0.44462661458184821</v>
      </c>
      <c r="X10" s="14">
        <f t="shared" si="4"/>
        <v>8.3333333333333315E-3</v>
      </c>
      <c r="Y10" s="9">
        <f t="shared" si="5"/>
        <v>29.999999999999993</v>
      </c>
      <c r="Z10" s="4">
        <f t="shared" si="6"/>
        <v>194.36904960400167</v>
      </c>
      <c r="AA10" s="8">
        <f t="shared" si="7"/>
        <v>3.9900000000000007</v>
      </c>
      <c r="AB10" s="9">
        <f t="shared" si="8"/>
        <v>14364.000000000002</v>
      </c>
      <c r="AC10">
        <f t="shared" si="9"/>
        <v>0.50000000000000011</v>
      </c>
      <c r="AD10" s="2"/>
      <c r="AE10" s="8"/>
      <c r="AF10" s="13"/>
      <c r="AR10" s="37"/>
      <c r="AS10" s="37"/>
      <c r="AV10" s="2"/>
      <c r="AW10" s="8"/>
      <c r="AX10" s="8"/>
      <c r="AY10" s="8"/>
      <c r="AZ10" s="13"/>
    </row>
    <row r="11" spans="1:77" x14ac:dyDescent="0.35">
      <c r="A11">
        <v>3</v>
      </c>
      <c r="B11" t="s">
        <v>7</v>
      </c>
      <c r="C11" s="3">
        <v>80</v>
      </c>
      <c r="D11" s="1">
        <v>2.2799999999999998</v>
      </c>
      <c r="E11" s="10"/>
      <c r="F11" s="1"/>
      <c r="G11" s="1"/>
      <c r="H11" s="1"/>
      <c r="I11" s="1"/>
      <c r="J11" s="1"/>
      <c r="K11" s="1"/>
      <c r="L11" s="1"/>
      <c r="M11" s="1"/>
      <c r="N11" s="1"/>
      <c r="O11" s="1"/>
      <c r="P11" s="1"/>
      <c r="Q11" s="2">
        <v>60</v>
      </c>
      <c r="R11" s="2">
        <v>20</v>
      </c>
      <c r="S11" s="2">
        <f t="shared" si="0"/>
        <v>30</v>
      </c>
      <c r="T11" s="4">
        <f t="shared" si="1"/>
        <v>1.3747268754552073</v>
      </c>
      <c r="U11" s="5">
        <f t="shared" si="2"/>
        <v>84.967225054624919</v>
      </c>
      <c r="V11" s="7">
        <f t="shared" si="3"/>
        <v>164.96722505462492</v>
      </c>
      <c r="W11" s="12">
        <f>C11/V11</f>
        <v>0.48494481236203085</v>
      </c>
      <c r="X11" s="14">
        <f t="shared" si="4"/>
        <v>8.3333333333333315E-3</v>
      </c>
      <c r="Y11" s="9">
        <f t="shared" si="5"/>
        <v>29.999999999999993</v>
      </c>
      <c r="Z11" s="4">
        <f t="shared" si="6"/>
        <v>193.7252731245448</v>
      </c>
      <c r="AA11" s="8">
        <f t="shared" si="7"/>
        <v>2.2799999999999998</v>
      </c>
      <c r="AB11" s="9">
        <f t="shared" si="8"/>
        <v>8208</v>
      </c>
      <c r="AC11">
        <f t="shared" si="9"/>
        <v>0.5</v>
      </c>
      <c r="AD11" s="2"/>
      <c r="AE11" s="8"/>
      <c r="AF11" s="13"/>
      <c r="AR11" s="37"/>
      <c r="AS11" s="37"/>
      <c r="AV11" s="2"/>
      <c r="AW11" s="8"/>
      <c r="AX11" s="8"/>
      <c r="AY11" s="8"/>
      <c r="AZ11" s="13"/>
    </row>
    <row r="12" spans="1:77" s="19" customFormat="1" x14ac:dyDescent="0.35">
      <c r="A12" s="19">
        <v>4</v>
      </c>
      <c r="B12" s="19" t="s">
        <v>8</v>
      </c>
      <c r="C12" s="45">
        <f>SUM(M12:O12)/2</f>
        <v>47.074942781905598</v>
      </c>
      <c r="D12" s="21">
        <v>3.75</v>
      </c>
      <c r="E12" s="22">
        <v>87.954408784092607</v>
      </c>
      <c r="F12" s="22">
        <v>70.281471436294595</v>
      </c>
      <c r="G12" s="22">
        <v>53.384314545560102</v>
      </c>
      <c r="H12" s="21"/>
      <c r="I12" s="22">
        <v>35.659296285492303</v>
      </c>
      <c r="J12" s="22">
        <v>20.1101640093895</v>
      </c>
      <c r="K12" s="22">
        <v>19.520522457987401</v>
      </c>
      <c r="L12" s="21"/>
      <c r="M12" s="23">
        <f>(23.8980357549823+19.8654140402553)/2</f>
        <v>21.881724897618799</v>
      </c>
      <c r="N12" s="23">
        <f>(26.896519310718--23.0556764375766)/2</f>
        <v>24.9760978741473</v>
      </c>
      <c r="O12" s="23">
        <f>(45.6272595230095--48.9568660610807)/2</f>
        <v>47.292062792045101</v>
      </c>
      <c r="P12" s="21"/>
      <c r="Q12" s="25">
        <f>(E12*$M12/2+F12*$N12/2+G12*$O12/2)/C12</f>
        <v>65.901359351858929</v>
      </c>
      <c r="R12" s="25">
        <f>(I12*$M12/2+J12*$N12/2+K12*$O12/2)/C12</f>
        <v>23.427815090090569</v>
      </c>
      <c r="S12" s="25">
        <f>Q12/2</f>
        <v>32.950679675929464</v>
      </c>
      <c r="T12" s="26">
        <f>(Q12/3600*(C12+$C$3/D12))/(2+Q12/(3600*D12))</f>
        <v>0.90486513222494636</v>
      </c>
      <c r="U12" s="27">
        <f>($C$3-T12)/D12</f>
        <v>51.785369298073341</v>
      </c>
      <c r="V12" s="24">
        <f t="shared" si="3"/>
        <v>98.860312079978939</v>
      </c>
      <c r="W12" s="28">
        <f>1-C12/V12</f>
        <v>0.52382364781711876</v>
      </c>
      <c r="X12" s="29">
        <f>T12/V12</f>
        <v>9.1529665766470758E-3</v>
      </c>
      <c r="Y12" s="30">
        <f>X12*3600</f>
        <v>32.950679675929472</v>
      </c>
      <c r="Z12" s="26">
        <f>$C$3-T12</f>
        <v>194.19513486777504</v>
      </c>
      <c r="AA12" s="31">
        <f>Z12/U12</f>
        <v>3.75</v>
      </c>
      <c r="AB12" s="30">
        <f>AA12*3600</f>
        <v>13500</v>
      </c>
      <c r="AC12" s="19">
        <f>AA12/(2*D12)</f>
        <v>0.5</v>
      </c>
      <c r="AD12" s="39">
        <v>4.1430999999999996</v>
      </c>
      <c r="AE12" s="30">
        <f>AD12*3600</f>
        <v>14915.159999999998</v>
      </c>
      <c r="AF12" s="40">
        <v>48.096820000000001</v>
      </c>
      <c r="AG12" s="41">
        <f>AF12*3600^2</f>
        <v>623334787.20000005</v>
      </c>
      <c r="AH12" s="42">
        <v>874.67200000000003</v>
      </c>
      <c r="AI12" s="19">
        <f>21996.1+3*AF12</f>
        <v>22140.390459999999</v>
      </c>
      <c r="AJ12" s="19">
        <f>AF12/AD12^2</f>
        <v>2.8019832299117713</v>
      </c>
      <c r="AK12" s="39">
        <f>(AJ12+1)*AD12</f>
        <v>15.751996719847458</v>
      </c>
      <c r="AL12" s="39">
        <f>AK12/2</f>
        <v>7.8759983599237291</v>
      </c>
      <c r="AM12" s="43">
        <f>ROUND(AD12*C12,1)</f>
        <v>195</v>
      </c>
      <c r="AN12" s="34">
        <f>AD12/AK12</f>
        <v>0.26302062358733919</v>
      </c>
      <c r="AO12" s="31">
        <f>R12/(2*3600)</f>
        <v>3.2538632069570236E-3</v>
      </c>
      <c r="AP12" s="26">
        <f>T12</f>
        <v>0.90486513222494636</v>
      </c>
      <c r="AQ12" s="26">
        <f>1/2*R12/3600*(AS12+C12)</f>
        <v>0.84644565987905362</v>
      </c>
      <c r="AR12" s="38">
        <f>2*(AP12/R12*3600-C12/2)</f>
        <v>231.01453875815153</v>
      </c>
      <c r="AS12" s="38">
        <f>C12*(1-AU12)/AU12</f>
        <v>213.0606579001649</v>
      </c>
      <c r="AT12" s="33">
        <f>1-AR12/(AR12+C12)</f>
        <v>0.16927983942867952</v>
      </c>
      <c r="AU12" s="33">
        <f>1/W12-(1-W12)/(2*W12*AN12)</f>
        <v>0.18096309255048526</v>
      </c>
      <c r="AV12" s="39">
        <v>0.84830000000000005</v>
      </c>
      <c r="AW12" s="30">
        <f>AV12*3600</f>
        <v>3053.88</v>
      </c>
      <c r="AX12" s="39">
        <v>4.5795000000000003</v>
      </c>
      <c r="AY12" s="30">
        <f>AX12*3600</f>
        <v>16486.2</v>
      </c>
      <c r="AZ12" s="40">
        <v>7.7187010000000003</v>
      </c>
      <c r="BA12" s="41">
        <f>AZ12*3600^2</f>
        <v>100034364.96000001</v>
      </c>
      <c r="BB12" s="40">
        <v>20.971820000000001</v>
      </c>
      <c r="BC12" s="41">
        <f>BB12*3600^2</f>
        <v>271794787.19999999</v>
      </c>
      <c r="BD12" s="42">
        <v>106.02500000000001</v>
      </c>
      <c r="BE12" s="42">
        <v>192.08099999999999</v>
      </c>
      <c r="BF12" s="19">
        <f>1947.314+3*AZ12</f>
        <v>1970.4701030000001</v>
      </c>
      <c r="BG12" s="19">
        <f>2638.903+3*BB12</f>
        <v>2701.81846</v>
      </c>
      <c r="BH12" s="19">
        <f>AZ12/AV12^2</f>
        <v>10.726185018725831</v>
      </c>
      <c r="BI12" s="19">
        <f>BB12/AX12^2</f>
        <v>0.99999998807924162</v>
      </c>
      <c r="BJ12" s="39">
        <f>(BH12+1)*AV12</f>
        <v>9.9473227513851228</v>
      </c>
      <c r="BK12" s="39">
        <f>(BI12+1)*AX12</f>
        <v>9.1589999454088868</v>
      </c>
      <c r="BL12" s="39">
        <f>BJ12/2</f>
        <v>4.9736613756925614</v>
      </c>
      <c r="BM12" s="39">
        <f>BK12/2</f>
        <v>4.5794999727044434</v>
      </c>
      <c r="BN12" s="34">
        <f>AV12/BJ12</f>
        <v>8.5279227506906599E-2</v>
      </c>
      <c r="BO12" s="34">
        <f>AX12/BK12</f>
        <v>0.50000000298018965</v>
      </c>
      <c r="BP12" s="34">
        <f>(1-W12)/(2*(1-W12*AT12))</f>
        <v>0.26125432407578458</v>
      </c>
      <c r="BQ12" s="34">
        <f>(1-W12)/(2*(1-W12*AU12))</f>
        <v>0.26302062358733919</v>
      </c>
      <c r="BR12" s="36">
        <f>AN12*AC12*AK12/D12</f>
        <v>0.55241333333333331</v>
      </c>
      <c r="BS12" s="44">
        <f>BN12*AN12*BJ12/AL12</f>
        <v>2.8329157116698603E-2</v>
      </c>
      <c r="BT12" s="44">
        <f>BO12*AN12*BK12/AL12</f>
        <v>0.15293336675223537</v>
      </c>
      <c r="BX12" s="34"/>
      <c r="BY12" s="35"/>
    </row>
    <row r="13" spans="1:77" x14ac:dyDescent="0.35">
      <c r="A13">
        <v>5</v>
      </c>
      <c r="B13" t="s">
        <v>9</v>
      </c>
      <c r="C13" s="3">
        <v>93</v>
      </c>
      <c r="D13" s="1">
        <v>3.38</v>
      </c>
      <c r="E13" s="10"/>
      <c r="F13" s="1"/>
      <c r="G13" s="1"/>
      <c r="H13" s="1"/>
      <c r="I13" s="1"/>
      <c r="J13" s="1"/>
      <c r="K13" s="1"/>
      <c r="L13" s="1"/>
      <c r="M13" s="1"/>
      <c r="N13" s="1"/>
      <c r="O13" s="1"/>
      <c r="P13" s="1"/>
      <c r="Q13" s="2">
        <v>60</v>
      </c>
      <c r="R13" s="2">
        <v>20</v>
      </c>
      <c r="S13" s="2">
        <f t="shared" si="0"/>
        <v>30</v>
      </c>
      <c r="T13" s="4">
        <f t="shared" si="1"/>
        <v>1.2529267092966061</v>
      </c>
      <c r="U13" s="5">
        <f t="shared" si="2"/>
        <v>57.35120511559272</v>
      </c>
      <c r="V13" s="7">
        <f t="shared" si="3"/>
        <v>150.35120511559273</v>
      </c>
      <c r="W13" s="12">
        <f t="shared" ref="W13:W27" si="10">C13/V13</f>
        <v>0.61855174309045224</v>
      </c>
      <c r="X13" s="14">
        <f t="shared" ref="X13:X27" si="11">T13/V13</f>
        <v>8.3333333333333332E-3</v>
      </c>
      <c r="Y13" s="9">
        <f t="shared" si="5"/>
        <v>30</v>
      </c>
      <c r="Z13" s="4">
        <f t="shared" ref="Z13:Z15" si="12">$C$3-T13</f>
        <v>193.84707329070338</v>
      </c>
      <c r="AA13" s="8">
        <f t="shared" ref="AA13:AA27" si="13">Z13/U13</f>
        <v>3.38</v>
      </c>
      <c r="AB13" s="9">
        <f t="shared" si="8"/>
        <v>12168</v>
      </c>
      <c r="AC13">
        <f t="shared" si="9"/>
        <v>0.5</v>
      </c>
      <c r="AD13" s="2"/>
      <c r="AE13" s="8"/>
      <c r="AF13" s="13"/>
      <c r="AR13" s="37"/>
      <c r="AS13" s="37"/>
      <c r="BO13" s="17"/>
    </row>
    <row r="14" spans="1:77" x14ac:dyDescent="0.35">
      <c r="A14">
        <v>6</v>
      </c>
      <c r="B14" t="s">
        <v>10</v>
      </c>
      <c r="C14" s="3">
        <v>39</v>
      </c>
      <c r="D14" s="1">
        <v>3.87</v>
      </c>
      <c r="E14" s="10"/>
      <c r="F14" s="1"/>
      <c r="G14" s="1"/>
      <c r="H14" s="1"/>
      <c r="I14" s="1"/>
      <c r="J14" s="1"/>
      <c r="K14" s="1"/>
      <c r="L14" s="1"/>
      <c r="M14" s="1"/>
      <c r="N14" s="1"/>
      <c r="O14" s="1"/>
      <c r="P14" s="1"/>
      <c r="Q14" s="2">
        <v>60</v>
      </c>
      <c r="R14" s="2">
        <v>20</v>
      </c>
      <c r="S14" s="2">
        <f t="shared" si="0"/>
        <v>30</v>
      </c>
      <c r="T14" s="4">
        <f t="shared" si="1"/>
        <v>0.74351095831542746</v>
      </c>
      <c r="U14" s="5">
        <f t="shared" si="2"/>
        <v>50.221314997851309</v>
      </c>
      <c r="V14" s="7">
        <f t="shared" si="3"/>
        <v>89.221314997851309</v>
      </c>
      <c r="W14" s="12">
        <f t="shared" si="10"/>
        <v>0.43711527902205011</v>
      </c>
      <c r="X14" s="14">
        <f t="shared" si="11"/>
        <v>8.3333333333333315E-3</v>
      </c>
      <c r="Y14" s="9">
        <f t="shared" si="5"/>
        <v>29.999999999999993</v>
      </c>
      <c r="Z14" s="4">
        <f t="shared" si="12"/>
        <v>194.35648904168457</v>
      </c>
      <c r="AA14" s="8">
        <f t="shared" si="13"/>
        <v>3.87</v>
      </c>
      <c r="AB14" s="9">
        <f t="shared" si="8"/>
        <v>13932</v>
      </c>
      <c r="AC14">
        <f t="shared" si="9"/>
        <v>0.5</v>
      </c>
      <c r="AD14" s="2"/>
      <c r="AE14" s="8"/>
      <c r="AF14" s="13"/>
      <c r="AR14" s="37"/>
      <c r="AS14" s="37"/>
      <c r="BO14" s="17"/>
    </row>
    <row r="15" spans="1:77" x14ac:dyDescent="0.35">
      <c r="A15">
        <v>7</v>
      </c>
      <c r="B15" t="s">
        <v>11</v>
      </c>
      <c r="C15" s="3">
        <v>80</v>
      </c>
      <c r="D15" s="1">
        <v>2.4900000000000002</v>
      </c>
      <c r="E15" s="10"/>
      <c r="F15" s="1"/>
      <c r="G15" s="1"/>
      <c r="H15" s="1"/>
      <c r="I15" s="1"/>
      <c r="J15" s="1"/>
      <c r="K15" s="1"/>
      <c r="L15" s="1"/>
      <c r="M15" s="1"/>
      <c r="N15" s="1"/>
      <c r="O15" s="1"/>
      <c r="P15" s="1"/>
      <c r="Q15" s="2">
        <v>60</v>
      </c>
      <c r="R15" s="2">
        <v>20</v>
      </c>
      <c r="S15" s="2">
        <f t="shared" si="0"/>
        <v>30</v>
      </c>
      <c r="T15" s="4">
        <f t="shared" si="1"/>
        <v>1.3152101400933955</v>
      </c>
      <c r="U15" s="5">
        <f t="shared" si="2"/>
        <v>77.825216811207468</v>
      </c>
      <c r="V15" s="7">
        <f t="shared" si="3"/>
        <v>157.82521681120747</v>
      </c>
      <c r="W15" s="12">
        <f t="shared" si="10"/>
        <v>0.5068898469862203</v>
      </c>
      <c r="X15" s="14">
        <f t="shared" si="11"/>
        <v>8.3333333333333332E-3</v>
      </c>
      <c r="Y15" s="9">
        <f t="shared" si="5"/>
        <v>30</v>
      </c>
      <c r="Z15" s="4">
        <f t="shared" si="12"/>
        <v>193.7847898599066</v>
      </c>
      <c r="AA15" s="8">
        <f t="shared" si="13"/>
        <v>2.4899999999999998</v>
      </c>
      <c r="AB15" s="9">
        <f t="shared" si="8"/>
        <v>8964</v>
      </c>
      <c r="AC15">
        <f t="shared" si="9"/>
        <v>0.49999999999999989</v>
      </c>
      <c r="AD15" s="2"/>
      <c r="AE15" s="8"/>
      <c r="AF15" s="13"/>
      <c r="AR15" s="37"/>
      <c r="AS15" s="37"/>
      <c r="BO15" s="17"/>
    </row>
    <row r="16" spans="1:77" x14ac:dyDescent="0.35">
      <c r="A16">
        <v>8</v>
      </c>
      <c r="B16" t="s">
        <v>12</v>
      </c>
      <c r="C16" s="3">
        <v>90</v>
      </c>
      <c r="D16" s="1">
        <v>2.13</v>
      </c>
      <c r="E16" s="10"/>
      <c r="F16" s="1"/>
      <c r="G16" s="1"/>
      <c r="H16" s="1"/>
      <c r="I16" s="1"/>
      <c r="J16" s="1"/>
      <c r="K16" s="1"/>
      <c r="L16" s="1"/>
      <c r="Q16" s="2">
        <v>60</v>
      </c>
      <c r="R16" s="2">
        <v>20</v>
      </c>
      <c r="S16" s="2">
        <f t="shared" si="0"/>
        <v>30</v>
      </c>
      <c r="T16" s="4">
        <f t="shared" ref="T16:T27" si="14">(Q16/3600*(C16+$C$4/D16))/(2+Q16/(3600*D16))</f>
        <v>1.3121590023382699</v>
      </c>
      <c r="U16" s="5">
        <f t="shared" ref="U16:U27" si="15">($C$4-T16)/D16</f>
        <v>67.459080280592374</v>
      </c>
      <c r="V16" s="7">
        <f t="shared" si="3"/>
        <v>157.45908028059239</v>
      </c>
      <c r="W16" s="12">
        <f t="shared" si="10"/>
        <v>0.57157707157707149</v>
      </c>
      <c r="X16" s="14">
        <f t="shared" si="11"/>
        <v>8.3333333333333332E-3</v>
      </c>
      <c r="Y16" s="9">
        <f t="shared" si="5"/>
        <v>30</v>
      </c>
      <c r="Z16" s="4">
        <f>$C$4-T16</f>
        <v>143.68784099766174</v>
      </c>
      <c r="AA16" s="8">
        <f t="shared" si="13"/>
        <v>2.13</v>
      </c>
      <c r="AB16" s="9">
        <f t="shared" si="8"/>
        <v>7668</v>
      </c>
      <c r="AC16">
        <f t="shared" si="9"/>
        <v>0.5</v>
      </c>
      <c r="AD16" s="2"/>
      <c r="AE16" s="8"/>
      <c r="AF16" s="13"/>
      <c r="AR16" s="37"/>
      <c r="AS16" s="37"/>
      <c r="BO16" s="17"/>
    </row>
    <row r="17" spans="1:72" x14ac:dyDescent="0.35">
      <c r="A17">
        <v>9</v>
      </c>
      <c r="B17" t="s">
        <v>13</v>
      </c>
      <c r="C17" s="3">
        <v>128</v>
      </c>
      <c r="D17" s="1">
        <v>1.59</v>
      </c>
      <c r="E17" s="10"/>
      <c r="F17" s="1"/>
      <c r="G17" s="1"/>
      <c r="H17" s="1"/>
      <c r="I17" s="1"/>
      <c r="J17" s="1"/>
      <c r="K17" s="1"/>
      <c r="L17" s="1"/>
      <c r="M17" s="1"/>
      <c r="N17" s="1"/>
      <c r="O17" s="1"/>
      <c r="P17" s="1"/>
      <c r="Q17" s="2">
        <v>60</v>
      </c>
      <c r="R17" s="2">
        <v>20</v>
      </c>
      <c r="S17" s="2">
        <f t="shared" si="0"/>
        <v>30</v>
      </c>
      <c r="T17" s="4">
        <f t="shared" si="14"/>
        <v>1.8171011470281544</v>
      </c>
      <c r="U17" s="5">
        <f t="shared" si="15"/>
        <v>90.052137643378515</v>
      </c>
      <c r="V17" s="7">
        <f t="shared" si="3"/>
        <v>218.0521376433785</v>
      </c>
      <c r="W17" s="12">
        <f t="shared" si="10"/>
        <v>0.58701557060331311</v>
      </c>
      <c r="X17" s="14">
        <f t="shared" si="11"/>
        <v>8.333333333333335E-3</v>
      </c>
      <c r="Y17" s="9">
        <f t="shared" si="5"/>
        <v>30.000000000000007</v>
      </c>
      <c r="Z17" s="4">
        <f t="shared" ref="Z17:Z27" si="16">$C$4-T17</f>
        <v>143.18289885297185</v>
      </c>
      <c r="AA17" s="8">
        <f t="shared" si="13"/>
        <v>1.59</v>
      </c>
      <c r="AB17" s="9">
        <f t="shared" si="8"/>
        <v>5724</v>
      </c>
      <c r="AC17">
        <f t="shared" si="9"/>
        <v>0.5</v>
      </c>
      <c r="AD17" s="2"/>
      <c r="AE17" s="8"/>
      <c r="AF17" s="13"/>
      <c r="AR17" s="37"/>
      <c r="AS17" s="37"/>
      <c r="BO17" s="17"/>
    </row>
    <row r="18" spans="1:72" x14ac:dyDescent="0.35">
      <c r="A18">
        <v>10</v>
      </c>
      <c r="B18" t="s">
        <v>14</v>
      </c>
      <c r="C18" s="3">
        <v>361</v>
      </c>
      <c r="D18" s="1">
        <v>0.57999999999999996</v>
      </c>
      <c r="E18" s="10"/>
      <c r="F18" s="1"/>
      <c r="G18" s="1"/>
      <c r="H18" s="1"/>
      <c r="I18" s="1"/>
      <c r="J18" s="1"/>
      <c r="K18" s="1"/>
      <c r="L18" s="1"/>
      <c r="M18" s="1"/>
      <c r="N18" s="1"/>
      <c r="O18" s="1"/>
      <c r="P18" s="1"/>
      <c r="Q18" s="2">
        <v>60</v>
      </c>
      <c r="R18" s="2">
        <v>20</v>
      </c>
      <c r="S18" s="2">
        <f t="shared" si="0"/>
        <v>30</v>
      </c>
      <c r="T18" s="4">
        <f t="shared" si="14"/>
        <v>5.0195467422096316</v>
      </c>
      <c r="U18" s="5">
        <f t="shared" si="15"/>
        <v>241.34560906515583</v>
      </c>
      <c r="V18" s="7">
        <f t="shared" si="3"/>
        <v>602.34560906515583</v>
      </c>
      <c r="W18" s="12">
        <f t="shared" si="10"/>
        <v>0.59932370148804481</v>
      </c>
      <c r="X18" s="14">
        <f t="shared" si="11"/>
        <v>8.3333333333333332E-3</v>
      </c>
      <c r="Y18" s="9">
        <f t="shared" si="5"/>
        <v>30</v>
      </c>
      <c r="Z18" s="4">
        <f t="shared" si="16"/>
        <v>139.98045325779037</v>
      </c>
      <c r="AA18" s="8">
        <f t="shared" si="13"/>
        <v>0.57999999999999996</v>
      </c>
      <c r="AB18" s="9">
        <f t="shared" si="8"/>
        <v>2088</v>
      </c>
      <c r="AC18">
        <f t="shared" si="9"/>
        <v>0.5</v>
      </c>
      <c r="AD18" s="2"/>
      <c r="AE18" s="8"/>
      <c r="AF18" s="13"/>
      <c r="AR18" s="37"/>
      <c r="AS18" s="37"/>
      <c r="BO18" s="17"/>
    </row>
    <row r="19" spans="1:72" x14ac:dyDescent="0.35">
      <c r="A19">
        <v>11</v>
      </c>
      <c r="B19" t="s">
        <v>15</v>
      </c>
      <c r="C19" s="3">
        <v>27</v>
      </c>
      <c r="D19" s="1">
        <v>5.01</v>
      </c>
      <c r="E19" s="10"/>
      <c r="F19" s="1"/>
      <c r="G19" s="1"/>
      <c r="H19" s="1"/>
      <c r="I19" s="1"/>
      <c r="J19" s="1"/>
      <c r="K19" s="1"/>
      <c r="L19" s="1"/>
      <c r="M19" s="1"/>
      <c r="N19" s="1"/>
      <c r="O19" s="1"/>
      <c r="P19" s="1"/>
      <c r="Q19" s="2">
        <v>60</v>
      </c>
      <c r="R19" s="2">
        <v>20</v>
      </c>
      <c r="S19" s="2">
        <f t="shared" si="0"/>
        <v>30</v>
      </c>
      <c r="T19" s="4">
        <f t="shared" si="14"/>
        <v>0.46541016273663238</v>
      </c>
      <c r="U19" s="5">
        <f t="shared" si="15"/>
        <v>28.849219528395881</v>
      </c>
      <c r="V19" s="7">
        <f t="shared" si="3"/>
        <v>55.849219528395878</v>
      </c>
      <c r="W19" s="12">
        <f t="shared" si="10"/>
        <v>0.48344453562636031</v>
      </c>
      <c r="X19" s="14">
        <f t="shared" si="11"/>
        <v>8.333333333333335E-3</v>
      </c>
      <c r="Y19" s="9">
        <f t="shared" si="5"/>
        <v>30.000000000000007</v>
      </c>
      <c r="Z19" s="4">
        <f t="shared" si="16"/>
        <v>144.53458983726335</v>
      </c>
      <c r="AA19" s="8">
        <f t="shared" si="13"/>
        <v>5.01</v>
      </c>
      <c r="AB19" s="9">
        <f t="shared" si="8"/>
        <v>18036</v>
      </c>
      <c r="AC19">
        <f t="shared" si="9"/>
        <v>0.5</v>
      </c>
      <c r="AD19" s="2"/>
      <c r="AE19" s="8"/>
      <c r="AF19" s="13"/>
      <c r="AR19" s="37"/>
      <c r="AS19" s="37"/>
      <c r="BO19" s="17"/>
    </row>
    <row r="20" spans="1:72" x14ac:dyDescent="0.35">
      <c r="A20">
        <v>12</v>
      </c>
      <c r="B20" t="s">
        <v>16</v>
      </c>
      <c r="C20" s="3">
        <v>68</v>
      </c>
      <c r="D20" s="1">
        <v>3</v>
      </c>
      <c r="E20" s="10"/>
      <c r="F20" s="1"/>
      <c r="G20" s="1"/>
      <c r="H20" s="1"/>
      <c r="I20" s="1"/>
      <c r="J20" s="1"/>
      <c r="K20" s="1"/>
      <c r="L20" s="1"/>
      <c r="M20" s="1"/>
      <c r="N20" s="1"/>
      <c r="O20" s="1"/>
      <c r="P20" s="1"/>
      <c r="Q20" s="2">
        <v>60</v>
      </c>
      <c r="R20" s="2">
        <v>20</v>
      </c>
      <c r="S20" s="2">
        <f t="shared" si="0"/>
        <v>30</v>
      </c>
      <c r="T20" s="4">
        <f t="shared" si="14"/>
        <v>0.9667590027700832</v>
      </c>
      <c r="U20" s="5">
        <f t="shared" si="15"/>
        <v>48.011080332409968</v>
      </c>
      <c r="V20" s="7">
        <f t="shared" si="3"/>
        <v>116.01108033240996</v>
      </c>
      <c r="W20" s="12">
        <f t="shared" si="10"/>
        <v>0.58615090735434583</v>
      </c>
      <c r="X20" s="14">
        <f t="shared" si="11"/>
        <v>8.333333333333335E-3</v>
      </c>
      <c r="Y20" s="9">
        <f t="shared" si="5"/>
        <v>30.000000000000007</v>
      </c>
      <c r="Z20" s="4">
        <f t="shared" si="16"/>
        <v>144.03324099722991</v>
      </c>
      <c r="AA20" s="8">
        <f t="shared" si="13"/>
        <v>3</v>
      </c>
      <c r="AB20" s="9">
        <f t="shared" si="8"/>
        <v>10800</v>
      </c>
      <c r="AC20">
        <f t="shared" si="9"/>
        <v>0.5</v>
      </c>
      <c r="AD20" s="2"/>
      <c r="AE20" s="8"/>
      <c r="AF20" s="13"/>
      <c r="AR20" s="37"/>
      <c r="AS20" s="37"/>
      <c r="BO20" s="17"/>
    </row>
    <row r="21" spans="1:72" x14ac:dyDescent="0.35">
      <c r="A21">
        <v>13</v>
      </c>
      <c r="B21" t="s">
        <v>17</v>
      </c>
      <c r="C21" s="3">
        <v>301</v>
      </c>
      <c r="D21" s="1">
        <v>0.73</v>
      </c>
      <c r="E21" s="10"/>
      <c r="F21" s="1"/>
      <c r="G21" s="1"/>
      <c r="H21" s="1"/>
      <c r="I21" s="1"/>
      <c r="J21" s="1"/>
      <c r="K21" s="1"/>
      <c r="L21" s="1"/>
      <c r="M21" s="1"/>
      <c r="N21" s="1"/>
      <c r="O21" s="1"/>
      <c r="P21" s="1"/>
      <c r="Q21" s="2">
        <v>60</v>
      </c>
      <c r="R21" s="2">
        <v>20</v>
      </c>
      <c r="S21" s="2">
        <f t="shared" si="0"/>
        <v>30</v>
      </c>
      <c r="T21" s="4">
        <f t="shared" si="14"/>
        <v>4.1165914221218962</v>
      </c>
      <c r="U21" s="5">
        <f t="shared" si="15"/>
        <v>192.99097065462755</v>
      </c>
      <c r="V21" s="7">
        <f t="shared" si="3"/>
        <v>493.99097065462752</v>
      </c>
      <c r="W21" s="12">
        <f t="shared" si="10"/>
        <v>0.60932287811074859</v>
      </c>
      <c r="X21" s="14">
        <f t="shared" si="11"/>
        <v>8.3333333333333332E-3</v>
      </c>
      <c r="Y21" s="9">
        <f t="shared" si="5"/>
        <v>30</v>
      </c>
      <c r="Z21" s="4">
        <f t="shared" si="16"/>
        <v>140.8834085778781</v>
      </c>
      <c r="AA21" s="8">
        <f t="shared" si="13"/>
        <v>0.73</v>
      </c>
      <c r="AB21" s="9">
        <f t="shared" si="8"/>
        <v>2628</v>
      </c>
      <c r="AC21">
        <f t="shared" si="9"/>
        <v>0.5</v>
      </c>
      <c r="AD21" s="2"/>
      <c r="AE21" s="8"/>
      <c r="AF21" s="13"/>
      <c r="AR21" s="37"/>
      <c r="AS21" s="37"/>
      <c r="BO21" s="17"/>
    </row>
    <row r="22" spans="1:72" s="19" customFormat="1" x14ac:dyDescent="0.35">
      <c r="A22" s="19">
        <v>14</v>
      </c>
      <c r="B22" s="19" t="s">
        <v>18</v>
      </c>
      <c r="C22" s="20">
        <f>SUM(M22:P22)/2</f>
        <v>87.29476925642507</v>
      </c>
      <c r="D22" s="21">
        <v>1.84</v>
      </c>
      <c r="E22" s="22">
        <v>377.33612034150099</v>
      </c>
      <c r="F22" s="22">
        <v>354.30255085549697</v>
      </c>
      <c r="G22" s="22">
        <v>468.750395073454</v>
      </c>
      <c r="H22" s="22">
        <v>512.47718088536897</v>
      </c>
      <c r="I22" s="22">
        <v>325.76185944130202</v>
      </c>
      <c r="J22" s="22">
        <v>377.03579294155497</v>
      </c>
      <c r="K22" s="22">
        <v>431.38736096553498</v>
      </c>
      <c r="L22" s="22">
        <v>353.400864886465</v>
      </c>
      <c r="M22" s="38">
        <f>(43.4370301601641--42.6490004493924)/2</f>
        <v>43.043015304778251</v>
      </c>
      <c r="N22" s="38">
        <f>(49.096683698359--45.3549080284328)/2</f>
        <v>47.225795863395902</v>
      </c>
      <c r="O22" s="38">
        <f>(41.730534984219--41.7857501551701)/2</f>
        <v>41.758142569694549</v>
      </c>
      <c r="P22" s="38">
        <f>(42.4620045317066--42.6631650182563)/2</f>
        <v>42.562584774981445</v>
      </c>
      <c r="Q22" s="25">
        <f>(E22*$M22/2+F22*$N22/2+G22*$O22/2+H22*P22/2)/C22</f>
        <v>425.91557467098113</v>
      </c>
      <c r="R22" s="25">
        <f>(I22*$M22/2+J22*$N22/2+K22*$O22/2+L22*P22/2)/C22</f>
        <v>371.63267534936494</v>
      </c>
      <c r="S22" s="25">
        <f t="shared" si="0"/>
        <v>212.95778733549056</v>
      </c>
      <c r="T22" s="26">
        <f t="shared" si="14"/>
        <v>9.5195358603409357</v>
      </c>
      <c r="U22" s="27">
        <f t="shared" si="15"/>
        <v>73.630687032423396</v>
      </c>
      <c r="V22" s="24">
        <f t="shared" si="3"/>
        <v>160.92545628884847</v>
      </c>
      <c r="W22" s="28">
        <f t="shared" si="10"/>
        <v>0.5424546946738984</v>
      </c>
      <c r="X22" s="29">
        <f t="shared" si="11"/>
        <v>5.9154940926525144E-2</v>
      </c>
      <c r="Y22" s="30">
        <f t="shared" si="5"/>
        <v>212.95778733549051</v>
      </c>
      <c r="Z22" s="26">
        <f t="shared" si="16"/>
        <v>135.48046413965906</v>
      </c>
      <c r="AA22" s="31">
        <f t="shared" si="13"/>
        <v>1.8400000000000003</v>
      </c>
      <c r="AB22" s="30">
        <f t="shared" si="8"/>
        <v>6624.0000000000009</v>
      </c>
      <c r="AC22" s="19">
        <f t="shared" si="9"/>
        <v>0.50000000000000011</v>
      </c>
      <c r="AD22" s="39">
        <v>1.6600900000000001</v>
      </c>
      <c r="AE22" s="30">
        <f>AD22*3600</f>
        <v>5976.3240000000005</v>
      </c>
      <c r="AF22" s="40">
        <v>8.4648210000000006</v>
      </c>
      <c r="AG22" s="41">
        <f>AF22*3600^2</f>
        <v>109704080.16000001</v>
      </c>
      <c r="AH22" s="42">
        <v>69.095299999999995</v>
      </c>
      <c r="AI22" s="19">
        <f>773.3407+3*AF22</f>
        <v>798.73516299999994</v>
      </c>
      <c r="AJ22" s="19">
        <f>AF22/AD22^2</f>
        <v>3.071528234317102</v>
      </c>
      <c r="AK22" s="39">
        <f>(AJ22+1)*AD22</f>
        <v>6.7591033065074777</v>
      </c>
      <c r="AL22" s="39">
        <f>AK22/2</f>
        <v>3.3795516532537389</v>
      </c>
      <c r="AM22" s="43">
        <f>ROUND(AD22*C22,1)</f>
        <v>144.9</v>
      </c>
      <c r="AN22" s="34">
        <f>AD22/AK22</f>
        <v>0.24560802294613715</v>
      </c>
      <c r="AO22" s="31">
        <f>R22/(2*3600)</f>
        <v>5.1615649354078467E-2</v>
      </c>
      <c r="AP22" s="26">
        <f>T22</f>
        <v>9.5195358603409357</v>
      </c>
      <c r="AQ22" s="26">
        <f>1/2*R22/3600*(AS22+C22)</f>
        <v>35.657670315214659</v>
      </c>
      <c r="AR22" s="38">
        <f>2*(AP22/R22*3600-C22/2)</f>
        <v>97.136425148159901</v>
      </c>
      <c r="AS22" s="38">
        <f>C22*(1-AU22)/AU22</f>
        <v>603.53583660511151</v>
      </c>
      <c r="AT22" s="33">
        <f>1-AR22/(AR22+C22)</f>
        <v>0.4733188956361003</v>
      </c>
      <c r="AU22" s="33">
        <f>1/W22-(1-W22)/(2*W22*AN22)</f>
        <v>0.12636204666635975</v>
      </c>
      <c r="AV22" s="39">
        <v>3.5403099999999998</v>
      </c>
      <c r="AW22" s="30">
        <f>AV22*3600</f>
        <v>12745.116</v>
      </c>
      <c r="AX22" s="39">
        <v>2.1136699999999999</v>
      </c>
      <c r="AY22" s="30">
        <f>AX22*3600</f>
        <v>7609.2119999999995</v>
      </c>
      <c r="AZ22" s="40">
        <v>12.538629999999999</v>
      </c>
      <c r="BA22" s="41">
        <f>AZ22*3600^2</f>
        <v>162500644.79999998</v>
      </c>
      <c r="BB22" s="40">
        <v>4.4683960000000003</v>
      </c>
      <c r="BC22" s="41">
        <f>BB22*3600^2</f>
        <v>57910412.160000004</v>
      </c>
      <c r="BD22" s="42">
        <v>88.799199999999999</v>
      </c>
      <c r="BE22" s="42">
        <v>18.891200000000001</v>
      </c>
      <c r="BF22" s="19">
        <f>943.3144+3*AZ22</f>
        <v>980.93029000000001</v>
      </c>
      <c r="BG22" s="19">
        <f>119.8004+3*BB22</f>
        <v>133.20558800000001</v>
      </c>
      <c r="BH22" s="19">
        <f>AZ22/AV22^2</f>
        <v>1.0003857653599793</v>
      </c>
      <c r="BI22" s="19">
        <f>BB22/AX22^2</f>
        <v>1.0001779772014854</v>
      </c>
      <c r="BJ22" s="39">
        <f>(BH22+1)*AV22</f>
        <v>7.0819857289615884</v>
      </c>
      <c r="BK22" s="39">
        <f>(BI22+1)*AX22</f>
        <v>4.2277161850714631</v>
      </c>
      <c r="BL22" s="39">
        <f>BJ22/2</f>
        <v>3.5409928644807942</v>
      </c>
      <c r="BM22" s="39">
        <f>BK22/2</f>
        <v>2.1138580925357315</v>
      </c>
      <c r="BN22" s="34">
        <f>AV22/BJ22</f>
        <v>0.49990357725828199</v>
      </c>
      <c r="BO22" s="34">
        <f>AX22/BK22</f>
        <v>0.4999555096587619</v>
      </c>
      <c r="BP22" s="34">
        <f>(1-W22)/(2*(1-W22*AT22))</f>
        <v>0.30780208734738201</v>
      </c>
      <c r="BQ22" s="34">
        <f>(1-W22)/(2*(1-W22*AU22))</f>
        <v>0.24560802294613712</v>
      </c>
      <c r="BR22" s="36">
        <f>AN22*AC22*AK22/D22</f>
        <v>0.4511114130434784</v>
      </c>
      <c r="BS22" s="44">
        <f>BN22*AN22*BJ22/AL22</f>
        <v>0.25729109329614203</v>
      </c>
      <c r="BT22" s="44">
        <f>BO22*AN22*BK22/AL22</f>
        <v>0.15361040845780638</v>
      </c>
    </row>
    <row r="23" spans="1:72" x14ac:dyDescent="0.35">
      <c r="A23">
        <v>15</v>
      </c>
      <c r="B23" t="s">
        <v>19</v>
      </c>
      <c r="C23" s="3">
        <v>128</v>
      </c>
      <c r="D23" s="1">
        <v>1.42</v>
      </c>
      <c r="E23" s="10"/>
      <c r="F23" s="1"/>
      <c r="G23" s="1"/>
      <c r="H23" s="1"/>
      <c r="I23" s="1"/>
      <c r="J23" s="1"/>
      <c r="K23" s="1"/>
      <c r="L23" s="1"/>
      <c r="M23" s="1"/>
      <c r="N23" s="1"/>
      <c r="O23" s="1"/>
      <c r="P23" s="1"/>
      <c r="Q23" s="2">
        <v>60</v>
      </c>
      <c r="R23" s="2">
        <v>20</v>
      </c>
      <c r="S23" s="2">
        <f t="shared" si="0"/>
        <v>30</v>
      </c>
      <c r="T23" s="4">
        <f t="shared" si="14"/>
        <v>1.9064177362893817</v>
      </c>
      <c r="U23" s="5">
        <f t="shared" si="15"/>
        <v>100.7701283547258</v>
      </c>
      <c r="V23" s="7">
        <f t="shared" si="3"/>
        <v>228.77012835472578</v>
      </c>
      <c r="W23" s="12">
        <f t="shared" si="10"/>
        <v>0.55951360835679598</v>
      </c>
      <c r="X23" s="14">
        <f t="shared" si="11"/>
        <v>8.333333333333335E-3</v>
      </c>
      <c r="Y23" s="9">
        <f t="shared" si="5"/>
        <v>30.000000000000007</v>
      </c>
      <c r="Z23" s="4">
        <f t="shared" si="16"/>
        <v>143.09358226371063</v>
      </c>
      <c r="AA23" s="8">
        <f t="shared" si="13"/>
        <v>1.42</v>
      </c>
      <c r="AB23" s="9">
        <f t="shared" si="8"/>
        <v>5112</v>
      </c>
      <c r="AC23">
        <f t="shared" si="9"/>
        <v>0.5</v>
      </c>
      <c r="AD23" s="2"/>
      <c r="AE23" s="8"/>
      <c r="AF23" s="13"/>
      <c r="AR23" s="37"/>
      <c r="AS23" s="37"/>
      <c r="AV23" s="39"/>
      <c r="AW23" s="30"/>
      <c r="AX23" s="30"/>
      <c r="AY23" s="30"/>
      <c r="AZ23" s="40"/>
      <c r="BA23" s="41"/>
      <c r="BB23" s="41"/>
      <c r="BC23" s="41"/>
      <c r="BD23" s="42"/>
      <c r="BE23" s="42"/>
      <c r="BF23" s="19"/>
      <c r="BG23" s="19"/>
      <c r="BH23" s="19"/>
      <c r="BI23" s="19"/>
      <c r="BJ23" s="39"/>
      <c r="BK23" s="39"/>
      <c r="BL23" s="39"/>
      <c r="BM23" s="39"/>
      <c r="BN23" s="34"/>
      <c r="BO23" s="34"/>
      <c r="BP23" s="34"/>
      <c r="BQ23" s="34"/>
      <c r="BR23" s="36"/>
      <c r="BS23" s="44"/>
    </row>
    <row r="24" spans="1:72" x14ac:dyDescent="0.35">
      <c r="A24">
        <v>16</v>
      </c>
      <c r="B24" t="s">
        <v>20</v>
      </c>
      <c r="C24" s="3">
        <v>361</v>
      </c>
      <c r="D24" s="1">
        <v>0.56000000000000005</v>
      </c>
      <c r="H24" s="10"/>
      <c r="I24" s="10"/>
      <c r="J24" s="10"/>
      <c r="K24" s="10"/>
      <c r="L24" s="10"/>
      <c r="M24" s="1"/>
      <c r="N24" s="1"/>
      <c r="O24" s="1"/>
      <c r="P24" s="1"/>
      <c r="Q24" s="2">
        <v>60</v>
      </c>
      <c r="R24" s="2">
        <v>20</v>
      </c>
      <c r="S24" s="2">
        <f t="shared" si="0"/>
        <v>30</v>
      </c>
      <c r="T24" s="4">
        <f t="shared" si="14"/>
        <v>5.0903225806451609</v>
      </c>
      <c r="U24" s="5">
        <f t="shared" si="15"/>
        <v>249.83870967741933</v>
      </c>
      <c r="V24" s="7">
        <f t="shared" si="3"/>
        <v>610.83870967741927</v>
      </c>
      <c r="W24" s="12">
        <f t="shared" si="10"/>
        <v>0.59099070553443189</v>
      </c>
      <c r="X24" s="14">
        <f t="shared" si="11"/>
        <v>8.3333333333333332E-3</v>
      </c>
      <c r="Y24" s="9">
        <f t="shared" si="5"/>
        <v>30</v>
      </c>
      <c r="Z24" s="4">
        <f t="shared" si="16"/>
        <v>139.90967741935484</v>
      </c>
      <c r="AA24" s="8">
        <f t="shared" si="13"/>
        <v>0.56000000000000005</v>
      </c>
      <c r="AB24" s="9">
        <f t="shared" si="8"/>
        <v>2016.0000000000002</v>
      </c>
      <c r="AC24">
        <f t="shared" si="9"/>
        <v>0.5</v>
      </c>
      <c r="AD24" s="2"/>
      <c r="AE24" s="8"/>
      <c r="AF24" s="13"/>
      <c r="AR24" s="37"/>
      <c r="AS24" s="37"/>
    </row>
    <row r="25" spans="1:72" x14ac:dyDescent="0.35">
      <c r="A25">
        <v>17</v>
      </c>
      <c r="B25" t="s">
        <v>21</v>
      </c>
      <c r="C25" s="3">
        <v>27</v>
      </c>
      <c r="D25" s="1">
        <v>3.64</v>
      </c>
      <c r="E25" s="10"/>
      <c r="F25" s="1"/>
      <c r="G25" s="1"/>
      <c r="H25" s="1"/>
      <c r="I25" s="1"/>
      <c r="J25" s="1"/>
      <c r="K25" s="1"/>
      <c r="L25" s="1"/>
      <c r="M25" s="1"/>
      <c r="N25" s="1"/>
      <c r="O25" s="1"/>
      <c r="P25" s="1"/>
      <c r="Q25" s="2">
        <v>60</v>
      </c>
      <c r="R25" s="2">
        <v>20</v>
      </c>
      <c r="S25" s="2">
        <f t="shared" si="0"/>
        <v>30</v>
      </c>
      <c r="T25" s="4">
        <f t="shared" si="14"/>
        <v>0.55568752855185022</v>
      </c>
      <c r="U25" s="5">
        <f t="shared" si="15"/>
        <v>39.682503426222013</v>
      </c>
      <c r="V25" s="7">
        <f t="shared" si="3"/>
        <v>66.682503426222013</v>
      </c>
      <c r="W25" s="12">
        <f t="shared" si="10"/>
        <v>0.4049038145346926</v>
      </c>
      <c r="X25" s="14">
        <f t="shared" si="11"/>
        <v>8.333333333333335E-3</v>
      </c>
      <c r="Y25" s="9">
        <f t="shared" si="5"/>
        <v>30.000000000000007</v>
      </c>
      <c r="Z25" s="4">
        <f t="shared" si="16"/>
        <v>144.44431247144814</v>
      </c>
      <c r="AA25" s="8">
        <f t="shared" si="13"/>
        <v>3.6400000000000006</v>
      </c>
      <c r="AB25" s="9">
        <f t="shared" si="8"/>
        <v>13104.000000000002</v>
      </c>
      <c r="AC25">
        <f t="shared" si="9"/>
        <v>0.50000000000000011</v>
      </c>
      <c r="AD25" s="2"/>
      <c r="AE25" s="8"/>
      <c r="AF25" s="13"/>
      <c r="AR25" s="37"/>
      <c r="AS25" s="37"/>
    </row>
    <row r="26" spans="1:72" x14ac:dyDescent="0.35">
      <c r="A26">
        <v>18</v>
      </c>
      <c r="B26" t="s">
        <v>22</v>
      </c>
      <c r="C26" s="3">
        <v>68</v>
      </c>
      <c r="D26" s="1">
        <v>2.59</v>
      </c>
      <c r="E26" s="10"/>
      <c r="F26" s="1"/>
      <c r="G26" s="1"/>
      <c r="H26" s="1"/>
      <c r="I26" s="1"/>
      <c r="J26" s="1"/>
      <c r="K26" s="1"/>
      <c r="L26" s="1"/>
      <c r="M26" s="1"/>
      <c r="N26" s="1"/>
      <c r="O26" s="1"/>
      <c r="P26" s="1"/>
      <c r="Q26" s="2">
        <v>60</v>
      </c>
      <c r="R26" s="2">
        <v>20</v>
      </c>
      <c r="S26" s="2">
        <f t="shared" si="0"/>
        <v>30</v>
      </c>
      <c r="T26" s="4">
        <f t="shared" si="14"/>
        <v>1.0298909557408595</v>
      </c>
      <c r="U26" s="5">
        <f t="shared" si="15"/>
        <v>55.58691468890315</v>
      </c>
      <c r="V26" s="7">
        <f t="shared" si="3"/>
        <v>123.58691468890315</v>
      </c>
      <c r="W26" s="12">
        <f t="shared" si="10"/>
        <v>0.55022006311243976</v>
      </c>
      <c r="X26" s="14">
        <f t="shared" si="11"/>
        <v>8.3333333333333332E-3</v>
      </c>
      <c r="Y26" s="9">
        <f t="shared" si="5"/>
        <v>30</v>
      </c>
      <c r="Z26" s="4">
        <f t="shared" si="16"/>
        <v>143.97010904425915</v>
      </c>
      <c r="AA26" s="8">
        <f t="shared" si="13"/>
        <v>2.59</v>
      </c>
      <c r="AB26" s="9">
        <f t="shared" si="8"/>
        <v>9324</v>
      </c>
      <c r="AC26">
        <f t="shared" si="9"/>
        <v>0.5</v>
      </c>
      <c r="AD26" s="2"/>
      <c r="AE26" s="8"/>
      <c r="AF26" s="13"/>
      <c r="AR26" s="37"/>
      <c r="AS26" s="37"/>
    </row>
    <row r="27" spans="1:72" x14ac:dyDescent="0.35">
      <c r="A27">
        <v>19</v>
      </c>
      <c r="B27" t="s">
        <v>23</v>
      </c>
      <c r="C27" s="3">
        <v>301</v>
      </c>
      <c r="D27" s="1">
        <v>0.69</v>
      </c>
      <c r="E27" s="10"/>
      <c r="F27" s="1"/>
      <c r="G27" s="1"/>
      <c r="H27" s="1"/>
      <c r="I27" s="1"/>
      <c r="J27" s="1"/>
      <c r="K27" s="1"/>
      <c r="L27" s="1"/>
      <c r="M27" s="1"/>
      <c r="N27" s="1"/>
      <c r="O27" s="1"/>
      <c r="P27" s="1"/>
      <c r="Q27" s="2">
        <v>60</v>
      </c>
      <c r="R27" s="2">
        <v>20</v>
      </c>
      <c r="S27" s="2">
        <f t="shared" si="0"/>
        <v>30</v>
      </c>
      <c r="T27" s="4">
        <f t="shared" si="14"/>
        <v>4.2087112171837706</v>
      </c>
      <c r="U27" s="5">
        <f t="shared" si="15"/>
        <v>204.04534606205252</v>
      </c>
      <c r="V27" s="7">
        <f t="shared" si="3"/>
        <v>505.04534606205254</v>
      </c>
      <c r="W27" s="12">
        <f t="shared" si="10"/>
        <v>0.59598608787698348</v>
      </c>
      <c r="X27" s="14">
        <f t="shared" si="11"/>
        <v>8.3333333333333315E-3</v>
      </c>
      <c r="Y27" s="9">
        <f t="shared" si="5"/>
        <v>29.999999999999993</v>
      </c>
      <c r="Z27" s="4">
        <f t="shared" si="16"/>
        <v>140.79128878281622</v>
      </c>
      <c r="AA27" s="8">
        <f t="shared" si="13"/>
        <v>0.69</v>
      </c>
      <c r="AB27" s="9">
        <f t="shared" si="8"/>
        <v>2484</v>
      </c>
      <c r="AC27">
        <f t="shared" si="9"/>
        <v>0.5</v>
      </c>
      <c r="AD27" s="2"/>
      <c r="AE27" s="8"/>
      <c r="AF27" s="13"/>
      <c r="AR27" s="37"/>
      <c r="AS27" s="37"/>
    </row>
    <row r="28" spans="1:72" x14ac:dyDescent="0.35">
      <c r="AR28" s="37"/>
      <c r="AS28" s="37"/>
    </row>
    <row r="29" spans="1:72" x14ac:dyDescent="0.35">
      <c r="AR29" s="37"/>
      <c r="AS29" s="37"/>
    </row>
    <row r="30" spans="1:72" x14ac:dyDescent="0.35">
      <c r="AR30" s="37"/>
      <c r="AS30" s="37"/>
    </row>
    <row r="32" spans="1:72" x14ac:dyDescent="0.35">
      <c r="AC32" s="16"/>
    </row>
    <row r="34" spans="28:29" x14ac:dyDescent="0.35">
      <c r="AB34" s="15"/>
      <c r="AC34" s="16"/>
    </row>
    <row r="51" spans="27:28" x14ac:dyDescent="0.35">
      <c r="AA51" s="18"/>
      <c r="AB51" s="17"/>
    </row>
  </sheetData>
  <mergeCells count="7">
    <mergeCell ref="X6:Y6"/>
    <mergeCell ref="AA6:AB6"/>
    <mergeCell ref="AF7:AG7"/>
    <mergeCell ref="AF6:AG6"/>
    <mergeCell ref="AZ6:BA6"/>
    <mergeCell ref="AZ7:BA7"/>
    <mergeCell ref="AD6:AE6"/>
  </mergeCells>
  <phoneticPr fontId="1" type="noConversion"/>
  <conditionalFormatting sqref="T8:T15">
    <cfRule type="colorScale" priority="8">
      <colorScale>
        <cfvo type="num" val="0"/>
        <cfvo type="num" val="0"/>
        <cfvo type="num" val="$C$3/2"/>
        <color theme="9" tint="0.59999389629810485"/>
        <color rgb="FFFFEB84"/>
        <color rgb="FFFF0000"/>
      </colorScale>
    </cfRule>
  </conditionalFormatting>
  <conditionalFormatting sqref="T16:T27">
    <cfRule type="colorScale" priority="7">
      <colorScale>
        <cfvo type="num" val="0"/>
        <cfvo type="num" val="$C$4*0.1"/>
        <cfvo type="num" val="$C$4/2"/>
        <color theme="9" tint="0.59999389629810485"/>
        <color rgb="FFFFEB84"/>
        <color rgb="FFFF0000"/>
      </colorScale>
    </cfRule>
  </conditionalFormatting>
  <conditionalFormatting sqref="AC8:AC27">
    <cfRule type="colorScale" priority="6">
      <colorScale>
        <cfvo type="num" val="0"/>
        <cfvo type="num" val="0.5"/>
        <cfvo type="num" val="1"/>
        <color rgb="FFFF0000"/>
        <color theme="9"/>
        <color rgb="FFFF0000"/>
      </colorScale>
    </cfRule>
  </conditionalFormatting>
  <conditionalFormatting sqref="BQ12">
    <cfRule type="colorScale" priority="5">
      <colorScale>
        <cfvo type="num" val="$AN$12-0.01"/>
        <cfvo type="num" val="$AN$12"/>
        <cfvo type="num" val="$AN$12+0.01"/>
        <color rgb="FFF8696B"/>
        <color theme="9"/>
        <color rgb="FFFF6565"/>
      </colorScale>
    </cfRule>
  </conditionalFormatting>
  <conditionalFormatting sqref="BP12">
    <cfRule type="colorScale" priority="3">
      <colorScale>
        <cfvo type="num" val="$AN$12-0.01"/>
        <cfvo type="num" val="$AN$12"/>
        <cfvo type="num" val="$AN$12+0.01"/>
        <color rgb="FFF8696B"/>
        <color theme="9"/>
        <color rgb="FFFF6565"/>
      </colorScale>
    </cfRule>
  </conditionalFormatting>
  <conditionalFormatting sqref="BP22">
    <cfRule type="colorScale" priority="2">
      <colorScale>
        <cfvo type="num" val="$AN$22-0.01"/>
        <cfvo type="num" val="$AN$22"/>
        <cfvo type="num" val="$AN$22+0.01"/>
        <color rgb="FFF8696B"/>
        <color theme="9"/>
        <color rgb="FFFF6565"/>
      </colorScale>
    </cfRule>
  </conditionalFormatting>
  <conditionalFormatting sqref="BQ22">
    <cfRule type="colorScale" priority="1">
      <colorScale>
        <cfvo type="num" val="$AN$22-0.01"/>
        <cfvo type="num" val="$AN$22"/>
        <cfvo type="num" val="$AN$22+0.01"/>
        <color rgb="FFF8696B"/>
        <color theme="9"/>
        <color rgb="FFFF6565"/>
      </colorScale>
    </cfRule>
  </conditionalFormatting>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Auerswald, Sven</dc:creator>
  <cp:lastModifiedBy>Raghavakrishna Devineni</cp:lastModifiedBy>
  <dcterms:created xsi:type="dcterms:W3CDTF">2021-05-20T18:01:24Z</dcterms:created>
  <dcterms:modified xsi:type="dcterms:W3CDTF">2021-06-17T11:11:13Z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16dcb167-a893-433e-8c8d-37c2df672f21</vt:lpwstr>
  </property>
</Properties>
</file>